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Resultado\4Q21\"/>
    </mc:Choice>
  </mc:AlternateContent>
  <xr:revisionPtr revIDLastSave="0" documentId="13_ncr:1_{79652982-8427-4949-A5A6-ED3E1611DC5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ort" sheetId="6" r:id="rId1"/>
    <sheet name="Eng" sheetId="9" r:id="rId2"/>
    <sheet name="ANS CODE" sheetId="10" r:id="rId3"/>
    <sheet name="Hospitals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3" i="9" l="1"/>
  <c r="G277" i="9"/>
  <c r="F277" i="9"/>
  <c r="E277" i="9"/>
  <c r="D277" i="9"/>
  <c r="G276" i="9"/>
  <c r="AC261" i="9"/>
  <c r="W261" i="9"/>
  <c r="V261" i="9"/>
  <c r="U261" i="9"/>
  <c r="T261" i="9"/>
  <c r="S261" i="9"/>
  <c r="R261" i="9"/>
  <c r="Q261" i="9"/>
  <c r="P261" i="9"/>
  <c r="O261" i="9"/>
  <c r="N261" i="9"/>
  <c r="M261" i="9"/>
  <c r="L261" i="9"/>
  <c r="K261" i="9"/>
  <c r="J261" i="9"/>
  <c r="I261" i="9"/>
  <c r="H261" i="9"/>
  <c r="G261" i="9"/>
  <c r="F261" i="9"/>
  <c r="E261" i="9"/>
  <c r="D261" i="9"/>
  <c r="AC260" i="9"/>
  <c r="AB260" i="9"/>
  <c r="AA260" i="9"/>
  <c r="Z260" i="9"/>
  <c r="Y260" i="9"/>
  <c r="AC259" i="9"/>
  <c r="AB259" i="9"/>
  <c r="AA259" i="9"/>
  <c r="Z259" i="9"/>
  <c r="Y259" i="9"/>
  <c r="AC258" i="9"/>
  <c r="AB258" i="9"/>
  <c r="AA258" i="9"/>
  <c r="Z258" i="9"/>
  <c r="Y258" i="9"/>
  <c r="AC257" i="9"/>
  <c r="AB257" i="9"/>
  <c r="AA257" i="9"/>
  <c r="Z257" i="9"/>
  <c r="Y257" i="9"/>
  <c r="Y261" i="9" s="1"/>
  <c r="AC256" i="9"/>
  <c r="AB256" i="9"/>
  <c r="AA256" i="9"/>
  <c r="Z256" i="9"/>
  <c r="Y256" i="9"/>
  <c r="AC255" i="9"/>
  <c r="AB255" i="9"/>
  <c r="AA255" i="9"/>
  <c r="Z255" i="9"/>
  <c r="Y255" i="9"/>
  <c r="AC254" i="9"/>
  <c r="AB254" i="9"/>
  <c r="AB261" i="9" s="1"/>
  <c r="AA254" i="9"/>
  <c r="Z254" i="9"/>
  <c r="Z261" i="9" s="1"/>
  <c r="Y254" i="9"/>
  <c r="AC250" i="9"/>
  <c r="AB250" i="9"/>
  <c r="AA250" i="9"/>
  <c r="Z250" i="9"/>
  <c r="Y250" i="9"/>
  <c r="AA249" i="9"/>
  <c r="Z249" i="9"/>
  <c r="Y249" i="9"/>
  <c r="W249" i="9"/>
  <c r="AC249" i="9" s="1"/>
  <c r="V249" i="9"/>
  <c r="U249" i="9"/>
  <c r="T249" i="9"/>
  <c r="S249" i="9"/>
  <c r="AB249" i="9" s="1"/>
  <c r="R249" i="9"/>
  <c r="Q249" i="9"/>
  <c r="P249" i="9"/>
  <c r="AC248" i="9"/>
  <c r="AB248" i="9"/>
  <c r="AA248" i="9"/>
  <c r="Z248" i="9"/>
  <c r="Y248" i="9"/>
  <c r="R248" i="9"/>
  <c r="AC246" i="9"/>
  <c r="Y246" i="9"/>
  <c r="T246" i="9"/>
  <c r="P246" i="9"/>
  <c r="L246" i="9"/>
  <c r="H246" i="9"/>
  <c r="D246" i="9"/>
  <c r="AC245" i="9"/>
  <c r="AB245" i="9"/>
  <c r="AA245" i="9"/>
  <c r="Z245" i="9"/>
  <c r="Y245" i="9"/>
  <c r="AA244" i="9"/>
  <c r="AA246" i="9" s="1"/>
  <c r="W244" i="9"/>
  <c r="W246" i="9" s="1"/>
  <c r="V244" i="9"/>
  <c r="V246" i="9" s="1"/>
  <c r="U244" i="9"/>
  <c r="U246" i="9" s="1"/>
  <c r="T244" i="9"/>
  <c r="S244" i="9"/>
  <c r="S246" i="9" s="1"/>
  <c r="R244" i="9"/>
  <c r="R246" i="9" s="1"/>
  <c r="Q244" i="9"/>
  <c r="Q246" i="9" s="1"/>
  <c r="P244" i="9"/>
  <c r="O244" i="9"/>
  <c r="O246" i="9" s="1"/>
  <c r="N244" i="9"/>
  <c r="N246" i="9" s="1"/>
  <c r="M244" i="9"/>
  <c r="M246" i="9" s="1"/>
  <c r="L244" i="9"/>
  <c r="K244" i="9"/>
  <c r="K246" i="9" s="1"/>
  <c r="J244" i="9"/>
  <c r="J246" i="9" s="1"/>
  <c r="I244" i="9"/>
  <c r="I246" i="9" s="1"/>
  <c r="H244" i="9"/>
  <c r="G244" i="9"/>
  <c r="G246" i="9" s="1"/>
  <c r="F244" i="9"/>
  <c r="F246" i="9" s="1"/>
  <c r="E244" i="9"/>
  <c r="E246" i="9" s="1"/>
  <c r="D244" i="9"/>
  <c r="AC243" i="9"/>
  <c r="AB243" i="9"/>
  <c r="AA243" i="9"/>
  <c r="Z243" i="9"/>
  <c r="Y243" i="9"/>
  <c r="AC242" i="9"/>
  <c r="AC244" i="9" s="1"/>
  <c r="AB242" i="9"/>
  <c r="AA242" i="9"/>
  <c r="Z242" i="9"/>
  <c r="Z244" i="9" s="1"/>
  <c r="Z246" i="9" s="1"/>
  <c r="Y242" i="9"/>
  <c r="Y244" i="9" s="1"/>
  <c r="P236" i="9"/>
  <c r="W235" i="9"/>
  <c r="V235" i="9"/>
  <c r="U235" i="9"/>
  <c r="T235" i="9"/>
  <c r="S235" i="9"/>
  <c r="R235" i="9"/>
  <c r="Q235" i="9"/>
  <c r="P235" i="9"/>
  <c r="O235" i="9"/>
  <c r="N235" i="9"/>
  <c r="M235" i="9"/>
  <c r="L235" i="9"/>
  <c r="K235" i="9"/>
  <c r="J235" i="9"/>
  <c r="I235" i="9"/>
  <c r="H235" i="9"/>
  <c r="G235" i="9"/>
  <c r="F235" i="9"/>
  <c r="E235" i="9"/>
  <c r="D235" i="9"/>
  <c r="W234" i="9"/>
  <c r="V234" i="9"/>
  <c r="U234" i="9"/>
  <c r="T234" i="9"/>
  <c r="S234" i="9"/>
  <c r="R234" i="9"/>
  <c r="Q234" i="9"/>
  <c r="P234" i="9"/>
  <c r="O234" i="9"/>
  <c r="N234" i="9"/>
  <c r="M234" i="9"/>
  <c r="L234" i="9"/>
  <c r="K234" i="9"/>
  <c r="J234" i="9"/>
  <c r="I234" i="9"/>
  <c r="H234" i="9"/>
  <c r="G234" i="9"/>
  <c r="F234" i="9"/>
  <c r="E234" i="9"/>
  <c r="D234" i="9"/>
  <c r="W233" i="9"/>
  <c r="W236" i="9" s="1"/>
  <c r="S233" i="9"/>
  <c r="S236" i="9" s="1"/>
  <c r="O233" i="9"/>
  <c r="O236" i="9" s="1"/>
  <c r="K233" i="9"/>
  <c r="K236" i="9" s="1"/>
  <c r="G233" i="9"/>
  <c r="G236" i="9" s="1"/>
  <c r="W232" i="9"/>
  <c r="V232" i="9"/>
  <c r="U232" i="9"/>
  <c r="T232" i="9"/>
  <c r="S232" i="9"/>
  <c r="R232" i="9"/>
  <c r="Q232" i="9"/>
  <c r="P232" i="9"/>
  <c r="O232" i="9"/>
  <c r="N232" i="9"/>
  <c r="M232" i="9"/>
  <c r="L232" i="9"/>
  <c r="K232" i="9"/>
  <c r="J232" i="9"/>
  <c r="I232" i="9"/>
  <c r="H232" i="9"/>
  <c r="G232" i="9"/>
  <c r="F232" i="9"/>
  <c r="E232" i="9"/>
  <c r="D232" i="9"/>
  <c r="W231" i="9"/>
  <c r="V231" i="9"/>
  <c r="U231" i="9"/>
  <c r="T231" i="9"/>
  <c r="S231" i="9"/>
  <c r="R231" i="9"/>
  <c r="Q231" i="9"/>
  <c r="P231" i="9"/>
  <c r="O231" i="9"/>
  <c r="N231" i="9"/>
  <c r="M231" i="9"/>
  <c r="L231" i="9"/>
  <c r="K231" i="9"/>
  <c r="J231" i="9"/>
  <c r="I231" i="9"/>
  <c r="H231" i="9"/>
  <c r="G231" i="9"/>
  <c r="F231" i="9"/>
  <c r="E231" i="9"/>
  <c r="D231" i="9"/>
  <c r="W230" i="9"/>
  <c r="V230" i="9"/>
  <c r="V233" i="9" s="1"/>
  <c r="U230" i="9"/>
  <c r="T230" i="9"/>
  <c r="T233" i="9" s="1"/>
  <c r="T236" i="9" s="1"/>
  <c r="S230" i="9"/>
  <c r="R230" i="9"/>
  <c r="R233" i="9" s="1"/>
  <c r="Q230" i="9"/>
  <c r="P230" i="9"/>
  <c r="P233" i="9" s="1"/>
  <c r="O230" i="9"/>
  <c r="N230" i="9"/>
  <c r="N233" i="9" s="1"/>
  <c r="M230" i="9"/>
  <c r="L230" i="9"/>
  <c r="L233" i="9" s="1"/>
  <c r="L236" i="9" s="1"/>
  <c r="K230" i="9"/>
  <c r="J230" i="9"/>
  <c r="J233" i="9" s="1"/>
  <c r="I230" i="9"/>
  <c r="H230" i="9"/>
  <c r="H233" i="9" s="1"/>
  <c r="H236" i="9" s="1"/>
  <c r="G230" i="9"/>
  <c r="F230" i="9"/>
  <c r="F233" i="9" s="1"/>
  <c r="E230" i="9"/>
  <c r="D230" i="9"/>
  <c r="D233" i="9" s="1"/>
  <c r="D236" i="9" s="1"/>
  <c r="D238" i="9" s="1"/>
  <c r="AC224" i="9"/>
  <c r="AB224" i="9"/>
  <c r="N224" i="9"/>
  <c r="M224" i="9"/>
  <c r="L224" i="9"/>
  <c r="AA224" i="9" s="1"/>
  <c r="K224" i="9"/>
  <c r="J224" i="9"/>
  <c r="I224" i="9"/>
  <c r="H224" i="9"/>
  <c r="G224" i="9"/>
  <c r="F224" i="9"/>
  <c r="E224" i="9"/>
  <c r="D224" i="9"/>
  <c r="AC223" i="9"/>
  <c r="AB223" i="9"/>
  <c r="AA223" i="9"/>
  <c r="Z223" i="9"/>
  <c r="Y223" i="9"/>
  <c r="AC222" i="9"/>
  <c r="AB222" i="9"/>
  <c r="AA222" i="9"/>
  <c r="Z222" i="9"/>
  <c r="Y222" i="9"/>
  <c r="S221" i="9"/>
  <c r="O221" i="9"/>
  <c r="K221" i="9"/>
  <c r="AC220" i="9"/>
  <c r="AB220" i="9"/>
  <c r="AA220" i="9"/>
  <c r="Z220" i="9"/>
  <c r="Y220" i="9"/>
  <c r="W219" i="9"/>
  <c r="V219" i="9"/>
  <c r="U219" i="9"/>
  <c r="T219" i="9"/>
  <c r="S219" i="9"/>
  <c r="R219" i="9"/>
  <c r="Q219" i="9"/>
  <c r="P219" i="9"/>
  <c r="O219" i="9"/>
  <c r="N219" i="9"/>
  <c r="M219" i="9"/>
  <c r="L219" i="9"/>
  <c r="K219" i="9"/>
  <c r="J219" i="9"/>
  <c r="I219" i="9"/>
  <c r="G219" i="9"/>
  <c r="F219" i="9"/>
  <c r="E219" i="9"/>
  <c r="D219" i="9"/>
  <c r="W218" i="9"/>
  <c r="V218" i="9"/>
  <c r="U218" i="9"/>
  <c r="T218" i="9"/>
  <c r="S218" i="9"/>
  <c r="R218" i="9"/>
  <c r="Q218" i="9"/>
  <c r="P218" i="9"/>
  <c r="O218" i="9"/>
  <c r="N218" i="9"/>
  <c r="M218" i="9"/>
  <c r="L218" i="9"/>
  <c r="K218" i="9"/>
  <c r="J218" i="9"/>
  <c r="I218" i="9"/>
  <c r="H218" i="9"/>
  <c r="G218" i="9"/>
  <c r="F218" i="9"/>
  <c r="E218" i="9"/>
  <c r="D218" i="9"/>
  <c r="AC211" i="9"/>
  <c r="AB211" i="9"/>
  <c r="AB219" i="9" s="1"/>
  <c r="AA211" i="9"/>
  <c r="AA219" i="9" s="1"/>
  <c r="Y211" i="9"/>
  <c r="Y219" i="9" s="1"/>
  <c r="H211" i="9"/>
  <c r="AC210" i="9"/>
  <c r="AB210" i="9"/>
  <c r="AA210" i="9"/>
  <c r="Z210" i="9"/>
  <c r="Y210" i="9"/>
  <c r="AC209" i="9"/>
  <c r="AC218" i="9" s="1"/>
  <c r="AB209" i="9"/>
  <c r="AB218" i="9" s="1"/>
  <c r="AA209" i="9"/>
  <c r="Z209" i="9"/>
  <c r="Z218" i="9" s="1"/>
  <c r="Y209" i="9"/>
  <c r="Y218" i="9" s="1"/>
  <c r="AB208" i="9"/>
  <c r="Y208" i="9"/>
  <c r="W208" i="9"/>
  <c r="V208" i="9"/>
  <c r="U208" i="9"/>
  <c r="T208" i="9"/>
  <c r="S208" i="9"/>
  <c r="R208" i="9"/>
  <c r="Q208" i="9"/>
  <c r="P208" i="9"/>
  <c r="O208" i="9"/>
  <c r="N208" i="9"/>
  <c r="M208" i="9"/>
  <c r="L208" i="9"/>
  <c r="K208" i="9"/>
  <c r="J208" i="9"/>
  <c r="I208" i="9"/>
  <c r="G208" i="9"/>
  <c r="F208" i="9"/>
  <c r="E208" i="9"/>
  <c r="D208" i="9"/>
  <c r="AC207" i="9"/>
  <c r="AB207" i="9"/>
  <c r="AA207" i="9"/>
  <c r="Z207" i="9"/>
  <c r="Y207" i="9"/>
  <c r="J206" i="9"/>
  <c r="I206" i="9"/>
  <c r="H206" i="9"/>
  <c r="G206" i="9"/>
  <c r="F206" i="9"/>
  <c r="E206" i="9"/>
  <c r="D206" i="9"/>
  <c r="W205" i="9"/>
  <c r="W221" i="9" s="1"/>
  <c r="V205" i="9"/>
  <c r="V221" i="9" s="1"/>
  <c r="U205" i="9"/>
  <c r="U221" i="9" s="1"/>
  <c r="T205" i="9"/>
  <c r="T221" i="9" s="1"/>
  <c r="S205" i="9"/>
  <c r="R205" i="9"/>
  <c r="R221" i="9" s="1"/>
  <c r="Q205" i="9"/>
  <c r="Q221" i="9" s="1"/>
  <c r="P205" i="9"/>
  <c r="P221" i="9" s="1"/>
  <c r="O205" i="9"/>
  <c r="N205" i="9"/>
  <c r="N221" i="9" s="1"/>
  <c r="M205" i="9"/>
  <c r="M221" i="9" s="1"/>
  <c r="L205" i="9"/>
  <c r="L221" i="9" s="1"/>
  <c r="K205" i="9"/>
  <c r="J205" i="9"/>
  <c r="J221" i="9" s="1"/>
  <c r="I205" i="9"/>
  <c r="I221" i="9" s="1"/>
  <c r="H205" i="9"/>
  <c r="H221" i="9" s="1"/>
  <c r="G205" i="9"/>
  <c r="G221" i="9" s="1"/>
  <c r="F205" i="9"/>
  <c r="F221" i="9" s="1"/>
  <c r="E205" i="9"/>
  <c r="E221" i="9" s="1"/>
  <c r="D205" i="9"/>
  <c r="D221" i="9" s="1"/>
  <c r="AC203" i="9"/>
  <c r="W203" i="9"/>
  <c r="V203" i="9"/>
  <c r="U203" i="9"/>
  <c r="T203" i="9"/>
  <c r="S203" i="9"/>
  <c r="R203" i="9"/>
  <c r="Q203" i="9"/>
  <c r="P203" i="9"/>
  <c r="O203" i="9"/>
  <c r="N203" i="9"/>
  <c r="M203" i="9"/>
  <c r="L203" i="9"/>
  <c r="K203" i="9"/>
  <c r="J203" i="9"/>
  <c r="I203" i="9"/>
  <c r="H203" i="9"/>
  <c r="G203" i="9"/>
  <c r="F203" i="9"/>
  <c r="E203" i="9"/>
  <c r="D203" i="9"/>
  <c r="W202" i="9"/>
  <c r="V202" i="9"/>
  <c r="U202" i="9"/>
  <c r="T202" i="9"/>
  <c r="S202" i="9"/>
  <c r="R202" i="9"/>
  <c r="Q202" i="9"/>
  <c r="P202" i="9"/>
  <c r="O202" i="9"/>
  <c r="N202" i="9"/>
  <c r="M202" i="9"/>
  <c r="L202" i="9"/>
  <c r="K202" i="9"/>
  <c r="J202" i="9"/>
  <c r="I202" i="9"/>
  <c r="H202" i="9"/>
  <c r="G202" i="9"/>
  <c r="F202" i="9"/>
  <c r="E202" i="9"/>
  <c r="D202" i="9"/>
  <c r="W201" i="9"/>
  <c r="V201" i="9"/>
  <c r="U201" i="9"/>
  <c r="T201" i="9"/>
  <c r="S201" i="9"/>
  <c r="R201" i="9"/>
  <c r="Q201" i="9"/>
  <c r="P201" i="9"/>
  <c r="O201" i="9"/>
  <c r="N201" i="9"/>
  <c r="M201" i="9"/>
  <c r="L201" i="9"/>
  <c r="K201" i="9"/>
  <c r="J201" i="9"/>
  <c r="I201" i="9"/>
  <c r="H201" i="9"/>
  <c r="G201" i="9"/>
  <c r="F201" i="9"/>
  <c r="E201" i="9"/>
  <c r="D201" i="9"/>
  <c r="W196" i="9"/>
  <c r="T196" i="9"/>
  <c r="S196" i="9"/>
  <c r="P196" i="9"/>
  <c r="O196" i="9"/>
  <c r="L196" i="9"/>
  <c r="K196" i="9"/>
  <c r="H196" i="9"/>
  <c r="G196" i="9"/>
  <c r="D196" i="9"/>
  <c r="W195" i="9"/>
  <c r="V195" i="9"/>
  <c r="U195" i="9"/>
  <c r="U196" i="9" s="1"/>
  <c r="T195" i="9"/>
  <c r="S195" i="9"/>
  <c r="R195" i="9"/>
  <c r="Q195" i="9"/>
  <c r="Q196" i="9" s="1"/>
  <c r="P195" i="9"/>
  <c r="O195" i="9"/>
  <c r="N195" i="9"/>
  <c r="M195" i="9"/>
  <c r="M196" i="9" s="1"/>
  <c r="L195" i="9"/>
  <c r="K195" i="9"/>
  <c r="J195" i="9"/>
  <c r="I195" i="9"/>
  <c r="I196" i="9" s="1"/>
  <c r="H195" i="9"/>
  <c r="G195" i="9"/>
  <c r="F195" i="9"/>
  <c r="E195" i="9"/>
  <c r="E196" i="9" s="1"/>
  <c r="D195" i="9"/>
  <c r="Y194" i="9"/>
  <c r="W194" i="9"/>
  <c r="V194" i="9"/>
  <c r="V196" i="9" s="1"/>
  <c r="U194" i="9"/>
  <c r="T194" i="9"/>
  <c r="S194" i="9"/>
  <c r="R194" i="9"/>
  <c r="R196" i="9" s="1"/>
  <c r="Q194" i="9"/>
  <c r="P194" i="9"/>
  <c r="O194" i="9"/>
  <c r="N194" i="9"/>
  <c r="N196" i="9" s="1"/>
  <c r="M194" i="9"/>
  <c r="L194" i="9"/>
  <c r="K194" i="9"/>
  <c r="J194" i="9"/>
  <c r="J196" i="9" s="1"/>
  <c r="I194" i="9"/>
  <c r="H194" i="9"/>
  <c r="G194" i="9"/>
  <c r="F194" i="9"/>
  <c r="F196" i="9" s="1"/>
  <c r="E194" i="9"/>
  <c r="AC191" i="9"/>
  <c r="M191" i="9"/>
  <c r="K191" i="9"/>
  <c r="J191" i="9"/>
  <c r="I191" i="9"/>
  <c r="G191" i="9"/>
  <c r="F191" i="9"/>
  <c r="E191" i="9"/>
  <c r="D191" i="9"/>
  <c r="Z190" i="9"/>
  <c r="Y190" i="9"/>
  <c r="W190" i="9"/>
  <c r="V190" i="9"/>
  <c r="R190" i="9"/>
  <c r="S190" i="9" s="1"/>
  <c r="Q190" i="9"/>
  <c r="N190" i="9"/>
  <c r="O190" i="9" s="1"/>
  <c r="AB189" i="9"/>
  <c r="AA189" i="9"/>
  <c r="O189" i="9" s="1"/>
  <c r="U189" i="9"/>
  <c r="V189" i="9" s="1"/>
  <c r="T189" i="9"/>
  <c r="R189" i="9"/>
  <c r="Q189" i="9"/>
  <c r="P189" i="9"/>
  <c r="L189" i="9"/>
  <c r="N189" i="9" s="1"/>
  <c r="AB188" i="9"/>
  <c r="AA188" i="9"/>
  <c r="Z188" i="9"/>
  <c r="Y188" i="9"/>
  <c r="T188" i="9"/>
  <c r="P188" i="9"/>
  <c r="L188" i="9"/>
  <c r="Z187" i="9"/>
  <c r="Y187" i="9"/>
  <c r="V187" i="9"/>
  <c r="W187" i="9" s="1"/>
  <c r="Q187" i="9"/>
  <c r="R187" i="9" s="1"/>
  <c r="S187" i="9" s="1"/>
  <c r="N187" i="9"/>
  <c r="O187" i="9" s="1"/>
  <c r="AB186" i="9"/>
  <c r="AA186" i="9"/>
  <c r="Y186" i="9"/>
  <c r="U186" i="9"/>
  <c r="T186" i="9"/>
  <c r="V186" i="9" s="1"/>
  <c r="P186" i="9"/>
  <c r="L186" i="9"/>
  <c r="H186" i="9"/>
  <c r="H191" i="9" s="1"/>
  <c r="Z185" i="9"/>
  <c r="Y185" i="9"/>
  <c r="W185" i="9"/>
  <c r="V185" i="9"/>
  <c r="R185" i="9"/>
  <c r="S185" i="9" s="1"/>
  <c r="N185" i="9"/>
  <c r="Z184" i="9"/>
  <c r="Y184" i="9"/>
  <c r="V184" i="9"/>
  <c r="W184" i="9" s="1"/>
  <c r="R184" i="9"/>
  <c r="S184" i="9" s="1"/>
  <c r="O184" i="9"/>
  <c r="N184" i="9"/>
  <c r="AA183" i="9"/>
  <c r="Z183" i="9"/>
  <c r="Y183" i="9"/>
  <c r="W183" i="9"/>
  <c r="V183" i="9"/>
  <c r="R183" i="9"/>
  <c r="O183" i="9"/>
  <c r="N183" i="9"/>
  <c r="AB181" i="9"/>
  <c r="AA181" i="9"/>
  <c r="T181" i="9"/>
  <c r="P181" i="9"/>
  <c r="L181" i="9"/>
  <c r="K181" i="9"/>
  <c r="J181" i="9"/>
  <c r="I181" i="9"/>
  <c r="H181" i="9"/>
  <c r="G181" i="9"/>
  <c r="F181" i="9"/>
  <c r="E181" i="9"/>
  <c r="D181" i="9"/>
  <c r="Z180" i="9"/>
  <c r="Y180" i="9"/>
  <c r="V180" i="9"/>
  <c r="W180" i="9" s="1"/>
  <c r="R180" i="9"/>
  <c r="Q180" i="9"/>
  <c r="S180" i="9" s="1"/>
  <c r="O180" i="9"/>
  <c r="M180" i="9"/>
  <c r="N180" i="9" s="1"/>
  <c r="AC179" i="9"/>
  <c r="AC181" i="9" s="1"/>
  <c r="Z179" i="9"/>
  <c r="Y179" i="9"/>
  <c r="U179" i="9"/>
  <c r="V179" i="9" s="1"/>
  <c r="R179" i="9"/>
  <c r="S179" i="9" s="1"/>
  <c r="Q179" i="9"/>
  <c r="M179" i="9"/>
  <c r="N179" i="9" s="1"/>
  <c r="Z178" i="9"/>
  <c r="Y178" i="9"/>
  <c r="V178" i="9"/>
  <c r="W178" i="9" s="1"/>
  <c r="U178" i="9"/>
  <c r="S178" i="9"/>
  <c r="Q178" i="9"/>
  <c r="R178" i="9" s="1"/>
  <c r="N178" i="9"/>
  <c r="M178" i="9"/>
  <c r="O178" i="9" s="1"/>
  <c r="Z177" i="9"/>
  <c r="Y177" i="9"/>
  <c r="U177" i="9"/>
  <c r="V177" i="9" s="1"/>
  <c r="R177" i="9"/>
  <c r="Q177" i="9"/>
  <c r="M177" i="9"/>
  <c r="N177" i="9" s="1"/>
  <c r="Z176" i="9"/>
  <c r="Y176" i="9"/>
  <c r="Y181" i="9" s="1"/>
  <c r="V176" i="9"/>
  <c r="V181" i="9" s="1"/>
  <c r="U176" i="9"/>
  <c r="U181" i="9" s="1"/>
  <c r="Q176" i="9"/>
  <c r="N176" i="9"/>
  <c r="O176" i="9" s="1"/>
  <c r="M176" i="9"/>
  <c r="M181" i="9" s="1"/>
  <c r="Z173" i="9"/>
  <c r="Y173" i="9"/>
  <c r="V173" i="9"/>
  <c r="W173" i="9" s="1"/>
  <c r="U173" i="9"/>
  <c r="S173" i="9"/>
  <c r="Q173" i="9"/>
  <c r="R173" i="9" s="1"/>
  <c r="N173" i="9"/>
  <c r="M173" i="9"/>
  <c r="O173" i="9" s="1"/>
  <c r="Z172" i="9"/>
  <c r="Y172" i="9"/>
  <c r="U172" i="9"/>
  <c r="R172" i="9"/>
  <c r="Q172" i="9"/>
  <c r="M172" i="9"/>
  <c r="Z171" i="9"/>
  <c r="Y171" i="9"/>
  <c r="V171" i="9"/>
  <c r="U171" i="9"/>
  <c r="W171" i="9" s="1"/>
  <c r="S171" i="9"/>
  <c r="Q171" i="9"/>
  <c r="R171" i="9" s="1"/>
  <c r="N171" i="9"/>
  <c r="O171" i="9" s="1"/>
  <c r="M171" i="9"/>
  <c r="Z170" i="9"/>
  <c r="Y170" i="9"/>
  <c r="U170" i="9"/>
  <c r="R170" i="9"/>
  <c r="S170" i="9" s="1"/>
  <c r="Q170" i="9"/>
  <c r="M170" i="9"/>
  <c r="Z169" i="9"/>
  <c r="Y169" i="9"/>
  <c r="V169" i="9"/>
  <c r="W169" i="9" s="1"/>
  <c r="U169" i="9"/>
  <c r="S169" i="9"/>
  <c r="R169" i="9"/>
  <c r="O169" i="9"/>
  <c r="N169" i="9"/>
  <c r="AB168" i="9"/>
  <c r="S168" i="9" s="1"/>
  <c r="Z168" i="9"/>
  <c r="Y168" i="9"/>
  <c r="T168" i="9"/>
  <c r="R168" i="9"/>
  <c r="Q168" i="9"/>
  <c r="O168" i="9"/>
  <c r="M168" i="9"/>
  <c r="N168" i="9" s="1"/>
  <c r="Z167" i="9"/>
  <c r="Y167" i="9"/>
  <c r="V167" i="9"/>
  <c r="U167" i="9"/>
  <c r="Q167" i="9"/>
  <c r="R167" i="9" s="1"/>
  <c r="N167" i="9"/>
  <c r="O167" i="9" s="1"/>
  <c r="M167" i="9"/>
  <c r="Z166" i="9"/>
  <c r="Y166" i="9"/>
  <c r="W166" i="9"/>
  <c r="U166" i="9"/>
  <c r="V166" i="9" s="1"/>
  <c r="R166" i="9"/>
  <c r="S166" i="9" s="1"/>
  <c r="Q166" i="9"/>
  <c r="O166" i="9"/>
  <c r="M166" i="9"/>
  <c r="N166" i="9" s="1"/>
  <c r="Z165" i="9"/>
  <c r="Y165" i="9"/>
  <c r="V165" i="9"/>
  <c r="W165" i="9" s="1"/>
  <c r="U165" i="9"/>
  <c r="Q165" i="9"/>
  <c r="R165" i="9" s="1"/>
  <c r="N165" i="9"/>
  <c r="M165" i="9"/>
  <c r="Z163" i="9"/>
  <c r="Y163" i="9"/>
  <c r="W163" i="9"/>
  <c r="V163" i="9"/>
  <c r="U163" i="9"/>
  <c r="Q163" i="9"/>
  <c r="O163" i="9"/>
  <c r="M163" i="9"/>
  <c r="N163" i="9" s="1"/>
  <c r="Z162" i="9"/>
  <c r="Y162" i="9"/>
  <c r="V162" i="9"/>
  <c r="U162" i="9"/>
  <c r="Q162" i="9"/>
  <c r="O162" i="9"/>
  <c r="N162" i="9"/>
  <c r="M162" i="9"/>
  <c r="Z161" i="9"/>
  <c r="Y161" i="9"/>
  <c r="U161" i="9"/>
  <c r="V161" i="9" s="1"/>
  <c r="S161" i="9"/>
  <c r="R161" i="9"/>
  <c r="Q161" i="9"/>
  <c r="N161" i="9"/>
  <c r="O161" i="9" s="1"/>
  <c r="M161" i="9"/>
  <c r="Z160" i="9"/>
  <c r="Y160" i="9"/>
  <c r="W160" i="9"/>
  <c r="V160" i="9"/>
  <c r="U160" i="9"/>
  <c r="R160" i="9"/>
  <c r="S160" i="9" s="1"/>
  <c r="Q160" i="9"/>
  <c r="M160" i="9"/>
  <c r="Z159" i="9"/>
  <c r="Y159" i="9"/>
  <c r="U159" i="9"/>
  <c r="R159" i="9"/>
  <c r="Q159" i="9"/>
  <c r="M159" i="9"/>
  <c r="Z158" i="9"/>
  <c r="Y158" i="9"/>
  <c r="U158" i="9"/>
  <c r="S158" i="9"/>
  <c r="Q158" i="9"/>
  <c r="R158" i="9" s="1"/>
  <c r="N158" i="9"/>
  <c r="O158" i="9" s="1"/>
  <c r="M158" i="9"/>
  <c r="Z157" i="9"/>
  <c r="Y157" i="9"/>
  <c r="W157" i="9"/>
  <c r="U157" i="9"/>
  <c r="V157" i="9" s="1"/>
  <c r="R157" i="9"/>
  <c r="S157" i="9" s="1"/>
  <c r="Q157" i="9"/>
  <c r="M157" i="9"/>
  <c r="Z155" i="9"/>
  <c r="Y155" i="9"/>
  <c r="V155" i="9"/>
  <c r="W155" i="9" s="1"/>
  <c r="U155" i="9"/>
  <c r="Q155" i="9"/>
  <c r="N155" i="9"/>
  <c r="M155" i="9"/>
  <c r="AB153" i="9"/>
  <c r="Z153" i="9"/>
  <c r="Y153" i="9"/>
  <c r="T153" i="9"/>
  <c r="U153" i="9" s="1"/>
  <c r="P153" i="9"/>
  <c r="O153" i="9"/>
  <c r="N153" i="9"/>
  <c r="Z152" i="9"/>
  <c r="Y152" i="9"/>
  <c r="W152" i="9"/>
  <c r="V152" i="9"/>
  <c r="U152" i="9"/>
  <c r="R152" i="9"/>
  <c r="S152" i="9" s="1"/>
  <c r="Q152" i="9"/>
  <c r="M152" i="9"/>
  <c r="Z151" i="9"/>
  <c r="Y151" i="9"/>
  <c r="Y206" i="9" s="1"/>
  <c r="V151" i="9"/>
  <c r="W151" i="9" s="1"/>
  <c r="U151" i="9"/>
  <c r="Q151" i="9"/>
  <c r="M151" i="9"/>
  <c r="Z150" i="9"/>
  <c r="Y150" i="9"/>
  <c r="U150" i="9"/>
  <c r="Q150" i="9"/>
  <c r="O150" i="9"/>
  <c r="N150" i="9"/>
  <c r="M150" i="9"/>
  <c r="Z149" i="9"/>
  <c r="Y149" i="9"/>
  <c r="U149" i="9"/>
  <c r="S149" i="9"/>
  <c r="R149" i="9"/>
  <c r="Q149" i="9"/>
  <c r="N149" i="9"/>
  <c r="O149" i="9" s="1"/>
  <c r="M149" i="9"/>
  <c r="Z148" i="9"/>
  <c r="Y148" i="9"/>
  <c r="W148" i="9"/>
  <c r="V148" i="9"/>
  <c r="U148" i="9"/>
  <c r="R148" i="9"/>
  <c r="S148" i="9" s="1"/>
  <c r="Q148" i="9"/>
  <c r="M148" i="9"/>
  <c r="Z147" i="9"/>
  <c r="Y147" i="9"/>
  <c r="V147" i="9"/>
  <c r="W147" i="9" s="1"/>
  <c r="U147" i="9"/>
  <c r="Q147" i="9"/>
  <c r="M147" i="9"/>
  <c r="Z146" i="9"/>
  <c r="Y146" i="9"/>
  <c r="V146" i="9"/>
  <c r="W146" i="9" s="1"/>
  <c r="S146" i="9"/>
  <c r="R146" i="9"/>
  <c r="Q146" i="9"/>
  <c r="N146" i="9"/>
  <c r="O146" i="9" s="1"/>
  <c r="M146" i="9"/>
  <c r="Z145" i="9"/>
  <c r="Y145" i="9"/>
  <c r="W145" i="9"/>
  <c r="V145" i="9"/>
  <c r="U145" i="9"/>
  <c r="R145" i="9"/>
  <c r="S145" i="9" s="1"/>
  <c r="Q145" i="9"/>
  <c r="M145" i="9"/>
  <c r="Z144" i="9"/>
  <c r="Y144" i="9"/>
  <c r="V144" i="9"/>
  <c r="W144" i="9" s="1"/>
  <c r="U144" i="9"/>
  <c r="Q144" i="9"/>
  <c r="M144" i="9"/>
  <c r="Z143" i="9"/>
  <c r="Y143" i="9"/>
  <c r="U143" i="9"/>
  <c r="Q143" i="9"/>
  <c r="O143" i="9"/>
  <c r="N143" i="9"/>
  <c r="M143" i="9"/>
  <c r="Z142" i="9"/>
  <c r="Y142" i="9"/>
  <c r="U142" i="9"/>
  <c r="S142" i="9"/>
  <c r="R142" i="9"/>
  <c r="Q142" i="9"/>
  <c r="N142" i="9"/>
  <c r="O142" i="9" s="1"/>
  <c r="M142" i="9"/>
  <c r="Z141" i="9"/>
  <c r="Y141" i="9"/>
  <c r="W141" i="9"/>
  <c r="V141" i="9"/>
  <c r="U141" i="9"/>
  <c r="R141" i="9"/>
  <c r="S141" i="9" s="1"/>
  <c r="Q141" i="9"/>
  <c r="M141" i="9"/>
  <c r="Z140" i="9"/>
  <c r="Y140" i="9"/>
  <c r="V140" i="9"/>
  <c r="W140" i="9" s="1"/>
  <c r="U140" i="9"/>
  <c r="R140" i="9"/>
  <c r="Q140" i="9"/>
  <c r="M140" i="9"/>
  <c r="Z139" i="9"/>
  <c r="Y139" i="9"/>
  <c r="U139" i="9"/>
  <c r="Q139" i="9"/>
  <c r="O139" i="9"/>
  <c r="N139" i="9"/>
  <c r="M139" i="9"/>
  <c r="Z138" i="9"/>
  <c r="Y138" i="9"/>
  <c r="U138" i="9"/>
  <c r="S138" i="9"/>
  <c r="R138" i="9"/>
  <c r="Q138" i="9"/>
  <c r="N138" i="9"/>
  <c r="O138" i="9" s="1"/>
  <c r="M138" i="9"/>
  <c r="Z137" i="9"/>
  <c r="Y137" i="9"/>
  <c r="W137" i="9"/>
  <c r="V137" i="9"/>
  <c r="U137" i="9"/>
  <c r="R137" i="9"/>
  <c r="S137" i="9" s="1"/>
  <c r="Q137" i="9"/>
  <c r="N137" i="9"/>
  <c r="M137" i="9"/>
  <c r="Z136" i="9"/>
  <c r="Y136" i="9"/>
  <c r="W136" i="9"/>
  <c r="V136" i="9"/>
  <c r="U136" i="9"/>
  <c r="Q136" i="9"/>
  <c r="R136" i="9" s="1"/>
  <c r="M136" i="9"/>
  <c r="AB135" i="9"/>
  <c r="AA135" i="9"/>
  <c r="Z135" i="9"/>
  <c r="Y135" i="9"/>
  <c r="T135" i="9"/>
  <c r="P135" i="9"/>
  <c r="O135" i="9"/>
  <c r="N135" i="9"/>
  <c r="M135" i="9"/>
  <c r="Z134" i="9"/>
  <c r="Y134" i="9"/>
  <c r="W134" i="9"/>
  <c r="S134" i="9"/>
  <c r="N134" i="9"/>
  <c r="O134" i="9" s="1"/>
  <c r="U133" i="9"/>
  <c r="S133" i="9"/>
  <c r="R133" i="9"/>
  <c r="Q133" i="9"/>
  <c r="N133" i="9"/>
  <c r="O133" i="9" s="1"/>
  <c r="M133" i="9"/>
  <c r="AB132" i="9"/>
  <c r="AA132" i="9"/>
  <c r="Z132" i="9"/>
  <c r="Y132" i="9"/>
  <c r="U132" i="9"/>
  <c r="V132" i="9" s="1"/>
  <c r="T132" i="9"/>
  <c r="Q132" i="9"/>
  <c r="R132" i="9" s="1"/>
  <c r="P132" i="9"/>
  <c r="N132" i="9"/>
  <c r="M132" i="9"/>
  <c r="L132" i="9"/>
  <c r="AC127" i="9"/>
  <c r="AB127" i="9"/>
  <c r="AA127" i="9"/>
  <c r="Z127" i="9"/>
  <c r="Y127" i="9"/>
  <c r="AC126" i="9"/>
  <c r="AB126" i="9"/>
  <c r="AA126" i="9"/>
  <c r="Z126" i="9"/>
  <c r="Y126" i="9"/>
  <c r="AC125" i="9"/>
  <c r="AB125" i="9"/>
  <c r="AA125" i="9"/>
  <c r="AA123" i="9" s="1"/>
  <c r="Z125" i="9"/>
  <c r="Y125" i="9"/>
  <c r="N125" i="9"/>
  <c r="K125" i="9"/>
  <c r="K123" i="9" s="1"/>
  <c r="AC124" i="9"/>
  <c r="AC123" i="9" s="1"/>
  <c r="AB124" i="9"/>
  <c r="AB123" i="9" s="1"/>
  <c r="AA124" i="9"/>
  <c r="Z124" i="9"/>
  <c r="Z123" i="9" s="1"/>
  <c r="Z120" i="9" s="1"/>
  <c r="Y124" i="9"/>
  <c r="Y123" i="9" s="1"/>
  <c r="W123" i="9"/>
  <c r="V123" i="9"/>
  <c r="V120" i="9" s="1"/>
  <c r="U123" i="9"/>
  <c r="U120" i="9" s="1"/>
  <c r="T123" i="9"/>
  <c r="T120" i="9" s="1"/>
  <c r="S123" i="9"/>
  <c r="R123" i="9"/>
  <c r="R120" i="9" s="1"/>
  <c r="Q123" i="9"/>
  <c r="Q120" i="9" s="1"/>
  <c r="P123" i="9"/>
  <c r="P120" i="9" s="1"/>
  <c r="O123" i="9"/>
  <c r="N123" i="9"/>
  <c r="N120" i="9" s="1"/>
  <c r="M123" i="9"/>
  <c r="L123" i="9"/>
  <c r="J123" i="9"/>
  <c r="I123" i="9"/>
  <c r="I120" i="9" s="1"/>
  <c r="H123" i="9"/>
  <c r="H120" i="9" s="1"/>
  <c r="G123" i="9"/>
  <c r="F123" i="9"/>
  <c r="E123" i="9"/>
  <c r="E120" i="9" s="1"/>
  <c r="E97" i="9" s="1"/>
  <c r="D123" i="9"/>
  <c r="D120" i="9" s="1"/>
  <c r="AC122" i="9"/>
  <c r="AB122" i="9"/>
  <c r="AA122" i="9"/>
  <c r="Z122" i="9"/>
  <c r="Y122" i="9"/>
  <c r="AC121" i="9"/>
  <c r="AB121" i="9"/>
  <c r="AB120" i="9" s="1"/>
  <c r="AA121" i="9"/>
  <c r="Z121" i="9"/>
  <c r="Y121" i="9"/>
  <c r="M121" i="9"/>
  <c r="M120" i="9" s="1"/>
  <c r="M97" i="9" s="1"/>
  <c r="L121" i="9"/>
  <c r="L120" i="9" s="1"/>
  <c r="W120" i="9"/>
  <c r="S120" i="9"/>
  <c r="O120" i="9"/>
  <c r="K120" i="9"/>
  <c r="J120" i="9"/>
  <c r="G120" i="9"/>
  <c r="F120" i="9"/>
  <c r="AC119" i="9"/>
  <c r="AB119" i="9"/>
  <c r="AA119" i="9"/>
  <c r="Z119" i="9"/>
  <c r="Y119" i="9"/>
  <c r="AC118" i="9"/>
  <c r="AB118" i="9"/>
  <c r="AA118" i="9"/>
  <c r="AC117" i="9"/>
  <c r="AB117" i="9"/>
  <c r="AA117" i="9"/>
  <c r="Z117" i="9"/>
  <c r="Y117" i="9"/>
  <c r="AC116" i="9"/>
  <c r="AB116" i="9"/>
  <c r="AA116" i="9"/>
  <c r="Z116" i="9"/>
  <c r="Y116" i="9"/>
  <c r="AC115" i="9"/>
  <c r="AB115" i="9"/>
  <c r="AA115" i="9"/>
  <c r="AA230" i="9" s="1"/>
  <c r="Z115" i="9"/>
  <c r="Z230" i="9" s="1"/>
  <c r="Y115" i="9"/>
  <c r="Y230" i="9" s="1"/>
  <c r="AC114" i="9"/>
  <c r="AB114" i="9"/>
  <c r="AA114" i="9"/>
  <c r="Z114" i="9"/>
  <c r="Y114" i="9"/>
  <c r="AC113" i="9"/>
  <c r="AB113" i="9"/>
  <c r="AA113" i="9"/>
  <c r="Z113" i="9"/>
  <c r="Y113" i="9"/>
  <c r="AC112" i="9"/>
  <c r="AB112" i="9"/>
  <c r="AA112" i="9"/>
  <c r="Z112" i="9"/>
  <c r="Y112" i="9"/>
  <c r="AC111" i="9"/>
  <c r="AB111" i="9"/>
  <c r="AA111" i="9"/>
  <c r="Z111" i="9"/>
  <c r="Z110" i="9" s="1"/>
  <c r="Y111" i="9"/>
  <c r="Y110" i="9" s="1"/>
  <c r="AA110" i="9"/>
  <c r="W110" i="9"/>
  <c r="V110" i="9"/>
  <c r="U110" i="9"/>
  <c r="T110" i="9"/>
  <c r="AC110" i="9" s="1"/>
  <c r="S110" i="9"/>
  <c r="AB110" i="9" s="1"/>
  <c r="R110" i="9"/>
  <c r="Q110" i="9"/>
  <c r="P110" i="9"/>
  <c r="O110" i="9"/>
  <c r="N110" i="9"/>
  <c r="M110" i="9"/>
  <c r="L110" i="9"/>
  <c r="K110" i="9"/>
  <c r="J110" i="9"/>
  <c r="J97" i="9" s="1"/>
  <c r="I110" i="9"/>
  <c r="H110" i="9"/>
  <c r="G110" i="9"/>
  <c r="F110" i="9"/>
  <c r="F97" i="9" s="1"/>
  <c r="E110" i="9"/>
  <c r="D110" i="9"/>
  <c r="AC109" i="9"/>
  <c r="AB109" i="9"/>
  <c r="AA109" i="9"/>
  <c r="Z109" i="9"/>
  <c r="Y109" i="9"/>
  <c r="AC108" i="9"/>
  <c r="AB108" i="9"/>
  <c r="AA108" i="9"/>
  <c r="AC107" i="9"/>
  <c r="AB107" i="9"/>
  <c r="AA107" i="9"/>
  <c r="Z107" i="9"/>
  <c r="Y107" i="9"/>
  <c r="AC106" i="9"/>
  <c r="AB106" i="9"/>
  <c r="AA106" i="9"/>
  <c r="Z106" i="9"/>
  <c r="Y106" i="9"/>
  <c r="AC105" i="9"/>
  <c r="AB105" i="9"/>
  <c r="AA105" i="9"/>
  <c r="Z105" i="9"/>
  <c r="Y105" i="9"/>
  <c r="AC104" i="9"/>
  <c r="AB104" i="9"/>
  <c r="AB231" i="9" s="1"/>
  <c r="AA104" i="9"/>
  <c r="AA231" i="9" s="1"/>
  <c r="Z104" i="9"/>
  <c r="Z231" i="9" s="1"/>
  <c r="Y104" i="9"/>
  <c r="AC103" i="9"/>
  <c r="AC232" i="9" s="1"/>
  <c r="AB103" i="9"/>
  <c r="AB232" i="9" s="1"/>
  <c r="AA103" i="9"/>
  <c r="AA232" i="9" s="1"/>
  <c r="Z103" i="9"/>
  <c r="Y103" i="9"/>
  <c r="Y232" i="9" s="1"/>
  <c r="AC102" i="9"/>
  <c r="AB102" i="9"/>
  <c r="AA102" i="9"/>
  <c r="Z102" i="9"/>
  <c r="Y102" i="9"/>
  <c r="AC101" i="9"/>
  <c r="AB101" i="9"/>
  <c r="AA101" i="9"/>
  <c r="Z101" i="9"/>
  <c r="Z98" i="9" s="1"/>
  <c r="Y101" i="9"/>
  <c r="AC100" i="9"/>
  <c r="AB100" i="9"/>
  <c r="AA100" i="9"/>
  <c r="Z100" i="9"/>
  <c r="Y100" i="9"/>
  <c r="AC99" i="9"/>
  <c r="AB99" i="9"/>
  <c r="AB98" i="9" s="1"/>
  <c r="AA99" i="9"/>
  <c r="Z99" i="9"/>
  <c r="Y99" i="9"/>
  <c r="Y98" i="9" s="1"/>
  <c r="AC98" i="9"/>
  <c r="W98" i="9"/>
  <c r="V98" i="9"/>
  <c r="U98" i="9"/>
  <c r="T98" i="9"/>
  <c r="T97" i="9" s="1"/>
  <c r="S98" i="9"/>
  <c r="S97" i="9" s="1"/>
  <c r="R98" i="9"/>
  <c r="Q98" i="9"/>
  <c r="P98" i="9"/>
  <c r="P97" i="9" s="1"/>
  <c r="O98" i="9"/>
  <c r="N98" i="9"/>
  <c r="M98" i="9"/>
  <c r="L98" i="9"/>
  <c r="L97" i="9" s="1"/>
  <c r="K98" i="9"/>
  <c r="K97" i="9" s="1"/>
  <c r="J98" i="9"/>
  <c r="I98" i="9"/>
  <c r="H98" i="9"/>
  <c r="H97" i="9" s="1"/>
  <c r="G98" i="9"/>
  <c r="F98" i="9"/>
  <c r="E98" i="9"/>
  <c r="D98" i="9"/>
  <c r="D97" i="9" s="1"/>
  <c r="U97" i="9"/>
  <c r="Q97" i="9"/>
  <c r="I97" i="9"/>
  <c r="AC95" i="9"/>
  <c r="AB95" i="9"/>
  <c r="AA95" i="9"/>
  <c r="Z95" i="9"/>
  <c r="Y95" i="9"/>
  <c r="AC94" i="9"/>
  <c r="AB94" i="9"/>
  <c r="AA94" i="9"/>
  <c r="AC93" i="9"/>
  <c r="AB93" i="9"/>
  <c r="AA93" i="9"/>
  <c r="Z93" i="9"/>
  <c r="Y93" i="9"/>
  <c r="AC92" i="9"/>
  <c r="AB92" i="9"/>
  <c r="AA92" i="9"/>
  <c r="Z92" i="9"/>
  <c r="Y92" i="9"/>
  <c r="AC91" i="9"/>
  <c r="AB91" i="9"/>
  <c r="AA91" i="9"/>
  <c r="Z91" i="9"/>
  <c r="Y91" i="9"/>
  <c r="AC90" i="9"/>
  <c r="AB90" i="9"/>
  <c r="AA90" i="9"/>
  <c r="AA86" i="9" s="1"/>
  <c r="Z90" i="9"/>
  <c r="Y90" i="9"/>
  <c r="AC89" i="9"/>
  <c r="AB89" i="9"/>
  <c r="AA89" i="9"/>
  <c r="Z89" i="9"/>
  <c r="Y89" i="9"/>
  <c r="AC88" i="9"/>
  <c r="AB88" i="9"/>
  <c r="AA88" i="9"/>
  <c r="Z88" i="9"/>
  <c r="Y88" i="9"/>
  <c r="AC87" i="9"/>
  <c r="AB87" i="9"/>
  <c r="AA87" i="9"/>
  <c r="Z87" i="9"/>
  <c r="Z86" i="9" s="1"/>
  <c r="Y87" i="9"/>
  <c r="W86" i="9"/>
  <c r="V86" i="9"/>
  <c r="U86" i="9"/>
  <c r="T86" i="9"/>
  <c r="AC86" i="9" s="1"/>
  <c r="S86" i="9"/>
  <c r="AB86" i="9" s="1"/>
  <c r="R86" i="9"/>
  <c r="Q86" i="9"/>
  <c r="P86" i="9"/>
  <c r="O86" i="9"/>
  <c r="N86" i="9"/>
  <c r="M86" i="9"/>
  <c r="L86" i="9"/>
  <c r="K86" i="9"/>
  <c r="J86" i="9"/>
  <c r="I86" i="9"/>
  <c r="H86" i="9"/>
  <c r="G86" i="9"/>
  <c r="F86" i="9"/>
  <c r="E86" i="9"/>
  <c r="D86" i="9"/>
  <c r="AC85" i="9"/>
  <c r="AB85" i="9"/>
  <c r="AA85" i="9"/>
  <c r="Z85" i="9"/>
  <c r="Y85" i="9"/>
  <c r="AC84" i="9"/>
  <c r="AB84" i="9"/>
  <c r="AA84" i="9"/>
  <c r="Z84" i="9"/>
  <c r="Y84" i="9"/>
  <c r="AC83" i="9"/>
  <c r="AB83" i="9"/>
  <c r="AA83" i="9"/>
  <c r="Z83" i="9"/>
  <c r="Y83" i="9"/>
  <c r="AC82" i="9"/>
  <c r="AB82" i="9"/>
  <c r="AA82" i="9"/>
  <c r="Z82" i="9"/>
  <c r="Y82" i="9"/>
  <c r="AC81" i="9"/>
  <c r="AB81" i="9"/>
  <c r="AA81" i="9"/>
  <c r="AA78" i="9" s="1"/>
  <c r="AA77" i="9" s="1"/>
  <c r="Z81" i="9"/>
  <c r="Y81" i="9"/>
  <c r="AC80" i="9"/>
  <c r="AC235" i="9" s="1"/>
  <c r="AB80" i="9"/>
  <c r="AB235" i="9" s="1"/>
  <c r="AA80" i="9"/>
  <c r="AA235" i="9" s="1"/>
  <c r="Z80" i="9"/>
  <c r="Z235" i="9" s="1"/>
  <c r="Y80" i="9"/>
  <c r="Y235" i="9" s="1"/>
  <c r="AC79" i="9"/>
  <c r="AB79" i="9"/>
  <c r="AA79" i="9"/>
  <c r="Z79" i="9"/>
  <c r="Y79" i="9"/>
  <c r="Z78" i="9"/>
  <c r="W78" i="9"/>
  <c r="V78" i="9"/>
  <c r="U78" i="9"/>
  <c r="T78" i="9"/>
  <c r="T77" i="9" s="1"/>
  <c r="S78" i="9"/>
  <c r="R78" i="9"/>
  <c r="Q78" i="9"/>
  <c r="P78" i="9"/>
  <c r="P77" i="9" s="1"/>
  <c r="O78" i="9"/>
  <c r="N78" i="9"/>
  <c r="M78" i="9"/>
  <c r="L78" i="9"/>
  <c r="L77" i="9" s="1"/>
  <c r="K78" i="9"/>
  <c r="J78" i="9"/>
  <c r="I78" i="9"/>
  <c r="H78" i="9"/>
  <c r="H77" i="9" s="1"/>
  <c r="G78" i="9"/>
  <c r="F78" i="9"/>
  <c r="E78" i="9"/>
  <c r="D78" i="9"/>
  <c r="D77" i="9" s="1"/>
  <c r="W77" i="9"/>
  <c r="V77" i="9"/>
  <c r="S77" i="9"/>
  <c r="R77" i="9"/>
  <c r="O77" i="9"/>
  <c r="N77" i="9"/>
  <c r="K77" i="9"/>
  <c r="J77" i="9"/>
  <c r="G77" i="9"/>
  <c r="F77" i="9"/>
  <c r="AC71" i="9"/>
  <c r="AB71" i="9"/>
  <c r="AA71" i="9"/>
  <c r="Z71" i="9"/>
  <c r="Z224" i="9" s="1"/>
  <c r="Y71" i="9"/>
  <c r="Y224" i="9" s="1"/>
  <c r="AC70" i="9"/>
  <c r="AB70" i="9"/>
  <c r="AB201" i="9" s="1"/>
  <c r="AA70" i="9"/>
  <c r="AA201" i="9" s="1"/>
  <c r="Z70" i="9"/>
  <c r="Y70" i="9"/>
  <c r="AC68" i="9"/>
  <c r="AB68" i="9"/>
  <c r="AA68" i="9"/>
  <c r="Z68" i="9"/>
  <c r="Y68" i="9"/>
  <c r="AC67" i="9"/>
  <c r="AB67" i="9"/>
  <c r="AA67" i="9"/>
  <c r="AA202" i="9" s="1"/>
  <c r="Z67" i="9"/>
  <c r="Z202" i="9" s="1"/>
  <c r="Y67" i="9"/>
  <c r="AC65" i="9"/>
  <c r="AB65" i="9"/>
  <c r="AA65" i="9"/>
  <c r="Z65" i="9"/>
  <c r="Y65" i="9"/>
  <c r="AC64" i="9"/>
  <c r="AB64" i="9"/>
  <c r="AA64" i="9"/>
  <c r="Z64" i="9"/>
  <c r="Y64" i="9"/>
  <c r="AC63" i="9"/>
  <c r="AB63" i="9"/>
  <c r="AA63" i="9"/>
  <c r="Z63" i="9"/>
  <c r="Y63" i="9"/>
  <c r="AA62" i="9"/>
  <c r="Z62" i="9"/>
  <c r="Y62" i="9"/>
  <c r="W62" i="9"/>
  <c r="V62" i="9"/>
  <c r="V53" i="9" s="1"/>
  <c r="U62" i="9"/>
  <c r="T62" i="9"/>
  <c r="R62" i="9"/>
  <c r="R53" i="9" s="1"/>
  <c r="R66" i="9" s="1"/>
  <c r="R69" i="9" s="1"/>
  <c r="R72" i="9" s="1"/>
  <c r="Q62" i="9"/>
  <c r="AB62" i="9" s="1"/>
  <c r="O62" i="9"/>
  <c r="AC61" i="9"/>
  <c r="AB61" i="9"/>
  <c r="AA61" i="9"/>
  <c r="AC60" i="9"/>
  <c r="AC205" i="9" s="1"/>
  <c r="AB60" i="9"/>
  <c r="AB205" i="9" s="1"/>
  <c r="AA60" i="9"/>
  <c r="AA205" i="9" s="1"/>
  <c r="Z60" i="9"/>
  <c r="Z205" i="9" s="1"/>
  <c r="Z221" i="9" s="1"/>
  <c r="Y60" i="9"/>
  <c r="Y205" i="9" s="1"/>
  <c r="Y221" i="9" s="1"/>
  <c r="AC59" i="9"/>
  <c r="AB59" i="9"/>
  <c r="AA59" i="9"/>
  <c r="Z59" i="9"/>
  <c r="Y59" i="9"/>
  <c r="AC58" i="9"/>
  <c r="AB58" i="9"/>
  <c r="AA58" i="9"/>
  <c r="Z58" i="9"/>
  <c r="Y58" i="9"/>
  <c r="AC57" i="9"/>
  <c r="AB57" i="9"/>
  <c r="AA57" i="9"/>
  <c r="Z57" i="9"/>
  <c r="Y57" i="9"/>
  <c r="Y53" i="9" s="1"/>
  <c r="AC56" i="9"/>
  <c r="AB56" i="9"/>
  <c r="AA56" i="9"/>
  <c r="Z56" i="9"/>
  <c r="Z53" i="9" s="1"/>
  <c r="Y56" i="9"/>
  <c r="AC55" i="9"/>
  <c r="AB55" i="9"/>
  <c r="AA55" i="9"/>
  <c r="Z55" i="9"/>
  <c r="Y55" i="9"/>
  <c r="AC54" i="9"/>
  <c r="AB54" i="9"/>
  <c r="AB53" i="9" s="1"/>
  <c r="AA54" i="9"/>
  <c r="Z54" i="9"/>
  <c r="Y54" i="9"/>
  <c r="W53" i="9"/>
  <c r="W66" i="9" s="1"/>
  <c r="W69" i="9" s="1"/>
  <c r="W72" i="9" s="1"/>
  <c r="U53" i="9"/>
  <c r="T53" i="9"/>
  <c r="S53" i="9"/>
  <c r="Q53" i="9"/>
  <c r="P53" i="9"/>
  <c r="O53" i="9"/>
  <c r="O66" i="9" s="1"/>
  <c r="O69" i="9" s="1"/>
  <c r="O72" i="9" s="1"/>
  <c r="N53" i="9"/>
  <c r="M53" i="9"/>
  <c r="L53" i="9"/>
  <c r="K53" i="9"/>
  <c r="J53" i="9"/>
  <c r="I53" i="9"/>
  <c r="H53" i="9"/>
  <c r="G53" i="9"/>
  <c r="G66" i="9" s="1"/>
  <c r="G69" i="9" s="1"/>
  <c r="G72" i="9" s="1"/>
  <c r="F53" i="9"/>
  <c r="E53" i="9"/>
  <c r="D53" i="9"/>
  <c r="W51" i="9"/>
  <c r="W52" i="9" s="1"/>
  <c r="O51" i="9"/>
  <c r="O52" i="9" s="1"/>
  <c r="G51" i="9"/>
  <c r="G52" i="9" s="1"/>
  <c r="W50" i="9"/>
  <c r="V50" i="9"/>
  <c r="U50" i="9"/>
  <c r="T50" i="9"/>
  <c r="S50" i="9"/>
  <c r="S51" i="9" s="1"/>
  <c r="R50" i="9"/>
  <c r="R51" i="9" s="1"/>
  <c r="R52" i="9" s="1"/>
  <c r="Q50" i="9"/>
  <c r="P50" i="9"/>
  <c r="O50" i="9"/>
  <c r="N50" i="9"/>
  <c r="M50" i="9"/>
  <c r="L50" i="9"/>
  <c r="K50" i="9"/>
  <c r="K51" i="9" s="1"/>
  <c r="J50" i="9"/>
  <c r="J51" i="9" s="1"/>
  <c r="I50" i="9"/>
  <c r="H50" i="9"/>
  <c r="G50" i="9"/>
  <c r="F50" i="9"/>
  <c r="E50" i="9"/>
  <c r="D50" i="9"/>
  <c r="W49" i="9"/>
  <c r="S49" i="9"/>
  <c r="P49" i="9"/>
  <c r="O49" i="9"/>
  <c r="K49" i="9"/>
  <c r="H49" i="9"/>
  <c r="G49" i="9"/>
  <c r="AC48" i="9"/>
  <c r="AB48" i="9"/>
  <c r="AA48" i="9"/>
  <c r="Z48" i="9"/>
  <c r="Z49" i="9" s="1"/>
  <c r="Y48" i="9"/>
  <c r="AC47" i="9"/>
  <c r="AB47" i="9"/>
  <c r="AB203" i="9" s="1"/>
  <c r="AA47" i="9"/>
  <c r="Z47" i="9"/>
  <c r="Z203" i="9" s="1"/>
  <c r="Y47" i="9"/>
  <c r="Y203" i="9" s="1"/>
  <c r="AC46" i="9"/>
  <c r="AB46" i="9"/>
  <c r="AA46" i="9"/>
  <c r="AA50" i="9" s="1"/>
  <c r="Z46" i="9"/>
  <c r="Y46" i="9"/>
  <c r="Y50" i="9" s="1"/>
  <c r="AC45" i="9"/>
  <c r="AC50" i="9" s="1"/>
  <c r="AB45" i="9"/>
  <c r="AA45" i="9"/>
  <c r="Z45" i="9"/>
  <c r="Z50" i="9" s="1"/>
  <c r="Y45" i="9"/>
  <c r="Z44" i="9"/>
  <c r="Z51" i="9" s="1"/>
  <c r="Z52" i="9" s="1"/>
  <c r="W44" i="9"/>
  <c r="W262" i="9" s="1"/>
  <c r="V44" i="9"/>
  <c r="V49" i="9" s="1"/>
  <c r="U44" i="9"/>
  <c r="U51" i="9" s="1"/>
  <c r="U52" i="9" s="1"/>
  <c r="T44" i="9"/>
  <c r="S44" i="9"/>
  <c r="S262" i="9" s="1"/>
  <c r="R44" i="9"/>
  <c r="R49" i="9" s="1"/>
  <c r="Q44" i="9"/>
  <c r="Q51" i="9" s="1"/>
  <c r="Q52" i="9" s="1"/>
  <c r="P44" i="9"/>
  <c r="O44" i="9"/>
  <c r="O262" i="9" s="1"/>
  <c r="N44" i="9"/>
  <c r="N49" i="9" s="1"/>
  <c r="M44" i="9"/>
  <c r="M49" i="9" s="1"/>
  <c r="L44" i="9"/>
  <c r="L49" i="9" s="1"/>
  <c r="K44" i="9"/>
  <c r="K262" i="9" s="1"/>
  <c r="J44" i="9"/>
  <c r="J49" i="9" s="1"/>
  <c r="I44" i="9"/>
  <c r="I49" i="9" s="1"/>
  <c r="H44" i="9"/>
  <c r="G44" i="9"/>
  <c r="G262" i="9" s="1"/>
  <c r="F44" i="9"/>
  <c r="F49" i="9" s="1"/>
  <c r="E44" i="9"/>
  <c r="E51" i="9" s="1"/>
  <c r="E52" i="9" s="1"/>
  <c r="D44" i="9"/>
  <c r="AC43" i="9"/>
  <c r="AB43" i="9"/>
  <c r="AA43" i="9"/>
  <c r="Z43" i="9"/>
  <c r="Y43" i="9"/>
  <c r="AC42" i="9"/>
  <c r="AB42" i="9"/>
  <c r="AB23" i="9" s="1"/>
  <c r="AA42" i="9"/>
  <c r="AA44" i="9" s="1"/>
  <c r="AA51" i="9" s="1"/>
  <c r="AA52" i="9" s="1"/>
  <c r="Z42" i="9"/>
  <c r="Y42" i="9"/>
  <c r="AC41" i="9"/>
  <c r="AC20" i="9" s="1"/>
  <c r="AB41" i="9"/>
  <c r="AA41" i="9"/>
  <c r="Z41" i="9"/>
  <c r="Y41" i="9"/>
  <c r="Y44" i="9" s="1"/>
  <c r="Y51" i="9" s="1"/>
  <c r="Y52" i="9" s="1"/>
  <c r="AC37" i="9"/>
  <c r="AB37" i="9"/>
  <c r="AA37" i="9"/>
  <c r="Z37" i="9"/>
  <c r="Y37" i="9"/>
  <c r="AC36" i="9"/>
  <c r="AB36" i="9"/>
  <c r="AA36" i="9"/>
  <c r="Z36" i="9"/>
  <c r="Y36" i="9"/>
  <c r="AC35" i="9"/>
  <c r="AB35" i="9"/>
  <c r="AA35" i="9"/>
  <c r="Z35" i="9"/>
  <c r="Y35" i="9"/>
  <c r="AC31" i="9"/>
  <c r="AB31" i="9"/>
  <c r="AA31" i="9"/>
  <c r="Z31" i="9"/>
  <c r="Y31" i="9"/>
  <c r="AC30" i="9"/>
  <c r="AB30" i="9"/>
  <c r="AA30" i="9"/>
  <c r="Z30" i="9"/>
  <c r="Y30" i="9"/>
  <c r="AC29" i="9"/>
  <c r="AB29" i="9"/>
  <c r="AA29" i="9"/>
  <c r="Z29" i="9"/>
  <c r="Y29" i="9"/>
  <c r="AC28" i="9"/>
  <c r="AB28" i="9"/>
  <c r="AA28" i="9"/>
  <c r="Z28" i="9"/>
  <c r="Y28" i="9"/>
  <c r="AC27" i="9"/>
  <c r="AB27" i="9"/>
  <c r="AA27" i="9"/>
  <c r="Z27" i="9"/>
  <c r="Y27" i="9"/>
  <c r="G27" i="9"/>
  <c r="F27" i="9" s="1"/>
  <c r="E27" i="9"/>
  <c r="AC26" i="9"/>
  <c r="AB26" i="9"/>
  <c r="AA26" i="9"/>
  <c r="Z26" i="9"/>
  <c r="Y26" i="9"/>
  <c r="Z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C22" i="9"/>
  <c r="AC23" i="9" s="1"/>
  <c r="AB22" i="9"/>
  <c r="AA22" i="9"/>
  <c r="AA23" i="9" s="1"/>
  <c r="Z22" i="9"/>
  <c r="Y22" i="9"/>
  <c r="Y23" i="9" s="1"/>
  <c r="AB20" i="9"/>
  <c r="Z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C19" i="9"/>
  <c r="AB19" i="9"/>
  <c r="AA19" i="9"/>
  <c r="AA20" i="9" s="1"/>
  <c r="Z19" i="9"/>
  <c r="Y19" i="9"/>
  <c r="AC17" i="9"/>
  <c r="AB17" i="9"/>
  <c r="AA17" i="9"/>
  <c r="Z17" i="9"/>
  <c r="Y17" i="9"/>
  <c r="AC16" i="9"/>
  <c r="AB16" i="9"/>
  <c r="AA16" i="9"/>
  <c r="AC15" i="9"/>
  <c r="AA15" i="9"/>
  <c r="Z15" i="9"/>
  <c r="Y15" i="9"/>
  <c r="P15" i="9"/>
  <c r="AB15" i="9" s="1"/>
  <c r="E14" i="9"/>
  <c r="E9" i="9" s="1"/>
  <c r="AC13" i="9"/>
  <c r="AB13" i="9"/>
  <c r="AA13" i="9"/>
  <c r="Z13" i="9"/>
  <c r="Y13" i="9"/>
  <c r="AC12" i="9"/>
  <c r="AB12" i="9"/>
  <c r="AA12" i="9"/>
  <c r="Z12" i="9"/>
  <c r="Y12" i="9"/>
  <c r="AC11" i="9"/>
  <c r="AA11" i="9"/>
  <c r="Z11" i="9"/>
  <c r="Y11" i="9"/>
  <c r="P11" i="9"/>
  <c r="AB11" i="9" s="1"/>
  <c r="H11" i="9"/>
  <c r="F10" i="9"/>
  <c r="G10" i="9" s="1"/>
  <c r="E10" i="9"/>
  <c r="D9" i="9"/>
  <c r="R217" i="9" l="1"/>
  <c r="R225" i="9" s="1"/>
  <c r="R226" i="9" s="1"/>
  <c r="R200" i="9"/>
  <c r="R204" i="9" s="1"/>
  <c r="R212" i="9" s="1"/>
  <c r="R73" i="9"/>
  <c r="R131" i="9"/>
  <c r="J66" i="9"/>
  <c r="J69" i="9" s="1"/>
  <c r="J72" i="9" s="1"/>
  <c r="J52" i="9"/>
  <c r="G217" i="9"/>
  <c r="G225" i="9" s="1"/>
  <c r="G226" i="9" s="1"/>
  <c r="G200" i="9"/>
  <c r="G204" i="9" s="1"/>
  <c r="G212" i="9" s="1"/>
  <c r="G131" i="9"/>
  <c r="G174" i="9" s="1"/>
  <c r="G73" i="9"/>
  <c r="O217" i="9"/>
  <c r="O225" i="9" s="1"/>
  <c r="O226" i="9" s="1"/>
  <c r="O200" i="9"/>
  <c r="O204" i="9" s="1"/>
  <c r="O212" i="9" s="1"/>
  <c r="O131" i="9"/>
  <c r="O73" i="9"/>
  <c r="AA120" i="9"/>
  <c r="K52" i="9"/>
  <c r="K66" i="9"/>
  <c r="K69" i="9" s="1"/>
  <c r="K72" i="9" s="1"/>
  <c r="S52" i="9"/>
  <c r="S66" i="9"/>
  <c r="S69" i="9" s="1"/>
  <c r="S72" i="9" s="1"/>
  <c r="AA66" i="9"/>
  <c r="AA69" i="9" s="1"/>
  <c r="AA72" i="9" s="1"/>
  <c r="Y10" i="9"/>
  <c r="H10" i="9"/>
  <c r="Y49" i="9"/>
  <c r="W217" i="9"/>
  <c r="W225" i="9" s="1"/>
  <c r="W226" i="9" s="1"/>
  <c r="W200" i="9"/>
  <c r="W204" i="9" s="1"/>
  <c r="W212" i="9" s="1"/>
  <c r="W213" i="9" s="1"/>
  <c r="W131" i="9"/>
  <c r="W73" i="9"/>
  <c r="V66" i="9"/>
  <c r="V69" i="9" s="1"/>
  <c r="V72" i="9" s="1"/>
  <c r="Z97" i="9"/>
  <c r="N97" i="9"/>
  <c r="R97" i="9"/>
  <c r="V97" i="9"/>
  <c r="N172" i="9"/>
  <c r="O172" i="9" s="1"/>
  <c r="F14" i="9"/>
  <c r="Q49" i="9"/>
  <c r="I51" i="9"/>
  <c r="I52" i="9" s="1"/>
  <c r="N51" i="9"/>
  <c r="E77" i="9"/>
  <c r="I77" i="9"/>
  <c r="M77" i="9"/>
  <c r="Q77" i="9"/>
  <c r="U77" i="9"/>
  <c r="AB78" i="9"/>
  <c r="AB77" i="9" s="1"/>
  <c r="G97" i="9"/>
  <c r="O97" i="9"/>
  <c r="W97" i="9"/>
  <c r="Y120" i="9"/>
  <c r="Y97" i="9" s="1"/>
  <c r="AC120" i="9"/>
  <c r="S132" i="9"/>
  <c r="O132" i="9"/>
  <c r="V133" i="9"/>
  <c r="W133" i="9" s="1"/>
  <c r="V135" i="9"/>
  <c r="U135" i="9"/>
  <c r="R139" i="9"/>
  <c r="S139" i="9" s="1"/>
  <c r="W142" i="9"/>
  <c r="O145" i="9"/>
  <c r="N145" i="9"/>
  <c r="N159" i="9"/>
  <c r="O159" i="9" s="1"/>
  <c r="R163" i="9"/>
  <c r="S163" i="9" s="1"/>
  <c r="V170" i="9"/>
  <c r="W170" i="9" s="1"/>
  <c r="AB262" i="9"/>
  <c r="Y262" i="9"/>
  <c r="AA49" i="9"/>
  <c r="E49" i="9"/>
  <c r="U49" i="9"/>
  <c r="AB50" i="9"/>
  <c r="M51" i="9"/>
  <c r="M52" i="9" s="1"/>
  <c r="I66" i="9"/>
  <c r="I69" i="9" s="1"/>
  <c r="I72" i="9" s="1"/>
  <c r="Q66" i="9"/>
  <c r="Q69" i="9" s="1"/>
  <c r="Q72" i="9" s="1"/>
  <c r="Z77" i="9"/>
  <c r="AB97" i="9"/>
  <c r="W132" i="9"/>
  <c r="S136" i="9"/>
  <c r="V143" i="9"/>
  <c r="W143" i="9" s="1"/>
  <c r="W149" i="9"/>
  <c r="W159" i="9"/>
  <c r="V159" i="9"/>
  <c r="AA233" i="9"/>
  <c r="W135" i="9"/>
  <c r="N140" i="9"/>
  <c r="O140" i="9" s="1"/>
  <c r="O141" i="9"/>
  <c r="S147" i="9"/>
  <c r="R147" i="9"/>
  <c r="V158" i="9"/>
  <c r="W158" i="9" s="1"/>
  <c r="R162" i="9"/>
  <c r="S162" i="9" s="1"/>
  <c r="N170" i="9"/>
  <c r="O170" i="9"/>
  <c r="S183" i="9"/>
  <c r="O185" i="9"/>
  <c r="N191" i="9"/>
  <c r="P191" i="9"/>
  <c r="Q186" i="9"/>
  <c r="R186" i="9"/>
  <c r="E66" i="9"/>
  <c r="E69" i="9" s="1"/>
  <c r="E72" i="9" s="1"/>
  <c r="AC97" i="9"/>
  <c r="S144" i="9"/>
  <c r="R144" i="9"/>
  <c r="N152" i="9"/>
  <c r="O152" i="9" s="1"/>
  <c r="AC44" i="9"/>
  <c r="AC51" i="9" s="1"/>
  <c r="AC52" i="9" s="1"/>
  <c r="T66" i="9"/>
  <c r="T69" i="9" s="1"/>
  <c r="T72" i="9" s="1"/>
  <c r="AC62" i="9"/>
  <c r="AC53" i="9" s="1"/>
  <c r="Y66" i="9"/>
  <c r="Y69" i="9" s="1"/>
  <c r="Y72" i="9" s="1"/>
  <c r="Y234" i="9"/>
  <c r="Y195" i="9"/>
  <c r="Y196" i="9" s="1"/>
  <c r="Z194" i="9"/>
  <c r="Y78" i="9"/>
  <c r="Y77" i="9" s="1"/>
  <c r="AC234" i="9"/>
  <c r="AC195" i="9"/>
  <c r="AC78" i="9"/>
  <c r="AC77" i="9" s="1"/>
  <c r="Y20" i="9"/>
  <c r="AB44" i="9"/>
  <c r="D51" i="9"/>
  <c r="D52" i="9" s="1"/>
  <c r="H51" i="9"/>
  <c r="H52" i="9" s="1"/>
  <c r="L51" i="9"/>
  <c r="L52" i="9" s="1"/>
  <c r="P51" i="9"/>
  <c r="P52" i="9" s="1"/>
  <c r="T51" i="9"/>
  <c r="T52" i="9" s="1"/>
  <c r="AA203" i="9"/>
  <c r="D49" i="9"/>
  <c r="T49" i="9"/>
  <c r="F51" i="9"/>
  <c r="V51" i="9"/>
  <c r="V52" i="9" s="1"/>
  <c r="D66" i="9"/>
  <c r="D69" i="9" s="1"/>
  <c r="D72" i="9" s="1"/>
  <c r="P66" i="9"/>
  <c r="P69" i="9" s="1"/>
  <c r="P72" i="9" s="1"/>
  <c r="U66" i="9"/>
  <c r="U69" i="9" s="1"/>
  <c r="U72" i="9" s="1"/>
  <c r="AA53" i="9"/>
  <c r="Z66" i="9"/>
  <c r="Z69" i="9" s="1"/>
  <c r="Z72" i="9" s="1"/>
  <c r="Z234" i="9"/>
  <c r="Z195" i="9"/>
  <c r="Z196" i="9" s="1"/>
  <c r="AA194" i="9"/>
  <c r="Y86" i="9"/>
  <c r="AA98" i="9"/>
  <c r="AA97" i="9" s="1"/>
  <c r="R135" i="9"/>
  <c r="Q135" i="9"/>
  <c r="N136" i="9"/>
  <c r="O136" i="9" s="1"/>
  <c r="O137" i="9"/>
  <c r="W138" i="9"/>
  <c r="V138" i="9"/>
  <c r="V139" i="9"/>
  <c r="W139" i="9" s="1"/>
  <c r="S140" i="9"/>
  <c r="N141" i="9"/>
  <c r="O148" i="9"/>
  <c r="N148" i="9"/>
  <c r="V150" i="9"/>
  <c r="W150" i="9" s="1"/>
  <c r="S151" i="9"/>
  <c r="R151" i="9"/>
  <c r="V172" i="9"/>
  <c r="W172" i="9"/>
  <c r="Q188" i="9"/>
  <c r="AA191" i="9"/>
  <c r="AB202" i="9"/>
  <c r="Y201" i="9"/>
  <c r="AC201" i="9"/>
  <c r="AA234" i="9"/>
  <c r="AA195" i="9"/>
  <c r="AA196" i="9" s="1"/>
  <c r="AB194" i="9"/>
  <c r="Z232" i="9"/>
  <c r="Z233" i="9" s="1"/>
  <c r="Z236" i="9" s="1"/>
  <c r="Y231" i="9"/>
  <c r="AC231" i="9"/>
  <c r="AB230" i="9"/>
  <c r="AB233" i="9" s="1"/>
  <c r="V142" i="9"/>
  <c r="R143" i="9"/>
  <c r="S143" i="9" s="1"/>
  <c r="N144" i="9"/>
  <c r="O144" i="9" s="1"/>
  <c r="N147" i="9"/>
  <c r="O147" i="9" s="1"/>
  <c r="V149" i="9"/>
  <c r="R150" i="9"/>
  <c r="S150" i="9" s="1"/>
  <c r="N151" i="9"/>
  <c r="O151" i="9" s="1"/>
  <c r="Q153" i="9"/>
  <c r="V153" i="9"/>
  <c r="R155" i="9"/>
  <c r="S155" i="9" s="1"/>
  <c r="N157" i="9"/>
  <c r="O157" i="9" s="1"/>
  <c r="S159" i="9"/>
  <c r="N160" i="9"/>
  <c r="O160" i="9" s="1"/>
  <c r="W161" i="9"/>
  <c r="W162" i="9"/>
  <c r="S165" i="9"/>
  <c r="S167" i="9"/>
  <c r="S172" i="9"/>
  <c r="O181" i="9"/>
  <c r="O177" i="9"/>
  <c r="W177" i="9"/>
  <c r="O179" i="9"/>
  <c r="W179" i="9"/>
  <c r="N181" i="9"/>
  <c r="U188" i="9"/>
  <c r="Z262" i="9"/>
  <c r="F262" i="9"/>
  <c r="J262" i="9"/>
  <c r="N262" i="9"/>
  <c r="R262" i="9"/>
  <c r="V262" i="9"/>
  <c r="Y202" i="9"/>
  <c r="AC202" i="9"/>
  <c r="Z201" i="9"/>
  <c r="AB234" i="9"/>
  <c r="AB195" i="9"/>
  <c r="AB196" i="9" s="1"/>
  <c r="AC194" i="9"/>
  <c r="Y233" i="9"/>
  <c r="Y236" i="9" s="1"/>
  <c r="AC230" i="9"/>
  <c r="W153" i="9"/>
  <c r="O155" i="9"/>
  <c r="O165" i="9"/>
  <c r="W167" i="9"/>
  <c r="U168" i="9"/>
  <c r="V168" i="9" s="1"/>
  <c r="W168" i="9"/>
  <c r="Q181" i="9"/>
  <c r="R176" i="9"/>
  <c r="S177" i="9"/>
  <c r="Y191" i="9"/>
  <c r="L191" i="9"/>
  <c r="N186" i="9"/>
  <c r="O186" i="9" s="1"/>
  <c r="O191" i="9" s="1"/>
  <c r="U191" i="9"/>
  <c r="AA208" i="9"/>
  <c r="AA218" i="9"/>
  <c r="H219" i="9"/>
  <c r="Z211" i="9"/>
  <c r="Z219" i="9" s="1"/>
  <c r="H208" i="9"/>
  <c r="AC219" i="9"/>
  <c r="AC208" i="9"/>
  <c r="Z181" i="9"/>
  <c r="Z191" i="9"/>
  <c r="N188" i="9"/>
  <c r="O188" i="9" s="1"/>
  <c r="W176" i="9"/>
  <c r="W186" i="9"/>
  <c r="T191" i="9"/>
  <c r="Z186" i="9"/>
  <c r="W189" i="9"/>
  <c r="S189" i="9"/>
  <c r="G192" i="9"/>
  <c r="AB191" i="9"/>
  <c r="AB221" i="9"/>
  <c r="E262" i="9"/>
  <c r="I262" i="9"/>
  <c r="M262" i="9"/>
  <c r="Q262" i="9"/>
  <c r="U262" i="9"/>
  <c r="E233" i="9"/>
  <c r="E236" i="9" s="1"/>
  <c r="E238" i="9" s="1"/>
  <c r="I233" i="9"/>
  <c r="I236" i="9" s="1"/>
  <c r="M233" i="9"/>
  <c r="M236" i="9" s="1"/>
  <c r="Q233" i="9"/>
  <c r="Q236" i="9" s="1"/>
  <c r="U233" i="9"/>
  <c r="U236" i="9" s="1"/>
  <c r="AB244" i="9"/>
  <c r="AB246" i="9" s="1"/>
  <c r="AA261" i="9"/>
  <c r="AA262" i="9" s="1"/>
  <c r="AA221" i="9"/>
  <c r="AC221" i="9"/>
  <c r="F236" i="9"/>
  <c r="F238" i="9" s="1"/>
  <c r="J236" i="9"/>
  <c r="N236" i="9"/>
  <c r="R236" i="9"/>
  <c r="V236" i="9"/>
  <c r="D262" i="9"/>
  <c r="H262" i="9"/>
  <c r="L262" i="9"/>
  <c r="P262" i="9"/>
  <c r="T262" i="9"/>
  <c r="AC179" i="6"/>
  <c r="W249" i="6"/>
  <c r="G276" i="6"/>
  <c r="G277" i="6"/>
  <c r="F277" i="6"/>
  <c r="E277" i="6"/>
  <c r="W188" i="9" l="1"/>
  <c r="W191" i="9" s="1"/>
  <c r="W192" i="9" s="1"/>
  <c r="U217" i="9"/>
  <c r="U225" i="9" s="1"/>
  <c r="U226" i="9" s="1"/>
  <c r="U200" i="9"/>
  <c r="U204" i="9" s="1"/>
  <c r="U212" i="9" s="1"/>
  <c r="U213" i="9" s="1"/>
  <c r="U131" i="9"/>
  <c r="U174" i="9" s="1"/>
  <c r="U73" i="9"/>
  <c r="O213" i="9"/>
  <c r="U192" i="9"/>
  <c r="R188" i="9"/>
  <c r="S188" i="9" s="1"/>
  <c r="P200" i="9"/>
  <c r="P204" i="9" s="1"/>
  <c r="P212" i="9" s="1"/>
  <c r="P131" i="9"/>
  <c r="P174" i="9" s="1"/>
  <c r="P217" i="9"/>
  <c r="P225" i="9" s="1"/>
  <c r="P226" i="9" s="1"/>
  <c r="P73" i="9"/>
  <c r="Y200" i="9"/>
  <c r="Y204" i="9" s="1"/>
  <c r="Y212" i="9" s="1"/>
  <c r="Y217" i="9"/>
  <c r="Y225" i="9" s="1"/>
  <c r="Y226" i="9" s="1"/>
  <c r="Y131" i="9"/>
  <c r="Y174" i="9" s="1"/>
  <c r="Y192" i="9" s="1"/>
  <c r="Y73" i="9"/>
  <c r="Q191" i="9"/>
  <c r="Q192" i="9" s="1"/>
  <c r="AA236" i="9"/>
  <c r="N52" i="9"/>
  <c r="N66" i="9"/>
  <c r="N69" i="9" s="1"/>
  <c r="N72" i="9" s="1"/>
  <c r="I10" i="9"/>
  <c r="S217" i="9"/>
  <c r="S225" i="9" s="1"/>
  <c r="S226" i="9" s="1"/>
  <c r="S200" i="9"/>
  <c r="S204" i="9" s="1"/>
  <c r="S212" i="9" s="1"/>
  <c r="S73" i="9"/>
  <c r="S131" i="9"/>
  <c r="I217" i="9"/>
  <c r="I225" i="9" s="1"/>
  <c r="I226" i="9" s="1"/>
  <c r="I200" i="9"/>
  <c r="I204" i="9" s="1"/>
  <c r="I212" i="9" s="1"/>
  <c r="I131" i="9"/>
  <c r="I174" i="9" s="1"/>
  <c r="I192" i="9" s="1"/>
  <c r="I73" i="9"/>
  <c r="G14" i="9"/>
  <c r="F9" i="9"/>
  <c r="AA217" i="9"/>
  <c r="AA225" i="9" s="1"/>
  <c r="AA226" i="9" s="1"/>
  <c r="AA200" i="9"/>
  <c r="AA204" i="9" s="1"/>
  <c r="AA212" i="9" s="1"/>
  <c r="AA73" i="9"/>
  <c r="AA131" i="9"/>
  <c r="AA174" i="9" s="1"/>
  <c r="Z208" i="9"/>
  <c r="W181" i="9"/>
  <c r="V188" i="9"/>
  <c r="V191" i="9" s="1"/>
  <c r="Z217" i="9"/>
  <c r="Z225" i="9" s="1"/>
  <c r="Z226" i="9" s="1"/>
  <c r="Z200" i="9"/>
  <c r="Z204" i="9" s="1"/>
  <c r="Z212" i="9" s="1"/>
  <c r="Z131" i="9"/>
  <c r="Z174" i="9" s="1"/>
  <c r="Z192" i="9" s="1"/>
  <c r="Z73" i="9"/>
  <c r="L66" i="9"/>
  <c r="L69" i="9" s="1"/>
  <c r="L72" i="9" s="1"/>
  <c r="F52" i="9"/>
  <c r="F66" i="9"/>
  <c r="F69" i="9" s="1"/>
  <c r="F72" i="9" s="1"/>
  <c r="AC196" i="9"/>
  <c r="M66" i="9"/>
  <c r="M69" i="9" s="1"/>
  <c r="M72" i="9" s="1"/>
  <c r="P192" i="9"/>
  <c r="AC262" i="9"/>
  <c r="AC49" i="9"/>
  <c r="Z10" i="9"/>
  <c r="U237" i="9"/>
  <c r="U238" i="9" s="1"/>
  <c r="R213" i="9"/>
  <c r="D217" i="9"/>
  <c r="D225" i="9" s="1"/>
  <c r="D226" i="9" s="1"/>
  <c r="D200" i="9"/>
  <c r="D204" i="9" s="1"/>
  <c r="D212" i="9" s="1"/>
  <c r="D131" i="9"/>
  <c r="D174" i="9" s="1"/>
  <c r="D192" i="9" s="1"/>
  <c r="D73" i="9"/>
  <c r="AC66" i="9"/>
  <c r="AC69" i="9" s="1"/>
  <c r="AC72" i="9" s="1"/>
  <c r="V217" i="9"/>
  <c r="V225" i="9" s="1"/>
  <c r="V226" i="9" s="1"/>
  <c r="V200" i="9"/>
  <c r="V204" i="9" s="1"/>
  <c r="V212" i="9" s="1"/>
  <c r="V213" i="9" s="1"/>
  <c r="V73" i="9"/>
  <c r="V131" i="9"/>
  <c r="V174" i="9" s="1"/>
  <c r="G213" i="9"/>
  <c r="S176" i="9"/>
  <c r="S181" i="9" s="1"/>
  <c r="R181" i="9"/>
  <c r="AC233" i="9"/>
  <c r="AC236" i="9" s="1"/>
  <c r="AB236" i="9"/>
  <c r="AA192" i="9"/>
  <c r="S135" i="9"/>
  <c r="H66" i="9"/>
  <c r="H69" i="9" s="1"/>
  <c r="H72" i="9" s="1"/>
  <c r="AB51" i="9"/>
  <c r="AB49" i="9"/>
  <c r="T217" i="9"/>
  <c r="T225" i="9" s="1"/>
  <c r="T226" i="9" s="1"/>
  <c r="T200" i="9"/>
  <c r="T204" i="9" s="1"/>
  <c r="T212" i="9" s="1"/>
  <c r="T131" i="9"/>
  <c r="T174" i="9" s="1"/>
  <c r="T192" i="9" s="1"/>
  <c r="T73" i="9"/>
  <c r="E217" i="9"/>
  <c r="E225" i="9" s="1"/>
  <c r="E226" i="9" s="1"/>
  <c r="E200" i="9"/>
  <c r="E204" i="9" s="1"/>
  <c r="E212" i="9" s="1"/>
  <c r="E131" i="9"/>
  <c r="E174" i="9" s="1"/>
  <c r="E192" i="9" s="1"/>
  <c r="E73" i="9"/>
  <c r="S186" i="9"/>
  <c r="R153" i="9"/>
  <c r="R174" i="9" s="1"/>
  <c r="Q217" i="9"/>
  <c r="Q225" i="9" s="1"/>
  <c r="Q226" i="9" s="1"/>
  <c r="Q200" i="9"/>
  <c r="Q204" i="9" s="1"/>
  <c r="Q212" i="9" s="1"/>
  <c r="Q131" i="9"/>
  <c r="Q174" i="9" s="1"/>
  <c r="Q73" i="9"/>
  <c r="W174" i="9"/>
  <c r="K217" i="9"/>
  <c r="K225" i="9" s="1"/>
  <c r="K226" i="9" s="1"/>
  <c r="K73" i="9"/>
  <c r="K200" i="9"/>
  <c r="K204" i="9" s="1"/>
  <c r="K212" i="9" s="1"/>
  <c r="K131" i="9"/>
  <c r="K174" i="9" s="1"/>
  <c r="K192" i="9" s="1"/>
  <c r="O174" i="9"/>
  <c r="O192" i="9" s="1"/>
  <c r="J217" i="9"/>
  <c r="J225" i="9" s="1"/>
  <c r="J226" i="9" s="1"/>
  <c r="J200" i="9"/>
  <c r="J204" i="9" s="1"/>
  <c r="J212" i="9" s="1"/>
  <c r="J73" i="9"/>
  <c r="J131" i="9"/>
  <c r="J174" i="9" s="1"/>
  <c r="J192" i="9" s="1"/>
  <c r="W62" i="6"/>
  <c r="S191" i="9" l="1"/>
  <c r="J213" i="9"/>
  <c r="AA10" i="9"/>
  <c r="M217" i="9"/>
  <c r="M225" i="9" s="1"/>
  <c r="M226" i="9" s="1"/>
  <c r="M200" i="9"/>
  <c r="M204" i="9" s="1"/>
  <c r="M212" i="9" s="1"/>
  <c r="M131" i="9"/>
  <c r="M174" i="9" s="1"/>
  <c r="M192" i="9" s="1"/>
  <c r="M73" i="9"/>
  <c r="L217" i="9"/>
  <c r="L225" i="9" s="1"/>
  <c r="L226" i="9" s="1"/>
  <c r="L200" i="9"/>
  <c r="L204" i="9" s="1"/>
  <c r="L212" i="9" s="1"/>
  <c r="L131" i="9"/>
  <c r="L174" i="9" s="1"/>
  <c r="L192" i="9" s="1"/>
  <c r="L73" i="9"/>
  <c r="Y14" i="9"/>
  <c r="H14" i="9"/>
  <c r="G9" i="9"/>
  <c r="J10" i="9"/>
  <c r="Y237" i="9"/>
  <c r="Y238" i="9" s="1"/>
  <c r="Y213" i="9"/>
  <c r="S237" i="9"/>
  <c r="S238" i="9" s="1"/>
  <c r="P213" i="9"/>
  <c r="E213" i="9"/>
  <c r="W237" i="9"/>
  <c r="W238" i="9" s="1"/>
  <c r="T213" i="9"/>
  <c r="H200" i="9"/>
  <c r="H204" i="9" s="1"/>
  <c r="H212" i="9" s="1"/>
  <c r="H131" i="9"/>
  <c r="H174" i="9" s="1"/>
  <c r="H192" i="9" s="1"/>
  <c r="H217" i="9"/>
  <c r="H225" i="9" s="1"/>
  <c r="H226" i="9" s="1"/>
  <c r="H73" i="9"/>
  <c r="S153" i="9"/>
  <c r="D213" i="9"/>
  <c r="V192" i="9"/>
  <c r="AA213" i="9"/>
  <c r="AA237" i="9"/>
  <c r="S213" i="9"/>
  <c r="V237" i="9"/>
  <c r="V238" i="9" s="1"/>
  <c r="N217" i="9"/>
  <c r="N225" i="9" s="1"/>
  <c r="N226" i="9" s="1"/>
  <c r="N200" i="9"/>
  <c r="N204" i="9" s="1"/>
  <c r="N212" i="9" s="1"/>
  <c r="N237" i="9" s="1"/>
  <c r="N238" i="9" s="1"/>
  <c r="N73" i="9"/>
  <c r="N131" i="9"/>
  <c r="N174" i="9" s="1"/>
  <c r="N192" i="9" s="1"/>
  <c r="K213" i="9"/>
  <c r="AB52" i="9"/>
  <c r="AB66" i="9"/>
  <c r="AB69" i="9" s="1"/>
  <c r="AB72" i="9" s="1"/>
  <c r="T237" i="9"/>
  <c r="T238" i="9" s="1"/>
  <c r="Q213" i="9"/>
  <c r="AC217" i="9"/>
  <c r="AC225" i="9" s="1"/>
  <c r="AC226" i="9" s="1"/>
  <c r="AC200" i="9"/>
  <c r="AC204" i="9" s="1"/>
  <c r="AC212" i="9" s="1"/>
  <c r="AC131" i="9"/>
  <c r="AC174" i="9" s="1"/>
  <c r="AC192" i="9" s="1"/>
  <c r="AC73" i="9"/>
  <c r="F217" i="9"/>
  <c r="F225" i="9" s="1"/>
  <c r="F226" i="9" s="1"/>
  <c r="F200" i="9"/>
  <c r="F204" i="9" s="1"/>
  <c r="F212" i="9" s="1"/>
  <c r="G237" i="9" s="1"/>
  <c r="G238" i="9" s="1"/>
  <c r="F73" i="9"/>
  <c r="F131" i="9"/>
  <c r="F174" i="9" s="1"/>
  <c r="F192" i="9" s="1"/>
  <c r="Z237" i="9"/>
  <c r="Z238" i="9" s="1"/>
  <c r="Z213" i="9"/>
  <c r="L237" i="9"/>
  <c r="L238" i="9" s="1"/>
  <c r="I213" i="9"/>
  <c r="S174" i="9"/>
  <c r="AA238" i="9"/>
  <c r="R237" i="9"/>
  <c r="R238" i="9" s="1"/>
  <c r="R191" i="9"/>
  <c r="R192" i="9" s="1"/>
  <c r="W235" i="6"/>
  <c r="AC260" i="6"/>
  <c r="AC259" i="6"/>
  <c r="AC258" i="6"/>
  <c r="AC257" i="6"/>
  <c r="AC256" i="6"/>
  <c r="AC255" i="6"/>
  <c r="AC254" i="6"/>
  <c r="AC250" i="6"/>
  <c r="AC249" i="6"/>
  <c r="AC248" i="6"/>
  <c r="AC245" i="6"/>
  <c r="AC242" i="6"/>
  <c r="AC224" i="6"/>
  <c r="AC223" i="6"/>
  <c r="AC222" i="6"/>
  <c r="AC220" i="6"/>
  <c r="AC211" i="6"/>
  <c r="AC210" i="6"/>
  <c r="AC209" i="6"/>
  <c r="AC207" i="6"/>
  <c r="W134" i="6"/>
  <c r="AC127" i="6"/>
  <c r="AC126" i="6"/>
  <c r="AC125" i="6"/>
  <c r="AC124" i="6"/>
  <c r="AC122" i="6"/>
  <c r="AC121" i="6"/>
  <c r="AC119" i="6"/>
  <c r="AC118" i="6"/>
  <c r="AC117" i="6"/>
  <c r="AC116" i="6"/>
  <c r="AC115" i="6"/>
  <c r="AC114" i="6"/>
  <c r="AC113" i="6"/>
  <c r="AC112" i="6"/>
  <c r="AC111" i="6"/>
  <c r="AC109" i="6"/>
  <c r="AC108" i="6"/>
  <c r="AC107" i="6"/>
  <c r="AC106" i="6"/>
  <c r="AC105" i="6"/>
  <c r="AC104" i="6"/>
  <c r="AC103" i="6"/>
  <c r="AC102" i="6"/>
  <c r="AC101" i="6"/>
  <c r="AC100" i="6"/>
  <c r="AC99" i="6"/>
  <c r="AC95" i="6"/>
  <c r="AC94" i="6"/>
  <c r="AC93" i="6"/>
  <c r="AC92" i="6"/>
  <c r="AC91" i="6"/>
  <c r="AC90" i="6"/>
  <c r="AC89" i="6"/>
  <c r="AC88" i="6"/>
  <c r="AC87" i="6"/>
  <c r="AC85" i="6"/>
  <c r="AC84" i="6"/>
  <c r="AC83" i="6"/>
  <c r="AC82" i="6"/>
  <c r="AC81" i="6"/>
  <c r="AC80" i="6"/>
  <c r="AC235" i="6" s="1"/>
  <c r="AC79" i="6"/>
  <c r="AC71" i="6"/>
  <c r="AC70" i="6"/>
  <c r="AC201" i="6" s="1"/>
  <c r="AC68" i="6"/>
  <c r="AC67" i="6"/>
  <c r="AC65" i="6"/>
  <c r="AC64" i="6"/>
  <c r="AC63" i="6"/>
  <c r="AC61" i="6"/>
  <c r="AC60" i="6"/>
  <c r="AC59" i="6"/>
  <c r="AC58" i="6"/>
  <c r="AC57" i="6"/>
  <c r="AC56" i="6"/>
  <c r="AC55" i="6"/>
  <c r="AC54" i="6"/>
  <c r="AC48" i="6"/>
  <c r="AC47" i="6"/>
  <c r="AC46" i="6"/>
  <c r="AC45" i="6"/>
  <c r="AC43" i="6"/>
  <c r="AC42" i="6"/>
  <c r="AC41" i="6"/>
  <c r="AC37" i="6"/>
  <c r="AC36" i="6"/>
  <c r="AC35" i="6"/>
  <c r="AC237" i="9" l="1"/>
  <c r="AC238" i="9" s="1"/>
  <c r="AC213" i="9"/>
  <c r="K237" i="9"/>
  <c r="K238" i="9" s="1"/>
  <c r="H213" i="9"/>
  <c r="J237" i="9"/>
  <c r="J238" i="9" s="1"/>
  <c r="H237" i="9"/>
  <c r="H238" i="9" s="1"/>
  <c r="I14" i="9"/>
  <c r="H9" i="9"/>
  <c r="O237" i="9"/>
  <c r="O238" i="9" s="1"/>
  <c r="L213" i="9"/>
  <c r="P237" i="9"/>
  <c r="P238" i="9" s="1"/>
  <c r="M213" i="9"/>
  <c r="AB217" i="9"/>
  <c r="AB225" i="9" s="1"/>
  <c r="AB226" i="9" s="1"/>
  <c r="AB73" i="9"/>
  <c r="AB200" i="9"/>
  <c r="AB204" i="9" s="1"/>
  <c r="AB212" i="9" s="1"/>
  <c r="AB131" i="9"/>
  <c r="AB174" i="9" s="1"/>
  <c r="AB192" i="9" s="1"/>
  <c r="K10" i="9"/>
  <c r="Z14" i="9"/>
  <c r="Y9" i="9"/>
  <c r="M237" i="9"/>
  <c r="M238" i="9" s="1"/>
  <c r="I237" i="9"/>
  <c r="I238" i="9" s="1"/>
  <c r="F213" i="9"/>
  <c r="Q237" i="9"/>
  <c r="Q238" i="9" s="1"/>
  <c r="N213" i="9"/>
  <c r="AB10" i="9"/>
  <c r="S192" i="9"/>
  <c r="AC31" i="6"/>
  <c r="AC30" i="6"/>
  <c r="AC29" i="6"/>
  <c r="AC28" i="6"/>
  <c r="AC27" i="6"/>
  <c r="AC26" i="6"/>
  <c r="AC22" i="6"/>
  <c r="AC23" i="6" s="1"/>
  <c r="AC19" i="6"/>
  <c r="AC20" i="6" s="1"/>
  <c r="AC17" i="6"/>
  <c r="AC16" i="6"/>
  <c r="AC15" i="6"/>
  <c r="AC13" i="6"/>
  <c r="AC12" i="6"/>
  <c r="AC11" i="6"/>
  <c r="AC261" i="6"/>
  <c r="AC243" i="6"/>
  <c r="AC244" i="6" s="1"/>
  <c r="AC246" i="6" s="1"/>
  <c r="AC219" i="6"/>
  <c r="AC208" i="6"/>
  <c r="AC191" i="6"/>
  <c r="AC181" i="6"/>
  <c r="AC123" i="6"/>
  <c r="AC120" i="6" s="1"/>
  <c r="AC230" i="6"/>
  <c r="AC232" i="6"/>
  <c r="AC231" i="6"/>
  <c r="AC98" i="6"/>
  <c r="AC78" i="6"/>
  <c r="AC202" i="6"/>
  <c r="AC205" i="6"/>
  <c r="AC203" i="6"/>
  <c r="AC50" i="6"/>
  <c r="AC44" i="6"/>
  <c r="D283" i="6"/>
  <c r="W123" i="6"/>
  <c r="W120" i="6" s="1"/>
  <c r="W261" i="6"/>
  <c r="W244" i="6"/>
  <c r="W246" i="6" s="1"/>
  <c r="W234" i="6"/>
  <c r="W232" i="6"/>
  <c r="W231" i="6"/>
  <c r="W230" i="6"/>
  <c r="W219" i="6"/>
  <c r="W218" i="6"/>
  <c r="W208" i="6"/>
  <c r="W205" i="6"/>
  <c r="W221" i="6" s="1"/>
  <c r="W203" i="6"/>
  <c r="W202" i="6"/>
  <c r="W201" i="6"/>
  <c r="W195" i="6"/>
  <c r="W194" i="6"/>
  <c r="W110" i="6"/>
  <c r="W98" i="6"/>
  <c r="W86" i="6"/>
  <c r="W78" i="6"/>
  <c r="W53" i="6"/>
  <c r="W50" i="6"/>
  <c r="W44" i="6"/>
  <c r="W23" i="6"/>
  <c r="W20" i="6"/>
  <c r="V187" i="6"/>
  <c r="W187" i="6" s="1"/>
  <c r="V184" i="6"/>
  <c r="W184" i="6" s="1"/>
  <c r="V190" i="6"/>
  <c r="W190" i="6" s="1"/>
  <c r="V185" i="6"/>
  <c r="W185" i="6" s="1"/>
  <c r="V183" i="6"/>
  <c r="W183" i="6" s="1"/>
  <c r="V180" i="6"/>
  <c r="W180" i="6" s="1"/>
  <c r="V146" i="6"/>
  <c r="W146" i="6" s="1"/>
  <c r="V249" i="6"/>
  <c r="V62" i="6"/>
  <c r="AC10" i="9" l="1"/>
  <c r="AA14" i="9"/>
  <c r="Z9" i="9"/>
  <c r="AB213" i="9"/>
  <c r="AB237" i="9"/>
  <c r="AB238" i="9" s="1"/>
  <c r="J14" i="9"/>
  <c r="I9" i="9"/>
  <c r="L10" i="9"/>
  <c r="W196" i="6"/>
  <c r="W77" i="6"/>
  <c r="AC233" i="6"/>
  <c r="AC49" i="6"/>
  <c r="AC262" i="6"/>
  <c r="AC51" i="6"/>
  <c r="AC52" i="6" s="1"/>
  <c r="AC195" i="6"/>
  <c r="AC218" i="6"/>
  <c r="AC234" i="6"/>
  <c r="W262" i="6"/>
  <c r="W97" i="6"/>
  <c r="W233" i="6"/>
  <c r="W236" i="6" s="1"/>
  <c r="W51" i="6"/>
  <c r="W52" i="6" s="1"/>
  <c r="W49" i="6"/>
  <c r="V261" i="6"/>
  <c r="V244" i="6"/>
  <c r="V246" i="6" s="1"/>
  <c r="V235" i="6"/>
  <c r="V234" i="6"/>
  <c r="V232" i="6"/>
  <c r="V231" i="6"/>
  <c r="V230" i="6"/>
  <c r="V219" i="6"/>
  <c r="V218" i="6"/>
  <c r="V208" i="6"/>
  <c r="V205" i="6"/>
  <c r="V221" i="6" s="1"/>
  <c r="V203" i="6"/>
  <c r="V202" i="6"/>
  <c r="V201" i="6"/>
  <c r="V195" i="6"/>
  <c r="V194" i="6"/>
  <c r="V123" i="6"/>
  <c r="V120" i="6" s="1"/>
  <c r="V110" i="6"/>
  <c r="V98" i="6"/>
  <c r="V86" i="6"/>
  <c r="V78" i="6"/>
  <c r="V53" i="6"/>
  <c r="V50" i="6"/>
  <c r="V44" i="6"/>
  <c r="V23" i="6"/>
  <c r="V20" i="6"/>
  <c r="U123" i="6"/>
  <c r="U120" i="6" s="1"/>
  <c r="U110" i="6"/>
  <c r="U98" i="6"/>
  <c r="U249" i="6"/>
  <c r="D277" i="6"/>
  <c r="U179" i="6"/>
  <c r="U178" i="6"/>
  <c r="U177" i="6"/>
  <c r="U176" i="6"/>
  <c r="U160" i="6"/>
  <c r="U173" i="6"/>
  <c r="U172" i="6"/>
  <c r="U171" i="6"/>
  <c r="U170" i="6"/>
  <c r="U169" i="6"/>
  <c r="U167" i="6"/>
  <c r="U166" i="6"/>
  <c r="U165" i="6"/>
  <c r="U163" i="6"/>
  <c r="U162" i="6"/>
  <c r="U161" i="6"/>
  <c r="U159" i="6"/>
  <c r="U158" i="6"/>
  <c r="U157" i="6"/>
  <c r="U152" i="6"/>
  <c r="U155" i="6"/>
  <c r="U151" i="6"/>
  <c r="U150" i="6"/>
  <c r="U149" i="6"/>
  <c r="U148" i="6"/>
  <c r="U147" i="6"/>
  <c r="U145" i="6"/>
  <c r="U144" i="6"/>
  <c r="U143" i="6"/>
  <c r="U142" i="6"/>
  <c r="U141" i="6"/>
  <c r="U140" i="6"/>
  <c r="U139" i="6"/>
  <c r="U138" i="6"/>
  <c r="U137" i="6"/>
  <c r="U136" i="6"/>
  <c r="U133" i="6"/>
  <c r="U62" i="6"/>
  <c r="K14" i="9" l="1"/>
  <c r="J9" i="9"/>
  <c r="AB14" i="9"/>
  <c r="AA9" i="9"/>
  <c r="M10" i="9"/>
  <c r="V196" i="6"/>
  <c r="AC236" i="6"/>
  <c r="W145" i="6"/>
  <c r="W167" i="6"/>
  <c r="V51" i="6"/>
  <c r="V52" i="6" s="1"/>
  <c r="W66" i="6"/>
  <c r="W69" i="6" s="1"/>
  <c r="W72" i="6" s="1"/>
  <c r="V138" i="6"/>
  <c r="W138" i="6" s="1"/>
  <c r="V151" i="6"/>
  <c r="W151" i="6" s="1"/>
  <c r="V163" i="6"/>
  <c r="W163" i="6" s="1"/>
  <c r="V173" i="6"/>
  <c r="W173" i="6" s="1"/>
  <c r="V139" i="6"/>
  <c r="W139" i="6" s="1"/>
  <c r="V148" i="6"/>
  <c r="W148" i="6" s="1"/>
  <c r="V159" i="6"/>
  <c r="W159" i="6" s="1"/>
  <c r="V165" i="6"/>
  <c r="W165" i="6" s="1"/>
  <c r="V170" i="6"/>
  <c r="W170" i="6" s="1"/>
  <c r="V160" i="6"/>
  <c r="W160" i="6" s="1"/>
  <c r="V179" i="6"/>
  <c r="W179" i="6" s="1"/>
  <c r="V142" i="6"/>
  <c r="W142" i="6" s="1"/>
  <c r="V169" i="6"/>
  <c r="W169" i="6" s="1"/>
  <c r="V143" i="6"/>
  <c r="W143" i="6" s="1"/>
  <c r="V136" i="6"/>
  <c r="W136" i="6" s="1"/>
  <c r="V140" i="6"/>
  <c r="W140" i="6" s="1"/>
  <c r="V144" i="6"/>
  <c r="W144" i="6" s="1"/>
  <c r="V149" i="6"/>
  <c r="W149" i="6" s="1"/>
  <c r="V152" i="6"/>
  <c r="W152" i="6" s="1"/>
  <c r="V161" i="6"/>
  <c r="W161" i="6" s="1"/>
  <c r="V166" i="6"/>
  <c r="W166" i="6" s="1"/>
  <c r="V171" i="6"/>
  <c r="W171" i="6" s="1"/>
  <c r="V176" i="6"/>
  <c r="W176" i="6" s="1"/>
  <c r="V147" i="6"/>
  <c r="W147" i="6" s="1"/>
  <c r="V158" i="6"/>
  <c r="W158" i="6" s="1"/>
  <c r="V178" i="6"/>
  <c r="W178" i="6" s="1"/>
  <c r="V133" i="6"/>
  <c r="W133" i="6" s="1"/>
  <c r="V155" i="6"/>
  <c r="W155" i="6" s="1"/>
  <c r="V137" i="6"/>
  <c r="W137" i="6" s="1"/>
  <c r="V141" i="6"/>
  <c r="W141" i="6" s="1"/>
  <c r="V145" i="6"/>
  <c r="V150" i="6"/>
  <c r="W150" i="6" s="1"/>
  <c r="V157" i="6"/>
  <c r="W157" i="6" s="1"/>
  <c r="V162" i="6"/>
  <c r="W162" i="6" s="1"/>
  <c r="V167" i="6"/>
  <c r="V172" i="6"/>
  <c r="W172" i="6" s="1"/>
  <c r="V177" i="6"/>
  <c r="W177" i="6" s="1"/>
  <c r="V77" i="6"/>
  <c r="V66" i="6"/>
  <c r="V69" i="6" s="1"/>
  <c r="V72" i="6" s="1"/>
  <c r="V200" i="6" s="1"/>
  <c r="V204" i="6" s="1"/>
  <c r="V212" i="6" s="1"/>
  <c r="V213" i="6" s="1"/>
  <c r="V97" i="6"/>
  <c r="V233" i="6"/>
  <c r="V236" i="6" s="1"/>
  <c r="V49" i="6"/>
  <c r="V262" i="6"/>
  <c r="U97" i="6"/>
  <c r="AC14" i="9" l="1"/>
  <c r="AC9" i="9" s="1"/>
  <c r="AB9" i="9"/>
  <c r="N10" i="9"/>
  <c r="L14" i="9"/>
  <c r="K9" i="9"/>
  <c r="W73" i="6"/>
  <c r="W217" i="6"/>
  <c r="W225" i="6" s="1"/>
  <c r="W226" i="6" s="1"/>
  <c r="W131" i="6"/>
  <c r="W200" i="6"/>
  <c r="W204" i="6" s="1"/>
  <c r="W212" i="6" s="1"/>
  <c r="W213" i="6" s="1"/>
  <c r="W181" i="6"/>
  <c r="V181" i="6"/>
  <c r="V217" i="6"/>
  <c r="V225" i="6" s="1"/>
  <c r="V226" i="6" s="1"/>
  <c r="V73" i="6"/>
  <c r="V131" i="6"/>
  <c r="O10" i="9" l="1"/>
  <c r="M14" i="9"/>
  <c r="L9" i="9"/>
  <c r="U261" i="6"/>
  <c r="U244" i="6"/>
  <c r="U246" i="6" s="1"/>
  <c r="U235" i="6"/>
  <c r="U234" i="6"/>
  <c r="U232" i="6"/>
  <c r="U231" i="6"/>
  <c r="U230" i="6"/>
  <c r="U219" i="6"/>
  <c r="U218" i="6"/>
  <c r="U208" i="6"/>
  <c r="U205" i="6"/>
  <c r="U221" i="6" s="1"/>
  <c r="U203" i="6"/>
  <c r="U202" i="6"/>
  <c r="U201" i="6"/>
  <c r="U195" i="6"/>
  <c r="U194" i="6"/>
  <c r="U181" i="6"/>
  <c r="U86" i="6"/>
  <c r="U78" i="6"/>
  <c r="U53" i="6"/>
  <c r="U50" i="6"/>
  <c r="U44" i="6"/>
  <c r="U51" i="6" s="1"/>
  <c r="U52" i="6" s="1"/>
  <c r="U23" i="6"/>
  <c r="U20" i="6"/>
  <c r="T188" i="6"/>
  <c r="T189" i="6"/>
  <c r="T186" i="6"/>
  <c r="T168" i="6"/>
  <c r="T153" i="6"/>
  <c r="T135" i="6"/>
  <c r="T132" i="6"/>
  <c r="T249" i="6"/>
  <c r="T123" i="6"/>
  <c r="T62" i="6"/>
  <c r="AC62" i="6" s="1"/>
  <c r="AC53" i="6" s="1"/>
  <c r="AC66" i="6" s="1"/>
  <c r="AC69" i="6" s="1"/>
  <c r="AC72" i="6" s="1"/>
  <c r="N14" i="9" l="1"/>
  <c r="M9" i="9"/>
  <c r="P10" i="9"/>
  <c r="AC200" i="6"/>
  <c r="AC204" i="6" s="1"/>
  <c r="AC212" i="6" s="1"/>
  <c r="AC73" i="6"/>
  <c r="AC217" i="6"/>
  <c r="AC131" i="6"/>
  <c r="AC174" i="6" s="1"/>
  <c r="V168" i="6"/>
  <c r="U168" i="6"/>
  <c r="U132" i="6"/>
  <c r="V132" i="6"/>
  <c r="U186" i="6"/>
  <c r="U135" i="6"/>
  <c r="V135" i="6" s="1"/>
  <c r="U189" i="6"/>
  <c r="U153" i="6"/>
  <c r="U188" i="6"/>
  <c r="V188" i="6" s="1"/>
  <c r="W188" i="6" s="1"/>
  <c r="U196" i="6"/>
  <c r="U191" i="6"/>
  <c r="U77" i="6"/>
  <c r="U233" i="6"/>
  <c r="U236" i="6" s="1"/>
  <c r="U49" i="6"/>
  <c r="U262" i="6"/>
  <c r="U66" i="6"/>
  <c r="U69" i="6" s="1"/>
  <c r="T261" i="6"/>
  <c r="T244" i="6"/>
  <c r="T246" i="6" s="1"/>
  <c r="T235" i="6"/>
  <c r="T234" i="6"/>
  <c r="T232" i="6"/>
  <c r="T231" i="6"/>
  <c r="T230" i="6"/>
  <c r="T219" i="6"/>
  <c r="T218" i="6"/>
  <c r="T208" i="6"/>
  <c r="T205" i="6"/>
  <c r="T221" i="6" s="1"/>
  <c r="AC221" i="6" s="1"/>
  <c r="T203" i="6"/>
  <c r="T202" i="6"/>
  <c r="T201" i="6"/>
  <c r="T195" i="6"/>
  <c r="T194" i="6"/>
  <c r="T191" i="6"/>
  <c r="T181" i="6"/>
  <c r="T120" i="6"/>
  <c r="T110" i="6"/>
  <c r="AC110" i="6" s="1"/>
  <c r="AC97" i="6" s="1"/>
  <c r="T98" i="6"/>
  <c r="T86" i="6"/>
  <c r="AC86" i="6" s="1"/>
  <c r="AC77" i="6" s="1"/>
  <c r="T78" i="6"/>
  <c r="T53" i="6"/>
  <c r="T50" i="6"/>
  <c r="T44" i="6"/>
  <c r="T49" i="6" s="1"/>
  <c r="T23" i="6"/>
  <c r="T20" i="6"/>
  <c r="Q10" i="9" l="1"/>
  <c r="O14" i="9"/>
  <c r="N9" i="9"/>
  <c r="AC192" i="6"/>
  <c r="W132" i="6"/>
  <c r="W168" i="6"/>
  <c r="AC213" i="6"/>
  <c r="AC237" i="6"/>
  <c r="AC238" i="6" s="1"/>
  <c r="AC225" i="6"/>
  <c r="AC226" i="6" s="1"/>
  <c r="W135" i="6"/>
  <c r="V189" i="6"/>
  <c r="W189" i="6" s="1"/>
  <c r="V153" i="6"/>
  <c r="V174" i="6" s="1"/>
  <c r="V186" i="6"/>
  <c r="U72" i="6"/>
  <c r="U200" i="6" s="1"/>
  <c r="U204" i="6" s="1"/>
  <c r="U212" i="6" s="1"/>
  <c r="U213" i="6" s="1"/>
  <c r="T233" i="6"/>
  <c r="T236" i="6" s="1"/>
  <c r="T77" i="6"/>
  <c r="T51" i="6"/>
  <c r="T52" i="6" s="1"/>
  <c r="T262" i="6"/>
  <c r="T196" i="6"/>
  <c r="T97" i="6"/>
  <c r="P14" i="9" l="1"/>
  <c r="O9" i="9"/>
  <c r="R10" i="9"/>
  <c r="V191" i="6"/>
  <c r="W186" i="6"/>
  <c r="W191" i="6" s="1"/>
  <c r="W153" i="6"/>
  <c r="W174" i="6" s="1"/>
  <c r="V192" i="6"/>
  <c r="U73" i="6"/>
  <c r="U131" i="6"/>
  <c r="U174" i="6" s="1"/>
  <c r="U192" i="6" s="1"/>
  <c r="U217" i="6"/>
  <c r="U225" i="6" s="1"/>
  <c r="U226" i="6" s="1"/>
  <c r="T66" i="6"/>
  <c r="T69" i="6" s="1"/>
  <c r="T72" i="6" s="1"/>
  <c r="T200" i="6" s="1"/>
  <c r="T204" i="6" s="1"/>
  <c r="T212" i="6" s="1"/>
  <c r="AB260" i="6"/>
  <c r="AB259" i="6"/>
  <c r="AB258" i="6"/>
  <c r="AB257" i="6"/>
  <c r="AB256" i="6"/>
  <c r="AB255" i="6"/>
  <c r="AB254" i="6"/>
  <c r="S249" i="6"/>
  <c r="AB249" i="6" s="1"/>
  <c r="AB250" i="6"/>
  <c r="AB248" i="6"/>
  <c r="AB245" i="6"/>
  <c r="AB242" i="6"/>
  <c r="AB224" i="6"/>
  <c r="AB223" i="6"/>
  <c r="AB222" i="6"/>
  <c r="AB220" i="6"/>
  <c r="AB211" i="6"/>
  <c r="AB210" i="6"/>
  <c r="AB209" i="6"/>
  <c r="AB207" i="6"/>
  <c r="AB189" i="6"/>
  <c r="AB188" i="6"/>
  <c r="AB186" i="6"/>
  <c r="AB168" i="6"/>
  <c r="AB153" i="6"/>
  <c r="AB135" i="6"/>
  <c r="AB132" i="6"/>
  <c r="S10" i="9" l="1"/>
  <c r="Q14" i="9"/>
  <c r="P9" i="9"/>
  <c r="W192" i="6"/>
  <c r="T213" i="6"/>
  <c r="W237" i="6"/>
  <c r="W238" i="6" s="1"/>
  <c r="T217" i="6"/>
  <c r="T225" i="6" s="1"/>
  <c r="T226" i="6" s="1"/>
  <c r="T131" i="6"/>
  <c r="T174" i="6" s="1"/>
  <c r="T192" i="6" s="1"/>
  <c r="T73" i="6"/>
  <c r="S134" i="6"/>
  <c r="AB127" i="6"/>
  <c r="AB126" i="6"/>
  <c r="AB125" i="6"/>
  <c r="AB124" i="6"/>
  <c r="AB122" i="6"/>
  <c r="AB121" i="6"/>
  <c r="AB119" i="6"/>
  <c r="AB118" i="6"/>
  <c r="AB117" i="6"/>
  <c r="AB116" i="6"/>
  <c r="AB115" i="6"/>
  <c r="AB114" i="6"/>
  <c r="AB113" i="6"/>
  <c r="AB112" i="6"/>
  <c r="AB111" i="6"/>
  <c r="AB109" i="6"/>
  <c r="AB108" i="6"/>
  <c r="AB107" i="6"/>
  <c r="AB106" i="6"/>
  <c r="AB105" i="6"/>
  <c r="AB104" i="6"/>
  <c r="AB231" i="6" s="1"/>
  <c r="AB103" i="6"/>
  <c r="AB102" i="6"/>
  <c r="AB101" i="6"/>
  <c r="AB100" i="6"/>
  <c r="AB99" i="6"/>
  <c r="AB95" i="6"/>
  <c r="AB94" i="6"/>
  <c r="AB93" i="6"/>
  <c r="AB92" i="6"/>
  <c r="AB91" i="6"/>
  <c r="AB90" i="6"/>
  <c r="AB89" i="6"/>
  <c r="AB88" i="6"/>
  <c r="AB87" i="6"/>
  <c r="AB85" i="6"/>
  <c r="AB84" i="6"/>
  <c r="AB83" i="6"/>
  <c r="AB82" i="6"/>
  <c r="AB81" i="6"/>
  <c r="AB80" i="6"/>
  <c r="AB235" i="6" s="1"/>
  <c r="AB79" i="6"/>
  <c r="AB71" i="6"/>
  <c r="AB70" i="6"/>
  <c r="AB68" i="6"/>
  <c r="AB67" i="6"/>
  <c r="AB65" i="6"/>
  <c r="AB64" i="6"/>
  <c r="AB63" i="6"/>
  <c r="AB61" i="6"/>
  <c r="AB60" i="6"/>
  <c r="AB205" i="6" s="1"/>
  <c r="AB59" i="6"/>
  <c r="AB58" i="6"/>
  <c r="AB57" i="6"/>
  <c r="AB56" i="6"/>
  <c r="AB55" i="6"/>
  <c r="AB54" i="6"/>
  <c r="AB48" i="6"/>
  <c r="AB47" i="6"/>
  <c r="AB46" i="6"/>
  <c r="AB45" i="6"/>
  <c r="AB43" i="6"/>
  <c r="AB42" i="6"/>
  <c r="AB41" i="6"/>
  <c r="AB31" i="6"/>
  <c r="AB30" i="6"/>
  <c r="AB29" i="6"/>
  <c r="AB28" i="6"/>
  <c r="AB27" i="6"/>
  <c r="AB26" i="6"/>
  <c r="AB37" i="6"/>
  <c r="AB36" i="6"/>
  <c r="AB35" i="6"/>
  <c r="AB22" i="6"/>
  <c r="AB19" i="6"/>
  <c r="AB17" i="6"/>
  <c r="AB16" i="6"/>
  <c r="AB13" i="6"/>
  <c r="AB12" i="6"/>
  <c r="AB261" i="6"/>
  <c r="AB243" i="6"/>
  <c r="AB244" i="6" s="1"/>
  <c r="AB246" i="6" s="1"/>
  <c r="AB218" i="6"/>
  <c r="AB219" i="6"/>
  <c r="AB208" i="6"/>
  <c r="AB191" i="6"/>
  <c r="AB181" i="6"/>
  <c r="S261" i="6"/>
  <c r="S244" i="6"/>
  <c r="S246" i="6" s="1"/>
  <c r="S235" i="6"/>
  <c r="S234" i="6"/>
  <c r="S232" i="6"/>
  <c r="S231" i="6"/>
  <c r="S230" i="6"/>
  <c r="S219" i="6"/>
  <c r="S218" i="6"/>
  <c r="S208" i="6"/>
  <c r="S205" i="6"/>
  <c r="S221" i="6" s="1"/>
  <c r="S203" i="6"/>
  <c r="S202" i="6"/>
  <c r="S201" i="6"/>
  <c r="S195" i="6"/>
  <c r="S194" i="6"/>
  <c r="S123" i="6"/>
  <c r="S120" i="6" s="1"/>
  <c r="S110" i="6"/>
  <c r="AB110" i="6" s="1"/>
  <c r="S98" i="6"/>
  <c r="S86" i="6"/>
  <c r="AB86" i="6" s="1"/>
  <c r="S78" i="6"/>
  <c r="S53" i="6"/>
  <c r="S50" i="6"/>
  <c r="S44" i="6"/>
  <c r="S49" i="6" s="1"/>
  <c r="S23" i="6"/>
  <c r="S20" i="6"/>
  <c r="R14" i="9" l="1"/>
  <c r="Q9" i="9"/>
  <c r="T10" i="9"/>
  <c r="AB234" i="6"/>
  <c r="AC194" i="6"/>
  <c r="AC196" i="6" s="1"/>
  <c r="S196" i="6"/>
  <c r="AB201" i="6"/>
  <c r="AB123" i="6"/>
  <c r="AB23" i="6"/>
  <c r="AB232" i="6"/>
  <c r="AB98" i="6"/>
  <c r="S77" i="6"/>
  <c r="AB120" i="6"/>
  <c r="AB230" i="6"/>
  <c r="AB233" i="6" s="1"/>
  <c r="AB236" i="6" s="1"/>
  <c r="AB78" i="6"/>
  <c r="AB77" i="6" s="1"/>
  <c r="AB203" i="6"/>
  <c r="AB50" i="6"/>
  <c r="AB44" i="6"/>
  <c r="AB49" i="6" s="1"/>
  <c r="S51" i="6"/>
  <c r="S52" i="6" s="1"/>
  <c r="AB20" i="6"/>
  <c r="AB202" i="6"/>
  <c r="AB195" i="6"/>
  <c r="S97" i="6"/>
  <c r="S233" i="6"/>
  <c r="S236" i="6" s="1"/>
  <c r="S262" i="6"/>
  <c r="R185" i="6"/>
  <c r="R184" i="6"/>
  <c r="R183" i="6"/>
  <c r="R169" i="6"/>
  <c r="U10" i="9" l="1"/>
  <c r="S14" i="9"/>
  <c r="R9" i="9"/>
  <c r="S185" i="6"/>
  <c r="S184" i="6"/>
  <c r="S169" i="6"/>
  <c r="S183" i="6"/>
  <c r="AB262" i="6"/>
  <c r="AB97" i="6"/>
  <c r="AB51" i="6"/>
  <c r="AB52" i="6" s="1"/>
  <c r="S66" i="6"/>
  <c r="S69" i="6" s="1"/>
  <c r="S72" i="6" s="1"/>
  <c r="S131" i="6" s="1"/>
  <c r="R195" i="6"/>
  <c r="R194" i="6"/>
  <c r="T14" i="9" l="1"/>
  <c r="S9" i="9"/>
  <c r="V10" i="9"/>
  <c r="S217" i="6"/>
  <c r="S225" i="6" s="1"/>
  <c r="S226" i="6" s="1"/>
  <c r="S73" i="6"/>
  <c r="S200" i="6"/>
  <c r="S204" i="6" s="1"/>
  <c r="S212" i="6" s="1"/>
  <c r="R249" i="6"/>
  <c r="R248" i="6"/>
  <c r="R208" i="6"/>
  <c r="R205" i="6"/>
  <c r="R203" i="6"/>
  <c r="R202" i="6"/>
  <c r="R201" i="6"/>
  <c r="R62" i="6"/>
  <c r="W10" i="9" l="1"/>
  <c r="U14" i="9"/>
  <c r="T9" i="9"/>
  <c r="S213" i="6"/>
  <c r="V237" i="6"/>
  <c r="V238" i="6" s="1"/>
  <c r="R261" i="6"/>
  <c r="R244" i="6"/>
  <c r="R246" i="6" s="1"/>
  <c r="R235" i="6"/>
  <c r="R234" i="6"/>
  <c r="R232" i="6"/>
  <c r="R231" i="6"/>
  <c r="R230" i="6"/>
  <c r="R221" i="6"/>
  <c r="R219" i="6"/>
  <c r="R218" i="6"/>
  <c r="R196" i="6"/>
  <c r="R123" i="6"/>
  <c r="R120" i="6" s="1"/>
  <c r="R110" i="6"/>
  <c r="R98" i="6"/>
  <c r="R86" i="6"/>
  <c r="R78" i="6"/>
  <c r="R53" i="6"/>
  <c r="R50" i="6"/>
  <c r="R44" i="6"/>
  <c r="R23" i="6"/>
  <c r="R20" i="6"/>
  <c r="V14" i="9" l="1"/>
  <c r="U9" i="9"/>
  <c r="R51" i="6"/>
  <c r="R52" i="6" s="1"/>
  <c r="R233" i="6"/>
  <c r="R236" i="6" s="1"/>
  <c r="R49" i="6"/>
  <c r="R77" i="6"/>
  <c r="R262" i="6"/>
  <c r="R97" i="6"/>
  <c r="Q163" i="6"/>
  <c r="Q161" i="6"/>
  <c r="Q157" i="6"/>
  <c r="Q152" i="6"/>
  <c r="Q151" i="6"/>
  <c r="Q142" i="6"/>
  <c r="P153" i="6"/>
  <c r="W14" i="9" l="1"/>
  <c r="W9" i="9" s="1"/>
  <c r="V9" i="9"/>
  <c r="R66" i="6"/>
  <c r="R69" i="6" s="1"/>
  <c r="R72" i="6" s="1"/>
  <c r="R73" i="6" s="1"/>
  <c r="R157" i="6"/>
  <c r="S157" i="6" s="1"/>
  <c r="R142" i="6"/>
  <c r="S142" i="6" s="1"/>
  <c r="R161" i="6"/>
  <c r="S161" i="6" s="1"/>
  <c r="R151" i="6"/>
  <c r="S151" i="6" s="1"/>
  <c r="R163" i="6"/>
  <c r="S163" i="6" s="1"/>
  <c r="R152" i="6"/>
  <c r="S152" i="6" s="1"/>
  <c r="R131" i="6" l="1"/>
  <c r="R200" i="6"/>
  <c r="R204" i="6" s="1"/>
  <c r="R212" i="6" s="1"/>
  <c r="U237" i="6" s="1"/>
  <c r="U238" i="6" s="1"/>
  <c r="R217" i="6"/>
  <c r="R225" i="6" s="1"/>
  <c r="R226" i="6" s="1"/>
  <c r="Q249" i="6"/>
  <c r="R213" i="6" l="1"/>
  <c r="Q62" i="6"/>
  <c r="AB62" i="6" s="1"/>
  <c r="AB53" i="6" s="1"/>
  <c r="AB66" i="6" s="1"/>
  <c r="AB69" i="6" s="1"/>
  <c r="AB72" i="6" s="1"/>
  <c r="AB200" i="6" l="1"/>
  <c r="AB204" i="6" s="1"/>
  <c r="AB212" i="6" s="1"/>
  <c r="AB131" i="6"/>
  <c r="AB174" i="6" s="1"/>
  <c r="AB192" i="6" s="1"/>
  <c r="AB217" i="6"/>
  <c r="AB73" i="6"/>
  <c r="Q180" i="6"/>
  <c r="Q178" i="6"/>
  <c r="Q165" i="6"/>
  <c r="Q168" i="6"/>
  <c r="Q172" i="6"/>
  <c r="AB213" i="6" l="1"/>
  <c r="AB237" i="6"/>
  <c r="AB238" i="6" s="1"/>
  <c r="R180" i="6"/>
  <c r="S180" i="6" s="1"/>
  <c r="R172" i="6"/>
  <c r="S172" i="6" s="1"/>
  <c r="R168" i="6"/>
  <c r="S168" i="6" s="1"/>
  <c r="R178" i="6"/>
  <c r="S178" i="6" s="1"/>
  <c r="R165" i="6"/>
  <c r="S165" i="6" s="1"/>
  <c r="Q136" i="6"/>
  <c r="Q150" i="6"/>
  <c r="Q149" i="6"/>
  <c r="Q148" i="6"/>
  <c r="Q147" i="6"/>
  <c r="Q146" i="6"/>
  <c r="Q145" i="6"/>
  <c r="Q144" i="6"/>
  <c r="Q143" i="6"/>
  <c r="Q141" i="6"/>
  <c r="Q140" i="6"/>
  <c r="Q139" i="6"/>
  <c r="Q138" i="6"/>
  <c r="Q137" i="6"/>
  <c r="Q155" i="6"/>
  <c r="Q162" i="6"/>
  <c r="Q160" i="6"/>
  <c r="Q159" i="6"/>
  <c r="Q158" i="6"/>
  <c r="Q171" i="6"/>
  <c r="Q170" i="6"/>
  <c r="Q167" i="6"/>
  <c r="Q166" i="6"/>
  <c r="Q173" i="6"/>
  <c r="Q179" i="6"/>
  <c r="Q177" i="6"/>
  <c r="Q176" i="6"/>
  <c r="M191" i="6"/>
  <c r="K191" i="6"/>
  <c r="J191" i="6"/>
  <c r="I191" i="6"/>
  <c r="G191" i="6"/>
  <c r="F191" i="6"/>
  <c r="E191" i="6"/>
  <c r="D191" i="6"/>
  <c r="Q190" i="6"/>
  <c r="Q187" i="6"/>
  <c r="Q133" i="6"/>
  <c r="Q261" i="6"/>
  <c r="Q244" i="6"/>
  <c r="Q246" i="6" s="1"/>
  <c r="Q235" i="6"/>
  <c r="Q234" i="6"/>
  <c r="Q232" i="6"/>
  <c r="Q231" i="6"/>
  <c r="Q230" i="6"/>
  <c r="Q219" i="6"/>
  <c r="Q218" i="6"/>
  <c r="Q208" i="6"/>
  <c r="Q205" i="6"/>
  <c r="Q221" i="6" s="1"/>
  <c r="Q203" i="6"/>
  <c r="Q202" i="6"/>
  <c r="Q201" i="6"/>
  <c r="Q195" i="6"/>
  <c r="Q194" i="6"/>
  <c r="Q123" i="6"/>
  <c r="Q120" i="6" s="1"/>
  <c r="Q110" i="6"/>
  <c r="Q98" i="6"/>
  <c r="Q86" i="6"/>
  <c r="Q78" i="6"/>
  <c r="Q53" i="6"/>
  <c r="Q50" i="6"/>
  <c r="Q44" i="6"/>
  <c r="Q23" i="6"/>
  <c r="Q20" i="6"/>
  <c r="R176" i="6" l="1"/>
  <c r="S176" i="6" s="1"/>
  <c r="R166" i="6"/>
  <c r="S166" i="6" s="1"/>
  <c r="R158" i="6"/>
  <c r="S158" i="6" s="1"/>
  <c r="R155" i="6"/>
  <c r="S155" i="6" s="1"/>
  <c r="R140" i="6"/>
  <c r="S140" i="6" s="1"/>
  <c r="R145" i="6"/>
  <c r="S145" i="6" s="1"/>
  <c r="R149" i="6"/>
  <c r="S149" i="6" s="1"/>
  <c r="R171" i="6"/>
  <c r="S171" i="6" s="1"/>
  <c r="R139" i="6"/>
  <c r="S139" i="6" s="1"/>
  <c r="R148" i="6"/>
  <c r="S148" i="6" s="1"/>
  <c r="R133" i="6"/>
  <c r="S133" i="6" s="1"/>
  <c r="R177" i="6"/>
  <c r="S177" i="6" s="1"/>
  <c r="R167" i="6"/>
  <c r="S167" i="6" s="1"/>
  <c r="R159" i="6"/>
  <c r="S159" i="6" s="1"/>
  <c r="R137" i="6"/>
  <c r="S137" i="6" s="1"/>
  <c r="R141" i="6"/>
  <c r="S141" i="6" s="1"/>
  <c r="R146" i="6"/>
  <c r="S146" i="6" s="1"/>
  <c r="R150" i="6"/>
  <c r="S150" i="6" s="1"/>
  <c r="R190" i="6"/>
  <c r="S190" i="6" s="1"/>
  <c r="R173" i="6"/>
  <c r="S173" i="6" s="1"/>
  <c r="R162" i="6"/>
  <c r="S162" i="6" s="1"/>
  <c r="R144" i="6"/>
  <c r="S144" i="6" s="1"/>
  <c r="R187" i="6"/>
  <c r="S187" i="6" s="1"/>
  <c r="R179" i="6"/>
  <c r="S179" i="6" s="1"/>
  <c r="R170" i="6"/>
  <c r="S170" i="6" s="1"/>
  <c r="R160" i="6"/>
  <c r="S160" i="6" s="1"/>
  <c r="R138" i="6"/>
  <c r="S138" i="6" s="1"/>
  <c r="R143" i="6"/>
  <c r="S143" i="6" s="1"/>
  <c r="R147" i="6"/>
  <c r="S147" i="6" s="1"/>
  <c r="R136" i="6"/>
  <c r="S136" i="6" s="1"/>
  <c r="Q181" i="6"/>
  <c r="Q196" i="6"/>
  <c r="Q77" i="6"/>
  <c r="Q51" i="6"/>
  <c r="Q66" i="6" s="1"/>
  <c r="Q69" i="6" s="1"/>
  <c r="Q72" i="6" s="1"/>
  <c r="Q97" i="6"/>
  <c r="Q233" i="6"/>
  <c r="Q236" i="6" s="1"/>
  <c r="Q262" i="6"/>
  <c r="Q49" i="6"/>
  <c r="R181" i="6" l="1"/>
  <c r="S181" i="6"/>
  <c r="Q52" i="6"/>
  <c r="Q131" i="6"/>
  <c r="Q200" i="6"/>
  <c r="Q204" i="6" s="1"/>
  <c r="Q212" i="6" s="1"/>
  <c r="T237" i="6" s="1"/>
  <c r="T238" i="6" s="1"/>
  <c r="Q217" i="6"/>
  <c r="Q225" i="6" s="1"/>
  <c r="Q226" i="6" s="1"/>
  <c r="Q73" i="6"/>
  <c r="Q213" i="6" l="1"/>
  <c r="P135" i="6" l="1"/>
  <c r="P188" i="6"/>
  <c r="P189" i="6"/>
  <c r="P186" i="6"/>
  <c r="Q153" i="6"/>
  <c r="P132" i="6"/>
  <c r="P249" i="6"/>
  <c r="Q189" i="6" l="1"/>
  <c r="Q132" i="6"/>
  <c r="Q188" i="6"/>
  <c r="R153" i="6"/>
  <c r="S153" i="6" s="1"/>
  <c r="Q135" i="6"/>
  <c r="R135" i="6" s="1"/>
  <c r="Q186" i="6"/>
  <c r="P191" i="6"/>
  <c r="AA126" i="6"/>
  <c r="Z126" i="6"/>
  <c r="Y126" i="6"/>
  <c r="P86" i="6"/>
  <c r="P15" i="6"/>
  <c r="AB15" i="6" s="1"/>
  <c r="P11" i="6"/>
  <c r="AB11" i="6" s="1"/>
  <c r="P261" i="6"/>
  <c r="P244" i="6"/>
  <c r="P246" i="6" s="1"/>
  <c r="P235" i="6"/>
  <c r="P234" i="6"/>
  <c r="P232" i="6"/>
  <c r="P231" i="6"/>
  <c r="P230" i="6"/>
  <c r="P219" i="6"/>
  <c r="P218" i="6"/>
  <c r="P208" i="6"/>
  <c r="P205" i="6"/>
  <c r="P221" i="6" s="1"/>
  <c r="AB221" i="6" s="1"/>
  <c r="AB225" i="6" s="1"/>
  <c r="AB226" i="6" s="1"/>
  <c r="P203" i="6"/>
  <c r="P202" i="6"/>
  <c r="P201" i="6"/>
  <c r="P195" i="6"/>
  <c r="P194" i="6"/>
  <c r="P181" i="6"/>
  <c r="P123" i="6"/>
  <c r="P120" i="6" s="1"/>
  <c r="P110" i="6"/>
  <c r="P98" i="6"/>
  <c r="P78" i="6"/>
  <c r="P53" i="6"/>
  <c r="P50" i="6"/>
  <c r="P44" i="6"/>
  <c r="P23" i="6"/>
  <c r="P20" i="6"/>
  <c r="S135" i="6" l="1"/>
  <c r="Q174" i="6"/>
  <c r="R188" i="6"/>
  <c r="R189" i="6"/>
  <c r="S189" i="6" s="1"/>
  <c r="R132" i="6"/>
  <c r="R186" i="6"/>
  <c r="P77" i="6"/>
  <c r="Q191" i="6"/>
  <c r="P196" i="6"/>
  <c r="P51" i="6"/>
  <c r="P52" i="6" s="1"/>
  <c r="P97" i="6"/>
  <c r="P233" i="6"/>
  <c r="P236" i="6" s="1"/>
  <c r="P49" i="6"/>
  <c r="P262" i="6"/>
  <c r="Q192" i="6" l="1"/>
  <c r="S188" i="6"/>
  <c r="R174" i="6"/>
  <c r="S132" i="6"/>
  <c r="S174" i="6" s="1"/>
  <c r="R191" i="6"/>
  <c r="S186" i="6"/>
  <c r="P66" i="6"/>
  <c r="P69" i="6" s="1"/>
  <c r="P72" i="6" s="1"/>
  <c r="P217" i="6" s="1"/>
  <c r="P225" i="6" s="1"/>
  <c r="P226" i="6" s="1"/>
  <c r="S191" i="6" l="1"/>
  <c r="R192" i="6"/>
  <c r="P73" i="6"/>
  <c r="S192" i="6"/>
  <c r="P131" i="6"/>
  <c r="P174" i="6" s="1"/>
  <c r="P200" i="6"/>
  <c r="P204" i="6" s="1"/>
  <c r="P212" i="6" s="1"/>
  <c r="S237" i="6" s="1"/>
  <c r="S238" i="6" s="1"/>
  <c r="P192" i="6" l="1"/>
  <c r="P213" i="6"/>
  <c r="AA222" i="6"/>
  <c r="AA223" i="6"/>
  <c r="O203" i="6"/>
  <c r="AA22" i="6" l="1"/>
  <c r="Z22" i="6"/>
  <c r="Y22" i="6"/>
  <c r="AA19" i="6"/>
  <c r="Z19" i="6"/>
  <c r="Y19" i="6"/>
  <c r="O62" i="6"/>
  <c r="AA188" i="6"/>
  <c r="AA189" i="6"/>
  <c r="AA186" i="6"/>
  <c r="AA183" i="6"/>
  <c r="AA135" i="6"/>
  <c r="AA132" i="6"/>
  <c r="AA191" i="6" l="1"/>
  <c r="O195" i="6"/>
  <c r="O194" i="6"/>
  <c r="O123" i="6" l="1"/>
  <c r="AA37" i="6" l="1"/>
  <c r="AA36" i="6"/>
  <c r="AA35" i="6"/>
  <c r="AA31" i="6"/>
  <c r="AA30" i="6"/>
  <c r="AA29" i="6"/>
  <c r="AA28" i="6"/>
  <c r="AA27" i="6"/>
  <c r="AA26" i="6"/>
  <c r="AA17" i="6"/>
  <c r="AA16" i="6"/>
  <c r="AA15" i="6"/>
  <c r="AA13" i="6"/>
  <c r="AA12" i="6"/>
  <c r="AA11" i="6"/>
  <c r="AA71" i="6"/>
  <c r="AA70" i="6"/>
  <c r="AA68" i="6"/>
  <c r="AA67" i="6"/>
  <c r="AA65" i="6"/>
  <c r="AA64" i="6"/>
  <c r="AA63" i="6"/>
  <c r="AA62" i="6"/>
  <c r="AA61" i="6"/>
  <c r="AA60" i="6"/>
  <c r="AA59" i="6"/>
  <c r="AA58" i="6"/>
  <c r="AA57" i="6"/>
  <c r="AA56" i="6"/>
  <c r="AA55" i="6"/>
  <c r="AA54" i="6"/>
  <c r="AA48" i="6"/>
  <c r="AA47" i="6"/>
  <c r="AA46" i="6"/>
  <c r="AA45" i="6"/>
  <c r="AA43" i="6"/>
  <c r="AA42" i="6"/>
  <c r="AA41" i="6"/>
  <c r="AA85" i="6"/>
  <c r="AA84" i="6"/>
  <c r="AA83" i="6"/>
  <c r="AA82" i="6"/>
  <c r="AA81" i="6"/>
  <c r="AA80" i="6"/>
  <c r="AA235" i="6" s="1"/>
  <c r="AA79" i="6"/>
  <c r="AA95" i="6"/>
  <c r="AA94" i="6"/>
  <c r="AA93" i="6"/>
  <c r="AA92" i="6"/>
  <c r="AA91" i="6"/>
  <c r="AA90" i="6"/>
  <c r="AA89" i="6"/>
  <c r="AA88" i="6"/>
  <c r="AA87" i="6"/>
  <c r="AA109" i="6"/>
  <c r="AA108" i="6"/>
  <c r="AA107" i="6"/>
  <c r="AA106" i="6"/>
  <c r="AA105" i="6"/>
  <c r="AA104" i="6"/>
  <c r="AA103" i="6"/>
  <c r="AA102" i="6"/>
  <c r="AA101" i="6"/>
  <c r="AA100" i="6"/>
  <c r="AA99" i="6"/>
  <c r="AA119" i="6"/>
  <c r="AA118" i="6"/>
  <c r="AA117" i="6"/>
  <c r="AA116" i="6"/>
  <c r="AA115" i="6"/>
  <c r="AA114" i="6"/>
  <c r="AA113" i="6"/>
  <c r="AA112" i="6"/>
  <c r="AA111" i="6"/>
  <c r="AA127" i="6"/>
  <c r="AA125" i="6"/>
  <c r="AA124" i="6"/>
  <c r="AA122" i="6"/>
  <c r="AA121" i="6"/>
  <c r="Z149" i="6"/>
  <c r="Y149" i="6"/>
  <c r="AA181" i="6"/>
  <c r="AA211" i="6"/>
  <c r="AA219" i="6" s="1"/>
  <c r="AA210" i="6"/>
  <c r="AA209" i="6"/>
  <c r="AA218" i="6" s="1"/>
  <c r="AA207" i="6"/>
  <c r="AA220" i="6"/>
  <c r="AA245" i="6"/>
  <c r="AA243" i="6"/>
  <c r="AA242" i="6"/>
  <c r="AA250" i="6"/>
  <c r="AA249" i="6"/>
  <c r="AA248" i="6"/>
  <c r="AA260" i="6"/>
  <c r="AA259" i="6"/>
  <c r="AA258" i="6"/>
  <c r="AA257" i="6"/>
  <c r="AA256" i="6"/>
  <c r="AA255" i="6"/>
  <c r="AA254" i="6"/>
  <c r="AA205" i="6"/>
  <c r="AA20" i="6"/>
  <c r="O261" i="6"/>
  <c r="O244" i="6"/>
  <c r="O246" i="6" s="1"/>
  <c r="O235" i="6"/>
  <c r="O234" i="6"/>
  <c r="O232" i="6"/>
  <c r="O231" i="6"/>
  <c r="O230" i="6"/>
  <c r="O219" i="6"/>
  <c r="O218" i="6"/>
  <c r="O208" i="6"/>
  <c r="O205" i="6"/>
  <c r="O221" i="6" s="1"/>
  <c r="O202" i="6"/>
  <c r="O201" i="6"/>
  <c r="O196" i="6"/>
  <c r="O120" i="6"/>
  <c r="O110" i="6"/>
  <c r="O98" i="6"/>
  <c r="O86" i="6"/>
  <c r="O78" i="6"/>
  <c r="O53" i="6"/>
  <c r="O50" i="6"/>
  <c r="O44" i="6"/>
  <c r="O49" i="6" s="1"/>
  <c r="O23" i="6"/>
  <c r="O20" i="6"/>
  <c r="AA234" i="6" l="1"/>
  <c r="AB194" i="6"/>
  <c r="AB196" i="6" s="1"/>
  <c r="AA123" i="6"/>
  <c r="AA120" i="6" s="1"/>
  <c r="AA203" i="6"/>
  <c r="AA230" i="6"/>
  <c r="AA244" i="6"/>
  <c r="AA246" i="6" s="1"/>
  <c r="AA232" i="6"/>
  <c r="AA110" i="6"/>
  <c r="O97" i="6"/>
  <c r="AA98" i="6"/>
  <c r="O77" i="6"/>
  <c r="AA86" i="6"/>
  <c r="AA202" i="6"/>
  <c r="AA201" i="6"/>
  <c r="AA53" i="6"/>
  <c r="AA50" i="6"/>
  <c r="AA44" i="6"/>
  <c r="AA49" i="6" s="1"/>
  <c r="AA23" i="6"/>
  <c r="AA231" i="6"/>
  <c r="AA208" i="6"/>
  <c r="AA261" i="6"/>
  <c r="AA78" i="6"/>
  <c r="AA195" i="6"/>
  <c r="O233" i="6"/>
  <c r="O236" i="6" s="1"/>
  <c r="O262" i="6"/>
  <c r="O51" i="6"/>
  <c r="O52" i="6" s="1"/>
  <c r="AA51" i="6" l="1"/>
  <c r="AA52" i="6" s="1"/>
  <c r="AA262" i="6"/>
  <c r="AA233" i="6"/>
  <c r="AA236" i="6" s="1"/>
  <c r="AA97" i="6"/>
  <c r="AA77" i="6"/>
  <c r="O66" i="6"/>
  <c r="O69" i="6" s="1"/>
  <c r="O72" i="6" s="1"/>
  <c r="O200" i="6" s="1"/>
  <c r="O204" i="6" s="1"/>
  <c r="O212" i="6" s="1"/>
  <c r="R237" i="6" s="1"/>
  <c r="R238" i="6" s="1"/>
  <c r="N169" i="6"/>
  <c r="O169" i="6" s="1"/>
  <c r="N184" i="6"/>
  <c r="N185" i="6"/>
  <c r="N153" i="6"/>
  <c r="O153" i="6" s="1"/>
  <c r="N125" i="6"/>
  <c r="O184" i="6" l="1"/>
  <c r="AA66" i="6"/>
  <c r="AA69" i="6" s="1"/>
  <c r="AA72" i="6" s="1"/>
  <c r="AA200" i="6" s="1"/>
  <c r="AA204" i="6" s="1"/>
  <c r="AA212" i="6" s="1"/>
  <c r="AA237" i="6" s="1"/>
  <c r="AA238" i="6" s="1"/>
  <c r="O185" i="6"/>
  <c r="O213" i="6"/>
  <c r="O73" i="6"/>
  <c r="O131" i="6"/>
  <c r="O217" i="6"/>
  <c r="O225" i="6" s="1"/>
  <c r="O226" i="6" s="1"/>
  <c r="AA213" i="6" l="1"/>
  <c r="AA131" i="6"/>
  <c r="AA174" i="6" s="1"/>
  <c r="AA192" i="6" s="1"/>
  <c r="AA73" i="6"/>
  <c r="AA217" i="6"/>
  <c r="N190" i="6"/>
  <c r="N187" i="6"/>
  <c r="N183" i="6"/>
  <c r="N134" i="6"/>
  <c r="O134" i="6" s="1"/>
  <c r="O183" i="6" l="1"/>
  <c r="O190" i="6"/>
  <c r="O187" i="6"/>
  <c r="E14" i="6"/>
  <c r="F14" i="6" s="1"/>
  <c r="G14" i="6" s="1"/>
  <c r="H14" i="6" s="1"/>
  <c r="I14" i="6" s="1"/>
  <c r="J14" i="6" s="1"/>
  <c r="K14" i="6" s="1"/>
  <c r="L14" i="6" s="1"/>
  <c r="M14" i="6" s="1"/>
  <c r="N14" i="6" s="1"/>
  <c r="O14" i="6" s="1"/>
  <c r="P14" i="6" s="1"/>
  <c r="Q14" i="6" s="1"/>
  <c r="R14" i="6" s="1"/>
  <c r="S14" i="6" s="1"/>
  <c r="T14" i="6" s="1"/>
  <c r="U14" i="6" s="1"/>
  <c r="V14" i="6" s="1"/>
  <c r="W14" i="6" s="1"/>
  <c r="N261" i="6"/>
  <c r="N244" i="6"/>
  <c r="N246" i="6" s="1"/>
  <c r="N235" i="6"/>
  <c r="N234" i="6"/>
  <c r="N232" i="6"/>
  <c r="N231" i="6"/>
  <c r="N230" i="6"/>
  <c r="N224" i="6"/>
  <c r="N219" i="6"/>
  <c r="N218" i="6"/>
  <c r="N208" i="6"/>
  <c r="N205" i="6"/>
  <c r="N221" i="6" s="1"/>
  <c r="N203" i="6"/>
  <c r="N202" i="6"/>
  <c r="N201" i="6"/>
  <c r="N195" i="6"/>
  <c r="N194" i="6"/>
  <c r="N123" i="6"/>
  <c r="N120" i="6" s="1"/>
  <c r="N110" i="6"/>
  <c r="N98" i="6"/>
  <c r="N86" i="6"/>
  <c r="N78" i="6"/>
  <c r="N53" i="6"/>
  <c r="N50" i="6"/>
  <c r="N44" i="6"/>
  <c r="N23" i="6"/>
  <c r="N20" i="6"/>
  <c r="N196" i="6" l="1"/>
  <c r="N51" i="6"/>
  <c r="N52" i="6" s="1"/>
  <c r="N77" i="6"/>
  <c r="N233" i="6"/>
  <c r="N236" i="6" s="1"/>
  <c r="N97" i="6"/>
  <c r="N66" i="6"/>
  <c r="N69" i="6" s="1"/>
  <c r="N72" i="6" s="1"/>
  <c r="N262" i="6"/>
  <c r="N49" i="6"/>
  <c r="M244" i="6"/>
  <c r="N131" i="6" l="1"/>
  <c r="N217" i="6"/>
  <c r="N225" i="6" s="1"/>
  <c r="N226" i="6" s="1"/>
  <c r="N73" i="6"/>
  <c r="N200" i="6"/>
  <c r="N204" i="6" s="1"/>
  <c r="N212" i="6" s="1"/>
  <c r="N213" i="6" l="1"/>
  <c r="Q237" i="6"/>
  <c r="Q238" i="6" s="1"/>
  <c r="Z153" i="6"/>
  <c r="Y153" i="6"/>
  <c r="M152" i="6"/>
  <c r="M151" i="6"/>
  <c r="M150" i="6"/>
  <c r="M149" i="6"/>
  <c r="M148" i="6"/>
  <c r="M147" i="6"/>
  <c r="M146" i="6"/>
  <c r="M145" i="6"/>
  <c r="M144" i="6"/>
  <c r="M143" i="6"/>
  <c r="M142" i="6"/>
  <c r="M141" i="6"/>
  <c r="M140" i="6"/>
  <c r="M139" i="6"/>
  <c r="M138" i="6"/>
  <c r="M137" i="6"/>
  <c r="M136" i="6"/>
  <c r="M135" i="6"/>
  <c r="M133" i="6"/>
  <c r="M155" i="6"/>
  <c r="M161" i="6"/>
  <c r="M160" i="6"/>
  <c r="M159" i="6"/>
  <c r="M158" i="6"/>
  <c r="M157" i="6"/>
  <c r="M162" i="6"/>
  <c r="M163" i="6"/>
  <c r="Z169" i="6"/>
  <c r="Y169" i="6"/>
  <c r="M168" i="6"/>
  <c r="M167" i="6"/>
  <c r="M166" i="6"/>
  <c r="M165" i="6"/>
  <c r="M170" i="6"/>
  <c r="M171" i="6"/>
  <c r="M172" i="6"/>
  <c r="M173" i="6"/>
  <c r="M180" i="6"/>
  <c r="M179" i="6"/>
  <c r="M178" i="6"/>
  <c r="M177" i="6"/>
  <c r="M176" i="6"/>
  <c r="Z184" i="6"/>
  <c r="Y184" i="6"/>
  <c r="N172" i="6" l="1"/>
  <c r="O172" i="6" s="1"/>
  <c r="N166" i="6"/>
  <c r="O166" i="6" s="1"/>
  <c r="N158" i="6"/>
  <c r="O158" i="6" s="1"/>
  <c r="N137" i="6"/>
  <c r="O137" i="6" s="1"/>
  <c r="N141" i="6"/>
  <c r="O141" i="6" s="1"/>
  <c r="N145" i="6"/>
  <c r="O145" i="6" s="1"/>
  <c r="N149" i="6"/>
  <c r="O149" i="6" s="1"/>
  <c r="N171" i="6"/>
  <c r="O171" i="6" s="1"/>
  <c r="N167" i="6"/>
  <c r="O167" i="6" s="1"/>
  <c r="N163" i="6"/>
  <c r="O163" i="6" s="1"/>
  <c r="N159" i="6"/>
  <c r="O159" i="6" s="1"/>
  <c r="N133" i="6"/>
  <c r="O133" i="6" s="1"/>
  <c r="N138" i="6"/>
  <c r="O138" i="6" s="1"/>
  <c r="N142" i="6"/>
  <c r="O142" i="6" s="1"/>
  <c r="N146" i="6"/>
  <c r="O146" i="6" s="1"/>
  <c r="N150" i="6"/>
  <c r="O150" i="6" s="1"/>
  <c r="N176" i="6"/>
  <c r="O176" i="6" s="1"/>
  <c r="N180" i="6"/>
  <c r="O180" i="6" s="1"/>
  <c r="N170" i="6"/>
  <c r="O170" i="6" s="1"/>
  <c r="N168" i="6"/>
  <c r="O168" i="6" s="1"/>
  <c r="N162" i="6"/>
  <c r="O162" i="6" s="1"/>
  <c r="N135" i="6"/>
  <c r="O135" i="6" s="1"/>
  <c r="N139" i="6"/>
  <c r="O139" i="6" s="1"/>
  <c r="N143" i="6"/>
  <c r="O143" i="6" s="1"/>
  <c r="N147" i="6"/>
  <c r="O147" i="6" s="1"/>
  <c r="N151" i="6"/>
  <c r="O151" i="6" s="1"/>
  <c r="N177" i="6"/>
  <c r="O177" i="6" s="1"/>
  <c r="N173" i="6"/>
  <c r="O173" i="6" s="1"/>
  <c r="N165" i="6"/>
  <c r="O165" i="6" s="1"/>
  <c r="N161" i="6"/>
  <c r="O161" i="6" s="1"/>
  <c r="N136" i="6"/>
  <c r="O136" i="6" s="1"/>
  <c r="N140" i="6"/>
  <c r="O140" i="6" s="1"/>
  <c r="N144" i="6"/>
  <c r="O144" i="6" s="1"/>
  <c r="N148" i="6"/>
  <c r="O148" i="6" s="1"/>
  <c r="N152" i="6"/>
  <c r="O152" i="6" s="1"/>
  <c r="N157" i="6"/>
  <c r="N178" i="6"/>
  <c r="N155" i="6"/>
  <c r="N160" i="6"/>
  <c r="N179" i="6"/>
  <c r="L230" i="6"/>
  <c r="K230" i="6"/>
  <c r="J230" i="6"/>
  <c r="I230" i="6"/>
  <c r="H230" i="6"/>
  <c r="G230" i="6"/>
  <c r="F230" i="6"/>
  <c r="E230" i="6"/>
  <c r="D230" i="6"/>
  <c r="M230" i="6"/>
  <c r="M121" i="6"/>
  <c r="Z107" i="6"/>
  <c r="Y107" i="6"/>
  <c r="L244" i="6"/>
  <c r="N181" i="6" l="1"/>
  <c r="O160" i="6"/>
  <c r="O178" i="6"/>
  <c r="O179" i="6"/>
  <c r="O155" i="6"/>
  <c r="O157" i="6"/>
  <c r="M261" i="6"/>
  <c r="M246" i="6"/>
  <c r="M235" i="6"/>
  <c r="M234" i="6"/>
  <c r="M232" i="6"/>
  <c r="M231" i="6"/>
  <c r="M224" i="6"/>
  <c r="M219" i="6"/>
  <c r="M218" i="6"/>
  <c r="M208" i="6"/>
  <c r="M205" i="6"/>
  <c r="M221" i="6" s="1"/>
  <c r="M203" i="6"/>
  <c r="M202" i="6"/>
  <c r="M201" i="6"/>
  <c r="M195" i="6"/>
  <c r="M194" i="6"/>
  <c r="M181" i="6"/>
  <c r="M123" i="6"/>
  <c r="M120" i="6" s="1"/>
  <c r="M110" i="6"/>
  <c r="M98" i="6"/>
  <c r="M86" i="6"/>
  <c r="M78" i="6"/>
  <c r="M53" i="6"/>
  <c r="M50" i="6"/>
  <c r="M44" i="6"/>
  <c r="M49" i="6" s="1"/>
  <c r="M23" i="6"/>
  <c r="M20" i="6"/>
  <c r="O181" i="6" l="1"/>
  <c r="M196" i="6"/>
  <c r="M233" i="6"/>
  <c r="M236" i="6" s="1"/>
  <c r="M97" i="6"/>
  <c r="M77" i="6"/>
  <c r="M51" i="6"/>
  <c r="M52" i="6" s="1"/>
  <c r="M262" i="6"/>
  <c r="M66" i="6" l="1"/>
  <c r="M69" i="6" s="1"/>
  <c r="M72" i="6" s="1"/>
  <c r="M217" i="6" l="1"/>
  <c r="M225" i="6" s="1"/>
  <c r="M226" i="6" s="1"/>
  <c r="M200" i="6"/>
  <c r="M204" i="6" s="1"/>
  <c r="M212" i="6" s="1"/>
  <c r="M131" i="6"/>
  <c r="M73" i="6"/>
  <c r="L189" i="6"/>
  <c r="L186" i="6"/>
  <c r="L188" i="6"/>
  <c r="L132" i="6"/>
  <c r="L191" i="6" l="1"/>
  <c r="N188" i="6"/>
  <c r="N186" i="6"/>
  <c r="N189" i="6"/>
  <c r="M213" i="6"/>
  <c r="P237" i="6"/>
  <c r="P238" i="6" s="1"/>
  <c r="M132" i="6"/>
  <c r="N132" i="6" s="1"/>
  <c r="O132" i="6" s="1"/>
  <c r="O174" i="6" s="1"/>
  <c r="L203" i="6"/>
  <c r="L123" i="6"/>
  <c r="L121" i="6"/>
  <c r="L53" i="6"/>
  <c r="L261" i="6"/>
  <c r="L246" i="6"/>
  <c r="L235" i="6"/>
  <c r="L234" i="6"/>
  <c r="L232" i="6"/>
  <c r="L231" i="6"/>
  <c r="L224" i="6"/>
  <c r="AA224" i="6" s="1"/>
  <c r="L219" i="6"/>
  <c r="L218" i="6"/>
  <c r="L208" i="6"/>
  <c r="L205" i="6"/>
  <c r="L221" i="6" s="1"/>
  <c r="AA221" i="6" s="1"/>
  <c r="AA225" i="6" s="1"/>
  <c r="AA226" i="6" s="1"/>
  <c r="L202" i="6"/>
  <c r="L201" i="6"/>
  <c r="L195" i="6"/>
  <c r="L194" i="6"/>
  <c r="L181" i="6"/>
  <c r="L110" i="6"/>
  <c r="L98" i="6"/>
  <c r="L86" i="6"/>
  <c r="L78" i="6"/>
  <c r="L50" i="6"/>
  <c r="L44" i="6"/>
  <c r="L49" i="6" s="1"/>
  <c r="L23" i="6"/>
  <c r="L20" i="6"/>
  <c r="N191" i="6" l="1"/>
  <c r="O189" i="6"/>
  <c r="O186" i="6"/>
  <c r="O188" i="6"/>
  <c r="M174" i="6"/>
  <c r="M192" i="6" s="1"/>
  <c r="N174" i="6"/>
  <c r="L196" i="6"/>
  <c r="L120" i="6"/>
  <c r="L97" i="6" s="1"/>
  <c r="L233" i="6"/>
  <c r="L236" i="6" s="1"/>
  <c r="L77" i="6"/>
  <c r="L51" i="6"/>
  <c r="L52" i="6" s="1"/>
  <c r="L262" i="6"/>
  <c r="Z222" i="6"/>
  <c r="Y222" i="6"/>
  <c r="Z223" i="6"/>
  <c r="Y223" i="6"/>
  <c r="Z220" i="6"/>
  <c r="Y220" i="6"/>
  <c r="Y211" i="6"/>
  <c r="Y219" i="6" s="1"/>
  <c r="Z210" i="6"/>
  <c r="Y210" i="6"/>
  <c r="Z209" i="6"/>
  <c r="Z218" i="6" s="1"/>
  <c r="Y209" i="6"/>
  <c r="Y218" i="6" s="1"/>
  <c r="Z207" i="6"/>
  <c r="Y207" i="6"/>
  <c r="Y194" i="6"/>
  <c r="Z190" i="6"/>
  <c r="Y190" i="6"/>
  <c r="Z188" i="6"/>
  <c r="Y188" i="6"/>
  <c r="Z187" i="6"/>
  <c r="Y187" i="6"/>
  <c r="Y186" i="6"/>
  <c r="Z185" i="6"/>
  <c r="Y185" i="6"/>
  <c r="Z183" i="6"/>
  <c r="Y183" i="6"/>
  <c r="Z180" i="6"/>
  <c r="Y180" i="6"/>
  <c r="Z179" i="6"/>
  <c r="Y179" i="6"/>
  <c r="Z178" i="6"/>
  <c r="Y178" i="6"/>
  <c r="Z177" i="6"/>
  <c r="Y177" i="6"/>
  <c r="Z176" i="6"/>
  <c r="Y176" i="6"/>
  <c r="Z173" i="6"/>
  <c r="Y173" i="6"/>
  <c r="Z172" i="6"/>
  <c r="Y172" i="6"/>
  <c r="Z171" i="6"/>
  <c r="Y171" i="6"/>
  <c r="Z170" i="6"/>
  <c r="Y170" i="6"/>
  <c r="Z168" i="6"/>
  <c r="Y168" i="6"/>
  <c r="Z167" i="6"/>
  <c r="Y167" i="6"/>
  <c r="Z166" i="6"/>
  <c r="Y166" i="6"/>
  <c r="Z165" i="6"/>
  <c r="Y165" i="6"/>
  <c r="Z163" i="6"/>
  <c r="Y163" i="6"/>
  <c r="Z162" i="6"/>
  <c r="Y162" i="6"/>
  <c r="Z161" i="6"/>
  <c r="Y161" i="6"/>
  <c r="Z160" i="6"/>
  <c r="Y160" i="6"/>
  <c r="Z159" i="6"/>
  <c r="Y159" i="6"/>
  <c r="Z158" i="6"/>
  <c r="Y158" i="6"/>
  <c r="Z157" i="6"/>
  <c r="Y157" i="6"/>
  <c r="Z155" i="6"/>
  <c r="Y155" i="6"/>
  <c r="Z152" i="6"/>
  <c r="Y152" i="6"/>
  <c r="Z150" i="6"/>
  <c r="Y150" i="6"/>
  <c r="Z151" i="6"/>
  <c r="Y151" i="6"/>
  <c r="Y206" i="6" s="1"/>
  <c r="Z148" i="6"/>
  <c r="Y148" i="6"/>
  <c r="Z147" i="6"/>
  <c r="Y147" i="6"/>
  <c r="Z146" i="6"/>
  <c r="Y146" i="6"/>
  <c r="Z145" i="6"/>
  <c r="Y145" i="6"/>
  <c r="Z144" i="6"/>
  <c r="Y144" i="6"/>
  <c r="Z143" i="6"/>
  <c r="Y143" i="6"/>
  <c r="Z142" i="6"/>
  <c r="Y142" i="6"/>
  <c r="Z141" i="6"/>
  <c r="Y141" i="6"/>
  <c r="Z140" i="6"/>
  <c r="Y140" i="6"/>
  <c r="Z139" i="6"/>
  <c r="Y139" i="6"/>
  <c r="Z138" i="6"/>
  <c r="Y138" i="6"/>
  <c r="Z137" i="6"/>
  <c r="Y137" i="6"/>
  <c r="Z136" i="6"/>
  <c r="Y136" i="6"/>
  <c r="Z135" i="6"/>
  <c r="Y135" i="6"/>
  <c r="Z134" i="6"/>
  <c r="Y134" i="6"/>
  <c r="Z132" i="6"/>
  <c r="Y132" i="6"/>
  <c r="Z127" i="6"/>
  <c r="Y127" i="6"/>
  <c r="Y125" i="6"/>
  <c r="Z124" i="6"/>
  <c r="Y124" i="6"/>
  <c r="Z122" i="6"/>
  <c r="Y122" i="6"/>
  <c r="Z121" i="6"/>
  <c r="Y121" i="6"/>
  <c r="Z119" i="6"/>
  <c r="Y119" i="6"/>
  <c r="Z117" i="6"/>
  <c r="Y117" i="6"/>
  <c r="Z116" i="6"/>
  <c r="Y116" i="6"/>
  <c r="Z115" i="6"/>
  <c r="Z230" i="6" s="1"/>
  <c r="Y115" i="6"/>
  <c r="Y230" i="6" s="1"/>
  <c r="Z114" i="6"/>
  <c r="Y114" i="6"/>
  <c r="Z113" i="6"/>
  <c r="Y113" i="6"/>
  <c r="Z112" i="6"/>
  <c r="Y112" i="6"/>
  <c r="Z111" i="6"/>
  <c r="Y111" i="6"/>
  <c r="Z109" i="6"/>
  <c r="Y109" i="6"/>
  <c r="Z106" i="6"/>
  <c r="Y106" i="6"/>
  <c r="Z105" i="6"/>
  <c r="Y105" i="6"/>
  <c r="Z104" i="6"/>
  <c r="Z231" i="6" s="1"/>
  <c r="Y104" i="6"/>
  <c r="Y231" i="6" s="1"/>
  <c r="Z103" i="6"/>
  <c r="Z232" i="6" s="1"/>
  <c r="Y103" i="6"/>
  <c r="Y232" i="6" s="1"/>
  <c r="Z102" i="6"/>
  <c r="Y102" i="6"/>
  <c r="Z101" i="6"/>
  <c r="Y101" i="6"/>
  <c r="Z100" i="6"/>
  <c r="Y100" i="6"/>
  <c r="Z99" i="6"/>
  <c r="Y99" i="6"/>
  <c r="Z95" i="6"/>
  <c r="Y95" i="6"/>
  <c r="Z93" i="6"/>
  <c r="Y93" i="6"/>
  <c r="Z92" i="6"/>
  <c r="Y92" i="6"/>
  <c r="Z91" i="6"/>
  <c r="Y91" i="6"/>
  <c r="Z90" i="6"/>
  <c r="Y90" i="6"/>
  <c r="Z89" i="6"/>
  <c r="Y89" i="6"/>
  <c r="Z88" i="6"/>
  <c r="Y88" i="6"/>
  <c r="Z87" i="6"/>
  <c r="Y87" i="6"/>
  <c r="Z85" i="6"/>
  <c r="Y85" i="6"/>
  <c r="Z84" i="6"/>
  <c r="Y84" i="6"/>
  <c r="Z83" i="6"/>
  <c r="Y83" i="6"/>
  <c r="Z82" i="6"/>
  <c r="Y82" i="6"/>
  <c r="Z81" i="6"/>
  <c r="Y81" i="6"/>
  <c r="Z80" i="6"/>
  <c r="Y80" i="6"/>
  <c r="Y235" i="6" s="1"/>
  <c r="Z79" i="6"/>
  <c r="Y79" i="6"/>
  <c r="Z194" i="6" s="1"/>
  <c r="Z71" i="6"/>
  <c r="Z224" i="6" s="1"/>
  <c r="Y71" i="6"/>
  <c r="Y224" i="6" s="1"/>
  <c r="Z70" i="6"/>
  <c r="Y70" i="6"/>
  <c r="Z68" i="6"/>
  <c r="Y68" i="6"/>
  <c r="Z67" i="6"/>
  <c r="Y67" i="6"/>
  <c r="Z65" i="6"/>
  <c r="Y65" i="6"/>
  <c r="Z64" i="6"/>
  <c r="Y64" i="6"/>
  <c r="Z63" i="6"/>
  <c r="Y63" i="6"/>
  <c r="Z60" i="6"/>
  <c r="Z205" i="6" s="1"/>
  <c r="Z221" i="6" s="1"/>
  <c r="Y60" i="6"/>
  <c r="Y205" i="6" s="1"/>
  <c r="Y221" i="6" s="1"/>
  <c r="Z59" i="6"/>
  <c r="Y59" i="6"/>
  <c r="Z58" i="6"/>
  <c r="Y58" i="6"/>
  <c r="Z57" i="6"/>
  <c r="Y57" i="6"/>
  <c r="Z56" i="6"/>
  <c r="Y56" i="6"/>
  <c r="Z55" i="6"/>
  <c r="Y55" i="6"/>
  <c r="Z54" i="6"/>
  <c r="Y54" i="6"/>
  <c r="Z48" i="6"/>
  <c r="Y48" i="6"/>
  <c r="Z47" i="6"/>
  <c r="Y47" i="6"/>
  <c r="Z46" i="6"/>
  <c r="Y46" i="6"/>
  <c r="Z45" i="6"/>
  <c r="Y45" i="6"/>
  <c r="Z43" i="6"/>
  <c r="Y43" i="6"/>
  <c r="Z42" i="6"/>
  <c r="Y42" i="6"/>
  <c r="Z41" i="6"/>
  <c r="Y41" i="6"/>
  <c r="Z37" i="6"/>
  <c r="Y37" i="6"/>
  <c r="Z36" i="6"/>
  <c r="Y36" i="6"/>
  <c r="Z35" i="6"/>
  <c r="Y35" i="6"/>
  <c r="Z31" i="6"/>
  <c r="Y31" i="6"/>
  <c r="Z30" i="6"/>
  <c r="Y30" i="6"/>
  <c r="Z29" i="6"/>
  <c r="Y29" i="6"/>
  <c r="Z28" i="6"/>
  <c r="Y28" i="6"/>
  <c r="Z27" i="6"/>
  <c r="Z26" i="6"/>
  <c r="Y26" i="6"/>
  <c r="Z17" i="6"/>
  <c r="Y17" i="6"/>
  <c r="Z15" i="6"/>
  <c r="Y15" i="6"/>
  <c r="Y13" i="6"/>
  <c r="Z13" i="6"/>
  <c r="Z12" i="6"/>
  <c r="Y12" i="6"/>
  <c r="Y11" i="6"/>
  <c r="Y245" i="6"/>
  <c r="Y243" i="6"/>
  <c r="Y242" i="6"/>
  <c r="Z245" i="6"/>
  <c r="Z243" i="6"/>
  <c r="Z242" i="6"/>
  <c r="Y250" i="6"/>
  <c r="Y249" i="6"/>
  <c r="Y248" i="6"/>
  <c r="Z250" i="6"/>
  <c r="Z249" i="6"/>
  <c r="Z248" i="6"/>
  <c r="Z260" i="6"/>
  <c r="Y260" i="6"/>
  <c r="Z259" i="6"/>
  <c r="Y259" i="6"/>
  <c r="Z258" i="6"/>
  <c r="Y258" i="6"/>
  <c r="Z257" i="6"/>
  <c r="Y257" i="6"/>
  <c r="Z256" i="6"/>
  <c r="Y256" i="6"/>
  <c r="Z255" i="6"/>
  <c r="Y255" i="6"/>
  <c r="Z254" i="6"/>
  <c r="Y254" i="6"/>
  <c r="J261" i="6"/>
  <c r="H261" i="6"/>
  <c r="D261" i="6"/>
  <c r="G261" i="6"/>
  <c r="E261" i="6"/>
  <c r="K261" i="6"/>
  <c r="I261" i="6"/>
  <c r="F261" i="6"/>
  <c r="O191" i="6" l="1"/>
  <c r="O192" i="6" s="1"/>
  <c r="Y191" i="6"/>
  <c r="N192" i="6"/>
  <c r="Z234" i="6"/>
  <c r="AA194" i="6"/>
  <c r="AA196" i="6" s="1"/>
  <c r="Y244" i="6"/>
  <c r="Y246" i="6" s="1"/>
  <c r="Y202" i="6"/>
  <c r="Y201" i="6"/>
  <c r="Y110" i="6"/>
  <c r="Y123" i="6"/>
  <c r="Y120" i="6" s="1"/>
  <c r="Z181" i="6"/>
  <c r="Z20" i="6"/>
  <c r="Z244" i="6"/>
  <c r="Z246" i="6" s="1"/>
  <c r="Z203" i="6"/>
  <c r="Z261" i="6"/>
  <c r="Y20" i="6"/>
  <c r="Y181" i="6"/>
  <c r="Z195" i="6"/>
  <c r="Z196" i="6" s="1"/>
  <c r="Z98" i="6"/>
  <c r="Z110" i="6"/>
  <c r="Z44" i="6"/>
  <c r="Y195" i="6"/>
  <c r="Y196" i="6" s="1"/>
  <c r="Z202" i="6"/>
  <c r="Z78" i="6"/>
  <c r="Z86" i="6"/>
  <c r="Z50" i="6"/>
  <c r="Y233" i="6"/>
  <c r="Z233" i="6"/>
  <c r="Z235" i="6"/>
  <c r="Z201" i="6"/>
  <c r="Y234" i="6"/>
  <c r="Y261" i="6"/>
  <c r="Y44" i="6"/>
  <c r="Y49" i="6" s="1"/>
  <c r="Y50" i="6"/>
  <c r="Y78" i="6"/>
  <c r="Y86" i="6"/>
  <c r="Y98" i="6"/>
  <c r="L66" i="6"/>
  <c r="L69" i="6" s="1"/>
  <c r="L72" i="6" s="1"/>
  <c r="Y208" i="6"/>
  <c r="Y203" i="6"/>
  <c r="Y23" i="6"/>
  <c r="Z23" i="6"/>
  <c r="Y97" i="6" l="1"/>
  <c r="Z51" i="6"/>
  <c r="Z52" i="6" s="1"/>
  <c r="Z77" i="6"/>
  <c r="Z262" i="6"/>
  <c r="Z49" i="6"/>
  <c r="Y77" i="6"/>
  <c r="Y262" i="6"/>
  <c r="Y236" i="6"/>
  <c r="Z236" i="6"/>
  <c r="Y51" i="6"/>
  <c r="Y52" i="6" s="1"/>
  <c r="L200" i="6"/>
  <c r="L204" i="6" s="1"/>
  <c r="L212" i="6" s="1"/>
  <c r="L217" i="6"/>
  <c r="L225" i="6" s="1"/>
  <c r="L226" i="6" s="1"/>
  <c r="L131" i="6"/>
  <c r="L73" i="6"/>
  <c r="L213" i="6" l="1"/>
  <c r="O237" i="6"/>
  <c r="O238" i="6" s="1"/>
  <c r="L174" i="6"/>
  <c r="K205" i="6"/>
  <c r="J205" i="6"/>
  <c r="I205" i="6"/>
  <c r="H205" i="6"/>
  <c r="G205" i="6"/>
  <c r="F205" i="6"/>
  <c r="E205" i="6"/>
  <c r="K208" i="6"/>
  <c r="K125" i="6"/>
  <c r="Z125" i="6" s="1"/>
  <c r="Z123" i="6" s="1"/>
  <c r="L192" i="6" l="1"/>
  <c r="Z120" i="6"/>
  <c r="Z97" i="6" s="1"/>
  <c r="K244" i="6"/>
  <c r="K246" i="6" s="1"/>
  <c r="K235" i="6"/>
  <c r="K234" i="6"/>
  <c r="K232" i="6"/>
  <c r="K231" i="6"/>
  <c r="K224" i="6"/>
  <c r="K221" i="6"/>
  <c r="K219" i="6"/>
  <c r="K218" i="6"/>
  <c r="K203" i="6"/>
  <c r="K202" i="6"/>
  <c r="K201" i="6"/>
  <c r="K195" i="6"/>
  <c r="K194" i="6"/>
  <c r="K181" i="6"/>
  <c r="K123" i="6"/>
  <c r="K110" i="6"/>
  <c r="K98" i="6"/>
  <c r="K86" i="6"/>
  <c r="K78" i="6"/>
  <c r="K53" i="6"/>
  <c r="K50" i="6"/>
  <c r="K44" i="6"/>
  <c r="K23" i="6"/>
  <c r="K20" i="6"/>
  <c r="K49" i="6" l="1"/>
  <c r="K262" i="6"/>
  <c r="K120" i="6"/>
  <c r="K97" i="6" s="1"/>
  <c r="K196" i="6"/>
  <c r="K233" i="6"/>
  <c r="K236" i="6" s="1"/>
  <c r="K77" i="6"/>
  <c r="K51" i="6"/>
  <c r="K52" i="6" s="1"/>
  <c r="J219" i="6"/>
  <c r="I219" i="6"/>
  <c r="H211" i="6"/>
  <c r="Z211" i="6" s="1"/>
  <c r="Z219" i="6" l="1"/>
  <c r="Z208" i="6"/>
  <c r="K66" i="6"/>
  <c r="K69" i="6" s="1"/>
  <c r="K72" i="6" s="1"/>
  <c r="K131" i="6" s="1"/>
  <c r="K174" i="6" s="1"/>
  <c r="K192" i="6" s="1"/>
  <c r="K200" i="6" l="1"/>
  <c r="K204" i="6" s="1"/>
  <c r="K212" i="6" s="1"/>
  <c r="K217" i="6"/>
  <c r="K225" i="6" s="1"/>
  <c r="K226" i="6" s="1"/>
  <c r="K73" i="6"/>
  <c r="I203" i="6"/>
  <c r="H203" i="6"/>
  <c r="G203" i="6"/>
  <c r="F203" i="6"/>
  <c r="E203" i="6"/>
  <c r="D203" i="6"/>
  <c r="J203" i="6"/>
  <c r="K213" i="6" l="1"/>
  <c r="N237" i="6"/>
  <c r="N238" i="6" s="1"/>
  <c r="Y62" i="6"/>
  <c r="Y53" i="6" s="1"/>
  <c r="Y66" i="6" s="1"/>
  <c r="Y69" i="6" s="1"/>
  <c r="Y72" i="6" s="1"/>
  <c r="Z62" i="6"/>
  <c r="Z53" i="6" s="1"/>
  <c r="Z66" i="6" s="1"/>
  <c r="Z69" i="6" s="1"/>
  <c r="Z72" i="6" s="1"/>
  <c r="J53" i="6"/>
  <c r="J244" i="6"/>
  <c r="J246" i="6" s="1"/>
  <c r="J235" i="6"/>
  <c r="J234" i="6"/>
  <c r="J232" i="6"/>
  <c r="J231" i="6"/>
  <c r="J224" i="6"/>
  <c r="J221" i="6"/>
  <c r="J218" i="6"/>
  <c r="J208" i="6"/>
  <c r="J206" i="6"/>
  <c r="J202" i="6"/>
  <c r="J201" i="6"/>
  <c r="J195" i="6"/>
  <c r="J194" i="6"/>
  <c r="J181" i="6"/>
  <c r="J123" i="6"/>
  <c r="J110" i="6"/>
  <c r="J98" i="6"/>
  <c r="J86" i="6"/>
  <c r="J78" i="6"/>
  <c r="J50" i="6"/>
  <c r="J44" i="6"/>
  <c r="J23" i="6"/>
  <c r="J20" i="6"/>
  <c r="Z217" i="6" l="1"/>
  <c r="Z225" i="6" s="1"/>
  <c r="Z226" i="6" s="1"/>
  <c r="Z200" i="6"/>
  <c r="Z204" i="6" s="1"/>
  <c r="Z212" i="6" s="1"/>
  <c r="Z131" i="6"/>
  <c r="Z174" i="6" s="1"/>
  <c r="Z73" i="6"/>
  <c r="Y131" i="6"/>
  <c r="Y174" i="6" s="1"/>
  <c r="Y192" i="6" s="1"/>
  <c r="Y73" i="6"/>
  <c r="Y217" i="6"/>
  <c r="Y225" i="6" s="1"/>
  <c r="Y226" i="6" s="1"/>
  <c r="Y200" i="6"/>
  <c r="Y204" i="6" s="1"/>
  <c r="Y212" i="6" s="1"/>
  <c r="J49" i="6"/>
  <c r="J262" i="6"/>
  <c r="J120" i="6"/>
  <c r="J97" i="6" s="1"/>
  <c r="J233" i="6"/>
  <c r="J236" i="6" s="1"/>
  <c r="J77" i="6"/>
  <c r="J196" i="6"/>
  <c r="J51" i="6"/>
  <c r="J52" i="6" s="1"/>
  <c r="Y213" i="6" l="1"/>
  <c r="Y237" i="6"/>
  <c r="Y238" i="6" s="1"/>
  <c r="Z213" i="6"/>
  <c r="Z237" i="6"/>
  <c r="Z238" i="6" s="1"/>
  <c r="J66" i="6"/>
  <c r="J69" i="6" s="1"/>
  <c r="J72" i="6" s="1"/>
  <c r="J217" i="6" s="1"/>
  <c r="J225" i="6" s="1"/>
  <c r="J226" i="6" s="1"/>
  <c r="J73" i="6" l="1"/>
  <c r="J131" i="6"/>
  <c r="J174" i="6" s="1"/>
  <c r="J192" i="6" s="1"/>
  <c r="J200" i="6"/>
  <c r="J204" i="6" s="1"/>
  <c r="J212" i="6" s="1"/>
  <c r="J213" i="6" l="1"/>
  <c r="M237" i="6"/>
  <c r="M238" i="6" s="1"/>
  <c r="I244" i="6"/>
  <c r="I246" i="6" s="1"/>
  <c r="I235" i="6"/>
  <c r="I234" i="6"/>
  <c r="I232" i="6"/>
  <c r="I231" i="6"/>
  <c r="I224" i="6"/>
  <c r="I218" i="6"/>
  <c r="I208" i="6"/>
  <c r="I206" i="6"/>
  <c r="I221" i="6"/>
  <c r="I202" i="6"/>
  <c r="I201" i="6"/>
  <c r="I195" i="6"/>
  <c r="I194" i="6"/>
  <c r="I181" i="6"/>
  <c r="I123" i="6"/>
  <c r="I110" i="6"/>
  <c r="I98" i="6"/>
  <c r="I86" i="6"/>
  <c r="I78" i="6"/>
  <c r="I53" i="6"/>
  <c r="I50" i="6"/>
  <c r="I44" i="6"/>
  <c r="I23" i="6"/>
  <c r="I20" i="6"/>
  <c r="I49" i="6" l="1"/>
  <c r="I262" i="6"/>
  <c r="I120" i="6"/>
  <c r="I97" i="6" s="1"/>
  <c r="I77" i="6"/>
  <c r="I233" i="6"/>
  <c r="I236" i="6" s="1"/>
  <c r="I196" i="6"/>
  <c r="I51" i="6"/>
  <c r="I52" i="6" s="1"/>
  <c r="H186" i="6"/>
  <c r="H191" i="6" s="1"/>
  <c r="Z186" i="6" l="1"/>
  <c r="I66" i="6"/>
  <c r="I69" i="6" s="1"/>
  <c r="I72" i="6" s="1"/>
  <c r="I217" i="6" s="1"/>
  <c r="I225" i="6" s="1"/>
  <c r="I226" i="6" s="1"/>
  <c r="Z191" i="6" l="1"/>
  <c r="Z192" i="6" s="1"/>
  <c r="I73" i="6"/>
  <c r="I200" i="6"/>
  <c r="I204" i="6" s="1"/>
  <c r="I212" i="6" s="1"/>
  <c r="I131" i="6"/>
  <c r="I174" i="6" s="1"/>
  <c r="I192" i="6" s="1"/>
  <c r="E10" i="6"/>
  <c r="F10" i="6" s="1"/>
  <c r="G10" i="6" s="1"/>
  <c r="Y10" i="6" s="1"/>
  <c r="Y14" i="6" l="1"/>
  <c r="Z14" i="6" s="1"/>
  <c r="AA14" i="6" s="1"/>
  <c r="AB14" i="6" s="1"/>
  <c r="AC14" i="6" s="1"/>
  <c r="I213" i="6"/>
  <c r="L237" i="6"/>
  <c r="L238" i="6" s="1"/>
  <c r="H244" i="6"/>
  <c r="H246" i="6" s="1"/>
  <c r="G244" i="6"/>
  <c r="G246" i="6" s="1"/>
  <c r="F244" i="6"/>
  <c r="F246" i="6" s="1"/>
  <c r="E244" i="6"/>
  <c r="E246" i="6" s="1"/>
  <c r="D244" i="6"/>
  <c r="D246" i="6" s="1"/>
  <c r="Y9" i="6" l="1"/>
  <c r="H219" i="6"/>
  <c r="G219" i="6"/>
  <c r="F219" i="6"/>
  <c r="E219" i="6"/>
  <c r="D219" i="6"/>
  <c r="H224" i="6"/>
  <c r="G224" i="6"/>
  <c r="F224" i="6"/>
  <c r="E224" i="6"/>
  <c r="D224" i="6"/>
  <c r="H218" i="6"/>
  <c r="G218" i="6"/>
  <c r="F218" i="6"/>
  <c r="E218" i="6"/>
  <c r="D218" i="6"/>
  <c r="H235" i="6"/>
  <c r="G235" i="6"/>
  <c r="F235" i="6"/>
  <c r="E235" i="6"/>
  <c r="D235" i="6"/>
  <c r="H234" i="6"/>
  <c r="G234" i="6"/>
  <c r="F234" i="6"/>
  <c r="E234" i="6"/>
  <c r="D234" i="6"/>
  <c r="H232" i="6" l="1"/>
  <c r="G232" i="6"/>
  <c r="F232" i="6"/>
  <c r="E232" i="6"/>
  <c r="D232" i="6"/>
  <c r="H231" i="6"/>
  <c r="G231" i="6"/>
  <c r="F231" i="6"/>
  <c r="E231" i="6"/>
  <c r="D231" i="6"/>
  <c r="H201" i="6"/>
  <c r="G201" i="6"/>
  <c r="F201" i="6"/>
  <c r="E201" i="6"/>
  <c r="D201" i="6"/>
  <c r="H202" i="6"/>
  <c r="G202" i="6"/>
  <c r="F202" i="6"/>
  <c r="E202" i="6"/>
  <c r="D202" i="6"/>
  <c r="H206" i="6"/>
  <c r="G206" i="6"/>
  <c r="F206" i="6"/>
  <c r="E206" i="6"/>
  <c r="D206" i="6"/>
  <c r="H195" i="6"/>
  <c r="G195" i="6"/>
  <c r="F195" i="6"/>
  <c r="E195" i="6"/>
  <c r="D195" i="6"/>
  <c r="D196" i="6" s="1"/>
  <c r="H194" i="6"/>
  <c r="G194" i="6"/>
  <c r="F194" i="6"/>
  <c r="E194" i="6"/>
  <c r="H181" i="6"/>
  <c r="G181" i="6"/>
  <c r="F181" i="6"/>
  <c r="E181" i="6"/>
  <c r="D181" i="6"/>
  <c r="H123" i="6"/>
  <c r="G123" i="6"/>
  <c r="F123" i="6"/>
  <c r="E123" i="6"/>
  <c r="D123" i="6"/>
  <c r="H221" i="6"/>
  <c r="G221" i="6"/>
  <c r="F221" i="6"/>
  <c r="E221" i="6"/>
  <c r="D205" i="6"/>
  <c r="D221" i="6" s="1"/>
  <c r="H208" i="6"/>
  <c r="G208" i="6"/>
  <c r="F208" i="6"/>
  <c r="E208" i="6"/>
  <c r="D208" i="6"/>
  <c r="F120" i="6" l="1"/>
  <c r="G120" i="6"/>
  <c r="D120" i="6"/>
  <c r="H120" i="6"/>
  <c r="E120" i="6"/>
  <c r="E196" i="6"/>
  <c r="H233" i="6"/>
  <c r="D233" i="6"/>
  <c r="F196" i="6"/>
  <c r="G196" i="6"/>
  <c r="H196" i="6"/>
  <c r="G233" i="6"/>
  <c r="F233" i="6"/>
  <c r="E233" i="6"/>
  <c r="H50" i="6"/>
  <c r="G50" i="6"/>
  <c r="F50" i="6"/>
  <c r="E50" i="6"/>
  <c r="D50" i="6"/>
  <c r="H23" i="6"/>
  <c r="G23" i="6"/>
  <c r="F23" i="6"/>
  <c r="E23" i="6"/>
  <c r="D23" i="6"/>
  <c r="H20" i="6"/>
  <c r="G20" i="6"/>
  <c r="F20" i="6"/>
  <c r="E20" i="6"/>
  <c r="D20" i="6"/>
  <c r="H44" i="6"/>
  <c r="G44" i="6"/>
  <c r="F44" i="6"/>
  <c r="E44" i="6"/>
  <c r="D44" i="6"/>
  <c r="G27" i="6"/>
  <c r="H11" i="6"/>
  <c r="F27" i="6" l="1"/>
  <c r="E27" i="6" s="1"/>
  <c r="Y27" i="6"/>
  <c r="H10" i="6"/>
  <c r="I10" i="6" s="1"/>
  <c r="J10" i="6" s="1"/>
  <c r="Z11" i="6"/>
  <c r="Z10" i="6" s="1"/>
  <c r="D49" i="6"/>
  <c r="D262" i="6"/>
  <c r="F49" i="6"/>
  <c r="F262" i="6"/>
  <c r="G49" i="6"/>
  <c r="G262" i="6"/>
  <c r="H49" i="6"/>
  <c r="H262" i="6"/>
  <c r="E49" i="6"/>
  <c r="E262" i="6"/>
  <c r="H110" i="6"/>
  <c r="G110" i="6"/>
  <c r="F110" i="6"/>
  <c r="E110" i="6"/>
  <c r="D110" i="6"/>
  <c r="H98" i="6"/>
  <c r="G98" i="6"/>
  <c r="F98" i="6"/>
  <c r="E98" i="6"/>
  <c r="D98" i="6"/>
  <c r="H86" i="6"/>
  <c r="G86" i="6"/>
  <c r="F86" i="6"/>
  <c r="E86" i="6"/>
  <c r="D86" i="6"/>
  <c r="H78" i="6"/>
  <c r="G78" i="6"/>
  <c r="F78" i="6"/>
  <c r="E78" i="6"/>
  <c r="D78" i="6"/>
  <c r="F53" i="6"/>
  <c r="H53" i="6"/>
  <c r="G53" i="6"/>
  <c r="E53" i="6"/>
  <c r="D53" i="6"/>
  <c r="D51" i="6"/>
  <c r="I9" i="6" l="1"/>
  <c r="Z9" i="6"/>
  <c r="AA10" i="6"/>
  <c r="K10" i="6"/>
  <c r="J9" i="6"/>
  <c r="D66" i="6"/>
  <c r="D69" i="6" s="1"/>
  <c r="D72" i="6" s="1"/>
  <c r="D217" i="6" s="1"/>
  <c r="D225" i="6" s="1"/>
  <c r="D226" i="6" s="1"/>
  <c r="F51" i="6"/>
  <c r="F66" i="6" s="1"/>
  <c r="F69" i="6" s="1"/>
  <c r="F72" i="6" s="1"/>
  <c r="H77" i="6"/>
  <c r="H236" i="6" s="1"/>
  <c r="G77" i="6"/>
  <c r="G236" i="6" s="1"/>
  <c r="E97" i="6"/>
  <c r="E51" i="6"/>
  <c r="E66" i="6" s="1"/>
  <c r="E69" i="6" s="1"/>
  <c r="E72" i="6" s="1"/>
  <c r="E77" i="6"/>
  <c r="E236" i="6" s="1"/>
  <c r="E238" i="6" s="1"/>
  <c r="F77" i="6"/>
  <c r="F236" i="6" s="1"/>
  <c r="F238" i="6" s="1"/>
  <c r="D97" i="6"/>
  <c r="H97" i="6"/>
  <c r="G97" i="6"/>
  <c r="F97" i="6"/>
  <c r="H51" i="6"/>
  <c r="H66" i="6" s="1"/>
  <c r="H69" i="6" s="1"/>
  <c r="H72" i="6" s="1"/>
  <c r="D77" i="6"/>
  <c r="D236" i="6" s="1"/>
  <c r="D238" i="6" s="1"/>
  <c r="D52" i="6"/>
  <c r="G51" i="6"/>
  <c r="G66" i="6" s="1"/>
  <c r="G69" i="6" s="1"/>
  <c r="G72" i="6" s="1"/>
  <c r="AA9" i="6" l="1"/>
  <c r="AB10" i="6"/>
  <c r="K9" i="6"/>
  <c r="E200" i="6"/>
  <c r="E204" i="6" s="1"/>
  <c r="E212" i="6" s="1"/>
  <c r="E217" i="6"/>
  <c r="E225" i="6" s="1"/>
  <c r="E226" i="6" s="1"/>
  <c r="F200" i="6"/>
  <c r="F204" i="6" s="1"/>
  <c r="F212" i="6" s="1"/>
  <c r="F217" i="6"/>
  <c r="F225" i="6" s="1"/>
  <c r="F226" i="6" s="1"/>
  <c r="H200" i="6"/>
  <c r="H204" i="6" s="1"/>
  <c r="H217" i="6"/>
  <c r="H225" i="6" s="1"/>
  <c r="H226" i="6" s="1"/>
  <c r="G200" i="6"/>
  <c r="G204" i="6" s="1"/>
  <c r="G217" i="6"/>
  <c r="G225" i="6" s="1"/>
  <c r="G226" i="6" s="1"/>
  <c r="D73" i="6"/>
  <c r="D200" i="6"/>
  <c r="D204" i="6" s="1"/>
  <c r="D212" i="6" s="1"/>
  <c r="E131" i="6"/>
  <c r="E73" i="6"/>
  <c r="F131" i="6"/>
  <c r="F73" i="6"/>
  <c r="G73" i="6"/>
  <c r="G131" i="6"/>
  <c r="H73" i="6"/>
  <c r="H131" i="6"/>
  <c r="F52" i="6"/>
  <c r="E52" i="6"/>
  <c r="H52" i="6"/>
  <c r="G52" i="6"/>
  <c r="H9" i="6"/>
  <c r="E9" i="6"/>
  <c r="D9" i="6"/>
  <c r="F9" i="6"/>
  <c r="G9" i="6"/>
  <c r="AB9" i="6" l="1"/>
  <c r="AC10" i="6"/>
  <c r="AC9" i="6" s="1"/>
  <c r="D213" i="6"/>
  <c r="F213" i="6"/>
  <c r="E213" i="6"/>
  <c r="H174" i="6"/>
  <c r="H192" i="6" s="1"/>
  <c r="F174" i="6"/>
  <c r="F192" i="6" s="1"/>
  <c r="G174" i="6"/>
  <c r="G192" i="6" s="1"/>
  <c r="E174" i="6"/>
  <c r="E192" i="6" s="1"/>
  <c r="H212" i="6"/>
  <c r="D131" i="6"/>
  <c r="G212" i="6"/>
  <c r="G237" i="6" l="1"/>
  <c r="H213" i="6"/>
  <c r="K237" i="6"/>
  <c r="K238" i="6" s="1"/>
  <c r="H237" i="6"/>
  <c r="H238" i="6" s="1"/>
  <c r="G213" i="6"/>
  <c r="J237" i="6"/>
  <c r="J238" i="6" s="1"/>
  <c r="I237" i="6"/>
  <c r="I238" i="6" s="1"/>
  <c r="D174" i="6"/>
  <c r="D192" i="6" s="1"/>
  <c r="G238" i="6" l="1"/>
  <c r="L10" i="6" l="1"/>
  <c r="L9" i="6" l="1"/>
  <c r="M10" i="6"/>
  <c r="M9" i="6" l="1"/>
  <c r="N10" i="6"/>
  <c r="N9" i="6" l="1"/>
  <c r="O10" i="6"/>
  <c r="P10" i="6" s="1"/>
  <c r="P9" i="6" l="1"/>
  <c r="Q10" i="6"/>
  <c r="R10" i="6" s="1"/>
  <c r="S10" i="6" s="1"/>
  <c r="T10" i="6" s="1"/>
  <c r="U10" i="6" s="1"/>
  <c r="V10" i="6" s="1"/>
  <c r="O9" i="6"/>
  <c r="V9" i="6" l="1"/>
  <c r="W10" i="6"/>
  <c r="W9" i="6" s="1"/>
  <c r="T9" i="6"/>
  <c r="U9" i="6"/>
  <c r="Q9" i="6"/>
  <c r="R9" i="6" l="1"/>
  <c r="S9" i="6"/>
</calcChain>
</file>

<file path=xl/sharedStrings.xml><?xml version="1.0" encoding="utf-8"?>
<sst xmlns="http://schemas.openxmlformats.org/spreadsheetml/2006/main" count="1652" uniqueCount="604">
  <si>
    <t>Unidade</t>
  </si>
  <si>
    <t>1T17</t>
  </si>
  <si>
    <t>2T17</t>
  </si>
  <si>
    <t>3T17</t>
  </si>
  <si>
    <t>4T17</t>
  </si>
  <si>
    <t>1T18</t>
  </si>
  <si>
    <t>Item</t>
  </si>
  <si>
    <t xml:space="preserve">Demonstração do Resultado do Exercício </t>
  </si>
  <si>
    <t>EBITDA</t>
  </si>
  <si>
    <t>Balanço Patrimonial</t>
  </si>
  <si>
    <t>Fluxo de Caixa</t>
  </si>
  <si>
    <t>Hospitais</t>
  </si>
  <si>
    <t>#</t>
  </si>
  <si>
    <t>R$</t>
  </si>
  <si>
    <t>%</t>
  </si>
  <si>
    <t>R$ milhões</t>
  </si>
  <si>
    <t>Variação da PEONA</t>
  </si>
  <si>
    <t>Despesas administrativas</t>
  </si>
  <si>
    <t>Receitas financeiras</t>
  </si>
  <si>
    <t>Despesas financeiras</t>
  </si>
  <si>
    <t>IR e CSLL corrente</t>
  </si>
  <si>
    <t>IR e CSLL diferido</t>
  </si>
  <si>
    <t>Lucro líquido</t>
  </si>
  <si>
    <t>Margem bruta</t>
  </si>
  <si>
    <t>Margem líquida</t>
  </si>
  <si>
    <t>Ativo</t>
  </si>
  <si>
    <t>Caixa e equivalentes de caixa</t>
  </si>
  <si>
    <t>Contas a receber de clientes</t>
  </si>
  <si>
    <t>Estoques</t>
  </si>
  <si>
    <t>Outros ativos</t>
  </si>
  <si>
    <t>Investimentos</t>
  </si>
  <si>
    <t>Imobilizado</t>
  </si>
  <si>
    <t>Intangível</t>
  </si>
  <si>
    <t>Fornecedores</t>
  </si>
  <si>
    <t>Variação da provisão de ressarcimento ao SUS</t>
  </si>
  <si>
    <t>Pessoal</t>
  </si>
  <si>
    <t>Serviços de terceiros</t>
  </si>
  <si>
    <t>1Q17</t>
  </si>
  <si>
    <t>2Q17</t>
  </si>
  <si>
    <t>3Q17</t>
  </si>
  <si>
    <t>4Q17</t>
  </si>
  <si>
    <t>1Q18</t>
  </si>
  <si>
    <t>Unit</t>
  </si>
  <si>
    <t>Hospitals</t>
  </si>
  <si>
    <t>Number of beds</t>
  </si>
  <si>
    <t>Income Statement</t>
  </si>
  <si>
    <t>R$ million</t>
  </si>
  <si>
    <t>Net revenues</t>
  </si>
  <si>
    <t>Gross profit</t>
  </si>
  <si>
    <t>Selling expenses</t>
  </si>
  <si>
    <t>Administrative expenses</t>
  </si>
  <si>
    <t>Personnel</t>
  </si>
  <si>
    <t>Adjusted EBITDA</t>
  </si>
  <si>
    <t>Balance Sheet</t>
  </si>
  <si>
    <t>Assets</t>
  </si>
  <si>
    <t>Current assets</t>
  </si>
  <si>
    <t>Current liabilities</t>
  </si>
  <si>
    <t>Cash and cash equivalents</t>
  </si>
  <si>
    <t>Short-term investments</t>
  </si>
  <si>
    <t>Trade receivables</t>
  </si>
  <si>
    <t>Other assets</t>
  </si>
  <si>
    <t>Long-term investments</t>
  </si>
  <si>
    <t>Investments</t>
  </si>
  <si>
    <t>Property, plant and equipment</t>
  </si>
  <si>
    <t>Intangible assets</t>
  </si>
  <si>
    <t>Trade payables</t>
  </si>
  <si>
    <t>Capital</t>
  </si>
  <si>
    <t>Localização e funcionamento</t>
  </si>
  <si>
    <t>Margem EBITDA Ajustado</t>
  </si>
  <si>
    <t>Aplicações financeiras</t>
  </si>
  <si>
    <t>Aquisição de imobilizado</t>
  </si>
  <si>
    <t>Depreciação e amortização</t>
  </si>
  <si>
    <t>Provisões técnicas de operações de assistência à saúde</t>
  </si>
  <si>
    <t>Depreciation and amortization</t>
  </si>
  <si>
    <t>Equity</t>
  </si>
  <si>
    <t>Acquisition of intangibles</t>
  </si>
  <si>
    <t>M&amp;A</t>
  </si>
  <si>
    <t>Adições (Reduções) Líquidas</t>
  </si>
  <si>
    <r>
      <rPr>
        <b/>
        <i/>
        <sz val="11"/>
        <color theme="1"/>
        <rFont val="Calibri"/>
        <family val="2"/>
        <scheme val="minor"/>
      </rPr>
      <t>EBITDA</t>
    </r>
    <r>
      <rPr>
        <b/>
        <sz val="11"/>
        <color theme="1"/>
        <rFont val="Calibri"/>
        <family val="2"/>
        <scheme val="minor"/>
      </rPr>
      <t xml:space="preserve"> Ajustado</t>
    </r>
  </si>
  <si>
    <t># milhares</t>
  </si>
  <si>
    <t>Leitos totais</t>
  </si>
  <si>
    <t>Receita de contraprestações planos de assistência odontológica</t>
  </si>
  <si>
    <t>Receita de contraprestações com planos de assistência médica</t>
  </si>
  <si>
    <t>Receita de serviço médico-hospitalares</t>
  </si>
  <si>
    <t>Contas Médicas Caixa</t>
  </si>
  <si>
    <t>Publicidade e propaganda</t>
  </si>
  <si>
    <t>Reversão (provisão) para contingências</t>
  </si>
  <si>
    <t>Programa de outorga de ações</t>
  </si>
  <si>
    <t>Outras</t>
  </si>
  <si>
    <t>Despesas comerciais</t>
  </si>
  <si>
    <t>Outras receitas (despesas) líquidas</t>
  </si>
  <si>
    <t>Perdas com créditos de liquidação duvidosa</t>
  </si>
  <si>
    <t>Resultado antes das receitas e despesas financeiras</t>
  </si>
  <si>
    <t>Resultado Bruto</t>
  </si>
  <si>
    <t>Custos dos serviços prestados</t>
  </si>
  <si>
    <t>Receita operacional líquida</t>
  </si>
  <si>
    <t>Resultado antes do imposto de renda e contribuição social</t>
  </si>
  <si>
    <t>(+) Resultado financeiro líquido</t>
  </si>
  <si>
    <t>(+) Depreciação e amortização</t>
  </si>
  <si>
    <t>(+) Imposto de renda e contribuição social</t>
  </si>
  <si>
    <t>(+) Valor residual de ativo imobilizado baixado</t>
  </si>
  <si>
    <t>(+) Rendimento financeiro – ANS</t>
  </si>
  <si>
    <t>(+) Despesas não-recorrentes</t>
  </si>
  <si>
    <t>Despesas do Acionista Controlador</t>
  </si>
  <si>
    <t>Despesas de M&amp;A e provisão para reestruturação</t>
  </si>
  <si>
    <t>(+) Programa de outorga de ações</t>
  </si>
  <si>
    <t>Despesas das Holdings e relacionadas ao IPO</t>
  </si>
  <si>
    <t>Despesas de comercialização diferidas</t>
  </si>
  <si>
    <t>Créditos tributários e previdenciários</t>
  </si>
  <si>
    <t>Impostos diferidos ativo</t>
  </si>
  <si>
    <t>Depósitos judiciais e fiscais</t>
  </si>
  <si>
    <t>Salários a pagar</t>
  </si>
  <si>
    <t>Tributos e encargos sociais a recolher</t>
  </si>
  <si>
    <t>Empréstimos e financiamentos</t>
  </si>
  <si>
    <t>Debêntures</t>
  </si>
  <si>
    <t>Provisões de imposto de renda e contribuição social</t>
  </si>
  <si>
    <t>Outros passivos</t>
  </si>
  <si>
    <t>Circulante</t>
  </si>
  <si>
    <t>Não circulante</t>
  </si>
  <si>
    <t>Parcela diferida do preço de aquisição</t>
  </si>
  <si>
    <t>Impostos diferidos passivos</t>
  </si>
  <si>
    <t>Provisões para ações judiciais</t>
  </si>
  <si>
    <t>(-) Ações em tesouraria</t>
  </si>
  <si>
    <t>Reservas:</t>
  </si>
  <si>
    <t>Reserva de capital e opções outorgadas</t>
  </si>
  <si>
    <t>Reservas de lucros</t>
  </si>
  <si>
    <t>Lucro líquido do período</t>
  </si>
  <si>
    <t>Equivalência patrimonial</t>
  </si>
  <si>
    <t>Atualização monetária contingência e depósitos judiciais</t>
  </si>
  <si>
    <t>Ajuste a mercado sobre aplicações financeiras</t>
  </si>
  <si>
    <t>Receitas com aplicações financeiras</t>
  </si>
  <si>
    <t>Despesas com variação cambial</t>
  </si>
  <si>
    <t>Imposto de renda e contribuição social - corrente e diferido</t>
  </si>
  <si>
    <t>Variação provisões técnicas</t>
  </si>
  <si>
    <t>Reversão com perda para crédito de liquidação duvidosa</t>
  </si>
  <si>
    <t>Perda efetiva com crédito de liquidação duvidosa</t>
  </si>
  <si>
    <t>Provisão glosa sobre serviços médico hospitalar</t>
  </si>
  <si>
    <t>Amortização despesas de comercialização diferidas</t>
  </si>
  <si>
    <t>Ajuste a valor presente - parcela diferida</t>
  </si>
  <si>
    <t>Juros sobre debêntures e custo de captação</t>
  </si>
  <si>
    <t>Juros sobre empréstimos e financiamentos</t>
  </si>
  <si>
    <t>Apropriação programa stock options</t>
  </si>
  <si>
    <t>Outros</t>
  </si>
  <si>
    <t>Pagamento de imposto de renda e contribuição social</t>
  </si>
  <si>
    <t>Impostos diferidos ativos</t>
  </si>
  <si>
    <t>Caixa líquido gerado (consumido) nas atividades operacionais</t>
  </si>
  <si>
    <t>Resgates aplicações financeiras</t>
  </si>
  <si>
    <t>Combinação de negócios</t>
  </si>
  <si>
    <t>Aquisição de intangível</t>
  </si>
  <si>
    <t>Caixa líquido consumido nas atividades de investimento</t>
  </si>
  <si>
    <t>Integralização de capital</t>
  </si>
  <si>
    <t>Recompra de ações - programa de compra de ações</t>
  </si>
  <si>
    <t>Captação de debêntures</t>
  </si>
  <si>
    <t>Caixa líquido gerado (consumido) nas atividades de financiamento</t>
  </si>
  <si>
    <t>Aumento (diminuição) no saldo de caixa e equivalentes de caixa do período</t>
  </si>
  <si>
    <t>Caixa e equivalente de caixa no inicio do período</t>
  </si>
  <si>
    <t>Caixa e equivalente de caixa no final do período</t>
  </si>
  <si>
    <t>Pagamento de juros e principal de empréstimos e financiamentos</t>
  </si>
  <si>
    <t>Pagamento de juros e principal de debêntures</t>
  </si>
  <si>
    <t xml:space="preserve">Aumento (reduções) dos passivos operacionais: </t>
  </si>
  <si>
    <t>(Aumento) reduções dos ativos operacionais:</t>
  </si>
  <si>
    <t>Valor residual do ativo imobilizado baixado</t>
  </si>
  <si>
    <t>Variação de caixa</t>
  </si>
  <si>
    <t>Dívida Líquida</t>
  </si>
  <si>
    <t>Debêntures (circulante e não circulante)</t>
  </si>
  <si>
    <t>Empréstimos e financiamentos (circulante e não circulante)</t>
  </si>
  <si>
    <t>Dívida Bruta</t>
  </si>
  <si>
    <t>EBITDA Ajustado (LTM)</t>
  </si>
  <si>
    <t>Dívida Líquida/EBITDA Ajustado</t>
  </si>
  <si>
    <t>Resultado líquido ajustado</t>
  </si>
  <si>
    <t>(+) Despesas do Acionista Controlador</t>
  </si>
  <si>
    <t>(+) Imposto de renda e contribuição social diferido</t>
  </si>
  <si>
    <t>(+) Amortização do intangível</t>
  </si>
  <si>
    <t>(+) Despesas das Holdings e relacionadas ao IPO</t>
  </si>
  <si>
    <t>(-) IR e CS sobre despesas do Acionista Controlador e IPO</t>
  </si>
  <si>
    <t>(+) Custo do Refinanciamento</t>
  </si>
  <si>
    <t>Patrimônio mínimo ajustado (PMA)</t>
  </si>
  <si>
    <t>Diferimento</t>
  </si>
  <si>
    <t>Margem de solvência</t>
  </si>
  <si>
    <t>Cronograma de amortização do crédito fiscal sobre ágio</t>
  </si>
  <si>
    <t>Crédito fiscal sobre ágio da aquisição do GNDI pelo acionista controlador</t>
  </si>
  <si>
    <t>Amortização do Ativo Intangível</t>
  </si>
  <si>
    <t>Beneficiários em planos de saúde e odontológico (EoP)</t>
  </si>
  <si>
    <t>Beneficiários médio (Saúde)</t>
  </si>
  <si>
    <t>Ticket médio (Saúde)</t>
  </si>
  <si>
    <t>Beneficiários médio (Odonto)</t>
  </si>
  <si>
    <t>Ticket médio (Odonto)</t>
  </si>
  <si>
    <t>Unidades da Rede Própria</t>
  </si>
  <si>
    <t>Indicadores Operacionais</t>
  </si>
  <si>
    <t>EBITDA Ajustado</t>
  </si>
  <si>
    <t>Resultado Líquido Ajustado</t>
  </si>
  <si>
    <t>Solvência Exigida</t>
  </si>
  <si>
    <t>Cronograma de Amortização do Ativo intangível sobre a aquisição do GNDI pelo Acionista Controlador</t>
  </si>
  <si>
    <t>* Refere-se ao Ajuste "Amortização do Intangível" do Resultado Líquido Ajustado</t>
  </si>
  <si>
    <t xml:space="preserve">Crédito fiscal sobre ágio da aquisições já incorporadas pela Operadora </t>
  </si>
  <si>
    <t xml:space="preserve">Debêntures </t>
  </si>
  <si>
    <t xml:space="preserve">Empréstimos </t>
  </si>
  <si>
    <t>Cronograma de Amortização do principal de dívida</t>
  </si>
  <si>
    <t>Ativos Garantidores</t>
  </si>
  <si>
    <t>Provisões Técnicas</t>
  </si>
  <si>
    <t>Suficiência de Solvência</t>
  </si>
  <si>
    <t>Passivo e Patrimônio Líquido</t>
  </si>
  <si>
    <t>Patrimônio Líquido</t>
  </si>
  <si>
    <t>Capital Social</t>
  </si>
  <si>
    <t>Beneficiários em planos de assistência médica (EoP)</t>
  </si>
  <si>
    <t>Beneficiários em planos de assistência odontológica (EoP)</t>
  </si>
  <si>
    <t>Taxa de Ocupação (Leitos ocupados/Leitos ativos)</t>
  </si>
  <si>
    <t>Prontos-Socorros</t>
  </si>
  <si>
    <t>Centros Clínicos</t>
  </si>
  <si>
    <t xml:space="preserve">Unidade de Medicina Preventiva </t>
  </si>
  <si>
    <t>Consultas</t>
  </si>
  <si>
    <t>Internações</t>
  </si>
  <si>
    <t>Cross-sell</t>
  </si>
  <si>
    <t>Sinistralidade Caixa</t>
  </si>
  <si>
    <t>Caixa vinculada a ANS</t>
  </si>
  <si>
    <t>Verticalização HMO</t>
  </si>
  <si>
    <t>Beneficiários PME (Saúde)</t>
  </si>
  <si>
    <t>Total do Custo</t>
  </si>
  <si>
    <t># thousand</t>
  </si>
  <si>
    <t>Operational Indicators</t>
  </si>
  <si>
    <t>Beneficiaries in health and dental plans (EoP)</t>
  </si>
  <si>
    <t>Beneficiaries in health plans (EoP)</t>
  </si>
  <si>
    <t>Beneficiaries in dental plans (EoP)</t>
  </si>
  <si>
    <t>Net adds</t>
  </si>
  <si>
    <t>SME Beneficiaries (Health)</t>
  </si>
  <si>
    <t>Average ticket (Health)</t>
  </si>
  <si>
    <t>Average ticket (Dental)</t>
  </si>
  <si>
    <t>Average beneficiaries (Health)</t>
  </si>
  <si>
    <t>Average beneficiaries (Dental)</t>
  </si>
  <si>
    <t>Total Cost</t>
  </si>
  <si>
    <t>Hospital Admissions</t>
  </si>
  <si>
    <t>Consultations</t>
  </si>
  <si>
    <t>HMO Verticalization:</t>
  </si>
  <si>
    <t>Clinical Centers</t>
  </si>
  <si>
    <t>Emergency Room units</t>
  </si>
  <si>
    <t>Health plans net revenue</t>
  </si>
  <si>
    <t>Hospital services net revenue</t>
  </si>
  <si>
    <t>Dental plans net revenue</t>
  </si>
  <si>
    <t>IBNR Provision</t>
  </si>
  <si>
    <t>SUS Provision</t>
  </si>
  <si>
    <t>Cash Medical Losses</t>
  </si>
  <si>
    <t>Depreciation e amortization</t>
  </si>
  <si>
    <t>Cash MLR</t>
  </si>
  <si>
    <t>Cost of Services</t>
  </si>
  <si>
    <t>Third Party Services</t>
  </si>
  <si>
    <t>Occupation and Utilities</t>
  </si>
  <si>
    <t>Other Expenses</t>
  </si>
  <si>
    <t>Inventories</t>
  </si>
  <si>
    <t>Deferred selling expenses</t>
  </si>
  <si>
    <t>Tax and social security credits</t>
  </si>
  <si>
    <t>Other current assets</t>
  </si>
  <si>
    <t>Noncurrent assets</t>
  </si>
  <si>
    <t>Deferred tax assets</t>
  </si>
  <si>
    <t>Judicial and tax deposits</t>
  </si>
  <si>
    <t>Other noncurrent assets</t>
  </si>
  <si>
    <t>Liabilities and Equity</t>
  </si>
  <si>
    <t>Salaries payable</t>
  </si>
  <si>
    <t>Taxes and social charges payable</t>
  </si>
  <si>
    <t>Loans and financing</t>
  </si>
  <si>
    <t>Debentures</t>
  </si>
  <si>
    <t>Provision for income and social contribution taxes</t>
  </si>
  <si>
    <t>Technical reserves of healthcare operations</t>
  </si>
  <si>
    <t>Other current liabilities</t>
  </si>
  <si>
    <t>Noncurrent liabilities</t>
  </si>
  <si>
    <t>Deferred purchase price</t>
  </si>
  <si>
    <t>Deferred tax liabilities</t>
  </si>
  <si>
    <t>Provision for lawsuits</t>
  </si>
  <si>
    <t>Other noncurrent liabilities</t>
  </si>
  <si>
    <t>(-) Treasury shares</t>
  </si>
  <si>
    <t>Reserves:</t>
  </si>
  <si>
    <t>Capital reserve and stock options granted</t>
  </si>
  <si>
    <t>Earnings reserve</t>
  </si>
  <si>
    <t>Profit for the period</t>
  </si>
  <si>
    <t>Share profit of associates</t>
  </si>
  <si>
    <t>Fair value adjustment of financial investments</t>
  </si>
  <si>
    <t>Inflation adjustment of contingencies and judicial deposits</t>
  </si>
  <si>
    <t>Investment income</t>
  </si>
  <si>
    <t>Foreign exchange losses</t>
  </si>
  <si>
    <t>Current and deferred income tax and social contribution</t>
  </si>
  <si>
    <t>Changes in technical reserves</t>
  </si>
  <si>
    <t>Reversal of for doubtful accounts</t>
  </si>
  <si>
    <t>Effective loss on doubtful accounts</t>
  </si>
  <si>
    <t>Provision for gloss over hospital services</t>
  </si>
  <si>
    <t>Amortization of deferred selling expenses</t>
  </si>
  <si>
    <t>Present value adjustment - deferred portion</t>
  </si>
  <si>
    <t>Interest on debentures and transaction cost</t>
  </si>
  <si>
    <t>Interest on loans and financing</t>
  </si>
  <si>
    <t>Appropriation of stock options plan</t>
  </si>
  <si>
    <t>Others</t>
  </si>
  <si>
    <t>Residual value of property, plant and equipment</t>
  </si>
  <si>
    <t>Payment of income and social contribution taxes</t>
  </si>
  <si>
    <t>(Increase) decrease in operating assets</t>
  </si>
  <si>
    <t>Increase (decrease) in operating liabilities</t>
  </si>
  <si>
    <t>Salaries</t>
  </si>
  <si>
    <t>Technical reserves for healthcare transactions</t>
  </si>
  <si>
    <t>Other liabilities</t>
  </si>
  <si>
    <t>Net cash generated by (used in) operating activities</t>
  </si>
  <si>
    <t>Redemptions of short-term investments</t>
  </si>
  <si>
    <t>Business combination</t>
  </si>
  <si>
    <t>Acquisition of property and equipment</t>
  </si>
  <si>
    <t>Net cash used in investing activities</t>
  </si>
  <si>
    <t>Net cash provided by (used in) financing activities</t>
  </si>
  <si>
    <t>Increase (decrease) in balance of cash and cash equivalents for the period</t>
  </si>
  <si>
    <t>Capital payment</t>
  </si>
  <si>
    <t>Raising of debentures</t>
  </si>
  <si>
    <t>Raising of loans and financing</t>
  </si>
  <si>
    <t>Repurchase of shares - stock option plan</t>
  </si>
  <si>
    <t>Debentures paid - principal and interest</t>
  </si>
  <si>
    <t>Loans and financing paid - principal and interest</t>
  </si>
  <si>
    <t>Cash and cash equivalent at the beginning of the period</t>
  </si>
  <si>
    <t>Cash and cash equivalent at the end of the period</t>
  </si>
  <si>
    <t>Net Income</t>
  </si>
  <si>
    <t>(+) Income Tax and Social Contribution</t>
  </si>
  <si>
    <t>(+) Depreciation and Amortization</t>
  </si>
  <si>
    <t>(+) Stock Options</t>
  </si>
  <si>
    <t>(+) Interest Revenue (Restricted Cash) – ANS</t>
  </si>
  <si>
    <t>Margin</t>
  </si>
  <si>
    <t>Current income tax and social contribution</t>
  </si>
  <si>
    <t>Deferred income tax and social contribution</t>
  </si>
  <si>
    <t>Finance costs</t>
  </si>
  <si>
    <t>Finance income</t>
  </si>
  <si>
    <t>Other income (expenses) net</t>
  </si>
  <si>
    <t>Profit before finance income and costs</t>
  </si>
  <si>
    <t>Allowance for doubtful accounts</t>
  </si>
  <si>
    <t>Profit before income tax and social contribution</t>
  </si>
  <si>
    <t>Stock option plan</t>
  </si>
  <si>
    <t>Reversal of (provision for) contingencies</t>
  </si>
  <si>
    <t>Advertising and promotion</t>
  </si>
  <si>
    <t>(+) Residual value of property, plant and equipment</t>
  </si>
  <si>
    <t>(+) Non reccuring expenses</t>
  </si>
  <si>
    <t>Controlling Shareholder Expenses</t>
  </si>
  <si>
    <t>(-) Income Tax on IPO expenses and Controlling Shareholder Expenses</t>
  </si>
  <si>
    <t>(+) Controlling Shareholder Expenses</t>
  </si>
  <si>
    <t>Adjusted Net Income</t>
  </si>
  <si>
    <t>(+) Deferred Income Tax</t>
  </si>
  <si>
    <t>(+) Intangibles Asset Amortization</t>
  </si>
  <si>
    <t>(+) Stock Option plan</t>
  </si>
  <si>
    <t>(+) HoldCo and IPO Expenses</t>
  </si>
  <si>
    <t>HoldCo and IPO Expenses</t>
  </si>
  <si>
    <t>(+) Refinancing Fine</t>
  </si>
  <si>
    <t xml:space="preserve">Net Debt </t>
  </si>
  <si>
    <t>Gross Debt</t>
  </si>
  <si>
    <t>Adjusted EBITDA (LTM)</t>
  </si>
  <si>
    <t>Net Debt/Adjusted EBITDA</t>
  </si>
  <si>
    <t>Debentures (current and noncurrent)</t>
  </si>
  <si>
    <t>Loans and financing (current and noncurrent)</t>
  </si>
  <si>
    <t>M&amp;A and Integration Expenses</t>
  </si>
  <si>
    <t>Regulatory Requirements</t>
  </si>
  <si>
    <t>Adjusted Equity (PMA)</t>
  </si>
  <si>
    <t>Solvency Required</t>
  </si>
  <si>
    <t>Solvency Ratio Required</t>
  </si>
  <si>
    <t>Solvency Margin</t>
  </si>
  <si>
    <t>Excess Solvency</t>
  </si>
  <si>
    <t>Technical Provisions</t>
  </si>
  <si>
    <t>Assets to Cover</t>
  </si>
  <si>
    <t>Cash Pledged</t>
  </si>
  <si>
    <t>Debts schedule</t>
  </si>
  <si>
    <t xml:space="preserve">Debentures </t>
  </si>
  <si>
    <t>Loans</t>
  </si>
  <si>
    <t>Fiscal Credit on Goodwill Amortization</t>
  </si>
  <si>
    <t>Intangible Asset Amortization</t>
  </si>
  <si>
    <t>Margem Líquida Ajustada</t>
  </si>
  <si>
    <t>Own network</t>
  </si>
  <si>
    <t>Occupation rate (occupied beds/open beds)</t>
  </si>
  <si>
    <t>Preventive Care Center</t>
  </si>
  <si>
    <t>Net Margin</t>
  </si>
  <si>
    <t>Cash Flow Statement (indirect method)</t>
  </si>
  <si>
    <t>(+) Net Interest from financial results</t>
  </si>
  <si>
    <t>Adjusted EBITDA Margin</t>
  </si>
  <si>
    <t>Adjusted Net Margin</t>
  </si>
  <si>
    <t>Parcela diferida do preço de aquisição ("Seller note")</t>
  </si>
  <si>
    <t>Deferred purchase price ("Seller Note")</t>
  </si>
  <si>
    <t>Amortization of Intangible Asset from GNDI Acquisition by Controlling Shareholder</t>
  </si>
  <si>
    <t>Fiscal Credit on OpCo aquisitions (and already merged)</t>
  </si>
  <si>
    <t>Fiscal Credit on goodwill from GNDI Acquisition by Controlling Shareholder</t>
  </si>
  <si>
    <t>2T18</t>
  </si>
  <si>
    <t>2Q18</t>
  </si>
  <si>
    <t>1º Plano</t>
  </si>
  <si>
    <t>2º Plano</t>
  </si>
  <si>
    <t>Cronograma de apropriação das despesas de Stock Options (apenas das opções outorgadas)</t>
  </si>
  <si>
    <t>1st Plan</t>
  </si>
  <si>
    <t>2nd Plan</t>
  </si>
  <si>
    <t>Schedule of appropriation of Stock Options expenses (only of the options granted)</t>
  </si>
  <si>
    <t>3T18</t>
  </si>
  <si>
    <t>3Q18</t>
  </si>
  <si>
    <t>4T18</t>
  </si>
  <si>
    <t>Dividendos a pagar</t>
  </si>
  <si>
    <t>Captação Empréstimos e financiamentos</t>
  </si>
  <si>
    <t>G&amp;A Caixa</t>
  </si>
  <si>
    <t>Serviços de Terceiros</t>
  </si>
  <si>
    <t>Ocupação e Utilidades</t>
  </si>
  <si>
    <t>Marketing</t>
  </si>
  <si>
    <t>PDD</t>
  </si>
  <si>
    <t>Contingências e Taxas</t>
  </si>
  <si>
    <t>Contingencies</t>
  </si>
  <si>
    <t>Cash G&amp;A</t>
  </si>
  <si>
    <t>% margin</t>
  </si>
  <si>
    <t>Dividends payable</t>
  </si>
  <si>
    <t>4Q18</t>
  </si>
  <si>
    <t>1T19</t>
  </si>
  <si>
    <t>Amortização de Arendamento Mercantil</t>
  </si>
  <si>
    <t>Direito de Uso</t>
  </si>
  <si>
    <t>Arrendamento Mercantil</t>
  </si>
  <si>
    <t>Exigências Regulatórias (NotreDame Saúde)</t>
  </si>
  <si>
    <t>Right to use</t>
  </si>
  <si>
    <t>Lease</t>
  </si>
  <si>
    <t>1Q19</t>
  </si>
  <si>
    <t>Depreciação Direito de uso</t>
  </si>
  <si>
    <t>Juros sobre arrendamento mercantil</t>
  </si>
  <si>
    <t>Rigth to use depreciation</t>
  </si>
  <si>
    <t>Lease (Right to use)</t>
  </si>
  <si>
    <t xml:space="preserve">Interest on Lease </t>
  </si>
  <si>
    <t>2T19</t>
  </si>
  <si>
    <t>Dividendos pagos</t>
  </si>
  <si>
    <t>Provisão para impostos de renda e contribuição social</t>
  </si>
  <si>
    <t>Baixa direito de uso/arrendamento mercantil</t>
  </si>
  <si>
    <t>3º Plano</t>
  </si>
  <si>
    <t>Right of uses resiudual value</t>
  </si>
  <si>
    <t>Provision for income taxes</t>
  </si>
  <si>
    <t>Dividens paid</t>
  </si>
  <si>
    <t>3rd Plan</t>
  </si>
  <si>
    <t>2Q19</t>
  </si>
  <si>
    <t>3T19</t>
  </si>
  <si>
    <t>3Q19</t>
  </si>
  <si>
    <t>4T19</t>
  </si>
  <si>
    <t>Depreciações e amortizações + IRFS16</t>
  </si>
  <si>
    <t>4Q19</t>
  </si>
  <si>
    <t>1T20</t>
  </si>
  <si>
    <t>Participação de não controlador</t>
  </si>
  <si>
    <t>Non controllership participation</t>
  </si>
  <si>
    <t>1Q20</t>
  </si>
  <si>
    <t>2T20</t>
  </si>
  <si>
    <t>2Q20</t>
  </si>
  <si>
    <t>Pendente da atualização última outorga</t>
  </si>
  <si>
    <t>Pending of the last SoP updated</t>
  </si>
  <si>
    <t>Status</t>
  </si>
  <si>
    <t>NOTRE DAME INTERMÉDICA SAÚDE S.A.</t>
  </si>
  <si>
    <t>-</t>
  </si>
  <si>
    <t>SANTAMÁLIA SAÚDE S.A.</t>
  </si>
  <si>
    <t>FAMILY HOSPITAL LTDA.</t>
  </si>
  <si>
    <t>N/A</t>
  </si>
  <si>
    <t>UNIMED DO ABC - COOPERATIVA DE TRABALHO MÉDICO</t>
  </si>
  <si>
    <t>TIJUCA – SERVIÇOS DE ASSISTÊNCIA MÉDICO – CIRÚRGICA INFANTIL LTDA.</t>
  </si>
  <si>
    <t>HOSPITAL SÃO BERNARDO S.A.</t>
  </si>
  <si>
    <t>HOSPITAL E MATERNIDADE NOVA VIDA LTDA.</t>
  </si>
  <si>
    <t>CRUSAM CRUZEIRO DO SUL SERVIÇO DE ASSISTÊNCIA MÉDICA S.A.</t>
  </si>
  <si>
    <t>SAMED - SERVIÇOS DE ASSISTÊNCIA MÉDICA, ODONTOLÓGICA E HOSPITALAR S.A.</t>
  </si>
  <si>
    <t>GREEN LINE SISTEMA DE SAÚDE S.A</t>
  </si>
  <si>
    <t>ASSISTÊNCIA MÉDICO PEDIÁTRICA DE URGÊNCIA LTDA.</t>
  </si>
  <si>
    <t>MEDIPLAN ASSISTENCIAL LTDA</t>
  </si>
  <si>
    <t>BELO DENTE ODONTOLOGIA LTDA.</t>
  </si>
  <si>
    <t>SMEDSJ - SERVIÇOS MÉDICOS SÃO JOSE LTDA</t>
  </si>
  <si>
    <t>GHELFOND PARTICIPAÇÕES S.A.</t>
  </si>
  <si>
    <t>SÃO LUCAS SAÚDE S/A</t>
  </si>
  <si>
    <t>CLINIPAM CLINICA PARANAENSE DE ASSISTENCIA MEDICA LTDA</t>
  </si>
  <si>
    <t>Merged</t>
  </si>
  <si>
    <t>Consolidaded</t>
  </si>
  <si>
    <t>Empresa/Entety</t>
  </si>
  <si>
    <t>ECOLE SERVIÇOS MÉDICOS LTDA</t>
  </si>
  <si>
    <t>CLIMEPE TOTAL LTDA</t>
  </si>
  <si>
    <t>Signing</t>
  </si>
  <si>
    <t>SMV SERVIÇOS MÉDICOS LTDA (Santa Monica)</t>
  </si>
  <si>
    <t>BIO SAÚDE SERVIÇOS MÉDICOS LTDA</t>
  </si>
  <si>
    <t>MEDISANITAS BRASIL ASSISTÊNCIA INTEGRAL À SAÚDE S/A.</t>
  </si>
  <si>
    <t>Hospital</t>
  </si>
  <si>
    <t>Beds</t>
  </si>
  <si>
    <t>City/State</t>
  </si>
  <si>
    <t>Bosque da Saúde</t>
  </si>
  <si>
    <t>Nossa Senhora do Rosário</t>
  </si>
  <si>
    <t>Guarulhos</t>
  </si>
  <si>
    <t>Nova Vida</t>
  </si>
  <si>
    <t>São Paulo/SP</t>
  </si>
  <si>
    <t>NotreCare Analia Franco</t>
  </si>
  <si>
    <t>Salvalus</t>
  </si>
  <si>
    <t>Family</t>
  </si>
  <si>
    <t>Tabão da Serra/SP</t>
  </si>
  <si>
    <t>Itapevi/SP</t>
  </si>
  <si>
    <t>Cruzeiro do Sul</t>
  </si>
  <si>
    <t>Osasco/SP</t>
  </si>
  <si>
    <t>Guarulhos/SP</t>
  </si>
  <si>
    <t>Intermedica ABC</t>
  </si>
  <si>
    <t>São Bernardo/SP</t>
  </si>
  <si>
    <t>São Bernardo</t>
  </si>
  <si>
    <t>NotreCare</t>
  </si>
  <si>
    <t>Mogi das Cruzes/SP</t>
  </si>
  <si>
    <t>Paulo Sacramento</t>
  </si>
  <si>
    <t>Jundiai/SP</t>
  </si>
  <si>
    <t>Renascença Campinas</t>
  </si>
  <si>
    <t>Campinas/SP</t>
  </si>
  <si>
    <t>Modelo</t>
  </si>
  <si>
    <t>Samaritano</t>
  </si>
  <si>
    <t>Sorocaba/SP</t>
  </si>
  <si>
    <t>Frei Galvão</t>
  </si>
  <si>
    <t>Santos/SP</t>
  </si>
  <si>
    <t>São José dos Lirios</t>
  </si>
  <si>
    <t>São Gonçalo/RJ</t>
  </si>
  <si>
    <t>Intermédia Jacarepagua</t>
  </si>
  <si>
    <t>Rio de Janeiro/RJ</t>
  </si>
  <si>
    <t>NotreCare Rio</t>
  </si>
  <si>
    <t>São Lucas</t>
  </si>
  <si>
    <t>Americana/SP</t>
  </si>
  <si>
    <t>Poços de Caldas/MG</t>
  </si>
  <si>
    <t>Divinópolis/MG</t>
  </si>
  <si>
    <t>Nova Serrana/MG</t>
  </si>
  <si>
    <t>Belo Horizonte/MG</t>
  </si>
  <si>
    <t>Balneario Camburiu/SC</t>
  </si>
  <si>
    <t>Curitiba/PR</t>
  </si>
  <si>
    <t>Poços de Caldas</t>
  </si>
  <si>
    <t>Santa Mônica</t>
  </si>
  <si>
    <t>Santa Mônica de Nova Serrana</t>
  </si>
  <si>
    <t>Hospital de Coração</t>
  </si>
  <si>
    <t>Onix Batel</t>
  </si>
  <si>
    <t>Onix Mateus Leme</t>
  </si>
  <si>
    <t>Santamalia</t>
  </si>
  <si>
    <t>GNDI</t>
  </si>
  <si>
    <t>Greenline</t>
  </si>
  <si>
    <t>Unimed ABC</t>
  </si>
  <si>
    <t>Samed</t>
  </si>
  <si>
    <t>Mediplan</t>
  </si>
  <si>
    <t>São José</t>
  </si>
  <si>
    <t>Climpe</t>
  </si>
  <si>
    <t>AMIU</t>
  </si>
  <si>
    <t>Clinipam</t>
  </si>
  <si>
    <t>Closing</t>
  </si>
  <si>
    <t>aug/20</t>
  </si>
  <si>
    <t>feb/20</t>
  </si>
  <si>
    <t>apr/20</t>
  </si>
  <si>
    <t>may/19</t>
  </si>
  <si>
    <t>Samci</t>
  </si>
  <si>
    <t>Santana</t>
  </si>
  <si>
    <t>dec/16</t>
  </si>
  <si>
    <t>apr/17</t>
  </si>
  <si>
    <t>feb/18</t>
  </si>
  <si>
    <t>oct/18</t>
  </si>
  <si>
    <t>apr/19</t>
  </si>
  <si>
    <t>may/17</t>
  </si>
  <si>
    <t>Santa Brígida</t>
  </si>
  <si>
    <t>IMESA</t>
  </si>
  <si>
    <t>Serpram</t>
  </si>
  <si>
    <t>Varginha</t>
  </si>
  <si>
    <t>Varginha/MG</t>
  </si>
  <si>
    <t>Alfenas/MG</t>
  </si>
  <si>
    <t>LIFEDAY PLANOS DE SAÚDE LTDA.</t>
  </si>
  <si>
    <t>HOSPITAL DO CORAÇÃO DE BALNEÁRIO CAMBORIÚ LTDA.</t>
  </si>
  <si>
    <t>LABCLIN AUXILIO DIAGNOSTICO LTDA</t>
  </si>
  <si>
    <t>SERPRAM - SERVIÇO DE PRESTAÇÃO DE ASSISTÊNCIA MÉDICO-HOSPITALAR S.A.</t>
  </si>
  <si>
    <t xml:space="preserve">HOSPITAL E MATERNIDADE SANTA BRÍGIDA S.A. </t>
  </si>
  <si>
    <t>oct/20</t>
  </si>
  <si>
    <t>may/14</t>
  </si>
  <si>
    <t>sep/19</t>
  </si>
  <si>
    <t>dec/19</t>
  </si>
  <si>
    <t>sep/18</t>
  </si>
  <si>
    <t>Life(k)</t>
  </si>
  <si>
    <t>EV (R$'000)</t>
  </si>
  <si>
    <t>3T20</t>
  </si>
  <si>
    <t>Acreditação</t>
  </si>
  <si>
    <t>ONA 3 - Acreditado com Excelência</t>
  </si>
  <si>
    <t>ONA 2 - Acreditado Pleno</t>
  </si>
  <si>
    <t>ONA 3 e QMENTUM - Acreditado com Excelência</t>
  </si>
  <si>
    <t xml:space="preserve">ONA 1 - Acreditado </t>
  </si>
  <si>
    <t>3Q20</t>
  </si>
  <si>
    <t>Hospital Paes Leme</t>
  </si>
  <si>
    <t>Hospital Bela Suiça</t>
  </si>
  <si>
    <t>Londrina/PR</t>
  </si>
  <si>
    <t>Grupo Hospitalar de Londrina</t>
  </si>
  <si>
    <t>GRUPO HOSPITALAR DE LONDRINA</t>
  </si>
  <si>
    <t>dec/20</t>
  </si>
  <si>
    <t>Hospital Lifecenter</t>
  </si>
  <si>
    <t>ONA 3 e JCI - Acreditado com Excelência</t>
  </si>
  <si>
    <t>HOSPITAL LIFECENTER</t>
  </si>
  <si>
    <t>Lifecenter</t>
  </si>
  <si>
    <t>4T20</t>
  </si>
  <si>
    <t>4Q20</t>
  </si>
  <si>
    <t>apr/21</t>
  </si>
  <si>
    <t>1T21</t>
  </si>
  <si>
    <t>1Q21</t>
  </si>
  <si>
    <t>Maringá</t>
  </si>
  <si>
    <t>Porto Alegre/RS</t>
  </si>
  <si>
    <t>Centro Clínico Gaúcho</t>
  </si>
  <si>
    <t>Maringá/PR</t>
  </si>
  <si>
    <t>354554/361852</t>
  </si>
  <si>
    <t>ANS Code</t>
  </si>
  <si>
    <t>CENTRO CLÍNICO GAÚCHO</t>
  </si>
  <si>
    <t>Hospital Maringá</t>
  </si>
  <si>
    <t>HOSPITAL MARINGÁ</t>
  </si>
  <si>
    <t>aug/21</t>
  </si>
  <si>
    <t>CASA DE SAÚDE E MATERNIDADE SANTA MARTHA S.A.</t>
  </si>
  <si>
    <t>Santa Martha</t>
  </si>
  <si>
    <t>Niterói/RJ</t>
  </si>
  <si>
    <t>2T21</t>
  </si>
  <si>
    <t>2Q21</t>
  </si>
  <si>
    <t>oct/11</t>
  </si>
  <si>
    <t>oct/21</t>
  </si>
  <si>
    <t>3T21</t>
  </si>
  <si>
    <t>3Q21</t>
  </si>
  <si>
    <t>feb/22</t>
  </si>
  <si>
    <t xml:space="preserve">HSCOR – Hospital do Coração de Duque de Caxias </t>
  </si>
  <si>
    <t>Humaniza</t>
  </si>
  <si>
    <t>HSCOR</t>
  </si>
  <si>
    <t>Duque de Caxias/RJ</t>
  </si>
  <si>
    <t>4T21</t>
  </si>
  <si>
    <t xml:space="preserve">Aplicações financeiras </t>
  </si>
  <si>
    <t>NotreLife 50+</t>
  </si>
  <si>
    <t>4Q21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</si>
</sst>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_(* #,##0.0_);_(* \(#,##0.0\);_(* &quot;-&quot;??_);_(@_)"/>
    <numFmt numFmtId="167" formatCode="0.0%"/>
    <numFmt numFmtId="168" formatCode="_-* #,##0.0_-;\-* #,##0.0_-;_-* &quot;-&quot;?_-;_-@_-"/>
    <numFmt numFmtId="169" formatCode="0.0&quot;x&quot;"/>
    <numFmt numFmtId="170" formatCode="#,##0.0"/>
    <numFmt numFmtId="171" formatCode="_(* #,##0.000_);_(* \(#,##0.000\);_(* &quot;-&quot;??_);_(@_)"/>
    <numFmt numFmtId="172" formatCode="_(* #,##0.0_);_(* \(#,##0.0\);_(* &quot;-&quot;_);_(@_)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rgb="FF1E83C7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3822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</cellStyleXfs>
  <cellXfs count="63">
    <xf numFmtId="0" fontId="0" fillId="0" borderId="0" xfId="0"/>
    <xf numFmtId="0" fontId="0" fillId="0" borderId="0" xfId="0" applyFont="1" applyAlignment="1">
      <alignment horizontal="left" vertical="center" indent="1"/>
    </xf>
    <xf numFmtId="0" fontId="0" fillId="0" borderId="0" xfId="0" applyFont="1" applyAlignment="1">
      <alignment horizontal="left" vertical="center" indent="2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 indent="1"/>
    </xf>
    <xf numFmtId="0" fontId="0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7" fontId="4" fillId="2" borderId="0" xfId="2" applyNumberFormat="1" applyFont="1" applyFill="1" applyAlignment="1">
      <alignment vertical="center"/>
    </xf>
    <xf numFmtId="167" fontId="3" fillId="2" borderId="0" xfId="2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center"/>
    </xf>
    <xf numFmtId="0" fontId="3" fillId="2" borderId="0" xfId="0" applyFont="1" applyFill="1"/>
    <xf numFmtId="166" fontId="3" fillId="2" borderId="0" xfId="1" applyNumberFormat="1" applyFont="1" applyFill="1" applyAlignment="1">
      <alignment vertical="center"/>
    </xf>
    <xf numFmtId="164" fontId="0" fillId="0" borderId="0" xfId="1" applyNumberFormat="1" applyFont="1" applyFill="1"/>
    <xf numFmtId="164" fontId="0" fillId="0" borderId="0" xfId="1" applyNumberFormat="1" applyFont="1" applyFill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indent="3"/>
    </xf>
    <xf numFmtId="166" fontId="0" fillId="0" borderId="0" xfId="1" applyNumberFormat="1" applyFont="1" applyFill="1" applyAlignment="1">
      <alignment vertical="center"/>
    </xf>
    <xf numFmtId="0" fontId="0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3"/>
    </xf>
    <xf numFmtId="167" fontId="6" fillId="0" borderId="0" xfId="2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indent="2"/>
    </xf>
    <xf numFmtId="0" fontId="0" fillId="0" borderId="0" xfId="0" applyFont="1" applyAlignment="1">
      <alignment horizontal="left" vertical="center" indent="5"/>
    </xf>
    <xf numFmtId="168" fontId="0" fillId="0" borderId="0" xfId="0" applyNumberFormat="1" applyFont="1" applyAlignment="1">
      <alignment vertical="center"/>
    </xf>
    <xf numFmtId="166" fontId="0" fillId="0" borderId="0" xfId="0" applyNumberFormat="1" applyFont="1" applyFill="1" applyAlignment="1">
      <alignment vertical="center"/>
    </xf>
    <xf numFmtId="169" fontId="3" fillId="2" borderId="0" xfId="2" applyNumberFormat="1" applyFont="1" applyFill="1" applyAlignment="1">
      <alignment vertical="center"/>
    </xf>
    <xf numFmtId="0" fontId="6" fillId="0" borderId="0" xfId="0" applyFont="1" applyAlignment="1">
      <alignment horizontal="left" vertical="center" indent="2"/>
    </xf>
    <xf numFmtId="167" fontId="6" fillId="0" borderId="0" xfId="2" applyNumberFormat="1" applyFont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9" fontId="0" fillId="0" borderId="0" xfId="2" applyFont="1" applyFill="1" applyAlignment="1">
      <alignment vertical="center"/>
    </xf>
    <xf numFmtId="166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vertical="center"/>
    </xf>
    <xf numFmtId="167" fontId="3" fillId="2" borderId="0" xfId="0" applyNumberFormat="1" applyFont="1" applyFill="1" applyAlignment="1">
      <alignment vertical="center"/>
    </xf>
    <xf numFmtId="167" fontId="0" fillId="0" borderId="0" xfId="2" applyNumberFormat="1" applyFont="1" applyFill="1" applyAlignment="1">
      <alignment vertical="center"/>
    </xf>
    <xf numFmtId="170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horizontal="left" indent="3"/>
    </xf>
    <xf numFmtId="0" fontId="7" fillId="0" borderId="0" xfId="0" applyFont="1" applyAlignment="1">
      <alignment vertical="center" wrapText="1"/>
    </xf>
    <xf numFmtId="0" fontId="0" fillId="0" borderId="0" xfId="0" applyFont="1" applyAlignment="1">
      <alignment horizontal="left" indent="1"/>
    </xf>
    <xf numFmtId="171" fontId="0" fillId="0" borderId="0" xfId="1" applyNumberFormat="1" applyFont="1" applyFill="1" applyAlignment="1">
      <alignment vertical="center"/>
    </xf>
    <xf numFmtId="172" fontId="0" fillId="0" borderId="0" xfId="0" applyNumberFormat="1" applyFont="1" applyBorder="1" applyAlignment="1">
      <alignment horizontal="right" vertical="center"/>
    </xf>
    <xf numFmtId="165" fontId="0" fillId="0" borderId="0" xfId="0" applyNumberFormat="1" applyFont="1" applyAlignment="1">
      <alignment vertical="center"/>
    </xf>
    <xf numFmtId="9" fontId="0" fillId="0" borderId="0" xfId="2" applyNumberFormat="1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17" fontId="0" fillId="0" borderId="0" xfId="0" applyNumberFormat="1" applyAlignment="1">
      <alignment horizontal="right"/>
    </xf>
    <xf numFmtId="17" fontId="0" fillId="0" borderId="0" xfId="0" quotePrefix="1" applyNumberFormat="1" applyAlignment="1">
      <alignment horizontal="right"/>
    </xf>
    <xf numFmtId="164" fontId="9" fillId="0" borderId="0" xfId="1" applyNumberFormat="1" applyFont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7" fontId="0" fillId="0" borderId="0" xfId="0" applyNumberFormat="1"/>
    <xf numFmtId="0" fontId="9" fillId="0" borderId="0" xfId="0" applyFont="1" applyFill="1" applyAlignment="1">
      <alignment horizontal="right" vertical="center"/>
    </xf>
    <xf numFmtId="166" fontId="0" fillId="4" borderId="0" xfId="1" applyNumberFormat="1" applyFont="1" applyFill="1" applyAlignment="1">
      <alignment vertical="center"/>
    </xf>
    <xf numFmtId="166" fontId="0" fillId="4" borderId="0" xfId="0" applyNumberFormat="1" applyFont="1" applyFill="1" applyAlignment="1">
      <alignment vertical="center"/>
    </xf>
    <xf numFmtId="169" fontId="0" fillId="0" borderId="0" xfId="0" applyNumberFormat="1" applyFont="1" applyAlignment="1">
      <alignment vertical="center"/>
    </xf>
    <xf numFmtId="0" fontId="0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vertical="center"/>
    </xf>
  </cellXfs>
  <cellStyles count="6">
    <cellStyle name="Currency 2" xfId="3" xr:uid="{00000000-0005-0000-0000-000000000000}"/>
    <cellStyle name="Normal" xfId="0" builtinId="0"/>
    <cellStyle name="Normal 2" xfId="4" xr:uid="{00000000-0005-0000-0000-000002000000}"/>
    <cellStyle name="Normal 6 2" xfId="5" xr:uid="{00000000-0005-0000-0000-000003000000}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1E83C7"/>
      <color rgb="FFF38223"/>
      <color rgb="FFEE402F"/>
      <color rgb="FFEE542F"/>
      <color rgb="FF0053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179291</xdr:colOff>
      <xdr:row>0</xdr:row>
      <xdr:rowOff>155806</xdr:rowOff>
    </xdr:from>
    <xdr:to>
      <xdr:col>1</xdr:col>
      <xdr:colOff>2180166</xdr:colOff>
      <xdr:row>5</xdr:row>
      <xdr:rowOff>16420</xdr:rowOff>
    </xdr:to>
    <xdr:pic>
      <xdr:nvPicPr>
        <xdr:cNvPr id="4" name="Imagem 3" descr="http://intranet.gndi.com.br/documents/20229/50091/LOGO_GNDI.jpg/49b0b9c3-7e11-4e0d-8ed4-8e6e9310f8f7?version=1.0&amp;t=146843531810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1" y="155806"/>
          <a:ext cx="2185150" cy="813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158125</xdr:colOff>
      <xdr:row>0</xdr:row>
      <xdr:rowOff>155806</xdr:rowOff>
    </xdr:from>
    <xdr:to>
      <xdr:col>1</xdr:col>
      <xdr:colOff>2163981</xdr:colOff>
      <xdr:row>5</xdr:row>
      <xdr:rowOff>16420</xdr:rowOff>
    </xdr:to>
    <xdr:pic>
      <xdr:nvPicPr>
        <xdr:cNvPr id="2" name="Imagem 1" descr="http://intranet.gndi.com.br/documents/20229/50091/LOGO_GNDI.jpg/49b0b9c3-7e11-4e0d-8ed4-8e6e9310f8f7?version=1.0&amp;t=146843531810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25" y="155806"/>
          <a:ext cx="2185773" cy="813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E83C7"/>
    <outlinePr summaryBelow="0"/>
  </sheetPr>
  <dimension ref="B3:AT284"/>
  <sheetViews>
    <sheetView showGridLines="0"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E4" sqref="D4:E8"/>
    </sheetView>
  </sheetViews>
  <sheetFormatPr defaultColWidth="10.7109375" defaultRowHeight="15" outlineLevelRow="3" x14ac:dyDescent="0.25"/>
  <cols>
    <col min="1" max="1" width="2.7109375" style="6" customWidth="1"/>
    <col min="2" max="2" width="52.7109375" style="6" customWidth="1"/>
    <col min="3" max="3" width="10.7109375" style="6" bestFit="1" customWidth="1"/>
    <col min="4" max="4" width="8.85546875" style="6" bestFit="1" customWidth="1"/>
    <col min="5" max="14" width="9.5703125" style="6" bestFit="1" customWidth="1"/>
    <col min="15" max="16" width="10" style="6" bestFit="1" customWidth="1"/>
    <col min="17" max="21" width="10" style="6" customWidth="1"/>
    <col min="22" max="22" width="10" style="6" bestFit="1" customWidth="1"/>
    <col min="23" max="23" width="10.5703125" style="6" bestFit="1" customWidth="1"/>
    <col min="24" max="24" width="5.5703125" style="6" bestFit="1" customWidth="1"/>
    <col min="25" max="26" width="9.5703125" style="6" bestFit="1" customWidth="1"/>
    <col min="27" max="29" width="10.5703125" style="6" bestFit="1" customWidth="1"/>
    <col min="30" max="30" width="5.5703125" style="6" bestFit="1" customWidth="1"/>
    <col min="31" max="31" width="6.140625" style="6" bestFit="1" customWidth="1"/>
    <col min="32" max="53" width="5.5703125" style="6" bestFit="1" customWidth="1"/>
    <col min="54" max="16384" width="10.7109375" style="6"/>
  </cols>
  <sheetData>
    <row r="3" spans="2:29" x14ac:dyDescent="0.25">
      <c r="D3"/>
    </row>
    <row r="5" spans="2:29" x14ac:dyDescent="0.25">
      <c r="O5" s="27"/>
    </row>
    <row r="6" spans="2:29" x14ac:dyDescent="0.25">
      <c r="C6" s="27"/>
      <c r="D6" s="19"/>
      <c r="E6" s="19"/>
      <c r="F6" s="19"/>
      <c r="G6" s="19"/>
      <c r="H6" s="19"/>
      <c r="I6" s="19"/>
      <c r="J6" s="27"/>
      <c r="K6" s="27"/>
      <c r="L6" s="27"/>
      <c r="M6" s="27"/>
      <c r="O6" s="27"/>
      <c r="Q6" s="27"/>
    </row>
    <row r="7" spans="2:29" ht="15.75" x14ac:dyDescent="0.25">
      <c r="B7" s="33" t="s">
        <v>188</v>
      </c>
      <c r="D7" s="36"/>
      <c r="E7" s="36"/>
      <c r="F7" s="36"/>
      <c r="G7" s="36"/>
      <c r="H7" s="36"/>
      <c r="I7" s="36"/>
      <c r="J7" s="36"/>
      <c r="K7" s="36"/>
      <c r="L7" s="19"/>
      <c r="M7" s="19"/>
      <c r="N7" s="19"/>
      <c r="O7" s="19"/>
      <c r="P7" s="19"/>
      <c r="Q7" s="19"/>
    </row>
    <row r="8" spans="2:29" outlineLevel="1" x14ac:dyDescent="0.25">
      <c r="B8" s="32" t="s">
        <v>6</v>
      </c>
      <c r="C8" s="17" t="s">
        <v>0</v>
      </c>
      <c r="D8" s="17" t="s">
        <v>1</v>
      </c>
      <c r="E8" s="17" t="s">
        <v>2</v>
      </c>
      <c r="F8" s="17" t="s">
        <v>3</v>
      </c>
      <c r="G8" s="17" t="s">
        <v>4</v>
      </c>
      <c r="H8" s="17" t="s">
        <v>5</v>
      </c>
      <c r="I8" s="17" t="s">
        <v>375</v>
      </c>
      <c r="J8" s="17" t="s">
        <v>383</v>
      </c>
      <c r="K8" s="17" t="s">
        <v>385</v>
      </c>
      <c r="L8" s="17" t="s">
        <v>399</v>
      </c>
      <c r="M8" s="17" t="s">
        <v>412</v>
      </c>
      <c r="N8" s="17" t="s">
        <v>422</v>
      </c>
      <c r="O8" s="17" t="s">
        <v>424</v>
      </c>
      <c r="P8" s="17" t="s">
        <v>427</v>
      </c>
      <c r="Q8" s="17" t="s">
        <v>431</v>
      </c>
      <c r="R8" s="17" t="s">
        <v>554</v>
      </c>
      <c r="S8" s="17" t="s">
        <v>571</v>
      </c>
      <c r="T8" s="17" t="s">
        <v>574</v>
      </c>
      <c r="U8" s="17" t="s">
        <v>589</v>
      </c>
      <c r="V8" s="17" t="s">
        <v>593</v>
      </c>
      <c r="W8" s="17" t="s">
        <v>600</v>
      </c>
      <c r="Y8" s="17">
        <v>2017</v>
      </c>
      <c r="Z8" s="17">
        <v>2018</v>
      </c>
      <c r="AA8" s="17">
        <v>2019</v>
      </c>
      <c r="AB8" s="17">
        <v>2020</v>
      </c>
      <c r="AC8" s="17">
        <v>2021</v>
      </c>
    </row>
    <row r="9" spans="2:29" outlineLevel="1" x14ac:dyDescent="0.25">
      <c r="B9" s="3" t="s">
        <v>182</v>
      </c>
      <c r="C9" s="3" t="s">
        <v>79</v>
      </c>
      <c r="D9" s="4">
        <f t="shared" ref="D9:I9" si="0">SUM(D10,D14)</f>
        <v>3464.3229999999999</v>
      </c>
      <c r="E9" s="4">
        <f t="shared" si="0"/>
        <v>3548.3450000000003</v>
      </c>
      <c r="F9" s="4">
        <f t="shared" si="0"/>
        <v>3637.143</v>
      </c>
      <c r="G9" s="4">
        <f t="shared" si="0"/>
        <v>3596.328</v>
      </c>
      <c r="H9" s="4">
        <f t="shared" si="0"/>
        <v>3731.9080000000004</v>
      </c>
      <c r="I9" s="4">
        <f t="shared" si="0"/>
        <v>3991.0089999999991</v>
      </c>
      <c r="J9" s="4">
        <f t="shared" ref="J9:K9" si="1">SUM(J10,J14)</f>
        <v>4028.1089999999995</v>
      </c>
      <c r="K9" s="4">
        <f t="shared" si="1"/>
        <v>4094.5289999999995</v>
      </c>
      <c r="L9" s="4">
        <f t="shared" ref="L9:M9" si="2">SUM(L10,L14)</f>
        <v>4656.6529999999993</v>
      </c>
      <c r="M9" s="4">
        <f t="shared" si="2"/>
        <v>4918.598</v>
      </c>
      <c r="N9" s="4">
        <f t="shared" ref="N9:O9" si="3">SUM(N10,N14)</f>
        <v>5419.8819999999996</v>
      </c>
      <c r="O9" s="4">
        <f t="shared" si="3"/>
        <v>5583.1580000000004</v>
      </c>
      <c r="P9" s="4">
        <f t="shared" ref="P9:R9" si="4">SUM(P10,P14)</f>
        <v>6127.152</v>
      </c>
      <c r="Q9" s="4">
        <f t="shared" si="4"/>
        <v>6176.7429999999995</v>
      </c>
      <c r="R9" s="4">
        <f t="shared" si="4"/>
        <v>6294.3819999999987</v>
      </c>
      <c r="S9" s="4">
        <f t="shared" ref="S9:T9" si="5">SUM(S10,S14)</f>
        <v>6452.9750000000004</v>
      </c>
      <c r="T9" s="4">
        <f t="shared" si="5"/>
        <v>6613.2970000000005</v>
      </c>
      <c r="U9" s="4">
        <f t="shared" ref="U9:V9" si="6">SUM(U10,U14)</f>
        <v>7175.6539999999995</v>
      </c>
      <c r="V9" s="4">
        <f t="shared" si="6"/>
        <v>7609.8559999999979</v>
      </c>
      <c r="W9" s="4">
        <f t="shared" ref="W9" si="7">SUM(W10,W14)</f>
        <v>7662.2079999999978</v>
      </c>
      <c r="Y9" s="4">
        <f t="shared" ref="Y9:Z9" si="8">SUM(Y10,Y14)</f>
        <v>3596.328</v>
      </c>
      <c r="Z9" s="4">
        <f t="shared" si="8"/>
        <v>4094.5289999999991</v>
      </c>
      <c r="AA9" s="4">
        <f t="shared" ref="AA9:AB9" si="9">SUM(AA10,AA14)</f>
        <v>5583.1580000000004</v>
      </c>
      <c r="AB9" s="4">
        <f t="shared" si="9"/>
        <v>6452.9750000000004</v>
      </c>
      <c r="AC9" s="4">
        <f t="shared" ref="AC9" si="10">SUM(AC10,AC14)</f>
        <v>7662.2079999999978</v>
      </c>
    </row>
    <row r="10" spans="2:29" outlineLevel="1" x14ac:dyDescent="0.25">
      <c r="B10" s="5" t="s">
        <v>204</v>
      </c>
      <c r="C10" s="3" t="s">
        <v>79</v>
      </c>
      <c r="D10" s="4">
        <v>2041.0379999999998</v>
      </c>
      <c r="E10" s="4">
        <f>D10+SUM(E11:E12)</f>
        <v>2075.5419999999999</v>
      </c>
      <c r="F10" s="4">
        <f t="shared" ref="F10:Q10" si="11">E10+SUM(F11:F12)</f>
        <v>2073.2799999999997</v>
      </c>
      <c r="G10" s="4">
        <f t="shared" si="11"/>
        <v>2056.1469999999999</v>
      </c>
      <c r="H10" s="4">
        <f t="shared" si="11"/>
        <v>2127.239</v>
      </c>
      <c r="I10" s="4">
        <f t="shared" si="11"/>
        <v>2126.974999999999</v>
      </c>
      <c r="J10" s="4">
        <f t="shared" si="11"/>
        <v>2147.5379999999991</v>
      </c>
      <c r="K10" s="4">
        <f t="shared" si="11"/>
        <v>2210.7439999999992</v>
      </c>
      <c r="L10" s="4">
        <f t="shared" si="11"/>
        <v>2704.0539999999992</v>
      </c>
      <c r="M10" s="4">
        <f t="shared" si="11"/>
        <v>2872.913</v>
      </c>
      <c r="N10" s="4">
        <f t="shared" si="11"/>
        <v>2945.2959999999994</v>
      </c>
      <c r="O10" s="4">
        <f t="shared" si="11"/>
        <v>3031.9289999999992</v>
      </c>
      <c r="P10" s="4">
        <f t="shared" si="11"/>
        <v>3564.3509999999992</v>
      </c>
      <c r="Q10" s="4">
        <f t="shared" si="11"/>
        <v>3607.2219999999993</v>
      </c>
      <c r="R10" s="4">
        <f t="shared" ref="R10" si="12">Q10+SUM(R11:R12)</f>
        <v>3694.5589999999988</v>
      </c>
      <c r="S10" s="4">
        <f t="shared" ref="S10" si="13">R10+SUM(S11:S12)</f>
        <v>3729.9349999999995</v>
      </c>
      <c r="T10" s="4">
        <f t="shared" ref="T10" si="14">S10+SUM(T11:T12)</f>
        <v>3794.6949999999997</v>
      </c>
      <c r="U10" s="4">
        <f t="shared" ref="U10:W10" si="15">T10+SUM(U11:U12)</f>
        <v>4262.0499999999993</v>
      </c>
      <c r="V10" s="4">
        <f t="shared" si="15"/>
        <v>4340.0959999999995</v>
      </c>
      <c r="W10" s="4">
        <f t="shared" si="15"/>
        <v>4383.9179999999997</v>
      </c>
      <c r="Y10" s="4">
        <f>G10</f>
        <v>2056.1469999999999</v>
      </c>
      <c r="Z10" s="4">
        <f t="shared" ref="Z10:AC10" si="16">Y10+SUM(Z11:Z12)</f>
        <v>2210.7439999999988</v>
      </c>
      <c r="AA10" s="4">
        <f t="shared" si="16"/>
        <v>3031.9289999999992</v>
      </c>
      <c r="AB10" s="4">
        <f t="shared" si="16"/>
        <v>3729.9349999999995</v>
      </c>
      <c r="AC10" s="4">
        <f t="shared" si="16"/>
        <v>4383.9179999999997</v>
      </c>
    </row>
    <row r="11" spans="2:29" outlineLevel="1" x14ac:dyDescent="0.25">
      <c r="B11" s="2" t="s">
        <v>77</v>
      </c>
      <c r="C11" s="6" t="s">
        <v>79</v>
      </c>
      <c r="D11" s="19">
        <v>10.600000000000001</v>
      </c>
      <c r="E11" s="19">
        <v>34.503999999999991</v>
      </c>
      <c r="F11" s="19">
        <v>-2.2620000000000005</v>
      </c>
      <c r="G11" s="19">
        <v>-17.133000000000003</v>
      </c>
      <c r="H11" s="19">
        <f>71.092-H12</f>
        <v>23.091999999999999</v>
      </c>
      <c r="I11" s="19">
        <v>-0.26400000000103319</v>
      </c>
      <c r="J11" s="19">
        <v>20.563000000000002</v>
      </c>
      <c r="K11" s="19">
        <v>-21.286000000000001</v>
      </c>
      <c r="L11" s="27">
        <v>20.887000000000171</v>
      </c>
      <c r="M11" s="46">
        <v>88.859000000000833</v>
      </c>
      <c r="N11" s="46">
        <v>72.382999999999356</v>
      </c>
      <c r="O11" s="46">
        <v>69.675999999999931</v>
      </c>
      <c r="P11" s="19">
        <f>532.422-P12</f>
        <v>93.124000000000024</v>
      </c>
      <c r="Q11" s="19">
        <v>3.3199999999998298</v>
      </c>
      <c r="R11" s="19">
        <v>46.559999999999548</v>
      </c>
      <c r="S11" s="19">
        <v>-10.888999999999555</v>
      </c>
      <c r="T11" s="19">
        <v>31.970000000000056</v>
      </c>
      <c r="U11" s="19">
        <v>27.354999999999734</v>
      </c>
      <c r="V11" s="19">
        <v>30.78600000000003</v>
      </c>
      <c r="W11" s="19">
        <v>43.822000000000003</v>
      </c>
      <c r="Y11" s="19">
        <f>SUM(D11:G11)</f>
        <v>25.708999999999989</v>
      </c>
      <c r="Z11" s="19">
        <f>SUM(H11:K11)</f>
        <v>22.104999999998967</v>
      </c>
      <c r="AA11" s="19">
        <f>SUM(L11:O11)</f>
        <v>251.80500000000029</v>
      </c>
      <c r="AB11" s="19">
        <f>SUM(P11:S11)</f>
        <v>132.11499999999984</v>
      </c>
      <c r="AC11" s="19">
        <f>SUM(T11:W11)</f>
        <v>133.93299999999982</v>
      </c>
    </row>
    <row r="12" spans="2:29" outlineLevel="1" x14ac:dyDescent="0.25">
      <c r="B12" s="2" t="s">
        <v>76</v>
      </c>
      <c r="C12" s="6" t="s">
        <v>79</v>
      </c>
      <c r="D12" s="19">
        <v>0</v>
      </c>
      <c r="E12" s="19">
        <v>0</v>
      </c>
      <c r="F12" s="19">
        <v>0</v>
      </c>
      <c r="G12" s="19">
        <v>0</v>
      </c>
      <c r="H12" s="19">
        <v>48</v>
      </c>
      <c r="I12" s="19">
        <v>0</v>
      </c>
      <c r="J12" s="19">
        <v>0</v>
      </c>
      <c r="K12" s="19">
        <v>84.492000000000004</v>
      </c>
      <c r="L12" s="19">
        <v>472.423</v>
      </c>
      <c r="M12" s="19">
        <v>80</v>
      </c>
      <c r="N12" s="19">
        <v>0</v>
      </c>
      <c r="O12" s="19">
        <v>16.957000000000001</v>
      </c>
      <c r="P12" s="19">
        <v>439.298</v>
      </c>
      <c r="Q12" s="19">
        <v>39.551000000000244</v>
      </c>
      <c r="R12" s="19">
        <v>40.777000000000001</v>
      </c>
      <c r="S12" s="19">
        <v>46.265000000000001</v>
      </c>
      <c r="T12" s="19">
        <v>32.79</v>
      </c>
      <c r="U12" s="19">
        <v>440</v>
      </c>
      <c r="V12" s="19">
        <v>47.260000000000005</v>
      </c>
      <c r="W12" s="19">
        <v>0</v>
      </c>
      <c r="Y12" s="19">
        <f>SUM(D12:G12)</f>
        <v>0</v>
      </c>
      <c r="Z12" s="19">
        <f>SUM(H12:K12)</f>
        <v>132.49200000000002</v>
      </c>
      <c r="AA12" s="19">
        <f>SUM(L12:O12)</f>
        <v>569.38</v>
      </c>
      <c r="AB12" s="19">
        <f>SUM(P12:S12)</f>
        <v>565.8910000000003</v>
      </c>
      <c r="AC12" s="19">
        <f>SUM(T12:W12)</f>
        <v>520.05000000000007</v>
      </c>
    </row>
    <row r="13" spans="2:29" outlineLevel="1" x14ac:dyDescent="0.25">
      <c r="B13" s="5" t="s">
        <v>216</v>
      </c>
      <c r="C13" s="3" t="s">
        <v>79</v>
      </c>
      <c r="D13" s="4">
        <v>330.05200000000002</v>
      </c>
      <c r="E13" s="4">
        <v>351.92599999999999</v>
      </c>
      <c r="F13" s="4">
        <v>365.387</v>
      </c>
      <c r="G13" s="4">
        <v>378.89800000000002</v>
      </c>
      <c r="H13" s="4">
        <v>403.13800000000003</v>
      </c>
      <c r="I13" s="4">
        <v>404.40800000000019</v>
      </c>
      <c r="J13" s="4">
        <v>427.62500000000023</v>
      </c>
      <c r="K13" s="4">
        <v>459.63900000000035</v>
      </c>
      <c r="L13" s="4">
        <v>477.13799999999992</v>
      </c>
      <c r="M13" s="4">
        <v>512.52800000000002</v>
      </c>
      <c r="N13" s="4">
        <v>545.28300000000013</v>
      </c>
      <c r="O13" s="4">
        <v>626.51300000000003</v>
      </c>
      <c r="P13" s="4">
        <v>753.76699999999994</v>
      </c>
      <c r="Q13" s="4">
        <v>791.84099999999989</v>
      </c>
      <c r="R13" s="4">
        <v>812.85899999999992</v>
      </c>
      <c r="S13" s="4">
        <v>891.58199999999988</v>
      </c>
      <c r="T13" s="4">
        <v>934.31299999999965</v>
      </c>
      <c r="U13" s="4">
        <v>992.8439999999996</v>
      </c>
      <c r="V13" s="4">
        <v>1048.8249999999996</v>
      </c>
      <c r="W13" s="4">
        <v>1114.1879999999996</v>
      </c>
      <c r="Y13" s="4">
        <f>G13</f>
        <v>378.89800000000002</v>
      </c>
      <c r="Z13" s="4">
        <f>K13</f>
        <v>459.63900000000035</v>
      </c>
      <c r="AA13" s="4">
        <f>O13</f>
        <v>626.51300000000003</v>
      </c>
      <c r="AB13" s="4">
        <f>S13</f>
        <v>891.58199999999988</v>
      </c>
      <c r="AC13" s="4">
        <f>W13</f>
        <v>1114.1879999999996</v>
      </c>
    </row>
    <row r="14" spans="2:29" outlineLevel="1" x14ac:dyDescent="0.25">
      <c r="B14" s="5" t="s">
        <v>205</v>
      </c>
      <c r="C14" s="3" t="s">
        <v>79</v>
      </c>
      <c r="D14" s="4">
        <v>1423.2850000000001</v>
      </c>
      <c r="E14" s="4">
        <f t="shared" ref="E14:W14" si="17">D14+SUM(E15:E16)</f>
        <v>1472.8030000000001</v>
      </c>
      <c r="F14" s="4">
        <f t="shared" si="17"/>
        <v>1563.8630000000001</v>
      </c>
      <c r="G14" s="4">
        <f t="shared" si="17"/>
        <v>1540.181</v>
      </c>
      <c r="H14" s="4">
        <f t="shared" si="17"/>
        <v>1604.6690000000001</v>
      </c>
      <c r="I14" s="4">
        <f t="shared" si="17"/>
        <v>1864.0340000000001</v>
      </c>
      <c r="J14" s="4">
        <f t="shared" si="17"/>
        <v>1880.5710000000001</v>
      </c>
      <c r="K14" s="4">
        <f t="shared" si="17"/>
        <v>1883.7850000000005</v>
      </c>
      <c r="L14" s="4">
        <f t="shared" si="17"/>
        <v>1952.5990000000002</v>
      </c>
      <c r="M14" s="4">
        <f t="shared" si="17"/>
        <v>2045.6850000000004</v>
      </c>
      <c r="N14" s="4">
        <f t="shared" si="17"/>
        <v>2474.5860000000007</v>
      </c>
      <c r="O14" s="4">
        <f t="shared" si="17"/>
        <v>2551.2290000000012</v>
      </c>
      <c r="P14" s="4">
        <f t="shared" si="17"/>
        <v>2562.8010000000008</v>
      </c>
      <c r="Q14" s="4">
        <f t="shared" si="17"/>
        <v>2569.5210000000002</v>
      </c>
      <c r="R14" s="4">
        <f t="shared" si="17"/>
        <v>2599.8229999999999</v>
      </c>
      <c r="S14" s="4">
        <f t="shared" si="17"/>
        <v>2723.0400000000004</v>
      </c>
      <c r="T14" s="4">
        <f t="shared" si="17"/>
        <v>2818.6020000000003</v>
      </c>
      <c r="U14" s="4">
        <f t="shared" si="17"/>
        <v>2913.6040000000003</v>
      </c>
      <c r="V14" s="4">
        <f t="shared" si="17"/>
        <v>3269.7599999999989</v>
      </c>
      <c r="W14" s="4">
        <f t="shared" si="17"/>
        <v>3278.2899999999981</v>
      </c>
      <c r="Y14" s="4">
        <f>G14</f>
        <v>1540.181</v>
      </c>
      <c r="Z14" s="4">
        <f t="shared" ref="Z14" si="18">Y14+SUM(Z15:Z15)</f>
        <v>1883.7850000000003</v>
      </c>
      <c r="AA14" s="4">
        <f>Z14+SUM(AA15:AA16)</f>
        <v>2551.2290000000012</v>
      </c>
      <c r="AB14" s="4">
        <f>AA14+SUM(AB15:AB16)</f>
        <v>2723.0400000000004</v>
      </c>
      <c r="AC14" s="4">
        <f>AB14+SUM(AC15:AC16)</f>
        <v>3278.2899999999981</v>
      </c>
    </row>
    <row r="15" spans="2:29" outlineLevel="1" x14ac:dyDescent="0.25">
      <c r="B15" s="2" t="s">
        <v>77</v>
      </c>
      <c r="C15" s="6" t="s">
        <v>79</v>
      </c>
      <c r="D15" s="19">
        <v>240.99600000000004</v>
      </c>
      <c r="E15" s="19">
        <v>49.517999999999986</v>
      </c>
      <c r="F15" s="19">
        <v>91.059999999999974</v>
      </c>
      <c r="G15" s="19">
        <v>-23.681999999999974</v>
      </c>
      <c r="H15" s="19">
        <v>64.488</v>
      </c>
      <c r="I15" s="19">
        <v>259.36500000000001</v>
      </c>
      <c r="J15" s="19">
        <v>16.536999999999992</v>
      </c>
      <c r="K15" s="19">
        <v>3.2140000000003965</v>
      </c>
      <c r="L15" s="19">
        <v>68.813999999999623</v>
      </c>
      <c r="M15" s="19">
        <v>93.08600000000024</v>
      </c>
      <c r="N15" s="19">
        <v>70.792000000000371</v>
      </c>
      <c r="O15" s="19">
        <v>76.643000000000484</v>
      </c>
      <c r="P15" s="19">
        <f>11.5719999999997-P16</f>
        <v>-0.64800000000029812</v>
      </c>
      <c r="Q15" s="19">
        <v>6.7199999999993452</v>
      </c>
      <c r="R15" s="19">
        <v>30.301999999999595</v>
      </c>
      <c r="S15" s="19">
        <v>123.21700000000061</v>
      </c>
      <c r="T15" s="19">
        <v>95.562000000000012</v>
      </c>
      <c r="U15" s="19">
        <v>95.001999999999967</v>
      </c>
      <c r="V15" s="19">
        <v>356.1559999999987</v>
      </c>
      <c r="W15" s="19">
        <v>8.5299999999990632</v>
      </c>
      <c r="Y15" s="19">
        <f>SUM(D15:G15)</f>
        <v>357.892</v>
      </c>
      <c r="Z15" s="19">
        <f>SUM(H15:K15)</f>
        <v>343.60400000000038</v>
      </c>
      <c r="AA15" s="19">
        <f>SUM(L15:O15)</f>
        <v>309.33500000000072</v>
      </c>
      <c r="AB15" s="19">
        <f>SUM(P15:S15)</f>
        <v>159.59099999999927</v>
      </c>
      <c r="AC15" s="19">
        <f t="shared" ref="AC15:AC16" si="19">SUM(T15:W15)</f>
        <v>555.24999999999773</v>
      </c>
    </row>
    <row r="16" spans="2:29" outlineLevel="1" x14ac:dyDescent="0.25">
      <c r="B16" s="2" t="s">
        <v>76</v>
      </c>
      <c r="C16" s="6" t="s">
        <v>79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358.10899999999998</v>
      </c>
      <c r="O16" s="19">
        <v>0</v>
      </c>
      <c r="P16" s="19">
        <v>12.219999999999999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Y16" s="19">
        <v>0</v>
      </c>
      <c r="Z16" s="19">
        <v>0</v>
      </c>
      <c r="AA16" s="19">
        <f>SUM(L16:O16)</f>
        <v>358.10899999999998</v>
      </c>
      <c r="AB16" s="19">
        <f>SUM(P16:S16)</f>
        <v>12.219999999999999</v>
      </c>
      <c r="AC16" s="19">
        <f t="shared" si="19"/>
        <v>0</v>
      </c>
    </row>
    <row r="17" spans="2:29" outlineLevel="1" x14ac:dyDescent="0.25">
      <c r="B17" s="3" t="s">
        <v>212</v>
      </c>
      <c r="C17" s="3" t="s">
        <v>14</v>
      </c>
      <c r="D17" s="38">
        <v>0.56947684105298235</v>
      </c>
      <c r="E17" s="38">
        <v>0.55200000000000005</v>
      </c>
      <c r="F17" s="38">
        <v>0.59199999999999997</v>
      </c>
      <c r="G17" s="38">
        <v>0.6</v>
      </c>
      <c r="H17" s="38">
        <v>0.61399999999999999</v>
      </c>
      <c r="I17" s="38">
        <v>0.66100000000000003</v>
      </c>
      <c r="J17" s="38">
        <v>0.69299999999999995</v>
      </c>
      <c r="K17" s="38">
        <v>0.71699999999999997</v>
      </c>
      <c r="L17" s="38">
        <v>0.71899999999999997</v>
      </c>
      <c r="M17" s="38">
        <v>0.71127541589648802</v>
      </c>
      <c r="N17" s="38">
        <v>0.72399999999999998</v>
      </c>
      <c r="O17" s="38">
        <v>0.73299999999999998</v>
      </c>
      <c r="P17" s="38">
        <v>0.65206017004578154</v>
      </c>
      <c r="Q17" s="38">
        <v>0.66309084813945696</v>
      </c>
      <c r="R17" s="38">
        <v>0.58634350967140525</v>
      </c>
      <c r="S17" s="38">
        <v>0.63244402096236307</v>
      </c>
      <c r="T17" s="38">
        <v>0.66561971490698235</v>
      </c>
      <c r="U17" s="38">
        <v>0.67200000000000004</v>
      </c>
      <c r="V17" s="38">
        <v>0.67700000000000005</v>
      </c>
      <c r="W17" s="38">
        <v>0.68100000000000005</v>
      </c>
      <c r="Y17" s="38">
        <f>G17</f>
        <v>0.6</v>
      </c>
      <c r="Z17" s="38">
        <f>K17</f>
        <v>0.71699999999999997</v>
      </c>
      <c r="AA17" s="38">
        <f>O17</f>
        <v>0.73299999999999998</v>
      </c>
      <c r="AB17" s="38">
        <f>S17</f>
        <v>0.63244402096236307</v>
      </c>
      <c r="AC17" s="38">
        <f>W17</f>
        <v>0.68100000000000005</v>
      </c>
    </row>
    <row r="18" spans="2:29" outlineLevel="1" x14ac:dyDescent="0.25"/>
    <row r="19" spans="2:29" outlineLevel="1" x14ac:dyDescent="0.25">
      <c r="B19" s="3" t="s">
        <v>183</v>
      </c>
      <c r="C19" s="3" t="s">
        <v>79</v>
      </c>
      <c r="D19" s="4">
        <v>2025.2103333333332</v>
      </c>
      <c r="E19" s="4">
        <v>2061.5576666666666</v>
      </c>
      <c r="F19" s="4">
        <v>2070.572666666666</v>
      </c>
      <c r="G19" s="4">
        <v>2048.023999999999</v>
      </c>
      <c r="H19" s="4">
        <v>2087.213666666667</v>
      </c>
      <c r="I19" s="4">
        <v>2114.8406666666665</v>
      </c>
      <c r="J19" s="4">
        <v>2139.4359999999992</v>
      </c>
      <c r="K19" s="4">
        <v>2218.5233333333326</v>
      </c>
      <c r="L19" s="4">
        <v>2670.663</v>
      </c>
      <c r="M19" s="4">
        <v>2771.0033333333336</v>
      </c>
      <c r="N19" s="4">
        <v>2901.6246666666666</v>
      </c>
      <c r="O19" s="4">
        <v>2993.3973333333329</v>
      </c>
      <c r="P19" s="4">
        <v>3425.6113333333328</v>
      </c>
      <c r="Q19" s="4">
        <v>3597.5043333333338</v>
      </c>
      <c r="R19" s="4">
        <v>3620.130333333334</v>
      </c>
      <c r="S19" s="4">
        <v>3667.9236666666675</v>
      </c>
      <c r="T19" s="4">
        <v>3732.2686666666673</v>
      </c>
      <c r="U19" s="4">
        <v>4226.1563333333334</v>
      </c>
      <c r="V19" s="4">
        <v>4250.4946666666665</v>
      </c>
      <c r="W19" s="4">
        <v>4334.1280000000006</v>
      </c>
      <c r="Y19" s="4">
        <f>AVERAGE(D19:G19)</f>
        <v>2051.3411666666661</v>
      </c>
      <c r="Z19" s="4">
        <f>AVERAGE(H19:K19)</f>
        <v>2140.0034166666665</v>
      </c>
      <c r="AA19" s="4">
        <f>AVERAGE(L19:O19)</f>
        <v>2834.1720833333334</v>
      </c>
      <c r="AB19" s="4">
        <f>AVERAGE(P19:S19)</f>
        <v>3577.7924166666671</v>
      </c>
      <c r="AC19" s="4">
        <f>AVERAGE(T19:W19)</f>
        <v>4135.7619166666673</v>
      </c>
    </row>
    <row r="20" spans="2:29" outlineLevel="1" x14ac:dyDescent="0.25">
      <c r="B20" s="3" t="s">
        <v>184</v>
      </c>
      <c r="C20" s="3" t="s">
        <v>13</v>
      </c>
      <c r="D20" s="4">
        <f t="shared" ref="D20:I20" si="20">D41/(D19*3)*1000</f>
        <v>184.04294138337238</v>
      </c>
      <c r="E20" s="4">
        <f t="shared" si="20"/>
        <v>188.20736359060535</v>
      </c>
      <c r="F20" s="4">
        <f t="shared" si="20"/>
        <v>192.1159331444216</v>
      </c>
      <c r="G20" s="4">
        <f t="shared" si="20"/>
        <v>200.35898016820127</v>
      </c>
      <c r="H20" s="4">
        <f t="shared" si="20"/>
        <v>203.49314181378327</v>
      </c>
      <c r="I20" s="4">
        <f t="shared" si="20"/>
        <v>209.26257328763302</v>
      </c>
      <c r="J20" s="4">
        <f t="shared" ref="J20:K20" si="21">J41/(J19*3)*1000</f>
        <v>214.07199529844948</v>
      </c>
      <c r="K20" s="4">
        <f t="shared" si="21"/>
        <v>216.87173299957786</v>
      </c>
      <c r="L20" s="4">
        <f t="shared" ref="L20:M20" si="22">L41/(L19*3)*1000</f>
        <v>213.53648887935316</v>
      </c>
      <c r="M20" s="4">
        <f t="shared" si="22"/>
        <v>217.67987768569989</v>
      </c>
      <c r="N20" s="4">
        <f t="shared" ref="N20:O20" si="23">N41/(N19*3)*1000</f>
        <v>220.70060979630489</v>
      </c>
      <c r="O20" s="4">
        <f t="shared" si="23"/>
        <v>227.23935078448213</v>
      </c>
      <c r="P20" s="4">
        <f t="shared" ref="P20:R20" si="24">P41/(P19*3)*1000</f>
        <v>223.6882487349703</v>
      </c>
      <c r="Q20" s="4">
        <f t="shared" si="24"/>
        <v>226.7910170689625</v>
      </c>
      <c r="R20" s="4">
        <f t="shared" si="24"/>
        <v>229.11523167075657</v>
      </c>
      <c r="S20" s="4">
        <f t="shared" ref="S20:T20" si="25">S41/(S19*3)*1000</f>
        <v>233.87791330808312</v>
      </c>
      <c r="T20" s="4">
        <f t="shared" si="25"/>
        <v>234.80446120081024</v>
      </c>
      <c r="U20" s="4">
        <f t="shared" ref="U20:V20" si="26">U41/(U19*3)*1000</f>
        <v>226.3393947644625</v>
      </c>
      <c r="V20" s="4">
        <f t="shared" si="26"/>
        <v>226.67087219024862</v>
      </c>
      <c r="W20" s="4">
        <f t="shared" ref="W20" si="27">W41/(W19*3)*1000</f>
        <v>224.55243592252003</v>
      </c>
      <c r="Y20" s="4">
        <f>Y41/(Y19*12)*1000</f>
        <v>191.19881488915345</v>
      </c>
      <c r="Z20" s="4">
        <f>Z41/(Z19*12)*1000</f>
        <v>211.02992008462914</v>
      </c>
      <c r="AA20" s="4">
        <f>AA41/(AA19*12)*1000</f>
        <v>220.00107909232165</v>
      </c>
      <c r="AB20" s="4">
        <f>AB41/(AB19*12)*1000</f>
        <v>228.45260563258404</v>
      </c>
      <c r="AC20" s="4">
        <f>AC41/(AC19*12)*1000</f>
        <v>227.86619547309124</v>
      </c>
    </row>
    <row r="21" spans="2:29" outlineLevel="1" x14ac:dyDescent="0.25"/>
    <row r="22" spans="2:29" outlineLevel="1" x14ac:dyDescent="0.25">
      <c r="B22" s="3" t="s">
        <v>185</v>
      </c>
      <c r="C22" s="3" t="s">
        <v>79</v>
      </c>
      <c r="D22" s="4">
        <v>1316.5473333333332</v>
      </c>
      <c r="E22" s="4">
        <v>1460.4786666666669</v>
      </c>
      <c r="F22" s="4">
        <v>1517.2533333333333</v>
      </c>
      <c r="G22" s="4">
        <v>1525.6330000000005</v>
      </c>
      <c r="H22" s="4">
        <v>1559.7306666666666</v>
      </c>
      <c r="I22" s="4">
        <v>1686.7966666666669</v>
      </c>
      <c r="J22" s="4">
        <v>1858.5310000000002</v>
      </c>
      <c r="K22" s="4">
        <v>1880.5936666666669</v>
      </c>
      <c r="L22" s="4">
        <v>1905.8813333333335</v>
      </c>
      <c r="M22" s="4">
        <v>2014.9733333333336</v>
      </c>
      <c r="N22" s="4">
        <v>2444.4340000000007</v>
      </c>
      <c r="O22" s="4">
        <v>2514.2046666666679</v>
      </c>
      <c r="P22" s="4">
        <v>2540.5500000000011</v>
      </c>
      <c r="Q22" s="4">
        <v>2564.5676666666673</v>
      </c>
      <c r="R22" s="4">
        <v>2556.503666666666</v>
      </c>
      <c r="S22" s="4">
        <v>2655.0743333333335</v>
      </c>
      <c r="T22" s="4">
        <v>2758.3716666666674</v>
      </c>
      <c r="U22" s="4">
        <v>2797.7423333333336</v>
      </c>
      <c r="V22" s="4">
        <v>3088.0856666666664</v>
      </c>
      <c r="W22" s="4">
        <v>3285.3053333333323</v>
      </c>
      <c r="Y22" s="4">
        <f>AVERAGE(D22:G22)</f>
        <v>1454.9780833333334</v>
      </c>
      <c r="Z22" s="4">
        <f>AVERAGE(H22:K22)</f>
        <v>1746.413</v>
      </c>
      <c r="AA22" s="4">
        <f>AVERAGE(L22:O22)</f>
        <v>2219.8733333333339</v>
      </c>
      <c r="AB22" s="4">
        <f>AVERAGE(P22:S22)</f>
        <v>2579.1739166666671</v>
      </c>
      <c r="AC22" s="4">
        <f>AVERAGE(T22:W22)</f>
        <v>2982.3762499999998</v>
      </c>
    </row>
    <row r="23" spans="2:29" outlineLevel="1" x14ac:dyDescent="0.25">
      <c r="B23" s="3" t="s">
        <v>186</v>
      </c>
      <c r="C23" s="3" t="s">
        <v>13</v>
      </c>
      <c r="D23" s="4">
        <f t="shared" ref="D23:I23" si="28">D42/(D22*3)*1000</f>
        <v>11.172911367663195</v>
      </c>
      <c r="E23" s="4">
        <f t="shared" si="28"/>
        <v>10.778429720301745</v>
      </c>
      <c r="F23" s="4">
        <f t="shared" si="28"/>
        <v>10.621166318083555</v>
      </c>
      <c r="G23" s="4">
        <f t="shared" si="28"/>
        <v>10.410323671114433</v>
      </c>
      <c r="H23" s="4">
        <f t="shared" si="28"/>
        <v>11.259208854862122</v>
      </c>
      <c r="I23" s="4">
        <f t="shared" si="28"/>
        <v>10.164038740097105</v>
      </c>
      <c r="J23" s="4">
        <f t="shared" ref="J23:K23" si="29">J42/(J22*3)*1000</f>
        <v>9.5385369771430568</v>
      </c>
      <c r="K23" s="4">
        <f t="shared" si="29"/>
        <v>9.4638554740072305</v>
      </c>
      <c r="L23" s="4">
        <f t="shared" ref="L23:M23" si="30">L42/(L22*3)*1000</f>
        <v>9.4949947915609982</v>
      </c>
      <c r="M23" s="4">
        <f t="shared" si="30"/>
        <v>9.6838336983781392</v>
      </c>
      <c r="N23" s="4">
        <f t="shared" ref="N23:O23" si="31">N42/(N22*3)*1000</f>
        <v>9.7396779786240906</v>
      </c>
      <c r="O23" s="4">
        <f t="shared" si="31"/>
        <v>10.071442075651753</v>
      </c>
      <c r="P23" s="4">
        <f t="shared" ref="P23:R23" si="32">P42/(P22*3)*1000</f>
        <v>9.8785696010706285</v>
      </c>
      <c r="Q23" s="4">
        <f t="shared" si="32"/>
        <v>9.8783381682396616</v>
      </c>
      <c r="R23" s="4">
        <f t="shared" si="32"/>
        <v>9.7003576890365011</v>
      </c>
      <c r="S23" s="4">
        <f t="shared" ref="S23:T23" si="33">S42/(S22*3)*1000</f>
        <v>9.4253481666489449</v>
      </c>
      <c r="T23" s="4">
        <f t="shared" si="33"/>
        <v>10.44299686469614</v>
      </c>
      <c r="U23" s="4">
        <f t="shared" ref="U23:V23" si="34">U42/(U22*3)*1000</f>
        <v>9.4186657884982736</v>
      </c>
      <c r="V23" s="4">
        <f t="shared" si="34"/>
        <v>8.589679668860656</v>
      </c>
      <c r="W23" s="4">
        <f t="shared" ref="W23" si="35">W42/(W22*3)*1000</f>
        <v>8.4129166685268046</v>
      </c>
      <c r="Y23" s="4">
        <f>Y42/(Y22*12)*1000</f>
        <v>10.730173083363168</v>
      </c>
      <c r="Z23" s="4">
        <f>Z42/(Z22*12)*1000</f>
        <v>10.053654738789355</v>
      </c>
      <c r="AA23" s="4">
        <f>AA42/(AA22*12)*1000</f>
        <v>9.7684252254633126</v>
      </c>
      <c r="AB23" s="4">
        <f>AB42/(AB22*12)*1000</f>
        <v>9.7177109712163308</v>
      </c>
      <c r="AC23" s="4">
        <f>AC42/(AC22*12)*1000</f>
        <v>9.1639454724511467</v>
      </c>
    </row>
    <row r="24" spans="2:29" outlineLevel="1" x14ac:dyDescent="0.25"/>
    <row r="25" spans="2:29" outlineLevel="1" x14ac:dyDescent="0.25">
      <c r="B25" s="3" t="s">
        <v>187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Y25" s="3"/>
      <c r="Z25" s="3"/>
      <c r="AA25" s="3"/>
      <c r="AB25" s="3"/>
      <c r="AC25" s="3"/>
    </row>
    <row r="26" spans="2:29" outlineLevel="1" x14ac:dyDescent="0.25">
      <c r="B26" s="1" t="s">
        <v>11</v>
      </c>
      <c r="C26" s="6" t="s">
        <v>12</v>
      </c>
      <c r="D26" s="15">
        <v>13</v>
      </c>
      <c r="E26" s="15">
        <v>16</v>
      </c>
      <c r="F26" s="15">
        <v>17</v>
      </c>
      <c r="G26" s="16">
        <v>17</v>
      </c>
      <c r="H26" s="16">
        <v>18</v>
      </c>
      <c r="I26" s="16">
        <v>18</v>
      </c>
      <c r="J26" s="16">
        <v>17</v>
      </c>
      <c r="K26" s="16">
        <v>18</v>
      </c>
      <c r="L26" s="16">
        <v>19</v>
      </c>
      <c r="M26" s="16">
        <v>21</v>
      </c>
      <c r="N26" s="16">
        <v>21</v>
      </c>
      <c r="O26" s="16">
        <v>20</v>
      </c>
      <c r="P26" s="16">
        <v>23</v>
      </c>
      <c r="Q26" s="16">
        <v>24</v>
      </c>
      <c r="R26" s="16">
        <v>26</v>
      </c>
      <c r="S26" s="16">
        <v>27</v>
      </c>
      <c r="T26" s="16">
        <v>29</v>
      </c>
      <c r="U26" s="16">
        <v>31</v>
      </c>
      <c r="V26" s="16">
        <v>34</v>
      </c>
      <c r="W26" s="16">
        <v>35</v>
      </c>
      <c r="Y26" s="16">
        <f t="shared" ref="Y26:Y31" si="36">G26</f>
        <v>17</v>
      </c>
      <c r="Z26" s="16">
        <f t="shared" ref="Z26:Z31" si="37">K26</f>
        <v>18</v>
      </c>
      <c r="AA26" s="16">
        <f t="shared" ref="AA26:AA31" si="38">O26</f>
        <v>20</v>
      </c>
      <c r="AB26" s="16">
        <f t="shared" ref="AB26:AB31" si="39">S26</f>
        <v>27</v>
      </c>
      <c r="AC26" s="16">
        <f>W26</f>
        <v>35</v>
      </c>
    </row>
    <row r="27" spans="2:29" outlineLevel="1" x14ac:dyDescent="0.25">
      <c r="B27" s="1" t="s">
        <v>80</v>
      </c>
      <c r="C27" s="6" t="s">
        <v>12</v>
      </c>
      <c r="D27" s="16">
        <v>1275</v>
      </c>
      <c r="E27" s="16">
        <f>F27-75</f>
        <v>1632</v>
      </c>
      <c r="F27" s="16">
        <f>G27</f>
        <v>1707</v>
      </c>
      <c r="G27" s="16">
        <f>H27-154</f>
        <v>1707</v>
      </c>
      <c r="H27" s="16">
        <v>1861</v>
      </c>
      <c r="I27" s="16">
        <v>1854</v>
      </c>
      <c r="J27" s="16">
        <v>1791</v>
      </c>
      <c r="K27" s="16">
        <v>1888</v>
      </c>
      <c r="L27" s="16">
        <v>2436</v>
      </c>
      <c r="M27" s="16">
        <v>2659</v>
      </c>
      <c r="N27" s="16">
        <v>2659</v>
      </c>
      <c r="O27" s="16">
        <v>2489</v>
      </c>
      <c r="P27" s="16">
        <v>2702</v>
      </c>
      <c r="Q27" s="16">
        <v>2827</v>
      </c>
      <c r="R27" s="16">
        <v>3092</v>
      </c>
      <c r="S27" s="16">
        <v>3122</v>
      </c>
      <c r="T27" s="16">
        <v>3448</v>
      </c>
      <c r="U27" s="16">
        <v>3696</v>
      </c>
      <c r="V27" s="16">
        <v>3899</v>
      </c>
      <c r="W27" s="16">
        <v>4086</v>
      </c>
      <c r="Y27" s="16">
        <f t="shared" si="36"/>
        <v>1707</v>
      </c>
      <c r="Z27" s="16">
        <f t="shared" si="37"/>
        <v>1888</v>
      </c>
      <c r="AA27" s="16">
        <f t="shared" si="38"/>
        <v>2489</v>
      </c>
      <c r="AB27" s="16">
        <f t="shared" si="39"/>
        <v>3122</v>
      </c>
      <c r="AC27" s="16">
        <f t="shared" ref="AC27:AC31" si="40">W27</f>
        <v>4086</v>
      </c>
    </row>
    <row r="28" spans="2:29" outlineLevel="1" x14ac:dyDescent="0.25">
      <c r="B28" s="2" t="s">
        <v>206</v>
      </c>
      <c r="C28" s="6" t="s">
        <v>14</v>
      </c>
      <c r="D28" s="35">
        <v>0.77354528252835086</v>
      </c>
      <c r="E28" s="35">
        <v>0.78660865383461942</v>
      </c>
      <c r="F28" s="35">
        <v>0.76986478219472554</v>
      </c>
      <c r="G28" s="35">
        <v>0.77719516651820164</v>
      </c>
      <c r="H28" s="35">
        <v>0.79587172146798169</v>
      </c>
      <c r="I28" s="35">
        <v>0.8463755238887305</v>
      </c>
      <c r="J28" s="35">
        <v>0.76742413063794201</v>
      </c>
      <c r="K28" s="35">
        <v>0.76200000000000001</v>
      </c>
      <c r="L28" s="35">
        <v>0.8</v>
      </c>
      <c r="M28" s="35">
        <v>0.81299999999999994</v>
      </c>
      <c r="N28" s="35">
        <v>0.77974717114568604</v>
      </c>
      <c r="O28" s="35">
        <v>0.80900000000000005</v>
      </c>
      <c r="P28" s="35">
        <v>0.79</v>
      </c>
      <c r="Q28" s="35">
        <v>0.57520000000000004</v>
      </c>
      <c r="R28" s="35">
        <v>0.78</v>
      </c>
      <c r="S28" s="35">
        <v>0.8</v>
      </c>
      <c r="T28" s="35">
        <v>0.82</v>
      </c>
      <c r="U28" s="35">
        <v>0.84</v>
      </c>
      <c r="V28" s="35">
        <v>0.78</v>
      </c>
      <c r="W28" s="35">
        <v>0.78</v>
      </c>
      <c r="Y28" s="35">
        <f t="shared" si="36"/>
        <v>0.77719516651820164</v>
      </c>
      <c r="Z28" s="35">
        <f t="shared" si="37"/>
        <v>0.76200000000000001</v>
      </c>
      <c r="AA28" s="35">
        <f t="shared" si="38"/>
        <v>0.80900000000000005</v>
      </c>
      <c r="AB28" s="35">
        <f t="shared" si="39"/>
        <v>0.8</v>
      </c>
      <c r="AC28" s="35">
        <f t="shared" si="40"/>
        <v>0.78</v>
      </c>
    </row>
    <row r="29" spans="2:29" outlineLevel="1" x14ac:dyDescent="0.25">
      <c r="B29" s="1" t="s">
        <v>208</v>
      </c>
      <c r="C29" s="6" t="s">
        <v>12</v>
      </c>
      <c r="D29" s="16">
        <v>65</v>
      </c>
      <c r="E29" s="16">
        <v>66</v>
      </c>
      <c r="F29" s="16">
        <v>65</v>
      </c>
      <c r="G29" s="16">
        <v>64</v>
      </c>
      <c r="H29" s="16">
        <v>67</v>
      </c>
      <c r="I29" s="16">
        <v>66</v>
      </c>
      <c r="J29" s="16">
        <v>64</v>
      </c>
      <c r="K29" s="16">
        <v>67</v>
      </c>
      <c r="L29" s="16">
        <v>77</v>
      </c>
      <c r="M29" s="16">
        <v>75</v>
      </c>
      <c r="N29" s="16">
        <v>75</v>
      </c>
      <c r="O29" s="16">
        <v>73</v>
      </c>
      <c r="P29" s="16">
        <v>87</v>
      </c>
      <c r="Q29" s="16">
        <v>87</v>
      </c>
      <c r="R29" s="16">
        <v>89</v>
      </c>
      <c r="S29" s="16">
        <v>88</v>
      </c>
      <c r="T29" s="16">
        <v>88</v>
      </c>
      <c r="U29" s="16">
        <v>88</v>
      </c>
      <c r="V29" s="16">
        <v>87</v>
      </c>
      <c r="W29" s="16">
        <v>86</v>
      </c>
      <c r="Y29" s="16">
        <f t="shared" si="36"/>
        <v>64</v>
      </c>
      <c r="Z29" s="16">
        <f t="shared" si="37"/>
        <v>67</v>
      </c>
      <c r="AA29" s="16">
        <f t="shared" si="38"/>
        <v>73</v>
      </c>
      <c r="AB29" s="16">
        <f t="shared" si="39"/>
        <v>88</v>
      </c>
      <c r="AC29" s="16">
        <f t="shared" si="40"/>
        <v>86</v>
      </c>
    </row>
    <row r="30" spans="2:29" outlineLevel="1" x14ac:dyDescent="0.25">
      <c r="B30" s="1" t="s">
        <v>207</v>
      </c>
      <c r="C30" s="6" t="s">
        <v>12</v>
      </c>
      <c r="D30" s="16">
        <v>17</v>
      </c>
      <c r="E30" s="16">
        <v>19</v>
      </c>
      <c r="F30" s="16">
        <v>20</v>
      </c>
      <c r="G30" s="16">
        <v>21</v>
      </c>
      <c r="H30" s="16">
        <v>23</v>
      </c>
      <c r="I30" s="16">
        <v>24</v>
      </c>
      <c r="J30" s="16">
        <v>24</v>
      </c>
      <c r="K30" s="16">
        <v>26</v>
      </c>
      <c r="L30" s="16">
        <v>36</v>
      </c>
      <c r="M30" s="16">
        <v>20</v>
      </c>
      <c r="N30" s="16">
        <v>20</v>
      </c>
      <c r="O30" s="16">
        <v>20</v>
      </c>
      <c r="P30" s="16">
        <v>23</v>
      </c>
      <c r="Q30" s="16">
        <v>23</v>
      </c>
      <c r="R30" s="16">
        <v>23</v>
      </c>
      <c r="S30" s="16">
        <v>23</v>
      </c>
      <c r="T30" s="16">
        <v>23</v>
      </c>
      <c r="U30" s="16">
        <v>25</v>
      </c>
      <c r="V30" s="16">
        <v>25</v>
      </c>
      <c r="W30" s="16">
        <v>26</v>
      </c>
      <c r="Y30" s="16">
        <f t="shared" si="36"/>
        <v>21</v>
      </c>
      <c r="Z30" s="16">
        <f t="shared" si="37"/>
        <v>26</v>
      </c>
      <c r="AA30" s="16">
        <f t="shared" si="38"/>
        <v>20</v>
      </c>
      <c r="AB30" s="16">
        <f t="shared" si="39"/>
        <v>23</v>
      </c>
      <c r="AC30" s="16">
        <f t="shared" si="40"/>
        <v>26</v>
      </c>
    </row>
    <row r="31" spans="2:29" outlineLevel="1" x14ac:dyDescent="0.25">
      <c r="B31" s="1" t="s">
        <v>209</v>
      </c>
      <c r="C31" s="6" t="s">
        <v>12</v>
      </c>
      <c r="D31" s="16">
        <v>9</v>
      </c>
      <c r="E31" s="16">
        <v>9</v>
      </c>
      <c r="F31" s="16">
        <v>9</v>
      </c>
      <c r="G31" s="16">
        <v>10</v>
      </c>
      <c r="H31" s="16">
        <v>10</v>
      </c>
      <c r="I31" s="16">
        <v>10</v>
      </c>
      <c r="J31" s="16">
        <v>10</v>
      </c>
      <c r="K31" s="16">
        <v>10</v>
      </c>
      <c r="L31" s="16">
        <v>10</v>
      </c>
      <c r="M31" s="16">
        <v>10</v>
      </c>
      <c r="N31" s="16">
        <v>10</v>
      </c>
      <c r="O31" s="16">
        <v>11</v>
      </c>
      <c r="P31" s="16">
        <v>14</v>
      </c>
      <c r="Q31" s="16">
        <v>14</v>
      </c>
      <c r="R31" s="16">
        <v>17</v>
      </c>
      <c r="S31" s="16">
        <v>14</v>
      </c>
      <c r="T31" s="16">
        <v>15</v>
      </c>
      <c r="U31" s="16">
        <v>17</v>
      </c>
      <c r="V31" s="16">
        <v>17</v>
      </c>
      <c r="W31" s="16">
        <v>17</v>
      </c>
      <c r="Y31" s="16">
        <f t="shared" si="36"/>
        <v>10</v>
      </c>
      <c r="Z31" s="16">
        <f t="shared" si="37"/>
        <v>10</v>
      </c>
      <c r="AA31" s="16">
        <f t="shared" si="38"/>
        <v>11</v>
      </c>
      <c r="AB31" s="16">
        <f t="shared" si="39"/>
        <v>14</v>
      </c>
      <c r="AC31" s="16">
        <f t="shared" si="40"/>
        <v>17</v>
      </c>
    </row>
    <row r="32" spans="2:29" outlineLevel="1" x14ac:dyDescent="0.25">
      <c r="B32" s="1" t="s">
        <v>602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2</v>
      </c>
      <c r="O32" s="16">
        <v>2</v>
      </c>
      <c r="P32" s="16">
        <v>2</v>
      </c>
      <c r="Q32" s="16">
        <v>2</v>
      </c>
      <c r="R32" s="16">
        <v>2</v>
      </c>
      <c r="S32" s="16">
        <v>2</v>
      </c>
      <c r="T32" s="16">
        <v>2</v>
      </c>
      <c r="U32" s="16">
        <v>2</v>
      </c>
      <c r="V32" s="16">
        <v>3</v>
      </c>
      <c r="W32" s="16">
        <v>3</v>
      </c>
      <c r="Y32" s="16"/>
      <c r="Z32" s="16"/>
      <c r="AA32" s="16"/>
      <c r="AB32" s="16"/>
      <c r="AC32" s="16"/>
    </row>
    <row r="33" spans="2:29" outlineLevel="1" x14ac:dyDescent="0.25"/>
    <row r="34" spans="2:29" outlineLevel="1" x14ac:dyDescent="0.25">
      <c r="B34" s="3" t="s">
        <v>215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Y34" s="3"/>
      <c r="Z34" s="3"/>
      <c r="AA34" s="3"/>
      <c r="AB34" s="3"/>
      <c r="AC34" s="3"/>
    </row>
    <row r="35" spans="2:29" outlineLevel="1" x14ac:dyDescent="0.25">
      <c r="B35" s="1" t="s">
        <v>217</v>
      </c>
      <c r="C35" s="6" t="s">
        <v>14</v>
      </c>
      <c r="D35" s="47">
        <v>0.53208713537640095</v>
      </c>
      <c r="E35" s="47">
        <v>0.55265696615441262</v>
      </c>
      <c r="F35" s="47">
        <v>0.58864367695915976</v>
      </c>
      <c r="G35" s="47">
        <v>0.59016088263399802</v>
      </c>
      <c r="H35" s="47">
        <v>0.57554906270553852</v>
      </c>
      <c r="I35" s="47">
        <v>0.57838492785553219</v>
      </c>
      <c r="J35" s="47">
        <v>0.59485520498695144</v>
      </c>
      <c r="K35" s="47">
        <v>0.61135832832344972</v>
      </c>
      <c r="L35" s="47">
        <v>0.63336382742144481</v>
      </c>
      <c r="M35" s="47">
        <v>0.66</v>
      </c>
      <c r="N35" s="47">
        <v>0.68023782758880602</v>
      </c>
      <c r="O35" s="47">
        <v>0.70392053995670889</v>
      </c>
      <c r="P35" s="47">
        <v>0.68136164815273736</v>
      </c>
      <c r="Q35" s="47">
        <v>0.72243123800729248</v>
      </c>
      <c r="R35" s="47">
        <v>0.69475755160891683</v>
      </c>
      <c r="S35" s="47">
        <v>0.68749363414710385</v>
      </c>
      <c r="T35" s="47">
        <v>0.66490733821179793</v>
      </c>
      <c r="U35" s="47">
        <v>0.6615841947356278</v>
      </c>
      <c r="V35" s="47">
        <v>0.6615841947356278</v>
      </c>
      <c r="W35" s="47">
        <v>0.66802293688990921</v>
      </c>
      <c r="Y35" s="39">
        <f>G35</f>
        <v>0.59016088263399802</v>
      </c>
      <c r="Z35" s="39">
        <f>K35</f>
        <v>0.61135832832344972</v>
      </c>
      <c r="AA35" s="39">
        <f>O35</f>
        <v>0.70392053995670889</v>
      </c>
      <c r="AB35" s="39">
        <f>S35</f>
        <v>0.68749363414710385</v>
      </c>
      <c r="AC35" s="39">
        <f t="shared" ref="AC35:AC37" si="41">W35</f>
        <v>0.66802293688990921</v>
      </c>
    </row>
    <row r="36" spans="2:29" outlineLevel="1" x14ac:dyDescent="0.25">
      <c r="B36" s="2" t="s">
        <v>211</v>
      </c>
      <c r="C36" s="6" t="s">
        <v>14</v>
      </c>
      <c r="D36" s="47">
        <v>0.57331847075932074</v>
      </c>
      <c r="E36" s="47">
        <v>0.58455975107223956</v>
      </c>
      <c r="F36" s="47">
        <v>0.61101209207177765</v>
      </c>
      <c r="G36" s="47">
        <v>0.60113567636583565</v>
      </c>
      <c r="H36" s="47">
        <v>0.58611604955934216</v>
      </c>
      <c r="I36" s="47">
        <v>0.61414402719640349</v>
      </c>
      <c r="J36" s="47">
        <v>0.60795253840656194</v>
      </c>
      <c r="K36" s="47">
        <v>0.63660406126667501</v>
      </c>
      <c r="L36" s="47">
        <v>0.69</v>
      </c>
      <c r="M36" s="47">
        <v>0.71</v>
      </c>
      <c r="N36" s="47">
        <v>0.7066767979968136</v>
      </c>
      <c r="O36" s="47">
        <v>0.69817240597917307</v>
      </c>
      <c r="P36" s="47">
        <v>0.68536838260226496</v>
      </c>
      <c r="Q36" s="47">
        <v>0.64755727424166132</v>
      </c>
      <c r="R36" s="47">
        <v>0.71175899814340549</v>
      </c>
      <c r="S36" s="47">
        <v>0.69697435647445338</v>
      </c>
      <c r="T36" s="47">
        <v>0.71837955810236998</v>
      </c>
      <c r="U36" s="47">
        <v>0.75</v>
      </c>
      <c r="V36" s="47">
        <v>0.7493333333333333</v>
      </c>
      <c r="W36" s="47">
        <v>0.72</v>
      </c>
      <c r="Y36" s="39">
        <f>G36</f>
        <v>0.60113567636583565</v>
      </c>
      <c r="Z36" s="39">
        <f>K36</f>
        <v>0.63660406126667501</v>
      </c>
      <c r="AA36" s="39">
        <f>O36</f>
        <v>0.69817240597917307</v>
      </c>
      <c r="AB36" s="39">
        <f>S36</f>
        <v>0.69697435647445338</v>
      </c>
      <c r="AC36" s="39">
        <f t="shared" si="41"/>
        <v>0.72</v>
      </c>
    </row>
    <row r="37" spans="2:29" outlineLevel="1" x14ac:dyDescent="0.25">
      <c r="B37" s="2" t="s">
        <v>210</v>
      </c>
      <c r="C37" s="6" t="s">
        <v>14</v>
      </c>
      <c r="D37" s="47">
        <v>0.68219822595600277</v>
      </c>
      <c r="E37" s="47">
        <v>0.65712328327936465</v>
      </c>
      <c r="F37" s="47">
        <v>0.65766718119551371</v>
      </c>
      <c r="G37" s="47">
        <v>0.63603537619248163</v>
      </c>
      <c r="H37" s="47">
        <v>0.70266120623214912</v>
      </c>
      <c r="I37" s="47">
        <v>0.71088156026055727</v>
      </c>
      <c r="J37" s="47">
        <v>0.69953383261378999</v>
      </c>
      <c r="K37" s="47">
        <v>0.71475217094389276</v>
      </c>
      <c r="L37" s="47">
        <v>0.7</v>
      </c>
      <c r="M37" s="47">
        <v>0.71</v>
      </c>
      <c r="N37" s="47">
        <v>0.7</v>
      </c>
      <c r="O37" s="47">
        <v>0.69799683982122973</v>
      </c>
      <c r="P37" s="47">
        <v>0.6809246152240287</v>
      </c>
      <c r="Q37" s="47">
        <v>0.6938612904061936</v>
      </c>
      <c r="R37" s="47">
        <v>0.75474334439823965</v>
      </c>
      <c r="S37" s="47">
        <v>0.76326587100723564</v>
      </c>
      <c r="T37" s="47">
        <v>0.7483390498542466</v>
      </c>
      <c r="U37" s="47">
        <v>0.76</v>
      </c>
      <c r="V37" s="47">
        <v>0.76</v>
      </c>
      <c r="W37" s="47">
        <v>0.7</v>
      </c>
      <c r="Y37" s="39">
        <f>G37</f>
        <v>0.63603537619248163</v>
      </c>
      <c r="Z37" s="39">
        <f>K37</f>
        <v>0.71475217094389276</v>
      </c>
      <c r="AA37" s="39">
        <f>O37</f>
        <v>0.69799683982122973</v>
      </c>
      <c r="AB37" s="39">
        <f>S37</f>
        <v>0.76326587100723564</v>
      </c>
      <c r="AC37" s="39">
        <f t="shared" si="41"/>
        <v>0.7</v>
      </c>
    </row>
    <row r="38" spans="2:29" x14ac:dyDescent="0.25">
      <c r="B38" s="2"/>
    </row>
    <row r="39" spans="2:29" ht="15.75" x14ac:dyDescent="0.25">
      <c r="B39" s="33" t="s">
        <v>7</v>
      </c>
    </row>
    <row r="40" spans="2:29" outlineLevel="1" x14ac:dyDescent="0.25">
      <c r="B40" s="32" t="s">
        <v>6</v>
      </c>
      <c r="C40" s="17" t="s">
        <v>0</v>
      </c>
      <c r="D40" s="17" t="s">
        <v>1</v>
      </c>
      <c r="E40" s="17" t="s">
        <v>2</v>
      </c>
      <c r="F40" s="17" t="s">
        <v>3</v>
      </c>
      <c r="G40" s="17" t="s">
        <v>4</v>
      </c>
      <c r="H40" s="17" t="s">
        <v>5</v>
      </c>
      <c r="I40" s="17" t="s">
        <v>375</v>
      </c>
      <c r="J40" s="17" t="s">
        <v>383</v>
      </c>
      <c r="K40" s="17" t="s">
        <v>385</v>
      </c>
      <c r="L40" s="17" t="s">
        <v>399</v>
      </c>
      <c r="M40" s="17" t="s">
        <v>412</v>
      </c>
      <c r="N40" s="17" t="s">
        <v>422</v>
      </c>
      <c r="O40" s="17" t="s">
        <v>424</v>
      </c>
      <c r="P40" s="17" t="s">
        <v>427</v>
      </c>
      <c r="Q40" s="17" t="s">
        <v>431</v>
      </c>
      <c r="R40" s="17" t="s">
        <v>554</v>
      </c>
      <c r="S40" s="17" t="s">
        <v>571</v>
      </c>
      <c r="T40" s="17" t="s">
        <v>574</v>
      </c>
      <c r="U40" s="17" t="s">
        <v>589</v>
      </c>
      <c r="V40" s="17" t="s">
        <v>593</v>
      </c>
      <c r="W40" s="17" t="s">
        <v>600</v>
      </c>
      <c r="Y40" s="17">
        <v>2017</v>
      </c>
      <c r="Z40" s="17">
        <v>2018</v>
      </c>
      <c r="AA40" s="17">
        <v>2019</v>
      </c>
      <c r="AB40" s="17">
        <v>2020</v>
      </c>
      <c r="AC40" s="17">
        <v>2021</v>
      </c>
    </row>
    <row r="41" spans="2:29" outlineLevel="2" x14ac:dyDescent="0.25">
      <c r="B41" s="2" t="s">
        <v>82</v>
      </c>
      <c r="C41" s="6" t="s">
        <v>15</v>
      </c>
      <c r="D41" s="19">
        <v>1118.1769999999999</v>
      </c>
      <c r="E41" s="19">
        <v>1164.001</v>
      </c>
      <c r="F41" s="19">
        <v>1193.3699999999999</v>
      </c>
      <c r="G41" s="19">
        <v>1231.02</v>
      </c>
      <c r="H41" s="19">
        <v>1274.201</v>
      </c>
      <c r="I41" s="19">
        <v>1327.6709999999998</v>
      </c>
      <c r="J41" s="19">
        <v>1373.98</v>
      </c>
      <c r="K41" s="19">
        <v>1443.405</v>
      </c>
      <c r="L41" s="19">
        <v>1710.8519999999999</v>
      </c>
      <c r="M41" s="19">
        <v>1809.575</v>
      </c>
      <c r="N41" s="19">
        <v>1921.1709999999998</v>
      </c>
      <c r="O41" s="19">
        <v>2040.6529999999998</v>
      </c>
      <c r="P41" s="19">
        <v>2298.8069999999998</v>
      </c>
      <c r="Q41" s="19">
        <v>2447.645</v>
      </c>
      <c r="R41" s="19">
        <v>2488.2809999999999</v>
      </c>
      <c r="S41" s="19">
        <v>2573.5389999999998</v>
      </c>
      <c r="T41" s="19">
        <v>2629.06</v>
      </c>
      <c r="U41" s="19">
        <v>2869.6370000000002</v>
      </c>
      <c r="V41" s="19">
        <v>2890.3900000000003</v>
      </c>
      <c r="W41" s="19">
        <v>2919.7170000000001</v>
      </c>
      <c r="Y41" s="19">
        <f>SUM(D41:G41)</f>
        <v>4706.5679999999993</v>
      </c>
      <c r="Z41" s="19">
        <f>SUM(H41:K41)</f>
        <v>5419.2569999999996</v>
      </c>
      <c r="AA41" s="19">
        <f>SUM(L41:O41)</f>
        <v>7482.2510000000002</v>
      </c>
      <c r="AB41" s="19">
        <f>SUM(P41:S41)</f>
        <v>9808.271999999999</v>
      </c>
      <c r="AC41" s="19">
        <f>SUM(T41:W41)</f>
        <v>11308.804</v>
      </c>
    </row>
    <row r="42" spans="2:29" outlineLevel="2" x14ac:dyDescent="0.25">
      <c r="B42" s="2" t="s">
        <v>81</v>
      </c>
      <c r="C42" s="6" t="s">
        <v>15</v>
      </c>
      <c r="D42" s="19">
        <v>44.128999999999998</v>
      </c>
      <c r="E42" s="19">
        <v>47.225000000000001</v>
      </c>
      <c r="F42" s="19">
        <v>48.344999999999999</v>
      </c>
      <c r="G42" s="19">
        <v>47.646999999999998</v>
      </c>
      <c r="H42" s="19">
        <v>52.683999999999997</v>
      </c>
      <c r="I42" s="19">
        <v>51.433999999999997</v>
      </c>
      <c r="J42" s="19">
        <v>53.183</v>
      </c>
      <c r="K42" s="19">
        <v>53.393000000000001</v>
      </c>
      <c r="L42" s="19">
        <v>54.289000000000001</v>
      </c>
      <c r="M42" s="19">
        <v>58.537999999999997</v>
      </c>
      <c r="N42" s="19">
        <v>71.424000000000007</v>
      </c>
      <c r="O42" s="19">
        <v>75.965000000000003</v>
      </c>
      <c r="P42" s="19">
        <v>75.290999999999997</v>
      </c>
      <c r="Q42" s="19">
        <v>76.001000000000005</v>
      </c>
      <c r="R42" s="19">
        <v>74.397000000000006</v>
      </c>
      <c r="S42" s="19">
        <v>75.075000000000003</v>
      </c>
      <c r="T42" s="19">
        <v>86.417000000000002</v>
      </c>
      <c r="U42" s="19">
        <v>79.052999999999997</v>
      </c>
      <c r="V42" s="19">
        <v>79.576999999999998</v>
      </c>
      <c r="W42" s="19">
        <v>82.917000000000002</v>
      </c>
      <c r="Y42" s="19">
        <f>SUM(D42:G42)</f>
        <v>187.346</v>
      </c>
      <c r="Z42" s="19">
        <f>SUM(H42:K42)</f>
        <v>210.69399999999999</v>
      </c>
      <c r="AA42" s="19">
        <f>SUM(L42:O42)</f>
        <v>260.21600000000001</v>
      </c>
      <c r="AB42" s="19">
        <f>SUM(P42:S42)</f>
        <v>300.76400000000001</v>
      </c>
      <c r="AC42" s="19">
        <f t="shared" ref="AC42:AC43" si="42">SUM(T42:W42)</f>
        <v>327.964</v>
      </c>
    </row>
    <row r="43" spans="2:29" outlineLevel="2" x14ac:dyDescent="0.25">
      <c r="B43" s="2" t="s">
        <v>83</v>
      </c>
      <c r="C43" s="6" t="s">
        <v>15</v>
      </c>
      <c r="D43" s="19">
        <v>56.305999999999997</v>
      </c>
      <c r="E43" s="19">
        <v>107.476</v>
      </c>
      <c r="F43" s="19">
        <v>127.38</v>
      </c>
      <c r="G43" s="19">
        <v>119.84699999999999</v>
      </c>
      <c r="H43" s="19">
        <v>111.657</v>
      </c>
      <c r="I43" s="19">
        <v>134.13</v>
      </c>
      <c r="J43" s="19">
        <v>130.96600000000001</v>
      </c>
      <c r="K43" s="19">
        <v>128.51300000000001</v>
      </c>
      <c r="L43" s="19">
        <v>135.21199999999999</v>
      </c>
      <c r="M43" s="19">
        <v>167.81200000000001</v>
      </c>
      <c r="N43" s="19">
        <v>182.01900000000001</v>
      </c>
      <c r="O43" s="19">
        <v>184.929</v>
      </c>
      <c r="P43" s="19">
        <v>185.34800000000001</v>
      </c>
      <c r="Q43" s="19">
        <v>80.432000000000002</v>
      </c>
      <c r="R43" s="19">
        <v>135.93299999999999</v>
      </c>
      <c r="S43" s="19">
        <v>162.51900000000001</v>
      </c>
      <c r="T43" s="19">
        <v>187.976</v>
      </c>
      <c r="U43" s="19">
        <v>247.62299999999999</v>
      </c>
      <c r="V43" s="19">
        <v>250.69200000000001</v>
      </c>
      <c r="W43" s="19">
        <v>261.30200000000002</v>
      </c>
      <c r="Y43" s="19">
        <f>SUM(D43:G43)</f>
        <v>411.00899999999996</v>
      </c>
      <c r="Z43" s="19">
        <f>SUM(H43:K43)</f>
        <v>505.26599999999996</v>
      </c>
      <c r="AA43" s="19">
        <f>SUM(L43:O43)</f>
        <v>669.97199999999998</v>
      </c>
      <c r="AB43" s="19">
        <f>SUM(P43:S43)</f>
        <v>564.23199999999997</v>
      </c>
      <c r="AC43" s="19">
        <f t="shared" si="42"/>
        <v>947.59299999999996</v>
      </c>
    </row>
    <row r="44" spans="2:29" outlineLevel="1" x14ac:dyDescent="0.25">
      <c r="B44" s="5" t="s">
        <v>95</v>
      </c>
      <c r="C44" s="3" t="s">
        <v>15</v>
      </c>
      <c r="D44" s="14">
        <f>SUM(D41:D43)</f>
        <v>1218.6119999999999</v>
      </c>
      <c r="E44" s="14">
        <f t="shared" ref="E44:H44" si="43">SUM(E41:E43)</f>
        <v>1318.7019999999998</v>
      </c>
      <c r="F44" s="14">
        <f t="shared" si="43"/>
        <v>1369.0949999999998</v>
      </c>
      <c r="G44" s="14">
        <f t="shared" si="43"/>
        <v>1398.5139999999999</v>
      </c>
      <c r="H44" s="14">
        <f t="shared" si="43"/>
        <v>1438.5419999999999</v>
      </c>
      <c r="I44" s="14">
        <f t="shared" ref="I44:J44" si="44">SUM(I41:I43)</f>
        <v>1513.2349999999997</v>
      </c>
      <c r="J44" s="14">
        <f t="shared" si="44"/>
        <v>1558.1289999999999</v>
      </c>
      <c r="K44" s="14">
        <f t="shared" ref="K44:L44" si="45">SUM(K41:K43)</f>
        <v>1625.3109999999999</v>
      </c>
      <c r="L44" s="14">
        <f t="shared" si="45"/>
        <v>1900.3529999999998</v>
      </c>
      <c r="M44" s="14">
        <f t="shared" ref="M44:N44" si="46">SUM(M41:M43)</f>
        <v>2035.9250000000002</v>
      </c>
      <c r="N44" s="14">
        <f t="shared" si="46"/>
        <v>2174.6139999999996</v>
      </c>
      <c r="O44" s="14">
        <f t="shared" ref="O44:P44" si="47">SUM(O41:O43)</f>
        <v>2301.547</v>
      </c>
      <c r="P44" s="14">
        <f t="shared" si="47"/>
        <v>2559.4459999999999</v>
      </c>
      <c r="Q44" s="14">
        <f t="shared" ref="Q44:R44" si="48">SUM(Q41:Q43)</f>
        <v>2604.078</v>
      </c>
      <c r="R44" s="14">
        <f t="shared" si="48"/>
        <v>2698.6109999999999</v>
      </c>
      <c r="S44" s="14">
        <f t="shared" ref="S44:T44" si="49">SUM(S41:S43)</f>
        <v>2811.1329999999998</v>
      </c>
      <c r="T44" s="14">
        <f t="shared" si="49"/>
        <v>2903.453</v>
      </c>
      <c r="U44" s="14">
        <f t="shared" ref="U44:V44" si="50">SUM(U41:U43)</f>
        <v>3196.3130000000001</v>
      </c>
      <c r="V44" s="14">
        <f t="shared" si="50"/>
        <v>3220.6590000000006</v>
      </c>
      <c r="W44" s="14">
        <f t="shared" ref="W44" si="51">SUM(W41:W43)</f>
        <v>3263.9360000000001</v>
      </c>
      <c r="Y44" s="14">
        <f t="shared" ref="Y44:Z44" si="52">SUM(Y41:Y43)</f>
        <v>5304.9229999999989</v>
      </c>
      <c r="Z44" s="14">
        <f t="shared" si="52"/>
        <v>6135.2169999999996</v>
      </c>
      <c r="AA44" s="14">
        <f t="shared" ref="AA44:AB44" si="53">SUM(AA41:AA43)</f>
        <v>8412.4390000000003</v>
      </c>
      <c r="AB44" s="14">
        <f t="shared" si="53"/>
        <v>10673.267999999998</v>
      </c>
      <c r="AC44" s="14">
        <f t="shared" ref="AC44" si="54">SUM(AC41:AC43)</f>
        <v>12584.361000000001</v>
      </c>
    </row>
    <row r="45" spans="2:29" outlineLevel="2" x14ac:dyDescent="0.25">
      <c r="B45" s="2" t="s">
        <v>16</v>
      </c>
      <c r="C45" s="6" t="s">
        <v>15</v>
      </c>
      <c r="D45" s="19">
        <v>-6.202</v>
      </c>
      <c r="E45" s="19">
        <v>-13.209</v>
      </c>
      <c r="F45" s="19">
        <v>-6.7149999999999999</v>
      </c>
      <c r="G45" s="19">
        <v>-6.718</v>
      </c>
      <c r="H45" s="19">
        <v>-8.1679999999999993</v>
      </c>
      <c r="I45" s="19">
        <v>3.024</v>
      </c>
      <c r="J45" s="19">
        <v>-4.4219999999999997</v>
      </c>
      <c r="K45" s="19">
        <v>-19.684999999999999</v>
      </c>
      <c r="L45" s="19">
        <v>0.97299999999999998</v>
      </c>
      <c r="M45" s="19">
        <v>-6.4880000000000004</v>
      </c>
      <c r="N45" s="19">
        <v>-6.1539999999999999</v>
      </c>
      <c r="O45" s="19">
        <v>-8.4090000000000007</v>
      </c>
      <c r="P45" s="19">
        <v>-13.455</v>
      </c>
      <c r="Q45" s="19">
        <v>-6.8259999999999996</v>
      </c>
      <c r="R45" s="19">
        <v>-6.806</v>
      </c>
      <c r="S45" s="19">
        <v>-8.2669999999999995</v>
      </c>
      <c r="T45" s="19">
        <v>-41.293999999999997</v>
      </c>
      <c r="U45" s="19">
        <v>-8.5239999999999991</v>
      </c>
      <c r="V45" s="19">
        <v>-35.325000000000003</v>
      </c>
      <c r="W45" s="19">
        <v>-11.943</v>
      </c>
      <c r="Y45" s="19">
        <f>SUM(D45:G45)</f>
        <v>-32.844000000000001</v>
      </c>
      <c r="Z45" s="19">
        <f>SUM(H45:K45)</f>
        <v>-29.250999999999998</v>
      </c>
      <c r="AA45" s="19">
        <f>SUM(L45:O45)</f>
        <v>-20.078000000000003</v>
      </c>
      <c r="AB45" s="19">
        <f>SUM(P45:S45)</f>
        <v>-35.353999999999999</v>
      </c>
      <c r="AC45" s="19">
        <f>SUM(T45:W45)</f>
        <v>-97.085999999999999</v>
      </c>
    </row>
    <row r="46" spans="2:29" outlineLevel="2" x14ac:dyDescent="0.25">
      <c r="B46" s="2" t="s">
        <v>34</v>
      </c>
      <c r="C46" s="6" t="s">
        <v>15</v>
      </c>
      <c r="D46" s="19">
        <v>-0.64100000000000001</v>
      </c>
      <c r="E46" s="19">
        <v>-0.35</v>
      </c>
      <c r="F46" s="19">
        <v>-5.1130000000000004</v>
      </c>
      <c r="G46" s="19">
        <v>0.84599999999999997</v>
      </c>
      <c r="H46" s="19">
        <v>-7.2649999999999997</v>
      </c>
      <c r="I46" s="19">
        <v>-2.5089999999999999</v>
      </c>
      <c r="J46" s="19">
        <v>-2.6680000000000001</v>
      </c>
      <c r="K46" s="19">
        <v>-4.4909999999999997</v>
      </c>
      <c r="L46" s="19">
        <v>-2.4580000000000002</v>
      </c>
      <c r="M46" s="19">
        <v>-13.968</v>
      </c>
      <c r="N46" s="19">
        <v>-10.974</v>
      </c>
      <c r="O46" s="19">
        <v>-29.135000000000002</v>
      </c>
      <c r="P46" s="19">
        <v>-47.521000000000001</v>
      </c>
      <c r="Q46" s="19">
        <v>0.39300000000000002</v>
      </c>
      <c r="R46" s="19">
        <v>-2.831</v>
      </c>
      <c r="S46" s="19">
        <v>-18.917999999999999</v>
      </c>
      <c r="T46" s="19">
        <v>-14.769</v>
      </c>
      <c r="U46" s="19">
        <v>-4.2789999999999999</v>
      </c>
      <c r="V46" s="19">
        <v>-34.729999999999997</v>
      </c>
      <c r="W46" s="19">
        <v>-31.562000000000001</v>
      </c>
      <c r="Y46" s="19">
        <f>SUM(D46:G46)</f>
        <v>-5.258</v>
      </c>
      <c r="Z46" s="19">
        <f>SUM(H46:K46)</f>
        <v>-16.933</v>
      </c>
      <c r="AA46" s="19">
        <f>SUM(L46:O46)</f>
        <v>-56.535000000000004</v>
      </c>
      <c r="AB46" s="19">
        <f>SUM(P46:S46)</f>
        <v>-68.87700000000001</v>
      </c>
      <c r="AC46" s="19">
        <f t="shared" ref="AC46:AC48" si="55">SUM(T46:W46)</f>
        <v>-85.34</v>
      </c>
    </row>
    <row r="47" spans="2:29" outlineLevel="2" x14ac:dyDescent="0.25">
      <c r="B47" s="2" t="s">
        <v>425</v>
      </c>
      <c r="C47" s="6" t="s">
        <v>15</v>
      </c>
      <c r="D47" s="19">
        <v>-7.149</v>
      </c>
      <c r="E47" s="19">
        <v>-6.782</v>
      </c>
      <c r="F47" s="19">
        <v>-6.3470000000000004</v>
      </c>
      <c r="G47" s="19">
        <v>-7.1059999999999999</v>
      </c>
      <c r="H47" s="19">
        <v>-8.3989999999999991</v>
      </c>
      <c r="I47" s="19">
        <v>-8.4559999999999995</v>
      </c>
      <c r="J47" s="19">
        <v>-11.86</v>
      </c>
      <c r="K47" s="19">
        <v>-8.2870000000000008</v>
      </c>
      <c r="L47" s="19">
        <v>-21.524000000000001</v>
      </c>
      <c r="M47" s="19">
        <v>-22.603999999999999</v>
      </c>
      <c r="N47" s="19">
        <v>-14.605</v>
      </c>
      <c r="O47" s="19">
        <v>-30.465</v>
      </c>
      <c r="P47" s="19">
        <v>-36.615000000000002</v>
      </c>
      <c r="Q47" s="19">
        <v>-38.119999999999997</v>
      </c>
      <c r="R47" s="19">
        <v>-45.735999999999997</v>
      </c>
      <c r="S47" s="19">
        <v>-47.92</v>
      </c>
      <c r="T47" s="19">
        <v>-49.795000000000002</v>
      </c>
      <c r="U47" s="19">
        <v>-55.526000000000003</v>
      </c>
      <c r="V47" s="19">
        <v>-58.116</v>
      </c>
      <c r="W47" s="19">
        <v>-67.367000000000004</v>
      </c>
      <c r="Y47" s="19">
        <f>SUM(D47:G47)</f>
        <v>-27.384</v>
      </c>
      <c r="Z47" s="19">
        <f>SUM(H47:K47)</f>
        <v>-37.001999999999995</v>
      </c>
      <c r="AA47" s="19">
        <f>SUM(L47:O47)</f>
        <v>-89.198000000000008</v>
      </c>
      <c r="AB47" s="19">
        <f>SUM(P47:S47)</f>
        <v>-168.39100000000002</v>
      </c>
      <c r="AC47" s="19">
        <f t="shared" si="55"/>
        <v>-230.80400000000003</v>
      </c>
    </row>
    <row r="48" spans="2:29" outlineLevel="2" x14ac:dyDescent="0.25">
      <c r="B48" s="2" t="s">
        <v>84</v>
      </c>
      <c r="C48" s="6" t="s">
        <v>15</v>
      </c>
      <c r="D48" s="19">
        <v>-873.024</v>
      </c>
      <c r="E48" s="19">
        <v>-980.03599999999994</v>
      </c>
      <c r="F48" s="19">
        <v>-1014.472</v>
      </c>
      <c r="G48" s="19">
        <v>-975.96100000000001</v>
      </c>
      <c r="H48" s="19">
        <v>-1034.146</v>
      </c>
      <c r="I48" s="19">
        <v>-1117.6199999999999</v>
      </c>
      <c r="J48" s="19">
        <v>-1126.2380000000001</v>
      </c>
      <c r="K48" s="19">
        <v>-1110.79</v>
      </c>
      <c r="L48" s="19">
        <v>-1348.7909999999999</v>
      </c>
      <c r="M48" s="19">
        <v>-1463.4770000000001</v>
      </c>
      <c r="N48" s="19">
        <v>-1551.723</v>
      </c>
      <c r="O48" s="19">
        <v>-1574.665</v>
      </c>
      <c r="P48" s="19">
        <v>-1746.1759999999999</v>
      </c>
      <c r="Q48" s="19">
        <v>-1683.9110000000001</v>
      </c>
      <c r="R48" s="19">
        <v>-1852.13</v>
      </c>
      <c r="S48" s="19">
        <v>-2007.82</v>
      </c>
      <c r="T48" s="19">
        <v>-2274.8090000000002</v>
      </c>
      <c r="U48" s="19">
        <v>-2642.5129999999999</v>
      </c>
      <c r="V48" s="19">
        <v>-2578.5680000000002</v>
      </c>
      <c r="W48" s="19">
        <v>-2483.4650000000001</v>
      </c>
      <c r="Y48" s="19">
        <f>SUM(D48:G48)</f>
        <v>-3843.4930000000004</v>
      </c>
      <c r="Z48" s="19">
        <f>SUM(H48:K48)</f>
        <v>-4388.7939999999999</v>
      </c>
      <c r="AA48" s="19">
        <f>SUM(L48:O48)</f>
        <v>-5938.6559999999999</v>
      </c>
      <c r="AB48" s="19">
        <f>SUM(P48:S48)</f>
        <v>-7290.0370000000003</v>
      </c>
      <c r="AC48" s="19">
        <f t="shared" si="55"/>
        <v>-9979.3549999999996</v>
      </c>
    </row>
    <row r="49" spans="2:29" outlineLevel="2" x14ac:dyDescent="0.25">
      <c r="B49" s="22" t="s">
        <v>213</v>
      </c>
      <c r="C49" s="21" t="s">
        <v>14</v>
      </c>
      <c r="D49" s="23">
        <f>D48/D44</f>
        <v>-0.71640850410138757</v>
      </c>
      <c r="E49" s="23">
        <f t="shared" ref="E49:H49" si="56">E48/E44</f>
        <v>-0.7431823110907545</v>
      </c>
      <c r="F49" s="23">
        <f t="shared" si="56"/>
        <v>-0.74097999043163554</v>
      </c>
      <c r="G49" s="23">
        <f t="shared" si="56"/>
        <v>-0.69785572400419305</v>
      </c>
      <c r="H49" s="23">
        <f t="shared" si="56"/>
        <v>-0.71888481531995596</v>
      </c>
      <c r="I49" s="23">
        <f t="shared" ref="I49:J49" si="57">I48/I44</f>
        <v>-0.73856340885586191</v>
      </c>
      <c r="J49" s="23">
        <f t="shared" si="57"/>
        <v>-0.72281434977463366</v>
      </c>
      <c r="K49" s="23">
        <f t="shared" ref="K49:L49" si="58">K48/K44</f>
        <v>-0.68343227849931487</v>
      </c>
      <c r="L49" s="23">
        <f t="shared" si="58"/>
        <v>-0.70975813440976498</v>
      </c>
      <c r="M49" s="23">
        <f t="shared" ref="M49:N49" si="59">M48/M44</f>
        <v>-0.71882657759986246</v>
      </c>
      <c r="N49" s="23">
        <f t="shared" si="59"/>
        <v>-0.71356249890785228</v>
      </c>
      <c r="O49" s="23">
        <f t="shared" ref="O49:P49" si="60">O48/O44</f>
        <v>-0.6841767732746713</v>
      </c>
      <c r="P49" s="23">
        <f t="shared" si="60"/>
        <v>-0.68224764265391802</v>
      </c>
      <c r="Q49" s="23">
        <f t="shared" ref="Q49:R49" si="61">Q48/Q44</f>
        <v>-0.64664384092949601</v>
      </c>
      <c r="R49" s="23">
        <f t="shared" si="61"/>
        <v>-0.68632715126411337</v>
      </c>
      <c r="S49" s="23">
        <f t="shared" ref="S49:T49" si="62">S48/S44</f>
        <v>-0.71423870731125139</v>
      </c>
      <c r="T49" s="23">
        <f t="shared" si="62"/>
        <v>-0.78348401024573167</v>
      </c>
      <c r="U49" s="23">
        <f t="shared" ref="U49:V49" si="63">U48/U44</f>
        <v>-0.82673786953905948</v>
      </c>
      <c r="V49" s="23">
        <f t="shared" si="63"/>
        <v>-0.8006336591362202</v>
      </c>
      <c r="W49" s="23">
        <f t="shared" ref="W49" si="64">W48/W44</f>
        <v>-0.76088042167493486</v>
      </c>
      <c r="Y49" s="23">
        <f t="shared" ref="Y49:Z49" si="65">Y48/Y44</f>
        <v>-0.7245143803218258</v>
      </c>
      <c r="Z49" s="23">
        <f t="shared" si="65"/>
        <v>-0.71534454282546156</v>
      </c>
      <c r="AA49" s="23">
        <f t="shared" ref="AA49:AB49" si="66">AA48/AA44</f>
        <v>-0.70593748138916668</v>
      </c>
      <c r="AB49" s="23">
        <f t="shared" si="66"/>
        <v>-0.68301826582074032</v>
      </c>
      <c r="AC49" s="23">
        <f t="shared" ref="AC49" si="67">AC48/AC44</f>
        <v>-0.79299656136692187</v>
      </c>
    </row>
    <row r="50" spans="2:29" outlineLevel="1" x14ac:dyDescent="0.25">
      <c r="B50" s="5" t="s">
        <v>94</v>
      </c>
      <c r="C50" s="3" t="s">
        <v>15</v>
      </c>
      <c r="D50" s="14">
        <f>SUM(D45:D48)</f>
        <v>-887.01599999999996</v>
      </c>
      <c r="E50" s="14">
        <f t="shared" ref="E50:H50" si="68">SUM(E45:E48)</f>
        <v>-1000.377</v>
      </c>
      <c r="F50" s="14">
        <f t="shared" si="68"/>
        <v>-1032.6469999999999</v>
      </c>
      <c r="G50" s="14">
        <f t="shared" si="68"/>
        <v>-988.93899999999996</v>
      </c>
      <c r="H50" s="14">
        <f t="shared" si="68"/>
        <v>-1057.9780000000001</v>
      </c>
      <c r="I50" s="14">
        <f t="shared" ref="I50:J50" si="69">SUM(I45:I48)</f>
        <v>-1125.5609999999999</v>
      </c>
      <c r="J50" s="14">
        <f t="shared" si="69"/>
        <v>-1145.1880000000001</v>
      </c>
      <c r="K50" s="14">
        <f t="shared" ref="K50:L50" si="70">SUM(K45:K48)</f>
        <v>-1143.2529999999999</v>
      </c>
      <c r="L50" s="14">
        <f t="shared" si="70"/>
        <v>-1371.8</v>
      </c>
      <c r="M50" s="14">
        <f t="shared" ref="M50:N50" si="71">SUM(M45:M48)</f>
        <v>-1506.537</v>
      </c>
      <c r="N50" s="14">
        <f t="shared" si="71"/>
        <v>-1583.4559999999999</v>
      </c>
      <c r="O50" s="14">
        <f t="shared" ref="O50:P50" si="72">SUM(O45:O48)</f>
        <v>-1642.674</v>
      </c>
      <c r="P50" s="14">
        <f t="shared" si="72"/>
        <v>-1843.7669999999998</v>
      </c>
      <c r="Q50" s="14">
        <f t="shared" ref="Q50:R50" si="73">SUM(Q45:Q48)</f>
        <v>-1728.4639999999999</v>
      </c>
      <c r="R50" s="14">
        <f t="shared" si="73"/>
        <v>-1907.5030000000002</v>
      </c>
      <c r="S50" s="14">
        <f t="shared" ref="S50:T50" si="74">SUM(S45:S48)</f>
        <v>-2082.9249999999997</v>
      </c>
      <c r="T50" s="14">
        <f t="shared" si="74"/>
        <v>-2380.6670000000004</v>
      </c>
      <c r="U50" s="14">
        <f t="shared" ref="U50:V50" si="75">SUM(U45:U48)</f>
        <v>-2710.8420000000001</v>
      </c>
      <c r="V50" s="14">
        <f t="shared" si="75"/>
        <v>-2706.739</v>
      </c>
      <c r="W50" s="14">
        <f t="shared" ref="W50" si="76">SUM(W45:W48)</f>
        <v>-2594.337</v>
      </c>
      <c r="Y50" s="14">
        <f t="shared" ref="Y50:Z50" si="77">SUM(Y45:Y48)</f>
        <v>-3908.9790000000003</v>
      </c>
      <c r="Z50" s="14">
        <f t="shared" si="77"/>
        <v>-4471.9799999999996</v>
      </c>
      <c r="AA50" s="14">
        <f t="shared" ref="AA50:AB50" si="78">SUM(AA45:AA48)</f>
        <v>-6104.4669999999996</v>
      </c>
      <c r="AB50" s="14">
        <f t="shared" si="78"/>
        <v>-7562.6590000000006</v>
      </c>
      <c r="AC50" s="14">
        <f t="shared" ref="AC50" si="79">SUM(AC45:AC48)</f>
        <v>-10392.584999999999</v>
      </c>
    </row>
    <row r="51" spans="2:29" outlineLevel="1" x14ac:dyDescent="0.25">
      <c r="B51" s="7" t="s">
        <v>93</v>
      </c>
      <c r="C51" s="3" t="s">
        <v>15</v>
      </c>
      <c r="D51" s="14">
        <f t="shared" ref="D51:I51" si="80">SUM(D44,D50)</f>
        <v>331.59599999999989</v>
      </c>
      <c r="E51" s="14">
        <f t="shared" si="80"/>
        <v>318.32499999999982</v>
      </c>
      <c r="F51" s="14">
        <f t="shared" si="80"/>
        <v>336.44799999999987</v>
      </c>
      <c r="G51" s="14">
        <f t="shared" si="80"/>
        <v>409.57499999999993</v>
      </c>
      <c r="H51" s="14">
        <f t="shared" si="80"/>
        <v>380.56399999999985</v>
      </c>
      <c r="I51" s="14">
        <f t="shared" si="80"/>
        <v>387.67399999999975</v>
      </c>
      <c r="J51" s="14">
        <f t="shared" ref="J51:K51" si="81">SUM(J44,J50)</f>
        <v>412.9409999999998</v>
      </c>
      <c r="K51" s="14">
        <f t="shared" si="81"/>
        <v>482.05799999999999</v>
      </c>
      <c r="L51" s="14">
        <f t="shared" ref="L51:M51" si="82">SUM(L44,L50)</f>
        <v>528.55299999999988</v>
      </c>
      <c r="M51" s="14">
        <f t="shared" si="82"/>
        <v>529.38800000000015</v>
      </c>
      <c r="N51" s="14">
        <f t="shared" ref="N51:O51" si="83">SUM(N44,N50)</f>
        <v>591.15799999999967</v>
      </c>
      <c r="O51" s="14">
        <f t="shared" si="83"/>
        <v>658.87300000000005</v>
      </c>
      <c r="P51" s="14">
        <f t="shared" ref="P51:R51" si="84">SUM(P44,P50)</f>
        <v>715.67900000000009</v>
      </c>
      <c r="Q51" s="14">
        <f t="shared" si="84"/>
        <v>875.61400000000003</v>
      </c>
      <c r="R51" s="14">
        <f t="shared" si="84"/>
        <v>791.10799999999972</v>
      </c>
      <c r="S51" s="14">
        <f t="shared" ref="S51:T51" si="85">SUM(S44,S50)</f>
        <v>728.20800000000008</v>
      </c>
      <c r="T51" s="14">
        <f t="shared" si="85"/>
        <v>522.7859999999996</v>
      </c>
      <c r="U51" s="14">
        <f t="shared" ref="U51:V51" si="86">SUM(U44,U50)</f>
        <v>485.471</v>
      </c>
      <c r="V51" s="14">
        <f t="shared" si="86"/>
        <v>513.92000000000053</v>
      </c>
      <c r="W51" s="14">
        <f t="shared" ref="W51" si="87">SUM(W44,W50)</f>
        <v>669.59900000000016</v>
      </c>
      <c r="Y51" s="14">
        <f t="shared" ref="Y51:Z51" si="88">SUM(Y44,Y50)</f>
        <v>1395.9439999999986</v>
      </c>
      <c r="Z51" s="14">
        <f t="shared" si="88"/>
        <v>1663.2370000000001</v>
      </c>
      <c r="AA51" s="14">
        <f t="shared" ref="AA51:AB51" si="89">SUM(AA44,AA50)</f>
        <v>2307.9720000000007</v>
      </c>
      <c r="AB51" s="14">
        <f t="shared" si="89"/>
        <v>3110.6089999999976</v>
      </c>
      <c r="AC51" s="14">
        <f t="shared" ref="AC51" si="90">SUM(AC44,AC50)</f>
        <v>2191.7760000000017</v>
      </c>
    </row>
    <row r="52" spans="2:29" outlineLevel="1" x14ac:dyDescent="0.25">
      <c r="B52" s="8" t="s">
        <v>23</v>
      </c>
      <c r="C52" s="9" t="s">
        <v>14</v>
      </c>
      <c r="D52" s="10">
        <f t="shared" ref="D52:I52" si="91">D51/D44</f>
        <v>0.27210958040787381</v>
      </c>
      <c r="E52" s="10">
        <f t="shared" si="91"/>
        <v>0.24139267249158633</v>
      </c>
      <c r="F52" s="10">
        <f t="shared" si="91"/>
        <v>0.24574481683155655</v>
      </c>
      <c r="G52" s="10">
        <f t="shared" si="91"/>
        <v>0.29286442609798685</v>
      </c>
      <c r="H52" s="10">
        <f t="shared" si="91"/>
        <v>0.26454841082151226</v>
      </c>
      <c r="I52" s="10">
        <f t="shared" si="91"/>
        <v>0.25618889333117451</v>
      </c>
      <c r="J52" s="10">
        <f t="shared" ref="J52:K52" si="92">J51/J44</f>
        <v>0.26502362769706478</v>
      </c>
      <c r="K52" s="10">
        <f t="shared" si="92"/>
        <v>0.29659431333449415</v>
      </c>
      <c r="L52" s="10">
        <f t="shared" ref="L52:M52" si="93">L51/L44</f>
        <v>0.27813411508282931</v>
      </c>
      <c r="M52" s="10">
        <f t="shared" si="93"/>
        <v>0.26002333091837865</v>
      </c>
      <c r="N52" s="10">
        <f t="shared" ref="N52:O52" si="94">N51/N44</f>
        <v>0.27184502628972307</v>
      </c>
      <c r="O52" s="10">
        <f t="shared" si="94"/>
        <v>0.28627397137664362</v>
      </c>
      <c r="P52" s="10">
        <f t="shared" ref="P52:R52" si="95">P51/P44</f>
        <v>0.27962262145792494</v>
      </c>
      <c r="Q52" s="10">
        <f t="shared" si="95"/>
        <v>0.33624722454550132</v>
      </c>
      <c r="R52" s="10">
        <f t="shared" si="95"/>
        <v>0.29315377429351608</v>
      </c>
      <c r="S52" s="10">
        <f t="shared" ref="S52:T52" si="96">S51/S44</f>
        <v>0.25904430704630488</v>
      </c>
      <c r="T52" s="10">
        <f t="shared" si="96"/>
        <v>0.18005664290071152</v>
      </c>
      <c r="U52" s="10">
        <f t="shared" ref="U52:V52" si="97">U51/U44</f>
        <v>0.15188468713796177</v>
      </c>
      <c r="V52" s="10">
        <f t="shared" si="97"/>
        <v>0.15956982716891183</v>
      </c>
      <c r="W52" s="10">
        <f t="shared" ref="W52" si="98">W51/W44</f>
        <v>0.20515077501519641</v>
      </c>
      <c r="Y52" s="10">
        <f t="shared" ref="Y52:Z52" si="99">Y51/Y44</f>
        <v>0.26314123692276004</v>
      </c>
      <c r="Z52" s="10">
        <f t="shared" si="99"/>
        <v>0.2710966865556671</v>
      </c>
      <c r="AA52" s="10">
        <f t="shared" ref="AA52:AB52" si="100">AA51/AA44</f>
        <v>0.27435230139558819</v>
      </c>
      <c r="AB52" s="10">
        <f t="shared" si="100"/>
        <v>0.29143922929696869</v>
      </c>
      <c r="AC52" s="10">
        <f t="shared" ref="AC52" si="101">AC51/AC44</f>
        <v>0.17416665017794719</v>
      </c>
    </row>
    <row r="53" spans="2:29" outlineLevel="2" x14ac:dyDescent="0.25">
      <c r="B53" s="25" t="s">
        <v>17</v>
      </c>
      <c r="C53" s="3" t="s">
        <v>15</v>
      </c>
      <c r="D53" s="14">
        <f t="shared" ref="D53:I53" si="102">SUM(D54:D62)</f>
        <v>-151.03299999999999</v>
      </c>
      <c r="E53" s="14">
        <f t="shared" si="102"/>
        <v>-202.5</v>
      </c>
      <c r="F53" s="14">
        <f t="shared" si="102"/>
        <v>-161.708</v>
      </c>
      <c r="G53" s="14">
        <f t="shared" si="102"/>
        <v>-152.72800000000001</v>
      </c>
      <c r="H53" s="14">
        <f t="shared" si="102"/>
        <v>-157.59100000000001</v>
      </c>
      <c r="I53" s="14">
        <f t="shared" si="102"/>
        <v>-199.27600000000001</v>
      </c>
      <c r="J53" s="14">
        <f t="shared" ref="J53:K53" si="103">SUM(J54:J62)</f>
        <v>-174.625</v>
      </c>
      <c r="K53" s="14">
        <f t="shared" si="103"/>
        <v>-218.709</v>
      </c>
      <c r="L53" s="14">
        <f t="shared" ref="L53:M53" si="104">SUM(L54:L62)</f>
        <v>-194.952</v>
      </c>
      <c r="M53" s="14">
        <f t="shared" si="104"/>
        <v>-225.85999999999996</v>
      </c>
      <c r="N53" s="14">
        <f t="shared" ref="N53:O53" si="105">SUM(N54:N62)</f>
        <v>-274.61599999999999</v>
      </c>
      <c r="O53" s="14">
        <f t="shared" si="105"/>
        <v>-248.1</v>
      </c>
      <c r="P53" s="14">
        <f t="shared" ref="P53:R53" si="106">SUM(P54:P62)</f>
        <v>-245.84100000000001</v>
      </c>
      <c r="Q53" s="14">
        <f t="shared" si="106"/>
        <v>-292.14600000000002</v>
      </c>
      <c r="R53" s="14">
        <f t="shared" si="106"/>
        <v>-266.73399999999998</v>
      </c>
      <c r="S53" s="14">
        <f t="shared" ref="S53:T53" si="107">SUM(S54:S62)</f>
        <v>-264.50299999999999</v>
      </c>
      <c r="T53" s="14">
        <f t="shared" si="107"/>
        <v>-301.07299999999998</v>
      </c>
      <c r="U53" s="14">
        <f t="shared" ref="U53:V53" si="108">SUM(U54:U62)</f>
        <v>-255.74</v>
      </c>
      <c r="V53" s="14">
        <f t="shared" si="108"/>
        <v>-288.95999999999998</v>
      </c>
      <c r="W53" s="14">
        <f t="shared" ref="W53" si="109">SUM(W54:W62)</f>
        <v>-330.72</v>
      </c>
      <c r="Y53" s="14">
        <f t="shared" ref="Y53:Z53" si="110">SUM(Y54:Y62)</f>
        <v>-667.96900000000005</v>
      </c>
      <c r="Z53" s="14">
        <f t="shared" si="110"/>
        <v>-750.20100000000002</v>
      </c>
      <c r="AA53" s="14">
        <f t="shared" ref="AA53:AB53" si="111">SUM(AA54:AA62)</f>
        <v>-943.52800000000013</v>
      </c>
      <c r="AB53" s="14">
        <f t="shared" si="111"/>
        <v>-1069.2240000000002</v>
      </c>
      <c r="AC53" s="14">
        <f t="shared" ref="AC53" si="112">SUM(AC54:AC62)</f>
        <v>-1176.4929999999999</v>
      </c>
    </row>
    <row r="54" spans="2:29" outlineLevel="3" x14ac:dyDescent="0.25">
      <c r="B54" s="18" t="s">
        <v>35</v>
      </c>
      <c r="C54" s="6" t="s">
        <v>15</v>
      </c>
      <c r="D54" s="19">
        <v>-68.659000000000006</v>
      </c>
      <c r="E54" s="19">
        <v>-86.552999999999983</v>
      </c>
      <c r="F54" s="19">
        <v>-89.640000000000015</v>
      </c>
      <c r="G54" s="19">
        <v>-53.506</v>
      </c>
      <c r="H54" s="19">
        <v>-75.495000000000005</v>
      </c>
      <c r="I54" s="19">
        <v>-78.930000000000007</v>
      </c>
      <c r="J54" s="19">
        <v>-66.808000000000007</v>
      </c>
      <c r="K54" s="19">
        <v>-78.569000000000003</v>
      </c>
      <c r="L54" s="19">
        <v>-80.72</v>
      </c>
      <c r="M54" s="19">
        <v>-94.528999999999996</v>
      </c>
      <c r="N54" s="19">
        <v>-99.388999999999996</v>
      </c>
      <c r="O54" s="19">
        <v>-100.206</v>
      </c>
      <c r="P54" s="19">
        <v>-105.023</v>
      </c>
      <c r="Q54" s="19">
        <v>-127.58</v>
      </c>
      <c r="R54" s="19">
        <v>-126.004</v>
      </c>
      <c r="S54" s="19">
        <v>-113.22</v>
      </c>
      <c r="T54" s="19">
        <v>-113.274</v>
      </c>
      <c r="U54" s="19">
        <v>-120.748</v>
      </c>
      <c r="V54" s="19">
        <v>-129.863</v>
      </c>
      <c r="W54" s="19">
        <v>-148.81399999999999</v>
      </c>
      <c r="Y54" s="19">
        <f t="shared" ref="Y54:Y60" si="113">SUM(D54:G54)</f>
        <v>-298.358</v>
      </c>
      <c r="Z54" s="19">
        <f t="shared" ref="Z54:Z60" si="114">SUM(H54:K54)</f>
        <v>-299.80200000000002</v>
      </c>
      <c r="AA54" s="19">
        <f t="shared" ref="AA54:AA65" si="115">SUM(L54:O54)</f>
        <v>-374.84399999999999</v>
      </c>
      <c r="AB54" s="19">
        <f t="shared" ref="AB54:AB65" si="116">SUM(P54:S54)</f>
        <v>-471.827</v>
      </c>
      <c r="AC54" s="19">
        <f t="shared" ref="AC54:AC62" si="117">SUM(T54:W54)</f>
        <v>-512.69899999999996</v>
      </c>
    </row>
    <row r="55" spans="2:29" outlineLevel="3" x14ac:dyDescent="0.25">
      <c r="B55" s="18" t="s">
        <v>36</v>
      </c>
      <c r="C55" s="6" t="s">
        <v>15</v>
      </c>
      <c r="D55" s="19">
        <v>-29.919</v>
      </c>
      <c r="E55" s="19">
        <v>-44.91</v>
      </c>
      <c r="F55" s="19">
        <v>-34.952000000000012</v>
      </c>
      <c r="G55" s="19">
        <v>-47.521999999999998</v>
      </c>
      <c r="H55" s="19">
        <v>-37.887999999999998</v>
      </c>
      <c r="I55" s="19">
        <v>-58.119</v>
      </c>
      <c r="J55" s="19">
        <v>-34.771999999999998</v>
      </c>
      <c r="K55" s="19">
        <v>-66.108000000000004</v>
      </c>
      <c r="L55" s="19">
        <v>-45.625</v>
      </c>
      <c r="M55" s="19">
        <v>-48.421999999999997</v>
      </c>
      <c r="N55" s="19">
        <v>-53.716000000000001</v>
      </c>
      <c r="O55" s="19">
        <v>-58.780999999999999</v>
      </c>
      <c r="P55" s="19">
        <v>-57.762</v>
      </c>
      <c r="Q55" s="19">
        <v>-72.066999999999993</v>
      </c>
      <c r="R55" s="19">
        <v>-52.290999999999997</v>
      </c>
      <c r="S55" s="19">
        <v>-54.396000000000001</v>
      </c>
      <c r="T55" s="19">
        <v>-62.113999999999997</v>
      </c>
      <c r="U55" s="19">
        <v>-63.167999999999999</v>
      </c>
      <c r="V55" s="19">
        <v>-60.572000000000003</v>
      </c>
      <c r="W55" s="19">
        <v>-57.720999999999997</v>
      </c>
      <c r="Y55" s="19">
        <f t="shared" si="113"/>
        <v>-157.303</v>
      </c>
      <c r="Z55" s="19">
        <f t="shared" si="114"/>
        <v>-196.887</v>
      </c>
      <c r="AA55" s="19">
        <f t="shared" si="115"/>
        <v>-206.54400000000001</v>
      </c>
      <c r="AB55" s="19">
        <f t="shared" si="116"/>
        <v>-236.51600000000002</v>
      </c>
      <c r="AC55" s="19">
        <f t="shared" si="117"/>
        <v>-243.57499999999999</v>
      </c>
    </row>
    <row r="56" spans="2:29" outlineLevel="3" x14ac:dyDescent="0.25">
      <c r="B56" s="18" t="s">
        <v>67</v>
      </c>
      <c r="C56" s="6" t="s">
        <v>15</v>
      </c>
      <c r="D56" s="19">
        <v>-8.8170000000000002</v>
      </c>
      <c r="E56" s="19">
        <v>-22.904</v>
      </c>
      <c r="F56" s="19">
        <v>-20.521999999999998</v>
      </c>
      <c r="G56" s="19">
        <v>-17.704999999999998</v>
      </c>
      <c r="H56" s="19">
        <v>-15.888999999999999</v>
      </c>
      <c r="I56" s="19">
        <v>-25.734999999999999</v>
      </c>
      <c r="J56" s="19">
        <v>-19.879000000000001</v>
      </c>
      <c r="K56" s="19">
        <v>-21.742000000000001</v>
      </c>
      <c r="L56" s="19">
        <v>-16.734999999999999</v>
      </c>
      <c r="M56" s="19">
        <v>-20.437999999999999</v>
      </c>
      <c r="N56" s="19">
        <v>-22.835000000000001</v>
      </c>
      <c r="O56" s="19">
        <v>-22.616</v>
      </c>
      <c r="P56" s="19">
        <v>-16.861999999999998</v>
      </c>
      <c r="Q56" s="19">
        <v>-9.9469999999999992</v>
      </c>
      <c r="R56" s="19">
        <v>-21.137</v>
      </c>
      <c r="S56" s="19">
        <v>-21.356000000000002</v>
      </c>
      <c r="T56" s="19">
        <v>-19.724</v>
      </c>
      <c r="U56" s="19">
        <v>-23.38</v>
      </c>
      <c r="V56" s="19">
        <v>-23.94</v>
      </c>
      <c r="W56" s="19">
        <v>-26.314</v>
      </c>
      <c r="Y56" s="19">
        <f t="shared" si="113"/>
        <v>-69.947999999999993</v>
      </c>
      <c r="Z56" s="19">
        <f t="shared" si="114"/>
        <v>-83.245000000000005</v>
      </c>
      <c r="AA56" s="19">
        <f t="shared" si="115"/>
        <v>-82.623999999999995</v>
      </c>
      <c r="AB56" s="19">
        <f t="shared" si="116"/>
        <v>-69.301999999999992</v>
      </c>
      <c r="AC56" s="19">
        <f t="shared" si="117"/>
        <v>-93.358000000000004</v>
      </c>
    </row>
    <row r="57" spans="2:29" outlineLevel="3" x14ac:dyDescent="0.25">
      <c r="B57" s="18" t="s">
        <v>85</v>
      </c>
      <c r="C57" s="6" t="s">
        <v>15</v>
      </c>
      <c r="D57" s="19">
        <v>-0.84299999999999997</v>
      </c>
      <c r="E57" s="19">
        <v>-2.3730000000000002</v>
      </c>
      <c r="F57" s="19">
        <v>-2.6029999999999998</v>
      </c>
      <c r="G57" s="19">
        <v>-3.5640000000000001</v>
      </c>
      <c r="H57" s="19">
        <v>-2.1659999999999999</v>
      </c>
      <c r="I57" s="19">
        <v>-2.972</v>
      </c>
      <c r="J57" s="19">
        <v>-3.7010000000000001</v>
      </c>
      <c r="K57" s="19">
        <v>-6.4989999999999997</v>
      </c>
      <c r="L57" s="19">
        <v>-2.0249999999999999</v>
      </c>
      <c r="M57" s="19">
        <v>-2.3730000000000002</v>
      </c>
      <c r="N57" s="19">
        <v>-6.2130000000000001</v>
      </c>
      <c r="O57" s="19">
        <v>-6.0650000000000004</v>
      </c>
      <c r="P57" s="19">
        <v>-3.7690000000000001</v>
      </c>
      <c r="Q57" s="19">
        <v>-5.4729999999999999</v>
      </c>
      <c r="R57" s="19">
        <v>-4.1159999999999997</v>
      </c>
      <c r="S57" s="19">
        <v>-5.29</v>
      </c>
      <c r="T57" s="19">
        <v>-3.2130000000000001</v>
      </c>
      <c r="U57" s="19">
        <v>-4.9119999999999999</v>
      </c>
      <c r="V57" s="19">
        <v>-7.2140000000000004</v>
      </c>
      <c r="W57" s="19">
        <v>-18.864000000000001</v>
      </c>
      <c r="Y57" s="19">
        <f t="shared" si="113"/>
        <v>-9.3829999999999991</v>
      </c>
      <c r="Z57" s="19">
        <f t="shared" si="114"/>
        <v>-15.338000000000001</v>
      </c>
      <c r="AA57" s="19">
        <f t="shared" si="115"/>
        <v>-16.676000000000002</v>
      </c>
      <c r="AB57" s="19">
        <f t="shared" si="116"/>
        <v>-18.648</v>
      </c>
      <c r="AC57" s="19">
        <f t="shared" si="117"/>
        <v>-34.203000000000003</v>
      </c>
    </row>
    <row r="58" spans="2:29" outlineLevel="3" x14ac:dyDescent="0.25">
      <c r="B58" s="18" t="s">
        <v>86</v>
      </c>
      <c r="C58" s="6" t="s">
        <v>15</v>
      </c>
      <c r="D58" s="19">
        <v>-9.5760000000000005</v>
      </c>
      <c r="E58" s="19">
        <v>-7.0030000000000001</v>
      </c>
      <c r="F58" s="19">
        <v>16.994</v>
      </c>
      <c r="G58" s="19">
        <v>30.332999999999998</v>
      </c>
      <c r="H58" s="19">
        <v>9.8409999999999993</v>
      </c>
      <c r="I58" s="19">
        <v>-2.423</v>
      </c>
      <c r="J58" s="19">
        <v>6.8070000000000004</v>
      </c>
      <c r="K58" s="19">
        <v>-6.6000000000000003E-2</v>
      </c>
      <c r="L58" s="19">
        <v>-6.274</v>
      </c>
      <c r="M58" s="19">
        <v>-10.16</v>
      </c>
      <c r="N58" s="19">
        <v>-12.8</v>
      </c>
      <c r="O58" s="19">
        <v>-4.3840000000000003</v>
      </c>
      <c r="P58" s="19">
        <v>-5.9749999999999996</v>
      </c>
      <c r="Q58" s="19">
        <v>-4.649</v>
      </c>
      <c r="R58" s="19">
        <v>-12.954000000000001</v>
      </c>
      <c r="S58" s="19">
        <v>-6.2080000000000002</v>
      </c>
      <c r="T58" s="19">
        <v>-45.174999999999997</v>
      </c>
      <c r="U58" s="19">
        <v>-3.92</v>
      </c>
      <c r="V58" s="19">
        <v>-10.7</v>
      </c>
      <c r="W58" s="19">
        <v>-23.792999999999999</v>
      </c>
      <c r="Y58" s="19">
        <f t="shared" si="113"/>
        <v>30.747999999999998</v>
      </c>
      <c r="Z58" s="19">
        <f t="shared" si="114"/>
        <v>14.158999999999999</v>
      </c>
      <c r="AA58" s="19">
        <f t="shared" si="115"/>
        <v>-33.618000000000002</v>
      </c>
      <c r="AB58" s="19">
        <f t="shared" si="116"/>
        <v>-29.786000000000001</v>
      </c>
      <c r="AC58" s="19">
        <f t="shared" si="117"/>
        <v>-83.587999999999994</v>
      </c>
    </row>
    <row r="59" spans="2:29" outlineLevel="3" x14ac:dyDescent="0.25">
      <c r="B59" s="18" t="s">
        <v>71</v>
      </c>
      <c r="C59" s="6" t="s">
        <v>15</v>
      </c>
      <c r="D59" s="19">
        <v>-16.655000000000001</v>
      </c>
      <c r="E59" s="19">
        <v>-25.653999999999996</v>
      </c>
      <c r="F59" s="19">
        <v>-17.465000000000003</v>
      </c>
      <c r="G59" s="19">
        <v>-27.001000000000001</v>
      </c>
      <c r="H59" s="19">
        <v>-20.940999999999999</v>
      </c>
      <c r="I59" s="19">
        <v>-21.736999999999998</v>
      </c>
      <c r="J59" s="19">
        <v>-24.456</v>
      </c>
      <c r="K59" s="19">
        <v>-23.201000000000001</v>
      </c>
      <c r="L59" s="19">
        <v>-27.545000000000002</v>
      </c>
      <c r="M59" s="19">
        <v>-26.69</v>
      </c>
      <c r="N59" s="19">
        <v>-51.088999999999999</v>
      </c>
      <c r="O59" s="19">
        <v>-36.633000000000003</v>
      </c>
      <c r="P59" s="19">
        <v>-29.036999999999999</v>
      </c>
      <c r="Q59" s="19">
        <v>-48.488999999999997</v>
      </c>
      <c r="R59" s="19">
        <v>-39.161999999999999</v>
      </c>
      <c r="S59" s="19">
        <v>-45.16</v>
      </c>
      <c r="T59" s="19">
        <v>-34.896000000000001</v>
      </c>
      <c r="U59" s="19">
        <v>-29.327000000000002</v>
      </c>
      <c r="V59" s="19">
        <v>-38.409999999999997</v>
      </c>
      <c r="W59" s="19">
        <v>-37.789000000000001</v>
      </c>
      <c r="Y59" s="19">
        <f t="shared" si="113"/>
        <v>-86.775000000000006</v>
      </c>
      <c r="Z59" s="19">
        <f t="shared" si="114"/>
        <v>-90.335000000000008</v>
      </c>
      <c r="AA59" s="19">
        <f t="shared" si="115"/>
        <v>-141.95699999999999</v>
      </c>
      <c r="AB59" s="19">
        <f t="shared" si="116"/>
        <v>-161.84799999999998</v>
      </c>
      <c r="AC59" s="19">
        <f t="shared" si="117"/>
        <v>-140.422</v>
      </c>
    </row>
    <row r="60" spans="2:29" outlineLevel="3" x14ac:dyDescent="0.25">
      <c r="B60" s="18" t="s">
        <v>87</v>
      </c>
      <c r="C60" s="6" t="s">
        <v>15</v>
      </c>
      <c r="D60" s="19">
        <v>-3.8149999999999999</v>
      </c>
      <c r="E60" s="19">
        <v>-3.6010000000000004</v>
      </c>
      <c r="F60" s="19">
        <v>-2.84</v>
      </c>
      <c r="G60" s="19">
        <v>-3.206</v>
      </c>
      <c r="H60" s="19">
        <v>-4.2789999999999999</v>
      </c>
      <c r="I60" s="19">
        <v>-7.4039999999999999</v>
      </c>
      <c r="J60" s="19">
        <v>-8.3759999999999994</v>
      </c>
      <c r="K60" s="19">
        <v>-7.5650000000000004</v>
      </c>
      <c r="L60" s="19">
        <v>-7.0069999999999997</v>
      </c>
      <c r="M60" s="19">
        <v>-12.317</v>
      </c>
      <c r="N60" s="19">
        <v>-13.496</v>
      </c>
      <c r="O60" s="19">
        <v>-11.446999999999999</v>
      </c>
      <c r="P60" s="19">
        <v>-10.923999999999999</v>
      </c>
      <c r="Q60" s="19">
        <v>-12.571</v>
      </c>
      <c r="R60" s="19">
        <v>-12.557</v>
      </c>
      <c r="S60" s="19">
        <v>-12.689</v>
      </c>
      <c r="T60" s="19">
        <v>-12.093999999999999</v>
      </c>
      <c r="U60" s="19">
        <v>-4.57</v>
      </c>
      <c r="V60" s="19">
        <v>-5.7119999999999997</v>
      </c>
      <c r="W60" s="19">
        <v>-5.4249999999999998</v>
      </c>
      <c r="Y60" s="19">
        <f t="shared" si="113"/>
        <v>-13.462</v>
      </c>
      <c r="Z60" s="19">
        <f t="shared" si="114"/>
        <v>-27.623999999999999</v>
      </c>
      <c r="AA60" s="19">
        <f t="shared" si="115"/>
        <v>-44.266999999999996</v>
      </c>
      <c r="AB60" s="19">
        <f t="shared" si="116"/>
        <v>-48.741</v>
      </c>
      <c r="AC60" s="19">
        <f t="shared" si="117"/>
        <v>-27.801000000000002</v>
      </c>
    </row>
    <row r="61" spans="2:29" outlineLevel="3" x14ac:dyDescent="0.25">
      <c r="B61" s="18" t="s">
        <v>400</v>
      </c>
      <c r="C61" s="6" t="s">
        <v>15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-3.6970000000000001</v>
      </c>
      <c r="M61" s="19">
        <v>-3.391</v>
      </c>
      <c r="N61" s="19">
        <v>-3.117</v>
      </c>
      <c r="O61" s="19">
        <v>-4.3630000000000004</v>
      </c>
      <c r="P61" s="19">
        <v>-3.665</v>
      </c>
      <c r="Q61" s="19">
        <v>-3.73</v>
      </c>
      <c r="R61" s="19">
        <v>-3.149</v>
      </c>
      <c r="S61" s="19">
        <v>-3.1</v>
      </c>
      <c r="T61" s="19">
        <v>-4.8620000000000001</v>
      </c>
      <c r="U61" s="19">
        <v>-4.7359999999999998</v>
      </c>
      <c r="V61" s="19">
        <v>-6.7759999999999998</v>
      </c>
      <c r="W61" s="19">
        <v>-5.7309999999999999</v>
      </c>
      <c r="Y61" s="19">
        <v>0</v>
      </c>
      <c r="Z61" s="19">
        <v>0</v>
      </c>
      <c r="AA61" s="19">
        <f t="shared" si="115"/>
        <v>-14.568000000000001</v>
      </c>
      <c r="AB61" s="19">
        <f t="shared" si="116"/>
        <v>-13.644</v>
      </c>
      <c r="AC61" s="19">
        <f t="shared" si="117"/>
        <v>-22.104999999999997</v>
      </c>
    </row>
    <row r="62" spans="2:29" outlineLevel="3" x14ac:dyDescent="0.25">
      <c r="B62" s="18" t="s">
        <v>88</v>
      </c>
      <c r="C62" s="6" t="s">
        <v>15</v>
      </c>
      <c r="D62" s="19">
        <v>-12.748999999999967</v>
      </c>
      <c r="E62" s="19">
        <v>-9.5020000000000664</v>
      </c>
      <c r="F62" s="19">
        <v>-10.67999999999995</v>
      </c>
      <c r="G62" s="19">
        <v>-30.557000000000002</v>
      </c>
      <c r="H62" s="19">
        <v>-10.774000000000001</v>
      </c>
      <c r="I62" s="19">
        <v>-1.9560000000000173</v>
      </c>
      <c r="J62" s="19">
        <v>-23.439999999999998</v>
      </c>
      <c r="K62" s="19">
        <v>-14.959</v>
      </c>
      <c r="L62" s="19">
        <v>-5.3240000000000123</v>
      </c>
      <c r="M62" s="19">
        <v>-7.54</v>
      </c>
      <c r="N62" s="19">
        <v>-11.960999999999956</v>
      </c>
      <c r="O62" s="19">
        <f>-248.1-SUM(O54:O61)</f>
        <v>-3.6049999999999613</v>
      </c>
      <c r="P62" s="19">
        <v>-12.824</v>
      </c>
      <c r="Q62" s="19">
        <f>-292.146-SUM(Q54:Q61)</f>
        <v>-7.6399999999999864</v>
      </c>
      <c r="R62" s="19">
        <f>-266.734-SUM(R54:R61)</f>
        <v>4.6360000000000241</v>
      </c>
      <c r="S62" s="19">
        <v>-3.0840000000000032</v>
      </c>
      <c r="T62" s="19">
        <f>-301.073-SUM(T54:T61)</f>
        <v>-5.7209999999999468</v>
      </c>
      <c r="U62" s="19">
        <f>-255.74-SUM(U54:U61)</f>
        <v>-0.97900000000004184</v>
      </c>
      <c r="V62" s="19">
        <f>-288.96-SUM(V54:V61)</f>
        <v>-5.7730000000000246</v>
      </c>
      <c r="W62" s="19">
        <f>-330.72-SUM(W54:W61)</f>
        <v>-6.2690000000000623</v>
      </c>
      <c r="Y62" s="19">
        <f>SUM(D62:G62)</f>
        <v>-63.487999999999985</v>
      </c>
      <c r="Z62" s="19">
        <f>SUM(H62:K62)</f>
        <v>-51.129000000000019</v>
      </c>
      <c r="AA62" s="19">
        <f t="shared" si="115"/>
        <v>-28.429999999999929</v>
      </c>
      <c r="AB62" s="19">
        <f t="shared" si="116"/>
        <v>-18.911999999999964</v>
      </c>
      <c r="AC62" s="19">
        <f t="shared" si="117"/>
        <v>-18.742000000000075</v>
      </c>
    </row>
    <row r="63" spans="2:29" outlineLevel="2" x14ac:dyDescent="0.25">
      <c r="B63" s="25" t="s">
        <v>89</v>
      </c>
      <c r="C63" s="3" t="s">
        <v>15</v>
      </c>
      <c r="D63" s="14">
        <v>-41.936999999999998</v>
      </c>
      <c r="E63" s="14">
        <v>-47.726999999999997</v>
      </c>
      <c r="F63" s="14">
        <v>-55.237000000000002</v>
      </c>
      <c r="G63" s="14">
        <v>-59.311999999999998</v>
      </c>
      <c r="H63" s="14">
        <v>-67.006</v>
      </c>
      <c r="I63" s="14">
        <v>-69.688000000000002</v>
      </c>
      <c r="J63" s="14">
        <v>-77.085999999999999</v>
      </c>
      <c r="K63" s="14">
        <v>-85.191000000000003</v>
      </c>
      <c r="L63" s="14">
        <v>-92.721999999999994</v>
      </c>
      <c r="M63" s="14">
        <v>-99.733000000000004</v>
      </c>
      <c r="N63" s="14">
        <v>-109.535</v>
      </c>
      <c r="O63" s="14">
        <v>-121.755</v>
      </c>
      <c r="P63" s="14">
        <v>-130.101</v>
      </c>
      <c r="Q63" s="14">
        <v>-130.37</v>
      </c>
      <c r="R63" s="14">
        <v>-143.095</v>
      </c>
      <c r="S63" s="14">
        <v>-149.78700000000001</v>
      </c>
      <c r="T63" s="14">
        <v>-158.44399999999999</v>
      </c>
      <c r="U63" s="14">
        <v>-175.251</v>
      </c>
      <c r="V63" s="14">
        <v>-179.59</v>
      </c>
      <c r="W63" s="14">
        <v>-179.65700000000001</v>
      </c>
      <c r="Y63" s="14">
        <f>SUM(D63:G63)</f>
        <v>-204.21299999999997</v>
      </c>
      <c r="Z63" s="14">
        <f>SUM(H63:K63)</f>
        <v>-298.971</v>
      </c>
      <c r="AA63" s="14">
        <f t="shared" si="115"/>
        <v>-423.745</v>
      </c>
      <c r="AB63" s="14">
        <f t="shared" si="116"/>
        <v>-553.35300000000007</v>
      </c>
      <c r="AC63" s="14">
        <f>SUM(T63:W63)</f>
        <v>-692.94200000000001</v>
      </c>
    </row>
    <row r="64" spans="2:29" outlineLevel="2" x14ac:dyDescent="0.25">
      <c r="B64" s="25" t="s">
        <v>91</v>
      </c>
      <c r="C64" s="3" t="s">
        <v>15</v>
      </c>
      <c r="D64" s="14">
        <v>-9.6170000000000009</v>
      </c>
      <c r="E64" s="14">
        <v>-8.3689999999999998</v>
      </c>
      <c r="F64" s="14">
        <v>-15.662000000000001</v>
      </c>
      <c r="G64" s="14">
        <v>-22.713999999999999</v>
      </c>
      <c r="H64" s="14">
        <v>-2.6219999999999999</v>
      </c>
      <c r="I64" s="14">
        <v>-10.173999999999999</v>
      </c>
      <c r="J64" s="14">
        <v>-14.76</v>
      </c>
      <c r="K64" s="14">
        <v>-14.167999999999999</v>
      </c>
      <c r="L64" s="14">
        <v>-18.469000000000001</v>
      </c>
      <c r="M64" s="14">
        <v>-20.946999999999999</v>
      </c>
      <c r="N64" s="14">
        <v>-14.071</v>
      </c>
      <c r="O64" s="14">
        <v>-13.757999999999999</v>
      </c>
      <c r="P64" s="14">
        <v>-22.184999999999999</v>
      </c>
      <c r="Q64" s="14">
        <v>-33.04</v>
      </c>
      <c r="R64" s="14">
        <v>-27.981999999999999</v>
      </c>
      <c r="S64" s="14">
        <v>-27.885000000000002</v>
      </c>
      <c r="T64" s="14">
        <v>-22.268000000000001</v>
      </c>
      <c r="U64" s="14">
        <v>-32.155000000000001</v>
      </c>
      <c r="V64" s="14">
        <v>-29.565999999999999</v>
      </c>
      <c r="W64" s="14">
        <v>-21.811</v>
      </c>
      <c r="Y64" s="14">
        <f>SUM(D64:G64)</f>
        <v>-56.362000000000002</v>
      </c>
      <c r="Z64" s="14">
        <f>SUM(H64:K64)</f>
        <v>-41.723999999999997</v>
      </c>
      <c r="AA64" s="14">
        <f t="shared" si="115"/>
        <v>-67.24499999999999</v>
      </c>
      <c r="AB64" s="14">
        <f t="shared" si="116"/>
        <v>-111.092</v>
      </c>
      <c r="AC64" s="14">
        <f>SUM(T64:W64)</f>
        <v>-105.80000000000001</v>
      </c>
    </row>
    <row r="65" spans="2:29" outlineLevel="2" x14ac:dyDescent="0.25">
      <c r="B65" s="25" t="s">
        <v>90</v>
      </c>
      <c r="C65" s="3" t="s">
        <v>15</v>
      </c>
      <c r="D65" s="14">
        <v>1.1879999999999999</v>
      </c>
      <c r="E65" s="14">
        <v>1.976</v>
      </c>
      <c r="F65" s="14">
        <v>30.858000000000001</v>
      </c>
      <c r="G65" s="14">
        <v>0.49</v>
      </c>
      <c r="H65" s="14">
        <v>3.5419999999999998</v>
      </c>
      <c r="I65" s="14">
        <v>-2.5939999999999999</v>
      </c>
      <c r="J65" s="14">
        <v>14.351000000000001</v>
      </c>
      <c r="K65" s="14">
        <v>29.818999999999999</v>
      </c>
      <c r="L65" s="14">
        <v>-3.2389999999999999</v>
      </c>
      <c r="M65" s="14">
        <v>8.4730000000000008</v>
      </c>
      <c r="N65" s="14">
        <v>16.632000000000001</v>
      </c>
      <c r="O65" s="14">
        <v>11.404</v>
      </c>
      <c r="P65" s="14">
        <v>-3.75</v>
      </c>
      <c r="Q65" s="14">
        <v>-0.02</v>
      </c>
      <c r="R65" s="14">
        <v>-3.8170000000000002</v>
      </c>
      <c r="S65" s="14">
        <v>11.851000000000001</v>
      </c>
      <c r="T65" s="14">
        <v>6.3979999999999997</v>
      </c>
      <c r="U65" s="14">
        <v>6.9489999999999998</v>
      </c>
      <c r="V65" s="14">
        <v>7.218</v>
      </c>
      <c r="W65" s="14">
        <v>11.994</v>
      </c>
      <c r="Y65" s="14">
        <f>SUM(D65:G65)</f>
        <v>34.512</v>
      </c>
      <c r="Z65" s="14">
        <f>SUM(H65:K65)</f>
        <v>45.118000000000002</v>
      </c>
      <c r="AA65" s="14">
        <f t="shared" si="115"/>
        <v>33.270000000000003</v>
      </c>
      <c r="AB65" s="14">
        <f t="shared" si="116"/>
        <v>4.2640000000000011</v>
      </c>
      <c r="AC65" s="14">
        <f>SUM(T65:W65)</f>
        <v>32.558999999999997</v>
      </c>
    </row>
    <row r="66" spans="2:29" outlineLevel="1" x14ac:dyDescent="0.25">
      <c r="B66" s="7" t="s">
        <v>92</v>
      </c>
      <c r="C66" s="3" t="s">
        <v>15</v>
      </c>
      <c r="D66" s="14">
        <f t="shared" ref="D66:I66" si="118">SUM(D63:D65,D53,D51)</f>
        <v>130.19699999999989</v>
      </c>
      <c r="E66" s="14">
        <f t="shared" si="118"/>
        <v>61.704999999999814</v>
      </c>
      <c r="F66" s="14">
        <f t="shared" si="118"/>
        <v>134.69899999999987</v>
      </c>
      <c r="G66" s="14">
        <f t="shared" si="118"/>
        <v>175.31099999999992</v>
      </c>
      <c r="H66" s="14">
        <f t="shared" si="118"/>
        <v>156.88699999999983</v>
      </c>
      <c r="I66" s="14">
        <f t="shared" si="118"/>
        <v>105.94199999999978</v>
      </c>
      <c r="J66" s="14">
        <f t="shared" ref="J66:K66" si="119">SUM(J63:J65,J53,J51)</f>
        <v>160.8209999999998</v>
      </c>
      <c r="K66" s="14">
        <f t="shared" si="119"/>
        <v>193.80899999999997</v>
      </c>
      <c r="L66" s="14">
        <f t="shared" ref="L66:M66" si="120">SUM(L63:L65,L53,L51)</f>
        <v>219.17099999999988</v>
      </c>
      <c r="M66" s="14">
        <f t="shared" si="120"/>
        <v>191.3210000000002</v>
      </c>
      <c r="N66" s="14">
        <f t="shared" ref="N66:O66" si="121">SUM(N63:N65,N53,N51)</f>
        <v>209.5679999999997</v>
      </c>
      <c r="O66" s="14">
        <f t="shared" si="121"/>
        <v>286.66400000000004</v>
      </c>
      <c r="P66" s="14">
        <f t="shared" ref="P66:R66" si="122">SUM(P63:P65,P53,P51)</f>
        <v>313.80200000000008</v>
      </c>
      <c r="Q66" s="14">
        <f t="shared" si="122"/>
        <v>420.03800000000001</v>
      </c>
      <c r="R66" s="14">
        <f t="shared" si="122"/>
        <v>349.47999999999973</v>
      </c>
      <c r="S66" s="14">
        <f t="shared" ref="S66:T66" si="123">SUM(S63:S65,S53,S51)</f>
        <v>297.88400000000013</v>
      </c>
      <c r="T66" s="14">
        <f t="shared" si="123"/>
        <v>47.39899999999966</v>
      </c>
      <c r="U66" s="14">
        <f t="shared" ref="U66:V66" si="124">SUM(U63:U65,U53,U51)</f>
        <v>29.274000000000001</v>
      </c>
      <c r="V66" s="14">
        <f t="shared" si="124"/>
        <v>23.022000000000503</v>
      </c>
      <c r="W66" s="14">
        <f t="shared" ref="W66" si="125">SUM(W63:W65,W53,W51)</f>
        <v>149.40500000000009</v>
      </c>
      <c r="Y66" s="14">
        <f t="shared" ref="Y66:Z66" si="126">SUM(Y63:Y65,Y53,Y51)</f>
        <v>501.91199999999856</v>
      </c>
      <c r="Z66" s="14">
        <f t="shared" si="126"/>
        <v>617.45900000000006</v>
      </c>
      <c r="AA66" s="14">
        <f t="shared" ref="AA66:AB66" si="127">SUM(AA63:AA65,AA53,AA51)</f>
        <v>906.72400000000061</v>
      </c>
      <c r="AB66" s="14">
        <f t="shared" si="127"/>
        <v>1381.2039999999974</v>
      </c>
      <c r="AC66" s="14">
        <f t="shared" ref="AC66" si="128">SUM(AC63:AC65,AC53,AC51)</f>
        <v>249.10000000000173</v>
      </c>
    </row>
    <row r="67" spans="2:29" outlineLevel="2" x14ac:dyDescent="0.25">
      <c r="B67" s="2" t="s">
        <v>18</v>
      </c>
      <c r="C67" s="6" t="s">
        <v>15</v>
      </c>
      <c r="D67" s="19">
        <v>25.297000000000001</v>
      </c>
      <c r="E67" s="19">
        <v>27.553999999999998</v>
      </c>
      <c r="F67" s="19">
        <v>23.616</v>
      </c>
      <c r="G67" s="19">
        <v>25.747</v>
      </c>
      <c r="H67" s="19">
        <v>25.896999999999998</v>
      </c>
      <c r="I67" s="19">
        <v>27.369</v>
      </c>
      <c r="J67" s="19">
        <v>28.091999999999999</v>
      </c>
      <c r="K67" s="19">
        <v>29.777000000000001</v>
      </c>
      <c r="L67" s="19">
        <v>32.936</v>
      </c>
      <c r="M67" s="19">
        <v>39.335000000000001</v>
      </c>
      <c r="N67" s="19">
        <v>42.255000000000003</v>
      </c>
      <c r="O67" s="19">
        <v>50.084000000000003</v>
      </c>
      <c r="P67" s="19">
        <v>47.192</v>
      </c>
      <c r="Q67" s="19">
        <v>33.478999999999999</v>
      </c>
      <c r="R67" s="19">
        <v>27.914000000000001</v>
      </c>
      <c r="S67" s="19">
        <v>38.901000000000003</v>
      </c>
      <c r="T67" s="19">
        <v>42.704999999999998</v>
      </c>
      <c r="U67" s="19">
        <v>61.585999999999999</v>
      </c>
      <c r="V67" s="19">
        <v>65.748000000000005</v>
      </c>
      <c r="W67" s="19">
        <v>51.152999999999999</v>
      </c>
      <c r="Y67" s="19">
        <f>SUM(D67:G67)</f>
        <v>102.214</v>
      </c>
      <c r="Z67" s="19">
        <f>SUM(H67:K67)</f>
        <v>111.13500000000001</v>
      </c>
      <c r="AA67" s="19">
        <f>SUM(L67:O67)</f>
        <v>164.61</v>
      </c>
      <c r="AB67" s="19">
        <f>SUM(P67:S67)</f>
        <v>147.48599999999999</v>
      </c>
      <c r="AC67" s="19">
        <f>SUM(T67:W67)</f>
        <v>221.19199999999998</v>
      </c>
    </row>
    <row r="68" spans="2:29" outlineLevel="2" x14ac:dyDescent="0.25">
      <c r="B68" s="2" t="s">
        <v>19</v>
      </c>
      <c r="C68" s="6" t="s">
        <v>15</v>
      </c>
      <c r="D68" s="19">
        <v>-48.762999999999998</v>
      </c>
      <c r="E68" s="19">
        <v>-39.406999999999996</v>
      </c>
      <c r="F68" s="19">
        <v>-74.896000000000001</v>
      </c>
      <c r="G68" s="19">
        <v>-39.762999999999998</v>
      </c>
      <c r="H68" s="19">
        <v>-59.225000000000001</v>
      </c>
      <c r="I68" s="19">
        <v>-38.585999999999999</v>
      </c>
      <c r="J68" s="19">
        <v>-38.72</v>
      </c>
      <c r="K68" s="19">
        <v>-53.588000000000001</v>
      </c>
      <c r="L68" s="19">
        <v>-68.256</v>
      </c>
      <c r="M68" s="19">
        <v>-75.941000000000003</v>
      </c>
      <c r="N68" s="19">
        <v>-92.864999999999995</v>
      </c>
      <c r="O68" s="19">
        <v>-115.095</v>
      </c>
      <c r="P68" s="19">
        <v>-79.954999999999998</v>
      </c>
      <c r="Q68" s="19">
        <v>-62.710999999999999</v>
      </c>
      <c r="R68" s="19">
        <v>-59.808999999999997</v>
      </c>
      <c r="S68" s="19">
        <v>-81.048000000000002</v>
      </c>
      <c r="T68" s="19">
        <v>-92.644000000000005</v>
      </c>
      <c r="U68" s="19">
        <v>-130.376</v>
      </c>
      <c r="V68" s="19">
        <v>-158.28399999999999</v>
      </c>
      <c r="W68" s="19">
        <v>-187.90600000000001</v>
      </c>
      <c r="Y68" s="19">
        <f>SUM(D68:G68)</f>
        <v>-202.82899999999998</v>
      </c>
      <c r="Z68" s="19">
        <f>SUM(H68:K68)</f>
        <v>-190.119</v>
      </c>
      <c r="AA68" s="19">
        <f>SUM(L68:O68)</f>
        <v>-352.15700000000004</v>
      </c>
      <c r="AB68" s="19">
        <f>SUM(P68:S68)</f>
        <v>-283.52300000000002</v>
      </c>
      <c r="AC68" s="19">
        <f>SUM(T68:W68)</f>
        <v>-569.21</v>
      </c>
    </row>
    <row r="69" spans="2:29" outlineLevel="1" x14ac:dyDescent="0.25">
      <c r="B69" s="5" t="s">
        <v>96</v>
      </c>
      <c r="C69" s="3" t="s">
        <v>15</v>
      </c>
      <c r="D69" s="14">
        <f>SUM(D66:D68)</f>
        <v>106.73099999999988</v>
      </c>
      <c r="E69" s="14">
        <f t="shared" ref="E69:H69" si="129">SUM(E66:E68)</f>
        <v>49.851999999999819</v>
      </c>
      <c r="F69" s="14">
        <f t="shared" si="129"/>
        <v>83.418999999999883</v>
      </c>
      <c r="G69" s="14">
        <f t="shared" si="129"/>
        <v>161.29499999999993</v>
      </c>
      <c r="H69" s="14">
        <f t="shared" si="129"/>
        <v>123.55899999999983</v>
      </c>
      <c r="I69" s="14">
        <f t="shared" ref="I69:J69" si="130">SUM(I66:I68)</f>
        <v>94.724999999999781</v>
      </c>
      <c r="J69" s="14">
        <f t="shared" si="130"/>
        <v>150.19299999999978</v>
      </c>
      <c r="K69" s="14">
        <f t="shared" ref="K69:L69" si="131">SUM(K66:K68)</f>
        <v>169.99799999999996</v>
      </c>
      <c r="L69" s="14">
        <f t="shared" si="131"/>
        <v>183.85099999999989</v>
      </c>
      <c r="M69" s="14">
        <f t="shared" ref="M69:N69" si="132">SUM(M66:M68)</f>
        <v>154.7150000000002</v>
      </c>
      <c r="N69" s="14">
        <f t="shared" si="132"/>
        <v>158.95799999999969</v>
      </c>
      <c r="O69" s="14">
        <f t="shared" ref="O69:P69" si="133">SUM(O66:O68)</f>
        <v>221.65300000000005</v>
      </c>
      <c r="P69" s="14">
        <f t="shared" si="133"/>
        <v>281.0390000000001</v>
      </c>
      <c r="Q69" s="14">
        <f t="shared" ref="Q69:R69" si="134">SUM(Q66:Q68)</f>
        <v>390.80599999999998</v>
      </c>
      <c r="R69" s="14">
        <f t="shared" si="134"/>
        <v>317.5849999999997</v>
      </c>
      <c r="S69" s="14">
        <f t="shared" ref="S69:T69" si="135">SUM(S66:S68)</f>
        <v>255.73700000000014</v>
      </c>
      <c r="T69" s="14">
        <f t="shared" si="135"/>
        <v>-2.5400000000003473</v>
      </c>
      <c r="U69" s="14">
        <f t="shared" ref="U69:V69" si="136">SUM(U66:U68)</f>
        <v>-39.516000000000005</v>
      </c>
      <c r="V69" s="14">
        <f t="shared" si="136"/>
        <v>-69.513999999999484</v>
      </c>
      <c r="W69" s="14">
        <f t="shared" ref="W69" si="137">SUM(W66:W68)</f>
        <v>12.652000000000072</v>
      </c>
      <c r="Y69" s="14">
        <f t="shared" ref="Y69:Z69" si="138">SUM(Y66:Y68)</f>
        <v>401.29699999999866</v>
      </c>
      <c r="Z69" s="14">
        <f t="shared" si="138"/>
        <v>538.47500000000002</v>
      </c>
      <c r="AA69" s="14">
        <f t="shared" ref="AA69:AB69" si="139">SUM(AA66:AA68)</f>
        <v>719.1770000000007</v>
      </c>
      <c r="AB69" s="14">
        <f t="shared" si="139"/>
        <v>1245.1669999999972</v>
      </c>
      <c r="AC69" s="14">
        <f t="shared" ref="AC69" si="140">SUM(AC66:AC68)</f>
        <v>-98.917999999998301</v>
      </c>
    </row>
    <row r="70" spans="2:29" outlineLevel="2" x14ac:dyDescent="0.25">
      <c r="B70" s="2" t="s">
        <v>20</v>
      </c>
      <c r="C70" s="6" t="s">
        <v>15</v>
      </c>
      <c r="D70" s="19">
        <v>-32.834000000000003</v>
      </c>
      <c r="E70" s="19">
        <v>-9.4540000000000006</v>
      </c>
      <c r="F70" s="19">
        <v>-34.247</v>
      </c>
      <c r="G70" s="19">
        <v>-35.354999999999997</v>
      </c>
      <c r="H70" s="19">
        <v>-32.281999999999996</v>
      </c>
      <c r="I70" s="19">
        <v>-33.064999999999998</v>
      </c>
      <c r="J70" s="19">
        <v>-48.073</v>
      </c>
      <c r="K70" s="19">
        <v>-17.899999999999999</v>
      </c>
      <c r="L70" s="19">
        <v>-59.459000000000003</v>
      </c>
      <c r="M70" s="19">
        <v>-52.417999999999999</v>
      </c>
      <c r="N70" s="19">
        <v>-50.265000000000001</v>
      </c>
      <c r="O70" s="19">
        <v>-106.001</v>
      </c>
      <c r="P70" s="19">
        <v>-134.22300000000001</v>
      </c>
      <c r="Q70" s="19">
        <v>-137.50700000000001</v>
      </c>
      <c r="R70" s="19">
        <v>-102.61799999999999</v>
      </c>
      <c r="S70" s="19">
        <v>-75.674000000000007</v>
      </c>
      <c r="T70" s="19">
        <v>-22.172000000000001</v>
      </c>
      <c r="U70" s="19">
        <v>-12.335000000000001</v>
      </c>
      <c r="V70" s="19">
        <v>-15.52</v>
      </c>
      <c r="W70" s="19">
        <v>-15.641</v>
      </c>
      <c r="Y70" s="19">
        <f>SUM(D70:G70)</f>
        <v>-111.88999999999999</v>
      </c>
      <c r="Z70" s="19">
        <f>SUM(H70:K70)</f>
        <v>-131.32</v>
      </c>
      <c r="AA70" s="19">
        <f>SUM(L70:O70)</f>
        <v>-268.14300000000003</v>
      </c>
      <c r="AB70" s="19">
        <f>SUM(P70:S70)</f>
        <v>-450.02200000000005</v>
      </c>
      <c r="AC70" s="19">
        <f>SUM(T70:W70)</f>
        <v>-65.668000000000006</v>
      </c>
    </row>
    <row r="71" spans="2:29" outlineLevel="2" x14ac:dyDescent="0.25">
      <c r="B71" s="2" t="s">
        <v>21</v>
      </c>
      <c r="C71" s="6" t="s">
        <v>15</v>
      </c>
      <c r="D71" s="19">
        <v>-14.525</v>
      </c>
      <c r="E71" s="19">
        <v>-15.148</v>
      </c>
      <c r="F71" s="19">
        <v>-13.35</v>
      </c>
      <c r="G71" s="19">
        <v>-8.2289999999999992</v>
      </c>
      <c r="H71" s="19">
        <v>-31.015000000000001</v>
      </c>
      <c r="I71" s="19">
        <v>-10.387</v>
      </c>
      <c r="J71" s="19">
        <v>-7.968</v>
      </c>
      <c r="K71" s="19">
        <v>-23.712</v>
      </c>
      <c r="L71" s="19">
        <v>-21.55</v>
      </c>
      <c r="M71" s="19">
        <v>-12.651</v>
      </c>
      <c r="N71" s="19">
        <v>-9.0009999999999994</v>
      </c>
      <c r="O71" s="19">
        <v>15.750999999999999</v>
      </c>
      <c r="P71" s="19">
        <v>13.587999999999999</v>
      </c>
      <c r="Q71" s="19">
        <v>-29.908000000000001</v>
      </c>
      <c r="R71" s="19">
        <v>-18.181999999999999</v>
      </c>
      <c r="S71" s="19">
        <v>-24.898</v>
      </c>
      <c r="T71" s="19">
        <v>-3.1880000000000002</v>
      </c>
      <c r="U71" s="19">
        <v>3.871</v>
      </c>
      <c r="V71" s="19">
        <v>-5.6959999999999997</v>
      </c>
      <c r="W71" s="19">
        <v>-1.9079999999999999</v>
      </c>
      <c r="Y71" s="19">
        <f>SUM(D71:G71)</f>
        <v>-51.252000000000002</v>
      </c>
      <c r="Z71" s="19">
        <f>SUM(H71:K71)</f>
        <v>-73.082000000000008</v>
      </c>
      <c r="AA71" s="19">
        <f>SUM(L71:O71)</f>
        <v>-27.451000000000001</v>
      </c>
      <c r="AB71" s="19">
        <f>SUM(P71:S71)</f>
        <v>-59.399999999999991</v>
      </c>
      <c r="AC71" s="19">
        <f>SUM(T71:W71)</f>
        <v>-6.9209999999999994</v>
      </c>
    </row>
    <row r="72" spans="2:29" outlineLevel="1" x14ac:dyDescent="0.25">
      <c r="B72" s="7" t="s">
        <v>22</v>
      </c>
      <c r="C72" s="3" t="s">
        <v>15</v>
      </c>
      <c r="D72" s="14">
        <f>SUM(D69:D71)</f>
        <v>59.371999999999879</v>
      </c>
      <c r="E72" s="14">
        <f t="shared" ref="E72:H72" si="141">SUM(E69:E71)</f>
        <v>25.249999999999819</v>
      </c>
      <c r="F72" s="14">
        <f t="shared" si="141"/>
        <v>35.821999999999882</v>
      </c>
      <c r="G72" s="14">
        <f t="shared" si="141"/>
        <v>117.71099999999994</v>
      </c>
      <c r="H72" s="14">
        <f t="shared" si="141"/>
        <v>60.26199999999983</v>
      </c>
      <c r="I72" s="14">
        <f t="shared" ref="I72:J72" si="142">SUM(I69:I71)</f>
        <v>51.272999999999783</v>
      </c>
      <c r="J72" s="14">
        <f t="shared" si="142"/>
        <v>94.151999999999774</v>
      </c>
      <c r="K72" s="14">
        <f t="shared" ref="K72:L72" si="143">SUM(K69:K71)</f>
        <v>128.38599999999997</v>
      </c>
      <c r="L72" s="14">
        <f t="shared" si="143"/>
        <v>102.84199999999989</v>
      </c>
      <c r="M72" s="14">
        <f t="shared" ref="M72:N72" si="144">SUM(M69:M71)</f>
        <v>89.6460000000002</v>
      </c>
      <c r="N72" s="14">
        <f t="shared" si="144"/>
        <v>99.69199999999968</v>
      </c>
      <c r="O72" s="14">
        <f t="shared" ref="O72:P72" si="145">SUM(O69:O71)</f>
        <v>131.40300000000005</v>
      </c>
      <c r="P72" s="14">
        <f t="shared" si="145"/>
        <v>160.40400000000008</v>
      </c>
      <c r="Q72" s="14">
        <f t="shared" ref="Q72:R72" si="146">SUM(Q69:Q71)</f>
        <v>223.39099999999996</v>
      </c>
      <c r="R72" s="14">
        <f t="shared" si="146"/>
        <v>196.78499999999971</v>
      </c>
      <c r="S72" s="14">
        <f t="shared" ref="S72:T72" si="147">SUM(S69:S71)</f>
        <v>155.16500000000013</v>
      </c>
      <c r="T72" s="14">
        <f t="shared" si="147"/>
        <v>-27.900000000000347</v>
      </c>
      <c r="U72" s="14">
        <f t="shared" ref="U72:V72" si="148">SUM(U69:U71)</f>
        <v>-47.980000000000004</v>
      </c>
      <c r="V72" s="14">
        <f t="shared" si="148"/>
        <v>-90.729999999999478</v>
      </c>
      <c r="W72" s="14">
        <f t="shared" ref="W72" si="149">SUM(W69:W71)</f>
        <v>-4.8969999999999274</v>
      </c>
      <c r="Y72" s="14">
        <f t="shared" ref="Y72:Z72" si="150">SUM(Y69:Y71)</f>
        <v>238.15499999999867</v>
      </c>
      <c r="Z72" s="14">
        <f t="shared" si="150"/>
        <v>334.07300000000004</v>
      </c>
      <c r="AA72" s="14">
        <f t="shared" ref="AA72:AB72" si="151">SUM(AA69:AA71)</f>
        <v>423.58300000000065</v>
      </c>
      <c r="AB72" s="14">
        <f t="shared" si="151"/>
        <v>735.74499999999716</v>
      </c>
      <c r="AC72" s="14">
        <f t="shared" ref="AC72" si="152">SUM(AC69:AC71)</f>
        <v>-171.5069999999983</v>
      </c>
    </row>
    <row r="73" spans="2:29" outlineLevel="1" x14ac:dyDescent="0.25">
      <c r="B73" s="8" t="s">
        <v>24</v>
      </c>
      <c r="C73" s="9" t="s">
        <v>14</v>
      </c>
      <c r="D73" s="10">
        <f t="shared" ref="D73:I73" si="153">D72/D44</f>
        <v>4.8721003896235952E-2</v>
      </c>
      <c r="E73" s="10">
        <f t="shared" si="153"/>
        <v>1.9147616368216491E-2</v>
      </c>
      <c r="F73" s="10">
        <f t="shared" si="153"/>
        <v>2.616472925545699E-2</v>
      </c>
      <c r="G73" s="10">
        <f t="shared" si="153"/>
        <v>8.4168624697357308E-2</v>
      </c>
      <c r="H73" s="10">
        <f t="shared" si="153"/>
        <v>4.1891025774707887E-2</v>
      </c>
      <c r="I73" s="10">
        <f t="shared" si="153"/>
        <v>3.3883038655595325E-2</v>
      </c>
      <c r="J73" s="10">
        <f t="shared" ref="J73:K73" si="154">J72/J44</f>
        <v>6.0426319001828335E-2</v>
      </c>
      <c r="K73" s="10">
        <f t="shared" si="154"/>
        <v>7.899165144393902E-2</v>
      </c>
      <c r="L73" s="10">
        <f t="shared" ref="L73:M73" si="155">L72/L44</f>
        <v>5.4117313993768471E-2</v>
      </c>
      <c r="M73" s="10">
        <f t="shared" si="155"/>
        <v>4.4032073873055341E-2</v>
      </c>
      <c r="N73" s="10">
        <f t="shared" ref="N73:O73" si="156">N72/N44</f>
        <v>4.5843538209539576E-2</v>
      </c>
      <c r="O73" s="10">
        <f t="shared" si="156"/>
        <v>5.7093337655064198E-2</v>
      </c>
      <c r="P73" s="10">
        <f t="shared" ref="P73:R73" si="157">P72/P44</f>
        <v>6.2671374977241207E-2</v>
      </c>
      <c r="Q73" s="10">
        <f t="shared" si="157"/>
        <v>8.5785064809886638E-2</v>
      </c>
      <c r="R73" s="10">
        <f t="shared" si="157"/>
        <v>7.292084705798639E-2</v>
      </c>
      <c r="S73" s="10">
        <f t="shared" ref="S73:T73" si="158">S72/S44</f>
        <v>5.5196605781370055E-2</v>
      </c>
      <c r="T73" s="10">
        <f t="shared" si="158"/>
        <v>-9.6092480229576123E-3</v>
      </c>
      <c r="U73" s="10">
        <f t="shared" ref="U73:V73" si="159">U72/U44</f>
        <v>-1.5011045539032004E-2</v>
      </c>
      <c r="V73" s="10">
        <f t="shared" si="159"/>
        <v>-2.8171253150364402E-2</v>
      </c>
      <c r="W73" s="10">
        <f t="shared" ref="W73" si="160">W72/W44</f>
        <v>-1.5003357908978385E-3</v>
      </c>
      <c r="Y73" s="10">
        <f t="shared" ref="Y73:Z73" si="161">Y72/Y44</f>
        <v>4.4893205801478875E-2</v>
      </c>
      <c r="Z73" s="10">
        <f t="shared" si="161"/>
        <v>5.4451700730389824E-2</v>
      </c>
      <c r="AA73" s="10">
        <f t="shared" ref="AA73:AB73" si="162">AA72/AA44</f>
        <v>5.0351984721672349E-2</v>
      </c>
      <c r="AB73" s="10">
        <f t="shared" si="162"/>
        <v>6.8933432571916795E-2</v>
      </c>
      <c r="AC73" s="10">
        <f t="shared" ref="AC73" si="163">AC72/AC44</f>
        <v>-1.3628582333262555E-2</v>
      </c>
    </row>
    <row r="75" spans="2:29" ht="15.75" x14ac:dyDescent="0.25">
      <c r="B75" s="33" t="s">
        <v>9</v>
      </c>
    </row>
    <row r="76" spans="2:29" outlineLevel="1" x14ac:dyDescent="0.25">
      <c r="B76" s="32" t="s">
        <v>6</v>
      </c>
      <c r="C76" s="17" t="s">
        <v>0</v>
      </c>
      <c r="D76" s="17" t="s">
        <v>1</v>
      </c>
      <c r="E76" s="17" t="s">
        <v>2</v>
      </c>
      <c r="F76" s="17" t="s">
        <v>3</v>
      </c>
      <c r="G76" s="17" t="s">
        <v>4</v>
      </c>
      <c r="H76" s="17" t="s">
        <v>5</v>
      </c>
      <c r="I76" s="17" t="s">
        <v>375</v>
      </c>
      <c r="J76" s="17" t="s">
        <v>383</v>
      </c>
      <c r="K76" s="17" t="s">
        <v>385</v>
      </c>
      <c r="L76" s="17" t="s">
        <v>399</v>
      </c>
      <c r="M76" s="17" t="s">
        <v>412</v>
      </c>
      <c r="N76" s="17" t="s">
        <v>422</v>
      </c>
      <c r="O76" s="17" t="s">
        <v>424</v>
      </c>
      <c r="P76" s="17" t="s">
        <v>427</v>
      </c>
      <c r="Q76" s="17" t="s">
        <v>431</v>
      </c>
      <c r="R76" s="17" t="s">
        <v>554</v>
      </c>
      <c r="S76" s="17" t="s">
        <v>571</v>
      </c>
      <c r="T76" s="17" t="s">
        <v>574</v>
      </c>
      <c r="U76" s="17" t="s">
        <v>589</v>
      </c>
      <c r="V76" s="17" t="s">
        <v>593</v>
      </c>
      <c r="W76" s="17" t="s">
        <v>600</v>
      </c>
      <c r="Y76" s="17">
        <v>2017</v>
      </c>
      <c r="Z76" s="17">
        <v>2018</v>
      </c>
      <c r="AA76" s="17">
        <v>2019</v>
      </c>
      <c r="AB76" s="17">
        <v>2020</v>
      </c>
      <c r="AC76" s="17">
        <v>2021</v>
      </c>
    </row>
    <row r="77" spans="2:29" outlineLevel="1" x14ac:dyDescent="0.25">
      <c r="B77" s="3" t="s">
        <v>25</v>
      </c>
      <c r="C77" s="3" t="s">
        <v>15</v>
      </c>
      <c r="D77" s="12">
        <f t="shared" ref="D77:I77" si="164">SUM(D78,D86)</f>
        <v>3572.4840000000004</v>
      </c>
      <c r="E77" s="12">
        <f t="shared" si="164"/>
        <v>3901.2069999999994</v>
      </c>
      <c r="F77" s="12">
        <f t="shared" si="164"/>
        <v>4243.7749999999996</v>
      </c>
      <c r="G77" s="12">
        <f t="shared" si="164"/>
        <v>4821.7919999999995</v>
      </c>
      <c r="H77" s="12">
        <f t="shared" si="164"/>
        <v>4731.7950000000001</v>
      </c>
      <c r="I77" s="12">
        <f t="shared" si="164"/>
        <v>5070.3580000000002</v>
      </c>
      <c r="J77" s="12">
        <f t="shared" ref="J77:K77" si="165">SUM(J78,J86)</f>
        <v>5164.674</v>
      </c>
      <c r="K77" s="12">
        <f t="shared" si="165"/>
        <v>5755.866</v>
      </c>
      <c r="L77" s="12">
        <f t="shared" ref="L77:M77" si="166">SUM(L78,L86)</f>
        <v>8148.7620000000006</v>
      </c>
      <c r="M77" s="12">
        <f t="shared" si="166"/>
        <v>8608.4979999999996</v>
      </c>
      <c r="N77" s="12">
        <f t="shared" ref="N77:O77" si="167">SUM(N78,N86)</f>
        <v>9587.6899999999987</v>
      </c>
      <c r="O77" s="12">
        <f t="shared" si="167"/>
        <v>13148.039999999999</v>
      </c>
      <c r="P77" s="12">
        <f t="shared" ref="P77:R77" si="168">SUM(P78,P86)</f>
        <v>13344.385999999999</v>
      </c>
      <c r="Q77" s="12">
        <f t="shared" si="168"/>
        <v>14304.751</v>
      </c>
      <c r="R77" s="12">
        <f t="shared" si="168"/>
        <v>15860.916000000001</v>
      </c>
      <c r="S77" s="12">
        <f t="shared" ref="S77:T77" si="169">SUM(S78,S86)</f>
        <v>16353.539000000001</v>
      </c>
      <c r="T77" s="12">
        <f t="shared" si="169"/>
        <v>16589.251</v>
      </c>
      <c r="U77" s="12">
        <f t="shared" ref="U77:V77" si="170">SUM(U78,U86)</f>
        <v>17460.101999999999</v>
      </c>
      <c r="V77" s="12">
        <f t="shared" si="170"/>
        <v>17466.021000000001</v>
      </c>
      <c r="W77" s="12">
        <f t="shared" ref="W77" si="171">SUM(W78,W86)</f>
        <v>19013.27</v>
      </c>
      <c r="Y77" s="12">
        <f t="shared" ref="Y77:Z77" si="172">SUM(Y78,Y86)</f>
        <v>4821.7919999999995</v>
      </c>
      <c r="Z77" s="12">
        <f t="shared" si="172"/>
        <v>5755.866</v>
      </c>
      <c r="AA77" s="12">
        <f t="shared" ref="AA77:AB77" si="173">SUM(AA78,AA86)</f>
        <v>13148.039999999999</v>
      </c>
      <c r="AB77" s="12">
        <f t="shared" si="173"/>
        <v>16353.539000000001</v>
      </c>
      <c r="AC77" s="12">
        <f t="shared" ref="AC77" si="174">SUM(AC78,AC86)</f>
        <v>16636.421000000002</v>
      </c>
    </row>
    <row r="78" spans="2:29" outlineLevel="1" x14ac:dyDescent="0.25">
      <c r="B78" s="5" t="s">
        <v>117</v>
      </c>
      <c r="C78" s="3" t="s">
        <v>15</v>
      </c>
      <c r="D78" s="14">
        <f t="shared" ref="D78:I78" si="175">SUM(D79:D85)</f>
        <v>1124.8310000000001</v>
      </c>
      <c r="E78" s="14">
        <f t="shared" si="175"/>
        <v>1224.088</v>
      </c>
      <c r="F78" s="14">
        <f t="shared" si="175"/>
        <v>1306.3440000000001</v>
      </c>
      <c r="G78" s="14">
        <f t="shared" si="175"/>
        <v>1873.761</v>
      </c>
      <c r="H78" s="14">
        <f t="shared" si="175"/>
        <v>1617.5299999999997</v>
      </c>
      <c r="I78" s="14">
        <f t="shared" si="175"/>
        <v>1907.9980000000003</v>
      </c>
      <c r="J78" s="14">
        <f t="shared" ref="J78:K78" si="176">SUM(J79:J85)</f>
        <v>1979.8720000000001</v>
      </c>
      <c r="K78" s="14">
        <f t="shared" si="176"/>
        <v>2296.2430000000004</v>
      </c>
      <c r="L78" s="14">
        <f t="shared" ref="L78:M78" si="177">SUM(L79:L85)</f>
        <v>2451.0930000000003</v>
      </c>
      <c r="M78" s="14">
        <f t="shared" si="177"/>
        <v>2263.64</v>
      </c>
      <c r="N78" s="14">
        <f t="shared" ref="N78:O78" si="178">SUM(N79:N85)</f>
        <v>3011.1629999999996</v>
      </c>
      <c r="O78" s="14">
        <f t="shared" si="178"/>
        <v>5973.3809999999994</v>
      </c>
      <c r="P78" s="14">
        <f t="shared" ref="P78:R78" si="179">SUM(P79:P85)</f>
        <v>2816.4769999999999</v>
      </c>
      <c r="Q78" s="14">
        <f t="shared" si="179"/>
        <v>3593.3069999999998</v>
      </c>
      <c r="R78" s="14">
        <f t="shared" si="179"/>
        <v>4832.0540000000001</v>
      </c>
      <c r="S78" s="14">
        <f t="shared" ref="S78:T78" si="180">SUM(S79:S85)</f>
        <v>5118.9640000000009</v>
      </c>
      <c r="T78" s="14">
        <f t="shared" si="180"/>
        <v>4686.7979999999998</v>
      </c>
      <c r="U78" s="14">
        <f t="shared" ref="U78:V78" si="181">SUM(U79:U85)</f>
        <v>4091.5169999999998</v>
      </c>
      <c r="V78" s="14">
        <f t="shared" si="181"/>
        <v>3660.2840000000001</v>
      </c>
      <c r="W78" s="14">
        <f t="shared" ref="W78" si="182">SUM(W79:W85)</f>
        <v>4733.9679999999998</v>
      </c>
      <c r="Y78" s="14">
        <f t="shared" ref="Y78:Z78" si="183">SUM(Y79:Y85)</f>
        <v>1873.761</v>
      </c>
      <c r="Z78" s="14">
        <f t="shared" si="183"/>
        <v>2296.2430000000004</v>
      </c>
      <c r="AA78" s="14">
        <f t="shared" ref="AA78:AB78" si="184">SUM(AA79:AA85)</f>
        <v>5973.3809999999994</v>
      </c>
      <c r="AB78" s="14">
        <f t="shared" si="184"/>
        <v>5118.9640000000009</v>
      </c>
      <c r="AC78" s="14">
        <f t="shared" ref="AC78" si="185">SUM(AC79:AC85)</f>
        <v>4733.9679999999998</v>
      </c>
    </row>
    <row r="79" spans="2:29" outlineLevel="2" x14ac:dyDescent="0.25">
      <c r="B79" s="2" t="s">
        <v>26</v>
      </c>
      <c r="C79" s="6" t="s">
        <v>15</v>
      </c>
      <c r="D79" s="19">
        <v>25.116</v>
      </c>
      <c r="E79" s="19">
        <v>37.863999999999997</v>
      </c>
      <c r="F79" s="19">
        <v>23.271999999999998</v>
      </c>
      <c r="G79" s="19">
        <v>27.821999999999999</v>
      </c>
      <c r="H79" s="19">
        <v>35.569000000000003</v>
      </c>
      <c r="I79" s="19">
        <v>63.26</v>
      </c>
      <c r="J79" s="19">
        <v>34.478999999999999</v>
      </c>
      <c r="K79" s="19">
        <v>136.834</v>
      </c>
      <c r="L79" s="19">
        <v>191.18299999999999</v>
      </c>
      <c r="M79" s="19">
        <v>63.713999999999999</v>
      </c>
      <c r="N79" s="19">
        <v>271.01400000000001</v>
      </c>
      <c r="O79" s="19">
        <v>3514.4389999999999</v>
      </c>
      <c r="P79" s="19">
        <v>231.34</v>
      </c>
      <c r="Q79" s="19">
        <v>322.01400000000001</v>
      </c>
      <c r="R79" s="19">
        <v>1390.854</v>
      </c>
      <c r="S79" s="19">
        <v>2563.7510000000002</v>
      </c>
      <c r="T79" s="19">
        <v>2007.3009999999999</v>
      </c>
      <c r="U79" s="19">
        <v>479.84399999999999</v>
      </c>
      <c r="V79" s="19">
        <v>500.67399999999998</v>
      </c>
      <c r="W79" s="19">
        <v>1667.835</v>
      </c>
      <c r="Y79" s="19">
        <f t="shared" ref="Y79:Y85" si="186">G79</f>
        <v>27.821999999999999</v>
      </c>
      <c r="Z79" s="19">
        <f t="shared" ref="Z79:Z85" si="187">K79</f>
        <v>136.834</v>
      </c>
      <c r="AA79" s="19">
        <f t="shared" ref="AA79:AA85" si="188">O79</f>
        <v>3514.4389999999999</v>
      </c>
      <c r="AB79" s="19">
        <f t="shared" ref="AB79:AB95" si="189">S79</f>
        <v>2563.7510000000002</v>
      </c>
      <c r="AC79" s="19">
        <f>W79</f>
        <v>1667.835</v>
      </c>
    </row>
    <row r="80" spans="2:29" outlineLevel="2" x14ac:dyDescent="0.25">
      <c r="B80" s="2" t="s">
        <v>69</v>
      </c>
      <c r="C80" s="6" t="s">
        <v>15</v>
      </c>
      <c r="D80" s="19">
        <v>642.976</v>
      </c>
      <c r="E80" s="19">
        <v>612.56899999999996</v>
      </c>
      <c r="F80" s="19">
        <v>665.995</v>
      </c>
      <c r="G80" s="19">
        <v>1230.2329999999999</v>
      </c>
      <c r="H80" s="19">
        <v>897.39099999999996</v>
      </c>
      <c r="I80" s="19">
        <v>1076.28</v>
      </c>
      <c r="J80" s="19">
        <v>1171.4069999999999</v>
      </c>
      <c r="K80" s="19">
        <v>1234.0640000000001</v>
      </c>
      <c r="L80" s="19">
        <v>1294.5029999999999</v>
      </c>
      <c r="M80" s="19">
        <v>1065.5450000000001</v>
      </c>
      <c r="N80" s="19">
        <v>1531.2729999999999</v>
      </c>
      <c r="O80" s="19">
        <v>1285.126</v>
      </c>
      <c r="P80" s="19">
        <v>1177.1990000000001</v>
      </c>
      <c r="Q80" s="19">
        <v>1665.298</v>
      </c>
      <c r="R80" s="19">
        <v>1629.462</v>
      </c>
      <c r="S80" s="19">
        <v>1001.019</v>
      </c>
      <c r="T80" s="19">
        <v>1028.624</v>
      </c>
      <c r="U80" s="19">
        <v>1721.6690000000001</v>
      </c>
      <c r="V80" s="19">
        <v>1332.3150000000001</v>
      </c>
      <c r="W80" s="19">
        <v>1223.1659999999999</v>
      </c>
      <c r="Y80" s="19">
        <f t="shared" si="186"/>
        <v>1230.2329999999999</v>
      </c>
      <c r="Z80" s="19">
        <f t="shared" si="187"/>
        <v>1234.0640000000001</v>
      </c>
      <c r="AA80" s="19">
        <f t="shared" si="188"/>
        <v>1285.126</v>
      </c>
      <c r="AB80" s="19">
        <f t="shared" si="189"/>
        <v>1001.019</v>
      </c>
      <c r="AC80" s="19">
        <f t="shared" ref="AC80:AC95" si="190">W80</f>
        <v>1223.1659999999999</v>
      </c>
    </row>
    <row r="81" spans="2:29" outlineLevel="2" x14ac:dyDescent="0.25">
      <c r="B81" s="2" t="s">
        <v>27</v>
      </c>
      <c r="C81" s="6" t="s">
        <v>15</v>
      </c>
      <c r="D81" s="19">
        <v>185.858</v>
      </c>
      <c r="E81" s="19">
        <v>234.58</v>
      </c>
      <c r="F81" s="19">
        <v>247.761</v>
      </c>
      <c r="G81" s="19">
        <v>266.411</v>
      </c>
      <c r="H81" s="19">
        <v>268.11900000000003</v>
      </c>
      <c r="I81" s="19">
        <v>304.83999999999997</v>
      </c>
      <c r="J81" s="19">
        <v>312.16699999999997</v>
      </c>
      <c r="K81" s="19">
        <v>332.322</v>
      </c>
      <c r="L81" s="19">
        <v>377.05</v>
      </c>
      <c r="M81" s="19">
        <v>458.06400000000002</v>
      </c>
      <c r="N81" s="19">
        <v>447.31200000000001</v>
      </c>
      <c r="O81" s="19">
        <v>492.76900000000001</v>
      </c>
      <c r="P81" s="19">
        <v>567.35799999999995</v>
      </c>
      <c r="Q81" s="19">
        <v>515.79999999999995</v>
      </c>
      <c r="R81" s="19">
        <v>589.27700000000004</v>
      </c>
      <c r="S81" s="19">
        <v>637.76300000000003</v>
      </c>
      <c r="T81" s="19">
        <v>621.58699999999999</v>
      </c>
      <c r="U81" s="19">
        <v>702.15300000000002</v>
      </c>
      <c r="V81" s="19">
        <v>655.55399999999997</v>
      </c>
      <c r="W81" s="19">
        <v>662.21600000000001</v>
      </c>
      <c r="Y81" s="19">
        <f t="shared" si="186"/>
        <v>266.411</v>
      </c>
      <c r="Z81" s="19">
        <f t="shared" si="187"/>
        <v>332.322</v>
      </c>
      <c r="AA81" s="19">
        <f t="shared" si="188"/>
        <v>492.76900000000001</v>
      </c>
      <c r="AB81" s="19">
        <f t="shared" si="189"/>
        <v>637.76300000000003</v>
      </c>
      <c r="AC81" s="19">
        <f t="shared" si="190"/>
        <v>662.21600000000001</v>
      </c>
    </row>
    <row r="82" spans="2:29" outlineLevel="2" x14ac:dyDescent="0.25">
      <c r="B82" s="2" t="s">
        <v>28</v>
      </c>
      <c r="C82" s="6" t="s">
        <v>15</v>
      </c>
      <c r="D82" s="19">
        <v>24.010999999999999</v>
      </c>
      <c r="E82" s="19">
        <v>29.091999999999999</v>
      </c>
      <c r="F82" s="19">
        <v>28.698</v>
      </c>
      <c r="G82" s="19">
        <v>28.762</v>
      </c>
      <c r="H82" s="19">
        <v>25.831</v>
      </c>
      <c r="I82" s="19">
        <v>28.611000000000001</v>
      </c>
      <c r="J82" s="19">
        <v>29.638000000000002</v>
      </c>
      <c r="K82" s="19">
        <v>37.695999999999998</v>
      </c>
      <c r="L82" s="19">
        <v>40.832000000000001</v>
      </c>
      <c r="M82" s="19">
        <v>55.165999999999997</v>
      </c>
      <c r="N82" s="19">
        <v>50.469000000000001</v>
      </c>
      <c r="O82" s="19">
        <v>50.771000000000001</v>
      </c>
      <c r="P82" s="19">
        <v>77.963999999999999</v>
      </c>
      <c r="Q82" s="19">
        <v>114.10599999999999</v>
      </c>
      <c r="R82" s="19">
        <v>90.084000000000003</v>
      </c>
      <c r="S82" s="19">
        <v>100.52</v>
      </c>
      <c r="T82" s="19">
        <v>124.813</v>
      </c>
      <c r="U82" s="19">
        <v>185.726</v>
      </c>
      <c r="V82" s="19">
        <v>166.02600000000001</v>
      </c>
      <c r="W82" s="19">
        <v>145.477</v>
      </c>
      <c r="Y82" s="19">
        <f t="shared" si="186"/>
        <v>28.762</v>
      </c>
      <c r="Z82" s="19">
        <f t="shared" si="187"/>
        <v>37.695999999999998</v>
      </c>
      <c r="AA82" s="19">
        <f t="shared" si="188"/>
        <v>50.771000000000001</v>
      </c>
      <c r="AB82" s="19">
        <f t="shared" si="189"/>
        <v>100.52</v>
      </c>
      <c r="AC82" s="19">
        <f t="shared" si="190"/>
        <v>145.477</v>
      </c>
    </row>
    <row r="83" spans="2:29" outlineLevel="2" x14ac:dyDescent="0.25">
      <c r="B83" s="2" t="s">
        <v>107</v>
      </c>
      <c r="C83" s="6" t="s">
        <v>15</v>
      </c>
      <c r="D83" s="19">
        <v>56.389000000000003</v>
      </c>
      <c r="E83" s="19">
        <v>73.616</v>
      </c>
      <c r="F83" s="19">
        <v>90.942999999999998</v>
      </c>
      <c r="G83" s="19">
        <v>105.96</v>
      </c>
      <c r="H83" s="19">
        <v>117.956</v>
      </c>
      <c r="I83" s="19">
        <v>126.544</v>
      </c>
      <c r="J83" s="19">
        <v>135.76400000000001</v>
      </c>
      <c r="K83" s="19">
        <v>143.583</v>
      </c>
      <c r="L83" s="19">
        <v>150.935</v>
      </c>
      <c r="M83" s="19">
        <v>155.88999999999999</v>
      </c>
      <c r="N83" s="19">
        <v>172.786</v>
      </c>
      <c r="O83" s="19">
        <v>186.08500000000001</v>
      </c>
      <c r="P83" s="19">
        <v>193.55199999999999</v>
      </c>
      <c r="Q83" s="19">
        <v>214.96299999999999</v>
      </c>
      <c r="R83" s="19">
        <v>233.42500000000001</v>
      </c>
      <c r="S83" s="19">
        <v>244.00899999999999</v>
      </c>
      <c r="T83" s="19">
        <v>245.31899999999999</v>
      </c>
      <c r="U83" s="19">
        <v>256.01499999999999</v>
      </c>
      <c r="V83" s="19">
        <v>260.41399999999999</v>
      </c>
      <c r="W83" s="19">
        <v>266.58100000000002</v>
      </c>
      <c r="Y83" s="19">
        <f t="shared" si="186"/>
        <v>105.96</v>
      </c>
      <c r="Z83" s="19">
        <f t="shared" si="187"/>
        <v>143.583</v>
      </c>
      <c r="AA83" s="19">
        <f t="shared" si="188"/>
        <v>186.08500000000001</v>
      </c>
      <c r="AB83" s="19">
        <f t="shared" si="189"/>
        <v>244.00899999999999</v>
      </c>
      <c r="AC83" s="19">
        <f t="shared" si="190"/>
        <v>266.58100000000002</v>
      </c>
    </row>
    <row r="84" spans="2:29" outlineLevel="2" x14ac:dyDescent="0.25">
      <c r="B84" s="2" t="s">
        <v>108</v>
      </c>
      <c r="C84" s="6" t="s">
        <v>15</v>
      </c>
      <c r="D84" s="19">
        <v>60.915999999999997</v>
      </c>
      <c r="E84" s="19">
        <v>70.757999999999996</v>
      </c>
      <c r="F84" s="19">
        <v>88.454999999999998</v>
      </c>
      <c r="G84" s="19">
        <v>39.305999999999997</v>
      </c>
      <c r="H84" s="19">
        <v>74.272999999999996</v>
      </c>
      <c r="I84" s="19">
        <v>104.553</v>
      </c>
      <c r="J84" s="19">
        <v>77.543999999999997</v>
      </c>
      <c r="K84" s="19">
        <v>61.841000000000001</v>
      </c>
      <c r="L84" s="19">
        <v>96.19</v>
      </c>
      <c r="M84" s="19">
        <v>142.989</v>
      </c>
      <c r="N84" s="19">
        <v>219.97300000000001</v>
      </c>
      <c r="O84" s="19">
        <v>121.029</v>
      </c>
      <c r="P84" s="19">
        <v>181.49700000000001</v>
      </c>
      <c r="Q84" s="19">
        <v>353.709</v>
      </c>
      <c r="R84" s="19">
        <v>439.94299999999998</v>
      </c>
      <c r="S84" s="19">
        <v>113.63</v>
      </c>
      <c r="T84" s="19">
        <v>125.56100000000001</v>
      </c>
      <c r="U84" s="19">
        <v>163.61500000000001</v>
      </c>
      <c r="V84" s="19">
        <v>181.1</v>
      </c>
      <c r="W84" s="19">
        <v>147.10300000000001</v>
      </c>
      <c r="Y84" s="19">
        <f t="shared" si="186"/>
        <v>39.305999999999997</v>
      </c>
      <c r="Z84" s="19">
        <f t="shared" si="187"/>
        <v>61.841000000000001</v>
      </c>
      <c r="AA84" s="19">
        <f t="shared" si="188"/>
        <v>121.029</v>
      </c>
      <c r="AB84" s="19">
        <f t="shared" si="189"/>
        <v>113.63</v>
      </c>
      <c r="AC84" s="19">
        <f t="shared" si="190"/>
        <v>147.10300000000001</v>
      </c>
    </row>
    <row r="85" spans="2:29" outlineLevel="2" x14ac:dyDescent="0.25">
      <c r="B85" s="2" t="s">
        <v>29</v>
      </c>
      <c r="C85" s="6" t="s">
        <v>15</v>
      </c>
      <c r="D85" s="19">
        <v>129.565</v>
      </c>
      <c r="E85" s="19">
        <v>165.60900000000001</v>
      </c>
      <c r="F85" s="19">
        <v>161.22</v>
      </c>
      <c r="G85" s="19">
        <v>175.267</v>
      </c>
      <c r="H85" s="19">
        <v>198.39099999999999</v>
      </c>
      <c r="I85" s="19">
        <v>203.91</v>
      </c>
      <c r="J85" s="19">
        <v>218.87299999999999</v>
      </c>
      <c r="K85" s="19">
        <v>349.90300000000002</v>
      </c>
      <c r="L85" s="19">
        <v>300.39999999999998</v>
      </c>
      <c r="M85" s="19">
        <v>322.27199999999999</v>
      </c>
      <c r="N85" s="19">
        <v>318.33600000000001</v>
      </c>
      <c r="O85" s="19">
        <v>323.16199999999998</v>
      </c>
      <c r="P85" s="19">
        <v>387.56700000000001</v>
      </c>
      <c r="Q85" s="19">
        <v>407.41699999999997</v>
      </c>
      <c r="R85" s="19">
        <v>459.00900000000001</v>
      </c>
      <c r="S85" s="19">
        <v>458.27199999999999</v>
      </c>
      <c r="T85" s="19">
        <v>533.59299999999996</v>
      </c>
      <c r="U85" s="19">
        <v>582.495</v>
      </c>
      <c r="V85" s="19">
        <v>564.20100000000002</v>
      </c>
      <c r="W85" s="19">
        <v>621.59</v>
      </c>
      <c r="Y85" s="19">
        <f t="shared" si="186"/>
        <v>175.267</v>
      </c>
      <c r="Z85" s="19">
        <f t="shared" si="187"/>
        <v>349.90300000000002</v>
      </c>
      <c r="AA85" s="19">
        <f t="shared" si="188"/>
        <v>323.16199999999998</v>
      </c>
      <c r="AB85" s="19">
        <f t="shared" si="189"/>
        <v>458.27199999999999</v>
      </c>
      <c r="AC85" s="19">
        <f t="shared" si="190"/>
        <v>621.59</v>
      </c>
    </row>
    <row r="86" spans="2:29" outlineLevel="1" x14ac:dyDescent="0.25">
      <c r="B86" s="5" t="s">
        <v>118</v>
      </c>
      <c r="C86" s="3" t="s">
        <v>15</v>
      </c>
      <c r="D86" s="14">
        <f t="shared" ref="D86:I86" si="191">SUM(D87:D95)</f>
        <v>2447.6530000000002</v>
      </c>
      <c r="E86" s="14">
        <f t="shared" si="191"/>
        <v>2677.1189999999997</v>
      </c>
      <c r="F86" s="14">
        <f t="shared" si="191"/>
        <v>2937.4309999999996</v>
      </c>
      <c r="G86" s="14">
        <f t="shared" si="191"/>
        <v>2948.0309999999999</v>
      </c>
      <c r="H86" s="14">
        <f t="shared" si="191"/>
        <v>3114.2650000000003</v>
      </c>
      <c r="I86" s="14">
        <f t="shared" si="191"/>
        <v>3162.3599999999997</v>
      </c>
      <c r="J86" s="14">
        <f t="shared" ref="J86:K86" si="192">SUM(J87:J95)</f>
        <v>3184.8020000000001</v>
      </c>
      <c r="K86" s="14">
        <f t="shared" si="192"/>
        <v>3459.623</v>
      </c>
      <c r="L86" s="14">
        <f t="shared" ref="L86:M86" si="193">SUM(L87:L95)</f>
        <v>5697.6689999999999</v>
      </c>
      <c r="M86" s="14">
        <f t="shared" si="193"/>
        <v>6344.8580000000002</v>
      </c>
      <c r="N86" s="14">
        <f t="shared" ref="N86:O86" si="194">SUM(N87:N95)</f>
        <v>6576.527</v>
      </c>
      <c r="O86" s="14">
        <f t="shared" si="194"/>
        <v>7174.6589999999997</v>
      </c>
      <c r="P86" s="14">
        <f t="shared" ref="P86:R86" si="195">SUM(P87:P95)</f>
        <v>10527.909</v>
      </c>
      <c r="Q86" s="14">
        <f t="shared" si="195"/>
        <v>10711.444</v>
      </c>
      <c r="R86" s="14">
        <f t="shared" si="195"/>
        <v>11028.862000000001</v>
      </c>
      <c r="S86" s="14">
        <f t="shared" ref="S86:T86" si="196">SUM(S87:S95)</f>
        <v>11234.575000000001</v>
      </c>
      <c r="T86" s="14">
        <f t="shared" si="196"/>
        <v>11902.453000000001</v>
      </c>
      <c r="U86" s="14">
        <f t="shared" ref="U86:V86" si="197">SUM(U87:U95)</f>
        <v>13368.584999999999</v>
      </c>
      <c r="V86" s="14">
        <f t="shared" si="197"/>
        <v>13805.737000000001</v>
      </c>
      <c r="W86" s="14">
        <f t="shared" ref="W86" si="198">SUM(W87:W95)</f>
        <v>14279.302</v>
      </c>
      <c r="Y86" s="14">
        <f t="shared" ref="Y86:Z86" si="199">SUM(Y87:Y95)</f>
        <v>2948.0309999999999</v>
      </c>
      <c r="Z86" s="14">
        <f t="shared" si="199"/>
        <v>3459.623</v>
      </c>
      <c r="AA86" s="14">
        <f t="shared" ref="AA86" si="200">SUM(AA87:AA95)</f>
        <v>7174.6589999999997</v>
      </c>
      <c r="AB86" s="14">
        <f t="shared" si="189"/>
        <v>11234.575000000001</v>
      </c>
      <c r="AC86" s="14">
        <f>T86</f>
        <v>11902.453000000001</v>
      </c>
    </row>
    <row r="87" spans="2:29" outlineLevel="2" x14ac:dyDescent="0.25">
      <c r="B87" s="2" t="s">
        <v>69</v>
      </c>
      <c r="C87" s="6" t="s">
        <v>15</v>
      </c>
      <c r="D87" s="19">
        <v>25.507000000000001</v>
      </c>
      <c r="E87" s="19">
        <v>26.143999999999998</v>
      </c>
      <c r="F87" s="19">
        <v>48.869</v>
      </c>
      <c r="G87" s="19">
        <v>49.271000000000001</v>
      </c>
      <c r="H87" s="19">
        <v>50.036000000000001</v>
      </c>
      <c r="I87" s="19">
        <v>50.798000000000002</v>
      </c>
      <c r="J87" s="19">
        <v>51.585000000000001</v>
      </c>
      <c r="K87" s="19">
        <v>28.478000000000002</v>
      </c>
      <c r="L87" s="19">
        <v>28.916</v>
      </c>
      <c r="M87" s="19">
        <v>29.128</v>
      </c>
      <c r="N87" s="19">
        <v>29.577999999999999</v>
      </c>
      <c r="O87" s="19">
        <v>0</v>
      </c>
      <c r="P87" s="19">
        <v>150.06299999999999</v>
      </c>
      <c r="Q87" s="19">
        <v>151.1</v>
      </c>
      <c r="R87" s="19">
        <v>151.85599999999999</v>
      </c>
      <c r="S87" s="19">
        <v>152.64699999999999</v>
      </c>
      <c r="T87" s="19">
        <v>159.197</v>
      </c>
      <c r="U87" s="19">
        <v>256.29199999999997</v>
      </c>
      <c r="V87" s="19">
        <v>244.84399999999999</v>
      </c>
      <c r="W87" s="19">
        <v>242.69</v>
      </c>
      <c r="Y87" s="19">
        <f t="shared" ref="Y87:Y93" si="201">G87</f>
        <v>49.271000000000001</v>
      </c>
      <c r="Z87" s="19">
        <f t="shared" ref="Z87:Z93" si="202">K87</f>
        <v>28.478000000000002</v>
      </c>
      <c r="AA87" s="19">
        <f t="shared" ref="AA87:AA95" si="203">O87</f>
        <v>0</v>
      </c>
      <c r="AB87" s="19">
        <f t="shared" si="189"/>
        <v>152.64699999999999</v>
      </c>
      <c r="AC87" s="19">
        <f t="shared" si="190"/>
        <v>242.69</v>
      </c>
    </row>
    <row r="88" spans="2:29" outlineLevel="2" x14ac:dyDescent="0.25">
      <c r="B88" s="2" t="s">
        <v>109</v>
      </c>
      <c r="C88" s="6" t="s">
        <v>15</v>
      </c>
      <c r="D88" s="19">
        <v>304.08499999999998</v>
      </c>
      <c r="E88" s="19">
        <v>296.04899999999998</v>
      </c>
      <c r="F88" s="19">
        <v>285.81700000000001</v>
      </c>
      <c r="G88" s="19">
        <v>274.86500000000001</v>
      </c>
      <c r="H88" s="19">
        <v>264.30599999999998</v>
      </c>
      <c r="I88" s="19">
        <v>242.86199999999999</v>
      </c>
      <c r="J88" s="19">
        <v>234.523</v>
      </c>
      <c r="K88" s="19">
        <v>215.358</v>
      </c>
      <c r="L88" s="19">
        <v>238.99600000000001</v>
      </c>
      <c r="M88" s="19">
        <v>283.64</v>
      </c>
      <c r="N88" s="19">
        <v>295.34399999999999</v>
      </c>
      <c r="O88" s="19">
        <v>312.41199999999998</v>
      </c>
      <c r="P88" s="19">
        <v>361.16500000000002</v>
      </c>
      <c r="Q88" s="19">
        <v>379.96499999999997</v>
      </c>
      <c r="R88" s="19">
        <v>383.22899999999998</v>
      </c>
      <c r="S88" s="19">
        <v>386.64699999999999</v>
      </c>
      <c r="T88" s="19">
        <v>471.488</v>
      </c>
      <c r="U88" s="19">
        <v>442.28899999999999</v>
      </c>
      <c r="V88" s="19">
        <v>489.46899999999999</v>
      </c>
      <c r="W88" s="19">
        <v>676.26199999999994</v>
      </c>
      <c r="Y88" s="19">
        <f t="shared" si="201"/>
        <v>274.86500000000001</v>
      </c>
      <c r="Z88" s="19">
        <f t="shared" si="202"/>
        <v>215.358</v>
      </c>
      <c r="AA88" s="19">
        <f t="shared" si="203"/>
        <v>312.41199999999998</v>
      </c>
      <c r="AB88" s="19">
        <f t="shared" si="189"/>
        <v>386.64699999999999</v>
      </c>
      <c r="AC88" s="19">
        <f t="shared" si="190"/>
        <v>676.26199999999994</v>
      </c>
    </row>
    <row r="89" spans="2:29" outlineLevel="2" x14ac:dyDescent="0.25">
      <c r="B89" s="2" t="s">
        <v>107</v>
      </c>
      <c r="C89" s="6" t="s">
        <v>15</v>
      </c>
      <c r="D89" s="19">
        <v>80.346000000000004</v>
      </c>
      <c r="E89" s="19">
        <v>98.834999999999994</v>
      </c>
      <c r="F89" s="19">
        <v>112.188</v>
      </c>
      <c r="G89" s="19">
        <v>116.88500000000001</v>
      </c>
      <c r="H89" s="19">
        <v>115.05</v>
      </c>
      <c r="I89" s="19">
        <v>110.12</v>
      </c>
      <c r="J89" s="19">
        <v>110.105</v>
      </c>
      <c r="K89" s="19">
        <v>112.727</v>
      </c>
      <c r="L89" s="19">
        <v>111.34699999999999</v>
      </c>
      <c r="M89" s="19">
        <v>122.562</v>
      </c>
      <c r="N89" s="19">
        <v>150.52500000000001</v>
      </c>
      <c r="O89" s="19">
        <v>178.74799999999999</v>
      </c>
      <c r="P89" s="19">
        <v>195.60300000000001</v>
      </c>
      <c r="Q89" s="19">
        <v>213.84800000000001</v>
      </c>
      <c r="R89" s="19">
        <v>225.834</v>
      </c>
      <c r="S89" s="19">
        <v>229.55799999999999</v>
      </c>
      <c r="T89" s="19">
        <v>221.98400000000001</v>
      </c>
      <c r="U89" s="19">
        <v>223.124</v>
      </c>
      <c r="V89" s="19">
        <v>217.34</v>
      </c>
      <c r="W89" s="19">
        <v>219.208</v>
      </c>
      <c r="Y89" s="19">
        <f t="shared" si="201"/>
        <v>116.88500000000001</v>
      </c>
      <c r="Z89" s="19">
        <f t="shared" si="202"/>
        <v>112.727</v>
      </c>
      <c r="AA89" s="19">
        <f t="shared" si="203"/>
        <v>178.74799999999999</v>
      </c>
      <c r="AB89" s="19">
        <f t="shared" si="189"/>
        <v>229.55799999999999</v>
      </c>
      <c r="AC89" s="19">
        <f t="shared" si="190"/>
        <v>219.208</v>
      </c>
    </row>
    <row r="90" spans="2:29" outlineLevel="2" x14ac:dyDescent="0.25">
      <c r="B90" s="2" t="s">
        <v>110</v>
      </c>
      <c r="C90" s="6" t="s">
        <v>15</v>
      </c>
      <c r="D90" s="19">
        <v>215.26900000000001</v>
      </c>
      <c r="E90" s="19">
        <v>220.02699999999999</v>
      </c>
      <c r="F90" s="19">
        <v>237.416</v>
      </c>
      <c r="G90" s="19">
        <v>227.61699999999999</v>
      </c>
      <c r="H90" s="19">
        <v>237.517</v>
      </c>
      <c r="I90" s="19">
        <v>247.91399999999999</v>
      </c>
      <c r="J90" s="19">
        <v>257.548</v>
      </c>
      <c r="K90" s="19">
        <v>265.44299999999998</v>
      </c>
      <c r="L90" s="19">
        <v>312.51799999999997</v>
      </c>
      <c r="M90" s="19">
        <v>320.851</v>
      </c>
      <c r="N90" s="19">
        <v>357.08499999999998</v>
      </c>
      <c r="O90" s="19">
        <v>493.41399999999999</v>
      </c>
      <c r="P90" s="19">
        <v>641.42700000000002</v>
      </c>
      <c r="Q90" s="19">
        <v>669.25300000000004</v>
      </c>
      <c r="R90" s="19">
        <v>740.721</v>
      </c>
      <c r="S90" s="19">
        <v>782.03300000000002</v>
      </c>
      <c r="T90" s="19">
        <v>804.673</v>
      </c>
      <c r="U90" s="19">
        <v>895.60599999999999</v>
      </c>
      <c r="V90" s="19">
        <v>971.495</v>
      </c>
      <c r="W90" s="19">
        <v>1030.914</v>
      </c>
      <c r="Y90" s="19">
        <f t="shared" si="201"/>
        <v>227.61699999999999</v>
      </c>
      <c r="Z90" s="19">
        <f t="shared" si="202"/>
        <v>265.44299999999998</v>
      </c>
      <c r="AA90" s="19">
        <f t="shared" si="203"/>
        <v>493.41399999999999</v>
      </c>
      <c r="AB90" s="19">
        <f t="shared" si="189"/>
        <v>782.03300000000002</v>
      </c>
      <c r="AC90" s="19">
        <f t="shared" si="190"/>
        <v>1030.914</v>
      </c>
    </row>
    <row r="91" spans="2:29" outlineLevel="2" x14ac:dyDescent="0.25">
      <c r="B91" s="2" t="s">
        <v>29</v>
      </c>
      <c r="C91" s="6" t="s">
        <v>15</v>
      </c>
      <c r="D91" s="19">
        <v>28.364000000000001</v>
      </c>
      <c r="E91" s="19">
        <v>31.105</v>
      </c>
      <c r="F91" s="19">
        <v>46.106999999999999</v>
      </c>
      <c r="G91" s="19">
        <v>74.424000000000007</v>
      </c>
      <c r="H91" s="19">
        <v>87.540999999999997</v>
      </c>
      <c r="I91" s="19">
        <v>134.44200000000001</v>
      </c>
      <c r="J91" s="19">
        <v>122.157</v>
      </c>
      <c r="K91" s="19">
        <v>164.61199999999999</v>
      </c>
      <c r="L91" s="19">
        <v>399.71</v>
      </c>
      <c r="M91" s="19">
        <v>461.31299999999999</v>
      </c>
      <c r="N91" s="19">
        <v>531.46100000000001</v>
      </c>
      <c r="O91" s="19">
        <v>611.04300000000001</v>
      </c>
      <c r="P91" s="19">
        <v>630.58900000000006</v>
      </c>
      <c r="Q91" s="19">
        <v>711.87900000000002</v>
      </c>
      <c r="R91" s="19">
        <v>764.86400000000003</v>
      </c>
      <c r="S91" s="19">
        <v>726.25400000000002</v>
      </c>
      <c r="T91" s="19">
        <v>756.08100000000002</v>
      </c>
      <c r="U91" s="19">
        <v>692.702</v>
      </c>
      <c r="V91" s="19">
        <v>731.29300000000001</v>
      </c>
      <c r="W91" s="19">
        <v>713.61500000000001</v>
      </c>
      <c r="Y91" s="19">
        <f t="shared" si="201"/>
        <v>74.424000000000007</v>
      </c>
      <c r="Z91" s="19">
        <f t="shared" si="202"/>
        <v>164.61199999999999</v>
      </c>
      <c r="AA91" s="19">
        <f t="shared" si="203"/>
        <v>611.04300000000001</v>
      </c>
      <c r="AB91" s="19">
        <f t="shared" si="189"/>
        <v>726.25400000000002</v>
      </c>
      <c r="AC91" s="19">
        <f t="shared" si="190"/>
        <v>713.61500000000001</v>
      </c>
    </row>
    <row r="92" spans="2:29" outlineLevel="2" x14ac:dyDescent="0.25">
      <c r="B92" s="2" t="s">
        <v>30</v>
      </c>
      <c r="C92" s="6" t="s">
        <v>15</v>
      </c>
      <c r="D92" s="19">
        <v>0</v>
      </c>
      <c r="E92" s="19">
        <v>0</v>
      </c>
      <c r="F92" s="19">
        <v>1E-3</v>
      </c>
      <c r="G92" s="19">
        <v>0</v>
      </c>
      <c r="H92" s="19">
        <v>0.45800000000000002</v>
      </c>
      <c r="I92" s="19">
        <v>0.21099999999999999</v>
      </c>
      <c r="J92" s="19">
        <v>0.40300000000000002</v>
      </c>
      <c r="K92" s="19">
        <v>0.41199999999999998</v>
      </c>
      <c r="L92" s="19">
        <v>0.41199999999999998</v>
      </c>
      <c r="M92" s="19">
        <v>0.41199999999999998</v>
      </c>
      <c r="N92" s="19">
        <v>1.0999999999999999E-2</v>
      </c>
      <c r="O92" s="19">
        <v>1.0999999999999999E-2</v>
      </c>
      <c r="P92" s="19">
        <v>0.432</v>
      </c>
      <c r="Q92" s="19">
        <v>0.434</v>
      </c>
      <c r="R92" s="19">
        <v>0.45800000000000002</v>
      </c>
      <c r="S92" s="19">
        <v>0.99299999999999999</v>
      </c>
      <c r="T92" s="19">
        <v>1.2789999999999999</v>
      </c>
      <c r="U92" s="19">
        <v>0.46600000000000003</v>
      </c>
      <c r="V92" s="19">
        <v>7.27</v>
      </c>
      <c r="W92" s="19">
        <v>7.4210000000000003</v>
      </c>
      <c r="Y92" s="19">
        <f t="shared" si="201"/>
        <v>0</v>
      </c>
      <c r="Z92" s="19">
        <f t="shared" si="202"/>
        <v>0.41199999999999998</v>
      </c>
      <c r="AA92" s="19">
        <f t="shared" si="203"/>
        <v>1.0999999999999999E-2</v>
      </c>
      <c r="AB92" s="19">
        <f t="shared" si="189"/>
        <v>0.99299999999999999</v>
      </c>
      <c r="AC92" s="19">
        <f t="shared" si="190"/>
        <v>7.4210000000000003</v>
      </c>
    </row>
    <row r="93" spans="2:29" outlineLevel="2" x14ac:dyDescent="0.25">
      <c r="B93" s="2" t="s">
        <v>31</v>
      </c>
      <c r="C93" s="6" t="s">
        <v>15</v>
      </c>
      <c r="D93" s="19">
        <v>506.85500000000002</v>
      </c>
      <c r="E93" s="19">
        <v>632.83500000000004</v>
      </c>
      <c r="F93" s="19">
        <v>668.95299999999997</v>
      </c>
      <c r="G93" s="19">
        <v>671.56799999999998</v>
      </c>
      <c r="H93" s="19">
        <v>806.51700000000005</v>
      </c>
      <c r="I93" s="19">
        <v>794.51400000000001</v>
      </c>
      <c r="J93" s="19">
        <v>839.71299999999997</v>
      </c>
      <c r="K93" s="19">
        <v>930.96600000000001</v>
      </c>
      <c r="L93" s="19">
        <v>1440.607</v>
      </c>
      <c r="M93" s="19">
        <v>1550.6669999999999</v>
      </c>
      <c r="N93" s="19">
        <v>1624.9359999999999</v>
      </c>
      <c r="O93" s="19">
        <v>1758.5530000000001</v>
      </c>
      <c r="P93" s="19">
        <v>1993.3409999999999</v>
      </c>
      <c r="Q93" s="19">
        <v>2052.692</v>
      </c>
      <c r="R93" s="19">
        <v>2147.799</v>
      </c>
      <c r="S93" s="19">
        <v>2217.4209999999998</v>
      </c>
      <c r="T93" s="19">
        <v>2294.0340000000001</v>
      </c>
      <c r="U93" s="19">
        <v>2455.9740000000002</v>
      </c>
      <c r="V93" s="19">
        <v>2516.5360000000001</v>
      </c>
      <c r="W93" s="19">
        <v>2631.61</v>
      </c>
      <c r="Y93" s="19">
        <f t="shared" si="201"/>
        <v>671.56799999999998</v>
      </c>
      <c r="Z93" s="19">
        <f t="shared" si="202"/>
        <v>930.96600000000001</v>
      </c>
      <c r="AA93" s="19">
        <f t="shared" si="203"/>
        <v>1758.5530000000001</v>
      </c>
      <c r="AB93" s="19">
        <f t="shared" si="189"/>
        <v>2217.4209999999998</v>
      </c>
      <c r="AC93" s="19">
        <f t="shared" si="190"/>
        <v>2631.61</v>
      </c>
    </row>
    <row r="94" spans="2:29" outlineLevel="2" x14ac:dyDescent="0.25">
      <c r="B94" s="2" t="s">
        <v>401</v>
      </c>
      <c r="C94" s="6" t="s">
        <v>15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401.71300000000002</v>
      </c>
      <c r="M94" s="19">
        <v>432.28199999999998</v>
      </c>
      <c r="N94" s="19">
        <v>430.298</v>
      </c>
      <c r="O94" s="19">
        <v>478.80500000000001</v>
      </c>
      <c r="P94" s="19">
        <v>483.14800000000002</v>
      </c>
      <c r="Q94" s="19">
        <v>499.37200000000001</v>
      </c>
      <c r="R94" s="19">
        <v>454.05799999999999</v>
      </c>
      <c r="S94" s="19">
        <v>492.45100000000002</v>
      </c>
      <c r="T94" s="19">
        <v>573.86900000000003</v>
      </c>
      <c r="U94" s="19">
        <v>565.00400000000002</v>
      </c>
      <c r="V94" s="19">
        <v>571.27800000000002</v>
      </c>
      <c r="W94" s="19">
        <v>646.84699999999998</v>
      </c>
      <c r="Y94" s="19">
        <v>0</v>
      </c>
      <c r="Z94" s="19">
        <v>0</v>
      </c>
      <c r="AA94" s="19">
        <f t="shared" si="203"/>
        <v>478.80500000000001</v>
      </c>
      <c r="AB94" s="19">
        <f t="shared" si="189"/>
        <v>492.45100000000002</v>
      </c>
      <c r="AC94" s="19">
        <f t="shared" si="190"/>
        <v>646.84699999999998</v>
      </c>
    </row>
    <row r="95" spans="2:29" outlineLevel="2" x14ac:dyDescent="0.25">
      <c r="B95" s="2" t="s">
        <v>32</v>
      </c>
      <c r="C95" s="6" t="s">
        <v>15</v>
      </c>
      <c r="D95" s="19">
        <v>1287.2270000000001</v>
      </c>
      <c r="E95" s="19">
        <v>1372.124</v>
      </c>
      <c r="F95" s="19">
        <v>1538.08</v>
      </c>
      <c r="G95" s="19">
        <v>1533.4010000000001</v>
      </c>
      <c r="H95" s="19">
        <v>1552.84</v>
      </c>
      <c r="I95" s="19">
        <v>1581.499</v>
      </c>
      <c r="J95" s="19">
        <v>1568.768</v>
      </c>
      <c r="K95" s="19">
        <v>1741.627</v>
      </c>
      <c r="L95" s="19">
        <v>2763.45</v>
      </c>
      <c r="M95" s="19">
        <v>3144.0030000000002</v>
      </c>
      <c r="N95" s="19">
        <v>3157.2890000000002</v>
      </c>
      <c r="O95" s="19">
        <v>3341.6729999999998</v>
      </c>
      <c r="P95" s="19">
        <v>6072.1409999999996</v>
      </c>
      <c r="Q95" s="19">
        <v>6032.9009999999998</v>
      </c>
      <c r="R95" s="19">
        <v>6160.0429999999997</v>
      </c>
      <c r="S95" s="19">
        <v>6246.5709999999999</v>
      </c>
      <c r="T95" s="19">
        <v>6619.848</v>
      </c>
      <c r="U95" s="19">
        <v>7837.1279999999997</v>
      </c>
      <c r="V95" s="19">
        <v>8056.2120000000004</v>
      </c>
      <c r="W95" s="19">
        <v>8110.7349999999997</v>
      </c>
      <c r="Y95" s="19">
        <f>G95</f>
        <v>1533.4010000000001</v>
      </c>
      <c r="Z95" s="19">
        <f>K95</f>
        <v>1741.627</v>
      </c>
      <c r="AA95" s="19">
        <f t="shared" si="203"/>
        <v>3341.6729999999998</v>
      </c>
      <c r="AB95" s="19">
        <f t="shared" si="189"/>
        <v>6246.5709999999999</v>
      </c>
      <c r="AC95" s="19">
        <f t="shared" si="190"/>
        <v>8110.7349999999997</v>
      </c>
    </row>
    <row r="96" spans="2:29" outlineLevel="1" x14ac:dyDescent="0.25"/>
    <row r="97" spans="2:29" outlineLevel="1" x14ac:dyDescent="0.25">
      <c r="B97" s="3" t="s">
        <v>201</v>
      </c>
      <c r="C97" s="3" t="s">
        <v>15</v>
      </c>
      <c r="D97" s="14">
        <f t="shared" ref="D97:I97" si="204">SUM(D98,D110,D120)</f>
        <v>3513.1120000000001</v>
      </c>
      <c r="E97" s="14">
        <f t="shared" si="204"/>
        <v>3816.5709999999999</v>
      </c>
      <c r="F97" s="14">
        <f t="shared" si="204"/>
        <v>4115.0239999999994</v>
      </c>
      <c r="G97" s="14">
        <f t="shared" si="204"/>
        <v>4821.7920000000004</v>
      </c>
      <c r="H97" s="14">
        <f t="shared" si="204"/>
        <v>4671.5330000000004</v>
      </c>
      <c r="I97" s="14">
        <f t="shared" si="204"/>
        <v>4958.8230000000003</v>
      </c>
      <c r="J97" s="14">
        <f t="shared" ref="J97:K97" si="205">SUM(J98,J110,J120)</f>
        <v>4958.9870000000001</v>
      </c>
      <c r="K97" s="14">
        <f t="shared" si="205"/>
        <v>5755.866</v>
      </c>
      <c r="L97" s="14">
        <f t="shared" ref="L97:M97" si="206">SUM(L98,L110,L120)</f>
        <v>8045.92</v>
      </c>
      <c r="M97" s="14">
        <f t="shared" si="206"/>
        <v>8416.010000000002</v>
      </c>
      <c r="N97" s="14">
        <f t="shared" ref="N97:O97" si="207">SUM(N98,N110,N120)</f>
        <v>9295.51</v>
      </c>
      <c r="O97" s="14">
        <f t="shared" si="207"/>
        <v>13148.039999999999</v>
      </c>
      <c r="P97" s="14">
        <f t="shared" ref="P97:Q97" si="208">SUM(P98,P110,P120)</f>
        <v>13344.384999999998</v>
      </c>
      <c r="Q97" s="14">
        <f t="shared" si="208"/>
        <v>14304.751</v>
      </c>
      <c r="R97" s="14">
        <f t="shared" ref="R97:S97" si="209">SUM(R98,R110,R120)</f>
        <v>15860.916000000001</v>
      </c>
      <c r="S97" s="14">
        <f t="shared" si="209"/>
        <v>16353.539000000001</v>
      </c>
      <c r="T97" s="14">
        <f t="shared" ref="T97:U97" si="210">SUM(T98,T110,T120)</f>
        <v>16589.251</v>
      </c>
      <c r="U97" s="14">
        <f t="shared" si="210"/>
        <v>17460.101999999999</v>
      </c>
      <c r="V97" s="14">
        <f t="shared" ref="V97:W97" si="211">SUM(V98,V110,V120)</f>
        <v>17466.021000000001</v>
      </c>
      <c r="W97" s="14">
        <f t="shared" si="211"/>
        <v>19013.271000000001</v>
      </c>
      <c r="Y97" s="14">
        <f t="shared" ref="Y97:Z97" si="212">SUM(Y98,Y110,Y120)</f>
        <v>4821.7920000000004</v>
      </c>
      <c r="Z97" s="14">
        <f t="shared" si="212"/>
        <v>5755.866</v>
      </c>
      <c r="AA97" s="14">
        <f t="shared" ref="AA97:AB97" si="213">SUM(AA98,AA110,AA120)</f>
        <v>13148.039999999999</v>
      </c>
      <c r="AB97" s="14">
        <f t="shared" si="213"/>
        <v>16353.539000000001</v>
      </c>
      <c r="AC97" s="14">
        <f t="shared" ref="AC97" si="214">SUM(AC98,AC110,AC120)</f>
        <v>17231.575000000001</v>
      </c>
    </row>
    <row r="98" spans="2:29" outlineLevel="1" x14ac:dyDescent="0.25">
      <c r="B98" s="5" t="s">
        <v>117</v>
      </c>
      <c r="C98" s="3" t="s">
        <v>15</v>
      </c>
      <c r="D98" s="14">
        <f t="shared" ref="D98:H98" si="215">SUM(D99:D109)</f>
        <v>1097.4590000000001</v>
      </c>
      <c r="E98" s="14">
        <f t="shared" si="215"/>
        <v>1406.0530000000001</v>
      </c>
      <c r="F98" s="14">
        <f t="shared" si="215"/>
        <v>1688.2529999999999</v>
      </c>
      <c r="G98" s="14">
        <f t="shared" si="215"/>
        <v>1556.2149999999999</v>
      </c>
      <c r="H98" s="14">
        <f t="shared" si="215"/>
        <v>1503.8989999999999</v>
      </c>
      <c r="I98" s="14">
        <f t="shared" ref="I98:J98" si="216">SUM(I99:I109)</f>
        <v>1520.6469999999999</v>
      </c>
      <c r="J98" s="14">
        <f t="shared" si="216"/>
        <v>1471.9359999999999</v>
      </c>
      <c r="K98" s="14">
        <f t="shared" ref="K98:L98" si="217">SUM(K99:K109)</f>
        <v>1898.6569999999999</v>
      </c>
      <c r="L98" s="14">
        <f t="shared" si="217"/>
        <v>2285.6219999999998</v>
      </c>
      <c r="M98" s="14">
        <f t="shared" ref="M98:N98" si="218">SUM(M99:M109)</f>
        <v>2616.3740000000003</v>
      </c>
      <c r="N98" s="14">
        <f t="shared" si="218"/>
        <v>2665.3289999999997</v>
      </c>
      <c r="O98" s="14">
        <f t="shared" ref="O98:P98" si="219">SUM(O99:O109)</f>
        <v>2433.9669999999996</v>
      </c>
      <c r="P98" s="14">
        <f t="shared" si="219"/>
        <v>2900.489</v>
      </c>
      <c r="Q98" s="14">
        <f t="shared" ref="Q98" si="220">SUM(Q99:Q109)</f>
        <v>3000.0030000000002</v>
      </c>
      <c r="R98" s="14">
        <f t="shared" ref="R98:S98" si="221">SUM(R99:R109)</f>
        <v>3104.9640000000004</v>
      </c>
      <c r="S98" s="14">
        <f t="shared" si="221"/>
        <v>2797.1000000000004</v>
      </c>
      <c r="T98" s="14">
        <f t="shared" ref="T98:U98" si="222">SUM(T99:T109)</f>
        <v>2873.4690000000001</v>
      </c>
      <c r="U98" s="14">
        <f t="shared" si="222"/>
        <v>3326.5529999999999</v>
      </c>
      <c r="V98" s="14">
        <f t="shared" ref="V98:W98" si="223">SUM(V99:V109)</f>
        <v>3138.8999999999996</v>
      </c>
      <c r="W98" s="14">
        <f t="shared" si="223"/>
        <v>3481.2509999999997</v>
      </c>
      <c r="Y98" s="14">
        <f t="shared" ref="Y98:Z98" si="224">SUM(Y99:Y109)</f>
        <v>1556.2149999999999</v>
      </c>
      <c r="Z98" s="14">
        <f t="shared" si="224"/>
        <v>1898.6569999999999</v>
      </c>
      <c r="AA98" s="14">
        <f t="shared" ref="AA98:AB98" si="225">SUM(AA99:AA109)</f>
        <v>2433.9669999999996</v>
      </c>
      <c r="AB98" s="14">
        <f t="shared" si="225"/>
        <v>2797.1000000000004</v>
      </c>
      <c r="AC98" s="14">
        <f t="shared" ref="AC98" si="226">SUM(AC99:AC109)</f>
        <v>3481.2509999999997</v>
      </c>
    </row>
    <row r="99" spans="2:29" outlineLevel="2" x14ac:dyDescent="0.25">
      <c r="B99" s="2" t="s">
        <v>33</v>
      </c>
      <c r="C99" s="6" t="s">
        <v>15</v>
      </c>
      <c r="D99" s="19">
        <v>44.1</v>
      </c>
      <c r="E99" s="19">
        <v>62.420999999999999</v>
      </c>
      <c r="F99" s="19">
        <v>51.835000000000001</v>
      </c>
      <c r="G99" s="19">
        <v>64.516999999999996</v>
      </c>
      <c r="H99" s="19">
        <v>61.097000000000001</v>
      </c>
      <c r="I99" s="19">
        <v>66.703999999999994</v>
      </c>
      <c r="J99" s="19">
        <v>73.415999999999997</v>
      </c>
      <c r="K99" s="19">
        <v>87.700999999999993</v>
      </c>
      <c r="L99" s="19">
        <v>102.13</v>
      </c>
      <c r="M99" s="19">
        <v>150.934</v>
      </c>
      <c r="N99" s="19">
        <v>140.02699999999999</v>
      </c>
      <c r="O99" s="19">
        <v>133.81700000000001</v>
      </c>
      <c r="P99" s="19">
        <v>146.298</v>
      </c>
      <c r="Q99" s="19">
        <v>141.279</v>
      </c>
      <c r="R99" s="19">
        <v>124.497</v>
      </c>
      <c r="S99" s="19">
        <v>162.32599999999999</v>
      </c>
      <c r="T99" s="19">
        <v>163.696</v>
      </c>
      <c r="U99" s="19">
        <v>176.887</v>
      </c>
      <c r="V99" s="19">
        <v>179.30199999999999</v>
      </c>
      <c r="W99" s="19">
        <v>213.977</v>
      </c>
      <c r="Y99" s="19">
        <f t="shared" ref="Y99:Y107" si="227">G99</f>
        <v>64.516999999999996</v>
      </c>
      <c r="Z99" s="19">
        <f t="shared" ref="Z99:Z107" si="228">K99</f>
        <v>87.700999999999993</v>
      </c>
      <c r="AA99" s="19">
        <f t="shared" ref="AA99:AA109" si="229">O99</f>
        <v>133.81700000000001</v>
      </c>
      <c r="AB99" s="19">
        <f t="shared" ref="AB99:AB119" si="230">S99</f>
        <v>162.32599999999999</v>
      </c>
      <c r="AC99" s="19">
        <f>W99</f>
        <v>213.977</v>
      </c>
    </row>
    <row r="100" spans="2:29" outlineLevel="2" x14ac:dyDescent="0.25">
      <c r="B100" s="2" t="s">
        <v>111</v>
      </c>
      <c r="C100" s="6" t="s">
        <v>15</v>
      </c>
      <c r="D100" s="19">
        <v>71.019000000000005</v>
      </c>
      <c r="E100" s="19">
        <v>110.047</v>
      </c>
      <c r="F100" s="19">
        <v>134.875</v>
      </c>
      <c r="G100" s="19">
        <v>112.822</v>
      </c>
      <c r="H100" s="19">
        <v>96.375</v>
      </c>
      <c r="I100" s="19">
        <v>121.063</v>
      </c>
      <c r="J100" s="19">
        <v>130.91800000000001</v>
      </c>
      <c r="K100" s="19">
        <v>116.459</v>
      </c>
      <c r="L100" s="19">
        <v>148.703</v>
      </c>
      <c r="M100" s="19">
        <v>179.755</v>
      </c>
      <c r="N100" s="19">
        <v>210.18899999999999</v>
      </c>
      <c r="O100" s="19">
        <v>165.09700000000001</v>
      </c>
      <c r="P100" s="19">
        <v>168.33199999999999</v>
      </c>
      <c r="Q100" s="19">
        <v>220.947</v>
      </c>
      <c r="R100" s="19">
        <v>273.81</v>
      </c>
      <c r="S100" s="19">
        <v>212.006</v>
      </c>
      <c r="T100" s="19">
        <v>203.19800000000001</v>
      </c>
      <c r="U100" s="19">
        <v>262.88</v>
      </c>
      <c r="V100" s="19">
        <v>300.00400000000002</v>
      </c>
      <c r="W100" s="19">
        <v>216.7</v>
      </c>
      <c r="Y100" s="19">
        <f t="shared" si="227"/>
        <v>112.822</v>
      </c>
      <c r="Z100" s="19">
        <f t="shared" si="228"/>
        <v>116.459</v>
      </c>
      <c r="AA100" s="19">
        <f t="shared" si="229"/>
        <v>165.09700000000001</v>
      </c>
      <c r="AB100" s="19">
        <f t="shared" si="230"/>
        <v>212.006</v>
      </c>
      <c r="AC100" s="19">
        <f t="shared" ref="AC100:AC119" si="231">W100</f>
        <v>216.7</v>
      </c>
    </row>
    <row r="101" spans="2:29" outlineLevel="2" x14ac:dyDescent="0.25">
      <c r="B101" s="2" t="s">
        <v>112</v>
      </c>
      <c r="C101" s="6" t="s">
        <v>15</v>
      </c>
      <c r="D101" s="19">
        <v>130.928</v>
      </c>
      <c r="E101" s="19">
        <v>139.03800000000001</v>
      </c>
      <c r="F101" s="19">
        <v>161.13900000000001</v>
      </c>
      <c r="G101" s="19">
        <v>186.74</v>
      </c>
      <c r="H101" s="19">
        <v>194.78200000000001</v>
      </c>
      <c r="I101" s="19">
        <v>200.88499999999999</v>
      </c>
      <c r="J101" s="19">
        <v>214.65</v>
      </c>
      <c r="K101" s="19">
        <v>248.351</v>
      </c>
      <c r="L101" s="19">
        <v>294.37200000000001</v>
      </c>
      <c r="M101" s="19">
        <v>305.55200000000002</v>
      </c>
      <c r="N101" s="19">
        <v>326.82499999999999</v>
      </c>
      <c r="O101" s="19">
        <v>360.35700000000003</v>
      </c>
      <c r="P101" s="19">
        <v>414.85700000000003</v>
      </c>
      <c r="Q101" s="19">
        <v>549.41999999999996</v>
      </c>
      <c r="R101" s="19">
        <v>535.98900000000003</v>
      </c>
      <c r="S101" s="19">
        <v>502.84100000000001</v>
      </c>
      <c r="T101" s="19">
        <v>554.92200000000003</v>
      </c>
      <c r="U101" s="19">
        <v>609.11400000000003</v>
      </c>
      <c r="V101" s="19">
        <v>628.48299999999995</v>
      </c>
      <c r="W101" s="19">
        <v>663.976</v>
      </c>
      <c r="Y101" s="19">
        <f t="shared" si="227"/>
        <v>186.74</v>
      </c>
      <c r="Z101" s="19">
        <f t="shared" si="228"/>
        <v>248.351</v>
      </c>
      <c r="AA101" s="19">
        <f t="shared" si="229"/>
        <v>360.35700000000003</v>
      </c>
      <c r="AB101" s="19">
        <f t="shared" si="230"/>
        <v>502.84100000000001</v>
      </c>
      <c r="AC101" s="19">
        <f t="shared" si="231"/>
        <v>663.976</v>
      </c>
    </row>
    <row r="102" spans="2:29" outlineLevel="2" x14ac:dyDescent="0.25">
      <c r="B102" s="2" t="s">
        <v>386</v>
      </c>
      <c r="C102" s="6" t="s">
        <v>15</v>
      </c>
      <c r="D102" s="19">
        <v>0</v>
      </c>
      <c r="E102" s="19">
        <v>0</v>
      </c>
      <c r="F102" s="19">
        <v>0</v>
      </c>
      <c r="G102" s="19">
        <v>0</v>
      </c>
      <c r="H102" s="19">
        <v>0</v>
      </c>
      <c r="I102" s="19">
        <v>0</v>
      </c>
      <c r="J102" s="19">
        <v>0</v>
      </c>
      <c r="K102" s="19">
        <v>79.341999999999999</v>
      </c>
      <c r="L102" s="19">
        <v>79.341999999999999</v>
      </c>
      <c r="M102" s="19">
        <v>0</v>
      </c>
      <c r="N102" s="19">
        <v>0</v>
      </c>
      <c r="O102" s="19">
        <v>100.601</v>
      </c>
      <c r="P102" s="19">
        <v>100.601</v>
      </c>
      <c r="Q102" s="19">
        <v>100.601</v>
      </c>
      <c r="R102" s="19">
        <v>3.2000000000000001E-2</v>
      </c>
      <c r="S102" s="19">
        <v>174.87700000000001</v>
      </c>
      <c r="T102" s="19">
        <v>174.87700000000001</v>
      </c>
      <c r="U102" s="19">
        <v>174.87700000000001</v>
      </c>
      <c r="V102" s="19">
        <v>1.4930000000000001</v>
      </c>
      <c r="W102" s="19">
        <v>1.4930000000000001</v>
      </c>
      <c r="Y102" s="19">
        <f t="shared" si="227"/>
        <v>0</v>
      </c>
      <c r="Z102" s="19">
        <f t="shared" si="228"/>
        <v>79.341999999999999</v>
      </c>
      <c r="AA102" s="19">
        <f t="shared" si="229"/>
        <v>100.601</v>
      </c>
      <c r="AB102" s="19">
        <f t="shared" si="230"/>
        <v>174.87700000000001</v>
      </c>
      <c r="AC102" s="19">
        <f t="shared" si="231"/>
        <v>1.4930000000000001</v>
      </c>
    </row>
    <row r="103" spans="2:29" outlineLevel="2" x14ac:dyDescent="0.25">
      <c r="B103" s="2" t="s">
        <v>113</v>
      </c>
      <c r="C103" s="6" t="s">
        <v>15</v>
      </c>
      <c r="D103" s="19">
        <v>1.33</v>
      </c>
      <c r="E103" s="19">
        <v>155.09700000000001</v>
      </c>
      <c r="F103" s="19">
        <v>310.16000000000003</v>
      </c>
      <c r="G103" s="19">
        <v>307.84399999999999</v>
      </c>
      <c r="H103" s="19">
        <v>222.19</v>
      </c>
      <c r="I103" s="19">
        <v>133.70400000000001</v>
      </c>
      <c r="J103" s="19">
        <v>133.36699999999999</v>
      </c>
      <c r="K103" s="19">
        <v>138.53100000000001</v>
      </c>
      <c r="L103" s="19">
        <v>134.119</v>
      </c>
      <c r="M103" s="19">
        <v>134.85</v>
      </c>
      <c r="N103" s="19">
        <v>133.24199999999999</v>
      </c>
      <c r="O103" s="19">
        <v>220.68299999999999</v>
      </c>
      <c r="P103" s="19">
        <v>330.87099999999998</v>
      </c>
      <c r="Q103" s="19">
        <v>268.46100000000001</v>
      </c>
      <c r="R103" s="19">
        <v>289.24599999999998</v>
      </c>
      <c r="S103" s="19">
        <v>225.077</v>
      </c>
      <c r="T103" s="19">
        <v>236.69399999999999</v>
      </c>
      <c r="U103" s="19">
        <v>303.43700000000001</v>
      </c>
      <c r="V103" s="19">
        <v>206.376</v>
      </c>
      <c r="W103" s="19">
        <v>195.87799999999999</v>
      </c>
      <c r="Y103" s="19">
        <f t="shared" si="227"/>
        <v>307.84399999999999</v>
      </c>
      <c r="Z103" s="19">
        <f t="shared" si="228"/>
        <v>138.53100000000001</v>
      </c>
      <c r="AA103" s="19">
        <f t="shared" si="229"/>
        <v>220.68299999999999</v>
      </c>
      <c r="AB103" s="19">
        <f t="shared" si="230"/>
        <v>225.077</v>
      </c>
      <c r="AC103" s="19">
        <f t="shared" si="231"/>
        <v>195.87799999999999</v>
      </c>
    </row>
    <row r="104" spans="2:29" outlineLevel="2" x14ac:dyDescent="0.25">
      <c r="B104" s="2" t="s">
        <v>114</v>
      </c>
      <c r="C104" s="6" t="s">
        <v>15</v>
      </c>
      <c r="D104" s="19">
        <v>136.62799999999999</v>
      </c>
      <c r="E104" s="19">
        <v>123.691</v>
      </c>
      <c r="F104" s="19">
        <v>141.49299999999999</v>
      </c>
      <c r="G104" s="19">
        <v>119.56399999999999</v>
      </c>
      <c r="H104" s="19">
        <v>67.418999999999997</v>
      </c>
      <c r="I104" s="19">
        <v>68.817999999999998</v>
      </c>
      <c r="J104" s="19">
        <v>128.11099999999999</v>
      </c>
      <c r="K104" s="19">
        <v>478.64499999999998</v>
      </c>
      <c r="L104" s="19">
        <v>484.89699999999999</v>
      </c>
      <c r="M104" s="19">
        <v>500.53500000000003</v>
      </c>
      <c r="N104" s="19">
        <v>494.28699999999998</v>
      </c>
      <c r="O104" s="19">
        <v>169.56</v>
      </c>
      <c r="P104" s="19">
        <v>126.312</v>
      </c>
      <c r="Q104" s="19">
        <v>137.09299999999999</v>
      </c>
      <c r="R104" s="19">
        <v>64.003</v>
      </c>
      <c r="S104" s="19">
        <v>81.090999999999994</v>
      </c>
      <c r="T104" s="19">
        <v>13.582000000000001</v>
      </c>
      <c r="U104" s="19">
        <v>29.463999999999999</v>
      </c>
      <c r="V104" s="19">
        <v>27.43</v>
      </c>
      <c r="W104" s="19">
        <v>344.69200000000001</v>
      </c>
      <c r="Y104" s="19">
        <f t="shared" si="227"/>
        <v>119.56399999999999</v>
      </c>
      <c r="Z104" s="19">
        <f t="shared" si="228"/>
        <v>478.64499999999998</v>
      </c>
      <c r="AA104" s="19">
        <f t="shared" si="229"/>
        <v>169.56</v>
      </c>
      <c r="AB104" s="19">
        <f t="shared" si="230"/>
        <v>81.090999999999994</v>
      </c>
      <c r="AC104" s="19">
        <f t="shared" si="231"/>
        <v>344.69200000000001</v>
      </c>
    </row>
    <row r="105" spans="2:29" outlineLevel="2" x14ac:dyDescent="0.25">
      <c r="B105" s="2" t="s">
        <v>115</v>
      </c>
      <c r="C105" s="6" t="s">
        <v>15</v>
      </c>
      <c r="D105" s="19">
        <v>32.220999999999997</v>
      </c>
      <c r="E105" s="19">
        <v>43.137999999999998</v>
      </c>
      <c r="F105" s="19">
        <v>77.234999999999999</v>
      </c>
      <c r="G105" s="19">
        <v>19.463000000000001</v>
      </c>
      <c r="H105" s="19">
        <v>32.499000000000002</v>
      </c>
      <c r="I105" s="19">
        <v>65.512</v>
      </c>
      <c r="J105" s="19">
        <v>44.372999999999998</v>
      </c>
      <c r="K105" s="19">
        <v>6.8929999999999998</v>
      </c>
      <c r="L105" s="19">
        <v>83.917000000000002</v>
      </c>
      <c r="M105" s="19">
        <v>93.921000000000006</v>
      </c>
      <c r="N105" s="19">
        <v>144.10300000000001</v>
      </c>
      <c r="O105" s="19">
        <v>56.984999999999999</v>
      </c>
      <c r="P105" s="19">
        <v>139.75200000000001</v>
      </c>
      <c r="Q105" s="19">
        <v>276.625</v>
      </c>
      <c r="R105" s="19">
        <v>373.2</v>
      </c>
      <c r="S105" s="19">
        <v>62.430999999999997</v>
      </c>
      <c r="T105" s="19">
        <v>26.654</v>
      </c>
      <c r="U105" s="19">
        <v>42.841999999999999</v>
      </c>
      <c r="V105" s="19">
        <v>60.707999999999998</v>
      </c>
      <c r="W105" s="19">
        <v>22.433</v>
      </c>
      <c r="Y105" s="19">
        <f t="shared" si="227"/>
        <v>19.463000000000001</v>
      </c>
      <c r="Z105" s="19">
        <f t="shared" si="228"/>
        <v>6.8929999999999998</v>
      </c>
      <c r="AA105" s="19">
        <f t="shared" si="229"/>
        <v>56.984999999999999</v>
      </c>
      <c r="AB105" s="19">
        <f t="shared" si="230"/>
        <v>62.430999999999997</v>
      </c>
      <c r="AC105" s="19">
        <f t="shared" si="231"/>
        <v>22.433</v>
      </c>
    </row>
    <row r="106" spans="2:29" outlineLevel="2" x14ac:dyDescent="0.25">
      <c r="B106" s="2" t="s">
        <v>72</v>
      </c>
      <c r="C106" s="6" t="s">
        <v>15</v>
      </c>
      <c r="D106" s="19">
        <v>619.75199999999995</v>
      </c>
      <c r="E106" s="19">
        <v>690.51800000000003</v>
      </c>
      <c r="F106" s="19">
        <v>720.18600000000004</v>
      </c>
      <c r="G106" s="19">
        <v>684.85</v>
      </c>
      <c r="H106" s="19">
        <v>771.53300000000002</v>
      </c>
      <c r="I106" s="19">
        <v>772.80799999999999</v>
      </c>
      <c r="J106" s="19">
        <v>699.553</v>
      </c>
      <c r="K106" s="19">
        <v>692.57100000000003</v>
      </c>
      <c r="L106" s="19">
        <v>866.322</v>
      </c>
      <c r="M106" s="19">
        <v>916.18499999999995</v>
      </c>
      <c r="N106" s="19">
        <v>916.67899999999997</v>
      </c>
      <c r="O106" s="19">
        <v>945.40499999999997</v>
      </c>
      <c r="P106" s="19">
        <v>1154.403</v>
      </c>
      <c r="Q106" s="19">
        <v>1094.9939999999999</v>
      </c>
      <c r="R106" s="19">
        <v>1189.058</v>
      </c>
      <c r="S106" s="19">
        <v>1176.6990000000001</v>
      </c>
      <c r="T106" s="19">
        <v>1258.3779999999999</v>
      </c>
      <c r="U106" s="19">
        <v>1451.9359999999999</v>
      </c>
      <c r="V106" s="19">
        <v>1489.663</v>
      </c>
      <c r="W106" s="19">
        <v>1522.8440000000001</v>
      </c>
      <c r="Y106" s="19">
        <f t="shared" si="227"/>
        <v>684.85</v>
      </c>
      <c r="Z106" s="19">
        <f t="shared" si="228"/>
        <v>692.57100000000003</v>
      </c>
      <c r="AA106" s="19">
        <f t="shared" si="229"/>
        <v>945.40499999999997</v>
      </c>
      <c r="AB106" s="19">
        <f t="shared" si="230"/>
        <v>1176.6990000000001</v>
      </c>
      <c r="AC106" s="19">
        <f t="shared" si="231"/>
        <v>1522.8440000000001</v>
      </c>
    </row>
    <row r="107" spans="2:29" outlineLevel="2" x14ac:dyDescent="0.25">
      <c r="B107" s="2" t="s">
        <v>119</v>
      </c>
      <c r="C107" s="6" t="s">
        <v>15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205.358</v>
      </c>
      <c r="N107" s="19">
        <v>179.803</v>
      </c>
      <c r="O107" s="19">
        <v>118.98099999999999</v>
      </c>
      <c r="P107" s="19">
        <v>84.262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  <c r="V107" s="19">
        <v>0</v>
      </c>
      <c r="W107" s="19">
        <v>0</v>
      </c>
      <c r="Y107" s="19">
        <f t="shared" si="227"/>
        <v>0</v>
      </c>
      <c r="Z107" s="19">
        <f t="shared" si="228"/>
        <v>0</v>
      </c>
      <c r="AA107" s="19">
        <f t="shared" si="229"/>
        <v>118.98099999999999</v>
      </c>
      <c r="AB107" s="19">
        <f t="shared" si="230"/>
        <v>0</v>
      </c>
      <c r="AC107" s="19">
        <f t="shared" si="231"/>
        <v>0</v>
      </c>
    </row>
    <row r="108" spans="2:29" outlineLevel="2" x14ac:dyDescent="0.25">
      <c r="B108" s="2" t="s">
        <v>402</v>
      </c>
      <c r="C108" s="6" t="s">
        <v>15</v>
      </c>
      <c r="D108" s="19">
        <v>0</v>
      </c>
      <c r="E108" s="19">
        <v>0</v>
      </c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27.045999999999999</v>
      </c>
      <c r="M108" s="19">
        <v>27.568000000000001</v>
      </c>
      <c r="N108" s="19">
        <v>28.474</v>
      </c>
      <c r="O108" s="19">
        <v>33.466000000000001</v>
      </c>
      <c r="P108" s="19">
        <v>34.92</v>
      </c>
      <c r="Q108" s="19">
        <v>37.753999999999998</v>
      </c>
      <c r="R108" s="19">
        <v>35.232999999999997</v>
      </c>
      <c r="S108" s="19">
        <v>38.375999999999998</v>
      </c>
      <c r="T108" s="19">
        <v>44.917000000000002</v>
      </c>
      <c r="U108" s="19">
        <v>45.347999999999999</v>
      </c>
      <c r="V108" s="19">
        <v>51.378999999999998</v>
      </c>
      <c r="W108" s="19">
        <v>57.595999999999997</v>
      </c>
      <c r="Y108" s="19">
        <v>0</v>
      </c>
      <c r="Z108" s="19">
        <v>0</v>
      </c>
      <c r="AA108" s="19">
        <f t="shared" si="229"/>
        <v>33.466000000000001</v>
      </c>
      <c r="AB108" s="19">
        <f t="shared" si="230"/>
        <v>38.375999999999998</v>
      </c>
      <c r="AC108" s="19">
        <f t="shared" si="231"/>
        <v>57.595999999999997</v>
      </c>
    </row>
    <row r="109" spans="2:29" outlineLevel="2" x14ac:dyDescent="0.25">
      <c r="B109" s="2" t="s">
        <v>116</v>
      </c>
      <c r="C109" s="6" t="s">
        <v>15</v>
      </c>
      <c r="D109" s="19">
        <v>61.481000000000002</v>
      </c>
      <c r="E109" s="19">
        <v>82.102999999999994</v>
      </c>
      <c r="F109" s="19">
        <v>91.33</v>
      </c>
      <c r="G109" s="19">
        <v>60.414999999999999</v>
      </c>
      <c r="H109" s="19">
        <v>58.003999999999998</v>
      </c>
      <c r="I109" s="19">
        <v>91.153000000000006</v>
      </c>
      <c r="J109" s="19">
        <v>47.548000000000002</v>
      </c>
      <c r="K109" s="19">
        <v>50.164000000000001</v>
      </c>
      <c r="L109" s="19">
        <v>64.774000000000001</v>
      </c>
      <c r="M109" s="19">
        <v>101.71599999999999</v>
      </c>
      <c r="N109" s="19">
        <v>91.7</v>
      </c>
      <c r="O109" s="19">
        <v>129.01499999999999</v>
      </c>
      <c r="P109" s="19">
        <v>199.881</v>
      </c>
      <c r="Q109" s="19">
        <v>172.82900000000001</v>
      </c>
      <c r="R109" s="19">
        <v>219.89599999999999</v>
      </c>
      <c r="S109" s="19">
        <v>161.376</v>
      </c>
      <c r="T109" s="19">
        <v>196.55099999999999</v>
      </c>
      <c r="U109" s="19">
        <v>229.768</v>
      </c>
      <c r="V109" s="19">
        <v>194.06200000000001</v>
      </c>
      <c r="W109" s="19">
        <v>241.66200000000001</v>
      </c>
      <c r="Y109" s="19">
        <f>G109</f>
        <v>60.414999999999999</v>
      </c>
      <c r="Z109" s="19">
        <f>K109</f>
        <v>50.164000000000001</v>
      </c>
      <c r="AA109" s="19">
        <f t="shared" si="229"/>
        <v>129.01499999999999</v>
      </c>
      <c r="AB109" s="19">
        <f t="shared" si="230"/>
        <v>161.376</v>
      </c>
      <c r="AC109" s="19">
        <f t="shared" si="231"/>
        <v>241.66200000000001</v>
      </c>
    </row>
    <row r="110" spans="2:29" outlineLevel="1" x14ac:dyDescent="0.25">
      <c r="B110" s="5" t="s">
        <v>118</v>
      </c>
      <c r="C110" s="3" t="s">
        <v>15</v>
      </c>
      <c r="D110" s="14">
        <f t="shared" ref="D110:I110" si="232">SUM(D111:D119)</f>
        <v>1309.9280000000001</v>
      </c>
      <c r="E110" s="14">
        <f t="shared" si="232"/>
        <v>1301.192</v>
      </c>
      <c r="F110" s="14">
        <f t="shared" si="232"/>
        <v>1316.9779999999998</v>
      </c>
      <c r="G110" s="14">
        <f t="shared" si="232"/>
        <v>1914.4200000000003</v>
      </c>
      <c r="H110" s="14">
        <f t="shared" si="232"/>
        <v>1817.9240000000002</v>
      </c>
      <c r="I110" s="14">
        <f t="shared" si="232"/>
        <v>1749.5710000000001</v>
      </c>
      <c r="J110" s="14">
        <f t="shared" ref="J110:K110" si="233">SUM(J111:J119)</f>
        <v>1790.0679999999998</v>
      </c>
      <c r="K110" s="14">
        <f t="shared" si="233"/>
        <v>1517.144</v>
      </c>
      <c r="L110" s="14">
        <f t="shared" ref="L110:M110" si="234">SUM(L111:L119)</f>
        <v>3413.2260000000001</v>
      </c>
      <c r="M110" s="14">
        <f t="shared" si="234"/>
        <v>3440.2470000000003</v>
      </c>
      <c r="N110" s="14">
        <f t="shared" ref="N110:O110" si="235">SUM(N111:N119)</f>
        <v>4257.2960000000003</v>
      </c>
      <c r="O110" s="14">
        <f t="shared" si="235"/>
        <v>4343.6769999999997</v>
      </c>
      <c r="P110" s="14">
        <f t="shared" ref="P110:R110" si="236">SUM(P111:P119)</f>
        <v>3903.4719999999998</v>
      </c>
      <c r="Q110" s="14">
        <f t="shared" si="236"/>
        <v>4528.71</v>
      </c>
      <c r="R110" s="14">
        <f t="shared" si="236"/>
        <v>5650.424</v>
      </c>
      <c r="S110" s="14">
        <f t="shared" ref="S110:U110" si="237">SUM(S111:S119)</f>
        <v>6457.7539999999999</v>
      </c>
      <c r="T110" s="14">
        <f t="shared" si="237"/>
        <v>6632.6559999999999</v>
      </c>
      <c r="U110" s="14">
        <f t="shared" si="237"/>
        <v>6931.6909999999998</v>
      </c>
      <c r="V110" s="14">
        <f t="shared" ref="V110:W110" si="238">SUM(V111:V119)</f>
        <v>7210.0550000000003</v>
      </c>
      <c r="W110" s="14">
        <f t="shared" si="238"/>
        <v>8414.351999999999</v>
      </c>
      <c r="Y110" s="14">
        <f t="shared" ref="Y110:Z110" si="239">SUM(Y111:Y119)</f>
        <v>1914.4200000000003</v>
      </c>
      <c r="Z110" s="14">
        <f t="shared" si="239"/>
        <v>1517.144</v>
      </c>
      <c r="AA110" s="14">
        <f t="shared" ref="AA110" si="240">SUM(AA111:AA119)</f>
        <v>4343.6769999999997</v>
      </c>
      <c r="AB110" s="14">
        <f t="shared" si="230"/>
        <v>6457.7539999999999</v>
      </c>
      <c r="AC110" s="14">
        <f>T110</f>
        <v>6632.6559999999999</v>
      </c>
    </row>
    <row r="111" spans="2:29" outlineLevel="2" x14ac:dyDescent="0.25">
      <c r="B111" s="2" t="s">
        <v>112</v>
      </c>
      <c r="C111" s="6" t="s">
        <v>15</v>
      </c>
      <c r="D111" s="19">
        <v>11.765000000000001</v>
      </c>
      <c r="E111" s="19">
        <v>13.256</v>
      </c>
      <c r="F111" s="19">
        <v>12.638</v>
      </c>
      <c r="G111" s="19">
        <v>2.1749999999999998</v>
      </c>
      <c r="H111" s="19">
        <v>8.1560000000000006</v>
      </c>
      <c r="I111" s="19">
        <v>7.8860000000000001</v>
      </c>
      <c r="J111" s="19">
        <v>6.8449999999999998</v>
      </c>
      <c r="K111" s="19">
        <v>26.376999999999999</v>
      </c>
      <c r="L111" s="19">
        <v>82.67</v>
      </c>
      <c r="M111" s="19">
        <v>55.996000000000002</v>
      </c>
      <c r="N111" s="19">
        <v>59.305999999999997</v>
      </c>
      <c r="O111" s="19">
        <v>62.033999999999999</v>
      </c>
      <c r="P111" s="19">
        <v>59.557000000000002</v>
      </c>
      <c r="Q111" s="19">
        <v>64.525000000000006</v>
      </c>
      <c r="R111" s="19">
        <v>60.488999999999997</v>
      </c>
      <c r="S111" s="19">
        <v>62.369</v>
      </c>
      <c r="T111" s="19">
        <v>59.281999999999996</v>
      </c>
      <c r="U111" s="19">
        <v>86.335999999999999</v>
      </c>
      <c r="V111" s="19">
        <v>88.941000000000003</v>
      </c>
      <c r="W111" s="19">
        <v>86.825999999999993</v>
      </c>
      <c r="Y111" s="19">
        <f t="shared" ref="Y111:Y117" si="241">G111</f>
        <v>2.1749999999999998</v>
      </c>
      <c r="Z111" s="19">
        <f t="shared" ref="Z111:Z117" si="242">K111</f>
        <v>26.376999999999999</v>
      </c>
      <c r="AA111" s="19">
        <f t="shared" ref="AA111:AA119" si="243">O111</f>
        <v>62.033999999999999</v>
      </c>
      <c r="AB111" s="19">
        <f t="shared" si="230"/>
        <v>62.369</v>
      </c>
      <c r="AC111" s="19">
        <f t="shared" si="231"/>
        <v>86.825999999999993</v>
      </c>
    </row>
    <row r="112" spans="2:29" outlineLevel="2" x14ac:dyDescent="0.25">
      <c r="B112" s="2" t="s">
        <v>113</v>
      </c>
      <c r="C112" s="6" t="s">
        <v>15</v>
      </c>
      <c r="D112" s="19">
        <v>1.1910000000000001</v>
      </c>
      <c r="E112" s="19">
        <v>2.133</v>
      </c>
      <c r="F112" s="19">
        <v>1.9079999999999999</v>
      </c>
      <c r="G112" s="19">
        <v>333.75099999999998</v>
      </c>
      <c r="H112" s="19">
        <v>266.786</v>
      </c>
      <c r="I112" s="19">
        <v>199.51300000000001</v>
      </c>
      <c r="J112" s="19">
        <v>199.334</v>
      </c>
      <c r="K112" s="19">
        <v>140.714</v>
      </c>
      <c r="L112" s="19">
        <v>135.81399999999999</v>
      </c>
      <c r="M112" s="19">
        <v>69.433000000000007</v>
      </c>
      <c r="N112" s="19">
        <v>66.430000000000007</v>
      </c>
      <c r="O112" s="19">
        <v>35.158999999999999</v>
      </c>
      <c r="P112" s="19">
        <v>212.47900000000001</v>
      </c>
      <c r="Q112" s="19">
        <v>733.07100000000003</v>
      </c>
      <c r="R112" s="19">
        <v>948.21199999999999</v>
      </c>
      <c r="S112" s="19">
        <v>943.66300000000001</v>
      </c>
      <c r="T112" s="19">
        <v>899.85699999999997</v>
      </c>
      <c r="U112" s="19">
        <v>1135.8869999999999</v>
      </c>
      <c r="V112" s="19">
        <v>1304.6959999999999</v>
      </c>
      <c r="W112" s="19">
        <v>1296.2370000000001</v>
      </c>
      <c r="Y112" s="19">
        <f t="shared" si="241"/>
        <v>333.75099999999998</v>
      </c>
      <c r="Z112" s="19">
        <f t="shared" si="242"/>
        <v>140.714</v>
      </c>
      <c r="AA112" s="19">
        <f t="shared" si="243"/>
        <v>35.158999999999999</v>
      </c>
      <c r="AB112" s="19">
        <f t="shared" si="230"/>
        <v>943.66300000000001</v>
      </c>
      <c r="AC112" s="19">
        <f t="shared" si="231"/>
        <v>1296.2370000000001</v>
      </c>
    </row>
    <row r="113" spans="2:29" outlineLevel="2" x14ac:dyDescent="0.25">
      <c r="B113" s="2" t="s">
        <v>114</v>
      </c>
      <c r="C113" s="6" t="s">
        <v>15</v>
      </c>
      <c r="D113" s="19">
        <v>539.32500000000005</v>
      </c>
      <c r="E113" s="19">
        <v>452.63600000000002</v>
      </c>
      <c r="F113" s="19">
        <v>453.21699999999998</v>
      </c>
      <c r="G113" s="19">
        <v>726.04200000000003</v>
      </c>
      <c r="H113" s="19">
        <v>588.94299999999998</v>
      </c>
      <c r="I113" s="19">
        <v>588.851</v>
      </c>
      <c r="J113" s="19">
        <v>529.48299999999995</v>
      </c>
      <c r="K113" s="19">
        <v>179.423</v>
      </c>
      <c r="L113" s="19">
        <v>1011.647</v>
      </c>
      <c r="M113" s="19">
        <v>1012.564</v>
      </c>
      <c r="N113" s="19">
        <v>1751.3869999999999</v>
      </c>
      <c r="O113" s="19">
        <v>1752.537</v>
      </c>
      <c r="P113" s="19">
        <v>797.03200000000004</v>
      </c>
      <c r="Q113" s="19">
        <v>797.25300000000004</v>
      </c>
      <c r="R113" s="19">
        <v>1547.4749999999999</v>
      </c>
      <c r="S113" s="19">
        <v>2238.5720000000001</v>
      </c>
      <c r="T113" s="19">
        <v>2239.395</v>
      </c>
      <c r="U113" s="19">
        <v>2240.2179999999998</v>
      </c>
      <c r="V113" s="19">
        <v>2241.0410000000002</v>
      </c>
      <c r="W113" s="19">
        <v>3169.9360000000001</v>
      </c>
      <c r="Y113" s="19">
        <f t="shared" si="241"/>
        <v>726.04200000000003</v>
      </c>
      <c r="Z113" s="19">
        <f t="shared" si="242"/>
        <v>179.423</v>
      </c>
      <c r="AA113" s="19">
        <f t="shared" si="243"/>
        <v>1752.537</v>
      </c>
      <c r="AB113" s="19">
        <f t="shared" si="230"/>
        <v>2238.5720000000001</v>
      </c>
      <c r="AC113" s="19">
        <f t="shared" si="231"/>
        <v>3169.9360000000001</v>
      </c>
    </row>
    <row r="114" spans="2:29" outlineLevel="2" x14ac:dyDescent="0.25">
      <c r="B114" s="2" t="s">
        <v>72</v>
      </c>
      <c r="C114" s="6" t="s">
        <v>15</v>
      </c>
      <c r="D114" s="19">
        <v>10.552</v>
      </c>
      <c r="E114" s="19">
        <v>10.944000000000001</v>
      </c>
      <c r="F114" s="19">
        <v>10.481</v>
      </c>
      <c r="G114" s="19">
        <v>9.9789999999999992</v>
      </c>
      <c r="H114" s="19">
        <v>9.4350000000000005</v>
      </c>
      <c r="I114" s="19">
        <v>9.9329999999999998</v>
      </c>
      <c r="J114" s="19">
        <v>99.183999999999997</v>
      </c>
      <c r="K114" s="19">
        <v>106.937</v>
      </c>
      <c r="L114" s="19">
        <v>139.15299999999999</v>
      </c>
      <c r="M114" s="19">
        <v>181.49199999999999</v>
      </c>
      <c r="N114" s="19">
        <v>246.17699999999999</v>
      </c>
      <c r="O114" s="19">
        <v>342.83600000000001</v>
      </c>
      <c r="P114" s="19">
        <v>468.19600000000003</v>
      </c>
      <c r="Q114" s="19">
        <v>458.947</v>
      </c>
      <c r="R114" s="19">
        <v>507.553</v>
      </c>
      <c r="S114" s="19">
        <v>531.53700000000003</v>
      </c>
      <c r="T114" s="19">
        <v>563.48</v>
      </c>
      <c r="U114" s="19">
        <v>590.45600000000002</v>
      </c>
      <c r="V114" s="19">
        <v>642.39</v>
      </c>
      <c r="W114" s="19">
        <v>687.65099999999995</v>
      </c>
      <c r="Y114" s="19">
        <f t="shared" si="241"/>
        <v>9.9789999999999992</v>
      </c>
      <c r="Z114" s="19">
        <f t="shared" si="242"/>
        <v>106.937</v>
      </c>
      <c r="AA114" s="19">
        <f t="shared" si="243"/>
        <v>342.83600000000001</v>
      </c>
      <c r="AB114" s="19">
        <f t="shared" si="230"/>
        <v>531.53700000000003</v>
      </c>
      <c r="AC114" s="19">
        <f t="shared" si="231"/>
        <v>687.65099999999995</v>
      </c>
    </row>
    <row r="115" spans="2:29" outlineLevel="2" x14ac:dyDescent="0.25">
      <c r="B115" s="2" t="s">
        <v>119</v>
      </c>
      <c r="C115" s="6" t="s">
        <v>15</v>
      </c>
      <c r="D115" s="19">
        <v>224.66300000000001</v>
      </c>
      <c r="E115" s="19">
        <v>228.577</v>
      </c>
      <c r="F115" s="19">
        <v>231.279</v>
      </c>
      <c r="G115" s="19">
        <v>235.577</v>
      </c>
      <c r="H115" s="19">
        <v>237.34100000000001</v>
      </c>
      <c r="I115" s="19">
        <v>226.36699999999999</v>
      </c>
      <c r="J115" s="19">
        <v>221.898</v>
      </c>
      <c r="K115" s="19">
        <v>222.773</v>
      </c>
      <c r="L115" s="19">
        <v>222.99799999999999</v>
      </c>
      <c r="M115" s="19">
        <v>0</v>
      </c>
      <c r="N115" s="19">
        <v>0</v>
      </c>
      <c r="O115" s="19">
        <v>0</v>
      </c>
      <c r="P115" s="19">
        <v>0</v>
      </c>
      <c r="Q115" s="19">
        <v>78.655000000000001</v>
      </c>
      <c r="R115" s="19">
        <v>67.453999999999994</v>
      </c>
      <c r="S115" s="19">
        <v>72.938000000000002</v>
      </c>
      <c r="T115" s="19">
        <v>69.415000000000006</v>
      </c>
      <c r="U115" s="19">
        <v>66.218999999999994</v>
      </c>
      <c r="V115" s="19">
        <v>52.323999999999998</v>
      </c>
      <c r="W115" s="19">
        <v>50.762</v>
      </c>
      <c r="Y115" s="19">
        <f t="shared" si="241"/>
        <v>235.577</v>
      </c>
      <c r="Z115" s="19">
        <f t="shared" si="242"/>
        <v>222.773</v>
      </c>
      <c r="AA115" s="19">
        <f t="shared" si="243"/>
        <v>0</v>
      </c>
      <c r="AB115" s="19">
        <f t="shared" si="230"/>
        <v>72.938000000000002</v>
      </c>
      <c r="AC115" s="19">
        <f t="shared" si="231"/>
        <v>50.762</v>
      </c>
    </row>
    <row r="116" spans="2:29" outlineLevel="2" x14ac:dyDescent="0.25">
      <c r="B116" s="2" t="s">
        <v>120</v>
      </c>
      <c r="C116" s="6" t="s">
        <v>15</v>
      </c>
      <c r="D116" s="19">
        <v>205.29499999999999</v>
      </c>
      <c r="E116" s="19">
        <v>198.33199999999999</v>
      </c>
      <c r="F116" s="19">
        <v>196.80799999999999</v>
      </c>
      <c r="G116" s="19">
        <v>199.61099999999999</v>
      </c>
      <c r="H116" s="19">
        <v>207.51900000000001</v>
      </c>
      <c r="I116" s="19">
        <v>200.96799999999999</v>
      </c>
      <c r="J116" s="19">
        <v>200.619</v>
      </c>
      <c r="K116" s="19">
        <v>206.74199999999999</v>
      </c>
      <c r="L116" s="19">
        <v>209.88499999999999</v>
      </c>
      <c r="M116" s="19">
        <v>280.82600000000002</v>
      </c>
      <c r="N116" s="19">
        <v>299.04899999999998</v>
      </c>
      <c r="O116" s="19">
        <v>262.80200000000002</v>
      </c>
      <c r="P116" s="19">
        <v>265.245</v>
      </c>
      <c r="Q116" s="19">
        <v>307.39999999999998</v>
      </c>
      <c r="R116" s="19">
        <v>328.44900000000001</v>
      </c>
      <c r="S116" s="19">
        <v>363.31099999999998</v>
      </c>
      <c r="T116" s="19">
        <v>400.87</v>
      </c>
      <c r="U116" s="19">
        <v>429.096</v>
      </c>
      <c r="V116" s="19">
        <v>470.774</v>
      </c>
      <c r="W116" s="19">
        <v>643.41800000000001</v>
      </c>
      <c r="Y116" s="19">
        <f t="shared" si="241"/>
        <v>199.61099999999999</v>
      </c>
      <c r="Z116" s="19">
        <f t="shared" si="242"/>
        <v>206.74199999999999</v>
      </c>
      <c r="AA116" s="19">
        <f t="shared" si="243"/>
        <v>262.80200000000002</v>
      </c>
      <c r="AB116" s="19">
        <f t="shared" si="230"/>
        <v>363.31099999999998</v>
      </c>
      <c r="AC116" s="19">
        <f t="shared" si="231"/>
        <v>643.41800000000001</v>
      </c>
    </row>
    <row r="117" spans="2:29" outlineLevel="2" x14ac:dyDescent="0.25">
      <c r="B117" s="2" t="s">
        <v>121</v>
      </c>
      <c r="C117" s="6" t="s">
        <v>15</v>
      </c>
      <c r="D117" s="19">
        <v>255.15899999999999</v>
      </c>
      <c r="E117" s="19">
        <v>301.327</v>
      </c>
      <c r="F117" s="19">
        <v>317.14400000000001</v>
      </c>
      <c r="G117" s="19">
        <v>291.37099999999998</v>
      </c>
      <c r="H117" s="19">
        <v>347.32400000000001</v>
      </c>
      <c r="I117" s="19">
        <v>364.13200000000001</v>
      </c>
      <c r="J117" s="19">
        <v>378.68099999999998</v>
      </c>
      <c r="K117" s="19">
        <v>424.19099999999997</v>
      </c>
      <c r="L117" s="19">
        <v>780.91300000000001</v>
      </c>
      <c r="M117" s="19">
        <v>870.06899999999996</v>
      </c>
      <c r="N117" s="19">
        <v>882.65099999999995</v>
      </c>
      <c r="O117" s="19">
        <v>887.61800000000005</v>
      </c>
      <c r="P117" s="19">
        <v>894.13800000000003</v>
      </c>
      <c r="Q117" s="19">
        <v>837.81399999999996</v>
      </c>
      <c r="R117" s="19">
        <v>882.69299999999998</v>
      </c>
      <c r="S117" s="19">
        <v>870.53</v>
      </c>
      <c r="T117" s="19">
        <v>884.84299999999996</v>
      </c>
      <c r="U117" s="19">
        <v>787.11599999999999</v>
      </c>
      <c r="V117" s="19">
        <v>807.41700000000003</v>
      </c>
      <c r="W117" s="19">
        <v>774.51</v>
      </c>
      <c r="Y117" s="19">
        <f t="shared" si="241"/>
        <v>291.37099999999998</v>
      </c>
      <c r="Z117" s="19">
        <f t="shared" si="242"/>
        <v>424.19099999999997</v>
      </c>
      <c r="AA117" s="19">
        <f t="shared" si="243"/>
        <v>887.61800000000005</v>
      </c>
      <c r="AB117" s="19">
        <f t="shared" si="230"/>
        <v>870.53</v>
      </c>
      <c r="AC117" s="19">
        <f t="shared" si="231"/>
        <v>774.51</v>
      </c>
    </row>
    <row r="118" spans="2:29" outlineLevel="2" x14ac:dyDescent="0.25">
      <c r="B118" s="2" t="s">
        <v>402</v>
      </c>
      <c r="C118" s="6" t="s">
        <v>15</v>
      </c>
      <c r="D118" s="19">
        <v>0</v>
      </c>
      <c r="E118" s="19">
        <v>0</v>
      </c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379.50299999999999</v>
      </c>
      <c r="M118" s="19">
        <v>412.40300000000002</v>
      </c>
      <c r="N118" s="19">
        <v>415.26499999999999</v>
      </c>
      <c r="O118" s="19">
        <v>464.41</v>
      </c>
      <c r="P118" s="19">
        <v>472.53500000000003</v>
      </c>
      <c r="Q118" s="19">
        <v>491.464</v>
      </c>
      <c r="R118" s="19">
        <v>450.69400000000002</v>
      </c>
      <c r="S118" s="19">
        <v>489.35500000000002</v>
      </c>
      <c r="T118" s="19">
        <v>575.79499999999996</v>
      </c>
      <c r="U118" s="19">
        <v>570.42399999999998</v>
      </c>
      <c r="V118" s="19">
        <v>577.245</v>
      </c>
      <c r="W118" s="19">
        <v>657.15599999999995</v>
      </c>
      <c r="Y118" s="19">
        <v>0</v>
      </c>
      <c r="Z118" s="19">
        <v>0</v>
      </c>
      <c r="AA118" s="19">
        <f t="shared" si="243"/>
        <v>464.41</v>
      </c>
      <c r="AB118" s="19">
        <f t="shared" si="230"/>
        <v>489.35500000000002</v>
      </c>
      <c r="AC118" s="19">
        <f t="shared" si="231"/>
        <v>657.15599999999995</v>
      </c>
    </row>
    <row r="119" spans="2:29" outlineLevel="2" x14ac:dyDescent="0.25">
      <c r="B119" s="2" t="s">
        <v>116</v>
      </c>
      <c r="C119" s="6" t="s">
        <v>15</v>
      </c>
      <c r="D119" s="19">
        <v>61.978000000000002</v>
      </c>
      <c r="E119" s="19">
        <v>93.986999999999995</v>
      </c>
      <c r="F119" s="19">
        <v>93.503</v>
      </c>
      <c r="G119" s="19">
        <v>115.914</v>
      </c>
      <c r="H119" s="19">
        <v>152.41999999999999</v>
      </c>
      <c r="I119" s="19">
        <v>151.92099999999999</v>
      </c>
      <c r="J119" s="19">
        <v>154.024</v>
      </c>
      <c r="K119" s="19">
        <v>209.98699999999999</v>
      </c>
      <c r="L119" s="19">
        <v>450.64299999999997</v>
      </c>
      <c r="M119" s="19">
        <v>557.46400000000006</v>
      </c>
      <c r="N119" s="19">
        <v>537.03099999999995</v>
      </c>
      <c r="O119" s="19">
        <v>536.28099999999995</v>
      </c>
      <c r="P119" s="19">
        <v>734.29</v>
      </c>
      <c r="Q119" s="19">
        <v>759.58100000000002</v>
      </c>
      <c r="R119" s="19">
        <v>857.40499999999997</v>
      </c>
      <c r="S119" s="19">
        <v>885.47900000000004</v>
      </c>
      <c r="T119" s="19">
        <v>939.71900000000005</v>
      </c>
      <c r="U119" s="19">
        <v>1025.9390000000001</v>
      </c>
      <c r="V119" s="19">
        <v>1025.2270000000001</v>
      </c>
      <c r="W119" s="19">
        <v>1047.856</v>
      </c>
      <c r="Y119" s="19">
        <f>G119</f>
        <v>115.914</v>
      </c>
      <c r="Z119" s="19">
        <f>K119</f>
        <v>209.98699999999999</v>
      </c>
      <c r="AA119" s="19">
        <f t="shared" si="243"/>
        <v>536.28099999999995</v>
      </c>
      <c r="AB119" s="19">
        <f t="shared" si="230"/>
        <v>885.47900000000004</v>
      </c>
      <c r="AC119" s="19">
        <f t="shared" si="231"/>
        <v>1047.856</v>
      </c>
    </row>
    <row r="120" spans="2:29" outlineLevel="1" x14ac:dyDescent="0.25">
      <c r="B120" s="5" t="s">
        <v>202</v>
      </c>
      <c r="C120" s="3" t="s">
        <v>15</v>
      </c>
      <c r="D120" s="14">
        <f t="shared" ref="D120:K120" si="244">SUM(D121:D123,D127:D127)</f>
        <v>1105.7249999999999</v>
      </c>
      <c r="E120" s="14">
        <f t="shared" si="244"/>
        <v>1109.326</v>
      </c>
      <c r="F120" s="14">
        <f t="shared" si="244"/>
        <v>1109.7929999999999</v>
      </c>
      <c r="G120" s="14">
        <f t="shared" si="244"/>
        <v>1351.1569999999999</v>
      </c>
      <c r="H120" s="14">
        <f t="shared" si="244"/>
        <v>1349.71</v>
      </c>
      <c r="I120" s="14">
        <f t="shared" si="244"/>
        <v>1688.605</v>
      </c>
      <c r="J120" s="14">
        <f t="shared" si="244"/>
        <v>1696.9830000000002</v>
      </c>
      <c r="K120" s="14">
        <f t="shared" si="244"/>
        <v>2340.0650000000001</v>
      </c>
      <c r="L120" s="14">
        <f t="shared" ref="L120:M120" si="245">SUM(L121:L123,L127:L127)</f>
        <v>2347.0720000000001</v>
      </c>
      <c r="M120" s="14">
        <f t="shared" si="245"/>
        <v>2359.3890000000001</v>
      </c>
      <c r="N120" s="14">
        <f t="shared" ref="N120:O120" si="246">SUM(N121:N123,N127:N127)</f>
        <v>2372.8850000000002</v>
      </c>
      <c r="O120" s="14">
        <f t="shared" si="246"/>
        <v>6370.3959999999997</v>
      </c>
      <c r="P120" s="14">
        <f t="shared" ref="P120:U120" si="247">SUM(P121:P123,P126:P127)</f>
        <v>6540.424</v>
      </c>
      <c r="Q120" s="14">
        <f t="shared" si="247"/>
        <v>6776.0380000000014</v>
      </c>
      <c r="R120" s="14">
        <f t="shared" si="247"/>
        <v>7105.5280000000012</v>
      </c>
      <c r="S120" s="14">
        <f t="shared" si="247"/>
        <v>7098.6850000000004</v>
      </c>
      <c r="T120" s="14">
        <f t="shared" si="247"/>
        <v>7083.1260000000002</v>
      </c>
      <c r="U120" s="14">
        <f t="shared" si="247"/>
        <v>7201.8580000000002</v>
      </c>
      <c r="V120" s="14">
        <f t="shared" ref="V120:W120" si="248">SUM(V121:V123,V126:V127)</f>
        <v>7117.0660000000007</v>
      </c>
      <c r="W120" s="14">
        <f t="shared" si="248"/>
        <v>7117.6680000000006</v>
      </c>
      <c r="Y120" s="14">
        <f t="shared" ref="Y120:AA120" si="249">SUM(Y121:Y123,Y126:Y127)</f>
        <v>1351.1569999999999</v>
      </c>
      <c r="Z120" s="14">
        <f t="shared" si="249"/>
        <v>2340.0650000000001</v>
      </c>
      <c r="AA120" s="14">
        <f t="shared" si="249"/>
        <v>6370.3959999999997</v>
      </c>
      <c r="AB120" s="14">
        <f t="shared" ref="AB120:AC120" si="250">SUM(AB121:AB123,AB126:AB127)</f>
        <v>7098.6850000000004</v>
      </c>
      <c r="AC120" s="14">
        <f t="shared" si="250"/>
        <v>7117.6680000000006</v>
      </c>
    </row>
    <row r="121" spans="2:29" outlineLevel="2" x14ac:dyDescent="0.25">
      <c r="B121" s="2" t="s">
        <v>203</v>
      </c>
      <c r="C121" s="6" t="s">
        <v>15</v>
      </c>
      <c r="D121" s="19">
        <v>993.53399999999999</v>
      </c>
      <c r="E121" s="19">
        <v>993.53399999999999</v>
      </c>
      <c r="F121" s="19">
        <v>993.53399999999999</v>
      </c>
      <c r="G121" s="19">
        <v>1036.7349999999999</v>
      </c>
      <c r="H121" s="19">
        <v>1036.7349999999999</v>
      </c>
      <c r="I121" s="19">
        <v>1368.2239999999999</v>
      </c>
      <c r="J121" s="19">
        <v>1368.2260000000001</v>
      </c>
      <c r="K121" s="19">
        <v>1749.0119999999999</v>
      </c>
      <c r="L121" s="19">
        <f>1765.924-16.912</f>
        <v>1749.0119999999999</v>
      </c>
      <c r="M121" s="19">
        <f>1765.924-16.912</f>
        <v>1749.0119999999999</v>
      </c>
      <c r="N121" s="19">
        <v>1749.0119999999999</v>
      </c>
      <c r="O121" s="19">
        <v>5412.0940000000001</v>
      </c>
      <c r="P121" s="19">
        <v>5409.3150000000005</v>
      </c>
      <c r="Q121" s="19">
        <v>5409.5400000000009</v>
      </c>
      <c r="R121" s="19">
        <v>5529.7610000000004</v>
      </c>
      <c r="S121" s="19">
        <v>5529.7610000000004</v>
      </c>
      <c r="T121" s="19">
        <v>5529.7610000000004</v>
      </c>
      <c r="U121" s="19">
        <v>5691.9170000000004</v>
      </c>
      <c r="V121" s="19">
        <v>5691.9170000000004</v>
      </c>
      <c r="W121" s="19">
        <v>5691.9170000000004</v>
      </c>
      <c r="Y121" s="19">
        <f>G121</f>
        <v>1036.7349999999999</v>
      </c>
      <c r="Z121" s="19">
        <f>K121</f>
        <v>1749.0119999999999</v>
      </c>
      <c r="AA121" s="19">
        <f>O121</f>
        <v>5412.0940000000001</v>
      </c>
      <c r="AB121" s="19">
        <f>S121</f>
        <v>5529.7610000000004</v>
      </c>
      <c r="AC121" s="19">
        <f>W121</f>
        <v>5691.9170000000004</v>
      </c>
    </row>
    <row r="122" spans="2:29" outlineLevel="2" x14ac:dyDescent="0.25">
      <c r="B122" s="2" t="s">
        <v>122</v>
      </c>
      <c r="C122" s="6" t="s">
        <v>15</v>
      </c>
      <c r="D122" s="19">
        <v>-0.47599999999999998</v>
      </c>
      <c r="E122" s="19">
        <v>-0.47599999999999998</v>
      </c>
      <c r="F122" s="19">
        <v>-2.8559999999999999</v>
      </c>
      <c r="G122" s="19">
        <v>-2.8570000000000002</v>
      </c>
      <c r="H122" s="19">
        <v>-2.8570000000000002</v>
      </c>
      <c r="I122" s="19">
        <v>-2.8570000000000002</v>
      </c>
      <c r="J122" s="19">
        <v>-2.8570000000000002</v>
      </c>
      <c r="K122" s="19">
        <v>-2.8570000000000002</v>
      </c>
      <c r="L122" s="19">
        <v>-2.8570000000000002</v>
      </c>
      <c r="M122" s="19">
        <v>-2.8570000000000002</v>
      </c>
      <c r="N122" s="19">
        <v>-2.8570000000000002</v>
      </c>
      <c r="O122" s="19">
        <v>-2.8570000000000002</v>
      </c>
      <c r="P122" s="19">
        <v>-2.8570000000000002</v>
      </c>
      <c r="Q122" s="19">
        <v>-2.8570000000000002</v>
      </c>
      <c r="R122" s="19">
        <v>-2.8570000000000002</v>
      </c>
      <c r="S122" s="19">
        <v>-2.8570000000000002</v>
      </c>
      <c r="T122" s="19">
        <v>-2.8570000000000002</v>
      </c>
      <c r="U122" s="19">
        <v>-2.8570000000000002</v>
      </c>
      <c r="V122" s="19">
        <v>-2.8570000000000002</v>
      </c>
      <c r="W122" s="19">
        <v>-2.8570000000000002</v>
      </c>
      <c r="Y122" s="19">
        <f>G122</f>
        <v>-2.8570000000000002</v>
      </c>
      <c r="Z122" s="19">
        <f>K122</f>
        <v>-2.8570000000000002</v>
      </c>
      <c r="AA122" s="19">
        <f>O122</f>
        <v>-2.8570000000000002</v>
      </c>
      <c r="AB122" s="19">
        <f>S122</f>
        <v>-2.8570000000000002</v>
      </c>
      <c r="AC122" s="19">
        <f>W122</f>
        <v>-2.8570000000000002</v>
      </c>
    </row>
    <row r="123" spans="2:29" outlineLevel="2" x14ac:dyDescent="0.25">
      <c r="B123" s="2" t="s">
        <v>123</v>
      </c>
      <c r="C123" s="6" t="s">
        <v>15</v>
      </c>
      <c r="D123" s="19">
        <f>SUM(D124:D125)</f>
        <v>112.667</v>
      </c>
      <c r="E123" s="19">
        <f t="shared" ref="E123:H123" si="251">SUM(E124:E125)</f>
        <v>116.268</v>
      </c>
      <c r="F123" s="19">
        <f t="shared" si="251"/>
        <v>119.11499999999999</v>
      </c>
      <c r="G123" s="19">
        <f t="shared" si="251"/>
        <v>317.279</v>
      </c>
      <c r="H123" s="19">
        <f t="shared" si="251"/>
        <v>315.83199999999999</v>
      </c>
      <c r="I123" s="19">
        <f t="shared" ref="I123:J123" si="252">SUM(I124:I125)</f>
        <v>323.238</v>
      </c>
      <c r="J123" s="19">
        <f t="shared" si="252"/>
        <v>331.61399999999998</v>
      </c>
      <c r="K123" s="19">
        <f t="shared" ref="K123:L123" si="253">SUM(K124:K125)</f>
        <v>593.91</v>
      </c>
      <c r="L123" s="19">
        <f t="shared" si="253"/>
        <v>600.91700000000003</v>
      </c>
      <c r="M123" s="19">
        <f t="shared" ref="M123:O123" si="254">SUM(M124:M125)</f>
        <v>613.23400000000004</v>
      </c>
      <c r="N123" s="19">
        <f t="shared" si="254"/>
        <v>626.73</v>
      </c>
      <c r="O123" s="19">
        <f t="shared" si="254"/>
        <v>961.15899999999999</v>
      </c>
      <c r="P123" s="19">
        <f t="shared" ref="P123:R123" si="255">SUM(P124:P125)</f>
        <v>972.08299999999997</v>
      </c>
      <c r="Q123" s="19">
        <f t="shared" si="255"/>
        <v>984.654</v>
      </c>
      <c r="R123" s="19">
        <f t="shared" si="255"/>
        <v>997.21100000000001</v>
      </c>
      <c r="S123" s="19">
        <f t="shared" ref="S123:U123" si="256">SUM(S124:S125)</f>
        <v>1571.2429999999999</v>
      </c>
      <c r="T123" s="19">
        <f t="shared" si="256"/>
        <v>1583.337</v>
      </c>
      <c r="U123" s="19">
        <f t="shared" si="256"/>
        <v>1587.9069999999999</v>
      </c>
      <c r="V123" s="19">
        <f t="shared" ref="V123:W123" si="257">SUM(V124:V125)</f>
        <v>1593.6189999999999</v>
      </c>
      <c r="W123" s="19">
        <f t="shared" si="257"/>
        <v>1427.4480000000001</v>
      </c>
      <c r="Y123" s="19">
        <f t="shared" ref="Y123:Z123" si="258">SUM(Y124:Y125)</f>
        <v>317.279</v>
      </c>
      <c r="Z123" s="19">
        <f t="shared" si="258"/>
        <v>593.91</v>
      </c>
      <c r="AA123" s="19">
        <f t="shared" ref="AA123:AB123" si="259">SUM(AA124:AA125)</f>
        <v>961.15899999999999</v>
      </c>
      <c r="AB123" s="19">
        <f t="shared" si="259"/>
        <v>1571.2429999999999</v>
      </c>
      <c r="AC123" s="19">
        <f t="shared" ref="AC123" si="260">SUM(AC124:AC125)</f>
        <v>1427.4480000000001</v>
      </c>
    </row>
    <row r="124" spans="2:29" outlineLevel="2" x14ac:dyDescent="0.25">
      <c r="B124" s="18" t="s">
        <v>124</v>
      </c>
      <c r="C124" s="6" t="s">
        <v>15</v>
      </c>
      <c r="D124" s="19">
        <v>62.223999999999997</v>
      </c>
      <c r="E124" s="19">
        <v>65.825000000000003</v>
      </c>
      <c r="F124" s="19">
        <v>68.671999999999997</v>
      </c>
      <c r="G124" s="19">
        <v>28.670999999999999</v>
      </c>
      <c r="H124" s="19">
        <v>32.948999999999998</v>
      </c>
      <c r="I124" s="19">
        <v>40.353000000000002</v>
      </c>
      <c r="J124" s="19">
        <v>48.731000000000002</v>
      </c>
      <c r="K124" s="19">
        <v>56.295999999999999</v>
      </c>
      <c r="L124" s="19">
        <v>63.302999999999997</v>
      </c>
      <c r="M124" s="19">
        <v>75.62</v>
      </c>
      <c r="N124" s="19">
        <v>89.116</v>
      </c>
      <c r="O124" s="19">
        <v>100.563</v>
      </c>
      <c r="P124" s="19">
        <v>972.08299999999997</v>
      </c>
      <c r="Q124" s="19">
        <v>984.654</v>
      </c>
      <c r="R124" s="19">
        <v>997.21100000000001</v>
      </c>
      <c r="S124" s="19">
        <v>1571.2429999999999</v>
      </c>
      <c r="T124" s="19">
        <v>1583.337</v>
      </c>
      <c r="U124" s="19">
        <v>1587.9069999999999</v>
      </c>
      <c r="V124" s="19">
        <v>1593.6189999999999</v>
      </c>
      <c r="W124" s="19">
        <v>1427.4480000000001</v>
      </c>
      <c r="Y124" s="19">
        <f>G124</f>
        <v>28.670999999999999</v>
      </c>
      <c r="Z124" s="19">
        <f>K124</f>
        <v>56.295999999999999</v>
      </c>
      <c r="AA124" s="19">
        <f>O124</f>
        <v>100.563</v>
      </c>
      <c r="AB124" s="19">
        <f>S124</f>
        <v>1571.2429999999999</v>
      </c>
      <c r="AC124" s="19">
        <f>W124</f>
        <v>1427.4480000000001</v>
      </c>
    </row>
    <row r="125" spans="2:29" outlineLevel="2" x14ac:dyDescent="0.25">
      <c r="B125" s="18" t="s">
        <v>125</v>
      </c>
      <c r="C125" s="6" t="s">
        <v>15</v>
      </c>
      <c r="D125" s="19">
        <v>50.442999999999998</v>
      </c>
      <c r="E125" s="19">
        <v>50.442999999999998</v>
      </c>
      <c r="F125" s="19">
        <v>50.442999999999998</v>
      </c>
      <c r="G125" s="19">
        <v>288.608</v>
      </c>
      <c r="H125" s="19">
        <v>282.88299999999998</v>
      </c>
      <c r="I125" s="19">
        <v>282.88499999999999</v>
      </c>
      <c r="J125" s="19">
        <v>282.88299999999998</v>
      </c>
      <c r="K125" s="19">
        <f>593.91-56.296</f>
        <v>537.61399999999992</v>
      </c>
      <c r="L125" s="19">
        <v>537.61400000000003</v>
      </c>
      <c r="M125" s="19">
        <v>537.61400000000003</v>
      </c>
      <c r="N125" s="19">
        <f>626.73-N124</f>
        <v>537.61400000000003</v>
      </c>
      <c r="O125" s="19">
        <v>860.596</v>
      </c>
      <c r="P125" s="19">
        <v>0</v>
      </c>
      <c r="Q125" s="19">
        <v>0</v>
      </c>
      <c r="R125" s="19">
        <v>0</v>
      </c>
      <c r="S125" s="19">
        <v>0</v>
      </c>
      <c r="T125" s="19">
        <v>0</v>
      </c>
      <c r="U125" s="19">
        <v>0</v>
      </c>
      <c r="V125" s="19">
        <v>0</v>
      </c>
      <c r="W125" s="19">
        <v>0</v>
      </c>
      <c r="Y125" s="19">
        <f>G125</f>
        <v>288.608</v>
      </c>
      <c r="Z125" s="19">
        <f>K125</f>
        <v>537.61399999999992</v>
      </c>
      <c r="AA125" s="19">
        <f>O125</f>
        <v>860.596</v>
      </c>
      <c r="AB125" s="19">
        <f>S125</f>
        <v>0</v>
      </c>
      <c r="AC125" s="19">
        <f t="shared" ref="AC125:AC127" si="261">W125</f>
        <v>0</v>
      </c>
    </row>
    <row r="126" spans="2:29" outlineLevel="2" x14ac:dyDescent="0.25">
      <c r="B126" s="2" t="s">
        <v>126</v>
      </c>
      <c r="C126" s="6" t="s">
        <v>15</v>
      </c>
      <c r="D126" s="19">
        <v>59.372</v>
      </c>
      <c r="E126" s="19">
        <v>84.619</v>
      </c>
      <c r="F126" s="19">
        <v>128.72</v>
      </c>
      <c r="G126" s="19">
        <v>0</v>
      </c>
      <c r="H126" s="19">
        <v>60.262</v>
      </c>
      <c r="I126" s="19">
        <v>111.535</v>
      </c>
      <c r="J126" s="19">
        <v>205.68700000000001</v>
      </c>
      <c r="K126" s="19">
        <v>0</v>
      </c>
      <c r="L126" s="19">
        <v>102.842</v>
      </c>
      <c r="M126" s="45">
        <v>192.488</v>
      </c>
      <c r="N126" s="45">
        <v>292.18</v>
      </c>
      <c r="O126" s="45">
        <v>0</v>
      </c>
      <c r="P126" s="45">
        <v>160.404</v>
      </c>
      <c r="Q126" s="45">
        <v>383.99</v>
      </c>
      <c r="R126" s="45">
        <v>581.17999999999995</v>
      </c>
      <c r="S126" s="45">
        <v>0</v>
      </c>
      <c r="T126" s="45">
        <v>-28.013999999999999</v>
      </c>
      <c r="U126" s="45">
        <v>-75.908000000000001</v>
      </c>
      <c r="V126" s="45">
        <v>-166.59700000000001</v>
      </c>
      <c r="W126" s="45">
        <v>0</v>
      </c>
      <c r="Y126" s="19">
        <f>G126</f>
        <v>0</v>
      </c>
      <c r="Z126" s="19">
        <f>K126</f>
        <v>0</v>
      </c>
      <c r="AA126" s="19">
        <f>O126</f>
        <v>0</v>
      </c>
      <c r="AB126" s="19">
        <f>S126</f>
        <v>0</v>
      </c>
      <c r="AC126" s="19">
        <f t="shared" si="261"/>
        <v>0</v>
      </c>
    </row>
    <row r="127" spans="2:29" outlineLevel="2" x14ac:dyDescent="0.25">
      <c r="B127" s="2" t="s">
        <v>428</v>
      </c>
      <c r="C127" s="6" t="s">
        <v>15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45">
        <v>0</v>
      </c>
      <c r="N127" s="45">
        <v>0</v>
      </c>
      <c r="O127" s="45">
        <v>0</v>
      </c>
      <c r="P127" s="45">
        <v>1.4790000000000001</v>
      </c>
      <c r="Q127" s="45">
        <v>0.71099999999999997</v>
      </c>
      <c r="R127" s="45">
        <v>0.23300000000000001</v>
      </c>
      <c r="S127" s="45">
        <v>0.53800000000000003</v>
      </c>
      <c r="T127" s="45">
        <v>0.89900000000000002</v>
      </c>
      <c r="U127" s="45">
        <v>0.79900000000000004</v>
      </c>
      <c r="V127" s="45">
        <v>0.98399999999999999</v>
      </c>
      <c r="W127" s="45">
        <v>1.1599999999999999</v>
      </c>
      <c r="Y127" s="19">
        <f>G127</f>
        <v>0</v>
      </c>
      <c r="Z127" s="19">
        <f>K127</f>
        <v>0</v>
      </c>
      <c r="AA127" s="19">
        <f>O127</f>
        <v>0</v>
      </c>
      <c r="AB127" s="19">
        <f>S127</f>
        <v>0.53800000000000003</v>
      </c>
      <c r="AC127" s="19">
        <f t="shared" si="261"/>
        <v>1.1599999999999999</v>
      </c>
    </row>
    <row r="128" spans="2:29" x14ac:dyDescent="0.25"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Y128" s="27"/>
      <c r="Z128" s="27"/>
      <c r="AA128" s="27"/>
      <c r="AB128" s="27"/>
      <c r="AC128" s="27"/>
    </row>
    <row r="129" spans="2:29" ht="15.75" x14ac:dyDescent="0.25">
      <c r="B129" s="33" t="s">
        <v>10</v>
      </c>
    </row>
    <row r="130" spans="2:29" outlineLevel="1" x14ac:dyDescent="0.25">
      <c r="B130" s="32" t="s">
        <v>6</v>
      </c>
      <c r="C130" s="17" t="s">
        <v>0</v>
      </c>
      <c r="D130" s="17" t="s">
        <v>1</v>
      </c>
      <c r="E130" s="17" t="s">
        <v>2</v>
      </c>
      <c r="F130" s="17" t="s">
        <v>3</v>
      </c>
      <c r="G130" s="17" t="s">
        <v>4</v>
      </c>
      <c r="H130" s="17" t="s">
        <v>5</v>
      </c>
      <c r="I130" s="17" t="s">
        <v>375</v>
      </c>
      <c r="J130" s="17" t="s">
        <v>383</v>
      </c>
      <c r="K130" s="17" t="s">
        <v>385</v>
      </c>
      <c r="L130" s="17" t="s">
        <v>399</v>
      </c>
      <c r="M130" s="17" t="s">
        <v>412</v>
      </c>
      <c r="N130" s="17" t="s">
        <v>422</v>
      </c>
      <c r="O130" s="17" t="s">
        <v>424</v>
      </c>
      <c r="P130" s="17" t="s">
        <v>427</v>
      </c>
      <c r="Q130" s="17" t="s">
        <v>431</v>
      </c>
      <c r="R130" s="17" t="s">
        <v>554</v>
      </c>
      <c r="S130" s="17" t="s">
        <v>571</v>
      </c>
      <c r="T130" s="17" t="s">
        <v>574</v>
      </c>
      <c r="U130" s="17" t="s">
        <v>589</v>
      </c>
      <c r="V130" s="17" t="s">
        <v>593</v>
      </c>
      <c r="W130" s="17" t="s">
        <v>600</v>
      </c>
      <c r="Y130" s="17">
        <v>2017</v>
      </c>
      <c r="Z130" s="17">
        <v>2018</v>
      </c>
      <c r="AA130" s="17">
        <v>2019</v>
      </c>
      <c r="AB130" s="17">
        <v>2020</v>
      </c>
      <c r="AC130" s="17">
        <v>2021</v>
      </c>
    </row>
    <row r="131" spans="2:29" outlineLevel="1" x14ac:dyDescent="0.25">
      <c r="B131" s="3" t="s">
        <v>22</v>
      </c>
      <c r="C131" s="3" t="s">
        <v>15</v>
      </c>
      <c r="D131" s="14">
        <f t="shared" ref="D131:K131" si="262">D72</f>
        <v>59.371999999999879</v>
      </c>
      <c r="E131" s="14">
        <f t="shared" si="262"/>
        <v>25.249999999999819</v>
      </c>
      <c r="F131" s="14">
        <f t="shared" si="262"/>
        <v>35.821999999999882</v>
      </c>
      <c r="G131" s="14">
        <f t="shared" si="262"/>
        <v>117.71099999999994</v>
      </c>
      <c r="H131" s="14">
        <f t="shared" si="262"/>
        <v>60.26199999999983</v>
      </c>
      <c r="I131" s="14">
        <f t="shared" si="262"/>
        <v>51.272999999999783</v>
      </c>
      <c r="J131" s="14">
        <f t="shared" si="262"/>
        <v>94.151999999999774</v>
      </c>
      <c r="K131" s="14">
        <f t="shared" si="262"/>
        <v>128.38599999999997</v>
      </c>
      <c r="L131" s="14">
        <f t="shared" ref="L131:M131" si="263">L72</f>
        <v>102.84199999999989</v>
      </c>
      <c r="M131" s="14">
        <f t="shared" si="263"/>
        <v>89.6460000000002</v>
      </c>
      <c r="N131" s="14">
        <f t="shared" ref="N131:O131" si="264">N72</f>
        <v>99.69199999999968</v>
      </c>
      <c r="O131" s="14">
        <f t="shared" si="264"/>
        <v>131.40300000000005</v>
      </c>
      <c r="P131" s="14">
        <f t="shared" ref="P131:R131" si="265">P72</f>
        <v>160.40400000000008</v>
      </c>
      <c r="Q131" s="14">
        <f t="shared" si="265"/>
        <v>223.39099999999996</v>
      </c>
      <c r="R131" s="14">
        <f t="shared" si="265"/>
        <v>196.78499999999971</v>
      </c>
      <c r="S131" s="14">
        <f t="shared" ref="S131:T131" si="266">S72</f>
        <v>155.16500000000013</v>
      </c>
      <c r="T131" s="14">
        <f t="shared" si="266"/>
        <v>-27.900000000000347</v>
      </c>
      <c r="U131" s="14">
        <f t="shared" ref="U131:V131" si="267">U72</f>
        <v>-47.980000000000004</v>
      </c>
      <c r="V131" s="14">
        <f t="shared" si="267"/>
        <v>-90.729999999999478</v>
      </c>
      <c r="W131" s="14">
        <f t="shared" ref="W131" si="268">W72</f>
        <v>-4.8969999999999274</v>
      </c>
      <c r="Y131" s="14">
        <f t="shared" ref="Y131:Z131" si="269">Y72</f>
        <v>238.15499999999867</v>
      </c>
      <c r="Z131" s="14">
        <f t="shared" si="269"/>
        <v>334.07300000000004</v>
      </c>
      <c r="AA131" s="14">
        <f t="shared" ref="AA131:AB131" si="270">AA72</f>
        <v>423.58300000000065</v>
      </c>
      <c r="AB131" s="14">
        <f t="shared" si="270"/>
        <v>735.74499999999716</v>
      </c>
      <c r="AC131" s="14">
        <f t="shared" ref="AC131" si="271">AC72</f>
        <v>-171.5069999999983</v>
      </c>
    </row>
    <row r="132" spans="2:29" outlineLevel="2" x14ac:dyDescent="0.25">
      <c r="B132" s="2" t="s">
        <v>71</v>
      </c>
      <c r="C132" s="20" t="s">
        <v>15</v>
      </c>
      <c r="D132" s="19">
        <v>23.803999999999998</v>
      </c>
      <c r="E132" s="19">
        <v>32.436</v>
      </c>
      <c r="F132" s="19">
        <v>24.219000000000001</v>
      </c>
      <c r="G132" s="19">
        <v>33.700000000000003</v>
      </c>
      <c r="H132" s="19">
        <v>29.34</v>
      </c>
      <c r="I132" s="19">
        <v>30.032</v>
      </c>
      <c r="J132" s="19">
        <v>36.680999999999997</v>
      </c>
      <c r="K132" s="19">
        <v>31.123000000000001</v>
      </c>
      <c r="L132" s="19">
        <f>(18873+22166)/1000</f>
        <v>41.039000000000001</v>
      </c>
      <c r="M132" s="19">
        <f>83.922-L132</f>
        <v>42.882999999999996</v>
      </c>
      <c r="N132" s="19">
        <f>61.119+78.977-SUM(L132:M132)</f>
        <v>56.174000000000007</v>
      </c>
      <c r="O132" s="19">
        <f t="shared" ref="O132:O153" si="272">AA132-SUM(L132:N132)</f>
        <v>55.841000000000008</v>
      </c>
      <c r="P132" s="19">
        <f>24.396+30.475</f>
        <v>54.871000000000002</v>
      </c>
      <c r="Q132" s="19">
        <f>65.627+65.134-P132</f>
        <v>75.889999999999986</v>
      </c>
      <c r="R132" s="19">
        <f>203.009-SUM(P132:Q132)</f>
        <v>72.24799999999999</v>
      </c>
      <c r="S132" s="19">
        <f t="shared" ref="S132:S153" si="273">AB132-SUM(P132:R132)</f>
        <v>81.291000000000025</v>
      </c>
      <c r="T132" s="19">
        <f>35.541+37.674</f>
        <v>73.215000000000003</v>
      </c>
      <c r="U132" s="19">
        <f>74.35+69.601-T132</f>
        <v>70.73599999999999</v>
      </c>
      <c r="V132" s="58">
        <f>225.183-SUM(T132:U132)</f>
        <v>81.231999999999999</v>
      </c>
      <c r="W132" s="58">
        <f>AC132-SUM(T132:V132)</f>
        <v>84.992000000000019</v>
      </c>
      <c r="X132" s="36"/>
      <c r="Y132" s="19">
        <f>SUM(D132:G132)</f>
        <v>114.15900000000001</v>
      </c>
      <c r="Z132" s="19">
        <f>SUM(H132:K132)</f>
        <v>127.176</v>
      </c>
      <c r="AA132" s="19">
        <f>84.676+111.261</f>
        <v>195.93700000000001</v>
      </c>
      <c r="AB132" s="19">
        <f>132.329+151.971</f>
        <v>284.3</v>
      </c>
      <c r="AC132" s="19">
        <v>310.17500000000001</v>
      </c>
    </row>
    <row r="133" spans="2:29" outlineLevel="2" x14ac:dyDescent="0.25">
      <c r="B133" s="2" t="s">
        <v>407</v>
      </c>
      <c r="C133" s="20" t="s">
        <v>15</v>
      </c>
      <c r="D133" s="19">
        <v>0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11.726000000000001</v>
      </c>
      <c r="M133" s="19">
        <f>21.529-L133</f>
        <v>9.802999999999999</v>
      </c>
      <c r="N133" s="19">
        <f>34.166-SUM(L133:M133)</f>
        <v>12.636999999999997</v>
      </c>
      <c r="O133" s="19">
        <f t="shared" si="272"/>
        <v>15.620000000000005</v>
      </c>
      <c r="P133" s="19">
        <v>14.446</v>
      </c>
      <c r="Q133" s="19">
        <f>28.895-P133</f>
        <v>14.449</v>
      </c>
      <c r="R133" s="19">
        <f>44.694-SUM(P133:Q133)</f>
        <v>15.799000000000003</v>
      </c>
      <c r="S133" s="19">
        <f t="shared" si="273"/>
        <v>14.888999999999996</v>
      </c>
      <c r="T133" s="19">
        <v>16.338000000000001</v>
      </c>
      <c r="U133" s="19">
        <f>35.745-T133</f>
        <v>19.406999999999996</v>
      </c>
      <c r="V133" s="58">
        <f>57.261-SUM(T133:U133)</f>
        <v>21.516000000000005</v>
      </c>
      <c r="W133" s="58">
        <f t="shared" ref="W133:W173" si="274">AC133-SUM(T133:V133)</f>
        <v>25.895000000000003</v>
      </c>
      <c r="X133" s="36"/>
      <c r="Y133" s="19">
        <v>0</v>
      </c>
      <c r="Z133" s="19">
        <v>0</v>
      </c>
      <c r="AA133" s="19">
        <v>49.786000000000001</v>
      </c>
      <c r="AB133" s="19">
        <v>59.582999999999998</v>
      </c>
      <c r="AC133" s="19">
        <v>83.156000000000006</v>
      </c>
    </row>
    <row r="134" spans="2:29" outlineLevel="2" x14ac:dyDescent="0.25">
      <c r="B134" s="2" t="s">
        <v>127</v>
      </c>
      <c r="C134" s="20" t="s">
        <v>15</v>
      </c>
      <c r="D134" s="19">
        <v>0</v>
      </c>
      <c r="E134" s="19">
        <v>0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f t="shared" ref="N134" si="275">-SUM(L134:M134)</f>
        <v>0</v>
      </c>
      <c r="O134" s="19">
        <f t="shared" si="272"/>
        <v>0</v>
      </c>
      <c r="P134" s="19">
        <v>0</v>
      </c>
      <c r="Q134" s="19">
        <v>0</v>
      </c>
      <c r="R134" s="19">
        <v>0</v>
      </c>
      <c r="S134" s="19">
        <f t="shared" si="273"/>
        <v>0</v>
      </c>
      <c r="T134" s="19">
        <v>0</v>
      </c>
      <c r="U134" s="19">
        <v>0</v>
      </c>
      <c r="V134" s="58">
        <v>0</v>
      </c>
      <c r="W134" s="58">
        <f t="shared" si="274"/>
        <v>0</v>
      </c>
      <c r="X134" s="36"/>
      <c r="Y134" s="19">
        <f t="shared" ref="Y134:Y153" si="276">SUM(D134:G134)</f>
        <v>0</v>
      </c>
      <c r="Z134" s="19">
        <f t="shared" ref="Z134:Z153" si="277">SUM(H134:K134)</f>
        <v>0</v>
      </c>
      <c r="AA134" s="19">
        <v>0</v>
      </c>
      <c r="AB134" s="19">
        <v>0</v>
      </c>
      <c r="AC134" s="19">
        <v>0</v>
      </c>
    </row>
    <row r="135" spans="2:29" outlineLevel="2" x14ac:dyDescent="0.25">
      <c r="B135" s="2" t="s">
        <v>128</v>
      </c>
      <c r="C135" s="20" t="s">
        <v>15</v>
      </c>
      <c r="D135" s="19">
        <v>-5.7889999999999997</v>
      </c>
      <c r="E135" s="19">
        <v>8.44</v>
      </c>
      <c r="F135" s="19">
        <v>2.3340000000000001</v>
      </c>
      <c r="G135" s="19">
        <v>-6.194</v>
      </c>
      <c r="H135" s="19">
        <v>0.28699999999999998</v>
      </c>
      <c r="I135" s="19">
        <v>6.2640000000000002</v>
      </c>
      <c r="J135" s="19">
        <v>6.06</v>
      </c>
      <c r="K135" s="19">
        <v>1.478</v>
      </c>
      <c r="L135" s="19">
        <v>5.6630000000000003</v>
      </c>
      <c r="M135" s="19">
        <f>16.145-L135</f>
        <v>10.481999999999999</v>
      </c>
      <c r="N135" s="19">
        <f>-8.632+29.873-SUM(L135:M135)</f>
        <v>5.0960000000000001</v>
      </c>
      <c r="O135" s="19">
        <f t="shared" si="272"/>
        <v>-1.7180000000000035</v>
      </c>
      <c r="P135" s="19">
        <f>-6.78+14.947</f>
        <v>8.166999999999998</v>
      </c>
      <c r="Q135" s="19">
        <f>-9.652+25.574-P135</f>
        <v>7.7550000000000043</v>
      </c>
      <c r="R135" s="19">
        <f>22.653-SUM(P135:Q135)</f>
        <v>6.7309999999999963</v>
      </c>
      <c r="S135" s="19">
        <f t="shared" si="273"/>
        <v>2.8939999999999984</v>
      </c>
      <c r="T135" s="19">
        <f>-7.612+23.127</f>
        <v>15.514999999999999</v>
      </c>
      <c r="U135" s="19">
        <f>-17.486+43.367-T135</f>
        <v>10.365999999999998</v>
      </c>
      <c r="V135" s="58">
        <f>-30.141+62.652-SUM(T135:U135)</f>
        <v>6.6300000000000061</v>
      </c>
      <c r="W135" s="58">
        <f t="shared" si="274"/>
        <v>18.573</v>
      </c>
      <c r="X135" s="36"/>
      <c r="Y135" s="19">
        <f t="shared" si="276"/>
        <v>-1.2090000000000005</v>
      </c>
      <c r="Z135" s="19">
        <f t="shared" si="277"/>
        <v>14.089</v>
      </c>
      <c r="AA135" s="19">
        <f>-10.118+29.641</f>
        <v>19.522999999999996</v>
      </c>
      <c r="AB135" s="19">
        <f>-23.329+48.876</f>
        <v>25.546999999999997</v>
      </c>
      <c r="AC135" s="19">
        <v>51.084000000000003</v>
      </c>
    </row>
    <row r="136" spans="2:29" outlineLevel="2" x14ac:dyDescent="0.25">
      <c r="B136" s="2" t="s">
        <v>129</v>
      </c>
      <c r="C136" s="20" t="s">
        <v>15</v>
      </c>
      <c r="D136" s="19">
        <v>-8.0000000000000002E-3</v>
      </c>
      <c r="E136" s="19">
        <v>-3.9E-2</v>
      </c>
      <c r="F136" s="19">
        <v>0.72299999999999998</v>
      </c>
      <c r="G136" s="19">
        <v>-2.3E-2</v>
      </c>
      <c r="H136" s="19">
        <v>0.42499999999999999</v>
      </c>
      <c r="I136" s="19">
        <v>-0.40100000000000002</v>
      </c>
      <c r="J136" s="19">
        <v>-3.0000000000000001E-3</v>
      </c>
      <c r="K136" s="19">
        <v>-1E-3</v>
      </c>
      <c r="L136" s="19">
        <v>0.318</v>
      </c>
      <c r="M136" s="19">
        <f>0.302-L136</f>
        <v>-1.6000000000000014E-2</v>
      </c>
      <c r="N136" s="19">
        <f>0.276-SUM(L136:M136)</f>
        <v>-2.5999999999999968E-2</v>
      </c>
      <c r="O136" s="19">
        <f t="shared" si="272"/>
        <v>-0.79300000000000004</v>
      </c>
      <c r="P136" s="19">
        <v>5.3999999999999999E-2</v>
      </c>
      <c r="Q136" s="19">
        <f>0.079-P136</f>
        <v>2.5000000000000001E-2</v>
      </c>
      <c r="R136" s="19">
        <f>0.73-SUM(P136:Q136)</f>
        <v>0.65100000000000002</v>
      </c>
      <c r="S136" s="19">
        <f t="shared" si="273"/>
        <v>-0.33599999999999997</v>
      </c>
      <c r="T136" s="19">
        <v>6.4130000000000003</v>
      </c>
      <c r="U136" s="19">
        <f>19.645-T136</f>
        <v>13.231999999999999</v>
      </c>
      <c r="V136" s="58">
        <f>29.727-SUM(T136:U136)</f>
        <v>10.082000000000001</v>
      </c>
      <c r="W136" s="58">
        <f t="shared" si="274"/>
        <v>-22.489000000000001</v>
      </c>
      <c r="X136" s="36"/>
      <c r="Y136" s="19">
        <f t="shared" si="276"/>
        <v>0.65299999999999991</v>
      </c>
      <c r="Z136" s="19">
        <f t="shared" si="277"/>
        <v>1.9999999999999966E-2</v>
      </c>
      <c r="AA136" s="19">
        <v>-0.51700000000000002</v>
      </c>
      <c r="AB136" s="19">
        <v>0.39400000000000002</v>
      </c>
      <c r="AC136" s="19">
        <v>7.2380000000000004</v>
      </c>
    </row>
    <row r="137" spans="2:29" outlineLevel="2" x14ac:dyDescent="0.25">
      <c r="B137" s="2" t="s">
        <v>130</v>
      </c>
      <c r="C137" s="20" t="s">
        <v>15</v>
      </c>
      <c r="D137" s="19">
        <v>-18.335000000000001</v>
      </c>
      <c r="E137" s="19">
        <v>-10.182</v>
      </c>
      <c r="F137" s="19">
        <v>-10.486000000000001</v>
      </c>
      <c r="G137" s="19">
        <v>-10.009</v>
      </c>
      <c r="H137" s="19">
        <v>-16.637</v>
      </c>
      <c r="I137" s="19">
        <v>-17.721</v>
      </c>
      <c r="J137" s="19">
        <v>-19.805</v>
      </c>
      <c r="K137" s="19">
        <v>-19.463000000000001</v>
      </c>
      <c r="L137" s="19">
        <v>-18.774999999999999</v>
      </c>
      <c r="M137" s="19">
        <f>-48.007-L137</f>
        <v>-29.231999999999999</v>
      </c>
      <c r="N137" s="19">
        <f>-65.603-SUM(L137:M137)</f>
        <v>-17.595999999999997</v>
      </c>
      <c r="O137" s="19">
        <f t="shared" si="272"/>
        <v>-21.172000000000011</v>
      </c>
      <c r="P137" s="19">
        <v>-18.134</v>
      </c>
      <c r="Q137" s="19">
        <f>-32.703-P137</f>
        <v>-14.569000000000003</v>
      </c>
      <c r="R137" s="19">
        <f>-42.339-SUM(P137:Q137)</f>
        <v>-9.6359999999999957</v>
      </c>
      <c r="S137" s="19">
        <f t="shared" si="273"/>
        <v>-14.993000000000002</v>
      </c>
      <c r="T137" s="19">
        <v>-17.32</v>
      </c>
      <c r="U137" s="19">
        <f>-48.308-T137</f>
        <v>-30.988</v>
      </c>
      <c r="V137" s="58">
        <f>-82.381-SUM(T137:U137)</f>
        <v>-34.073</v>
      </c>
      <c r="W137" s="58">
        <f t="shared" si="274"/>
        <v>-27.709999999999994</v>
      </c>
      <c r="X137" s="36"/>
      <c r="Y137" s="19">
        <f t="shared" si="276"/>
        <v>-49.012</v>
      </c>
      <c r="Z137" s="19">
        <f t="shared" si="277"/>
        <v>-73.626000000000005</v>
      </c>
      <c r="AA137" s="19">
        <v>-86.775000000000006</v>
      </c>
      <c r="AB137" s="19">
        <v>-57.332000000000001</v>
      </c>
      <c r="AC137" s="19">
        <v>-110.09099999999999</v>
      </c>
    </row>
    <row r="138" spans="2:29" outlineLevel="2" x14ac:dyDescent="0.25">
      <c r="B138" s="2" t="s">
        <v>131</v>
      </c>
      <c r="C138" s="20" t="s">
        <v>15</v>
      </c>
      <c r="D138" s="19">
        <v>4.694</v>
      </c>
      <c r="E138" s="19">
        <v>-8.3130000000000006</v>
      </c>
      <c r="F138" s="19">
        <v>5.46</v>
      </c>
      <c r="G138" s="19">
        <v>-6.1390000000000002</v>
      </c>
      <c r="H138" s="19">
        <v>-2E-3</v>
      </c>
      <c r="I138" s="19">
        <v>0.21099999999999999</v>
      </c>
      <c r="J138" s="19">
        <v>-0.48199999999999998</v>
      </c>
      <c r="K138" s="19">
        <v>4.7E-2</v>
      </c>
      <c r="L138" s="19">
        <v>-0.02</v>
      </c>
      <c r="M138" s="19">
        <f>-0.068-L138</f>
        <v>-4.8000000000000001E-2</v>
      </c>
      <c r="N138" s="19">
        <f>-0.296-SUM(L138:M138)</f>
        <v>-0.22799999999999998</v>
      </c>
      <c r="O138" s="19">
        <f t="shared" si="272"/>
        <v>-0.36100000000000004</v>
      </c>
      <c r="P138" s="19">
        <v>0.29399999999999998</v>
      </c>
      <c r="Q138" s="19">
        <f>0.377-P138</f>
        <v>8.3000000000000018E-2</v>
      </c>
      <c r="R138" s="19">
        <f>0.458-SUM(P138:Q138)</f>
        <v>8.1000000000000016E-2</v>
      </c>
      <c r="S138" s="19">
        <f t="shared" si="273"/>
        <v>1.4999999999999958E-2</v>
      </c>
      <c r="T138" s="19">
        <v>-4.0000000000000001E-3</v>
      </c>
      <c r="U138" s="19">
        <f>-2.498-T138</f>
        <v>-2.4940000000000002</v>
      </c>
      <c r="V138" s="58">
        <f>-0.982-SUM(T138:U138)</f>
        <v>1.5160000000000002</v>
      </c>
      <c r="W138" s="58">
        <f t="shared" si="274"/>
        <v>0.44699999999999995</v>
      </c>
      <c r="X138" s="36"/>
      <c r="Y138" s="19">
        <f t="shared" si="276"/>
        <v>-4.2980000000000009</v>
      </c>
      <c r="Z138" s="19">
        <f t="shared" si="277"/>
        <v>-0.22600000000000003</v>
      </c>
      <c r="AA138" s="19">
        <v>-0.65700000000000003</v>
      </c>
      <c r="AB138" s="19">
        <v>0.47299999999999998</v>
      </c>
      <c r="AC138" s="19">
        <v>-0.53500000000000003</v>
      </c>
    </row>
    <row r="139" spans="2:29" outlineLevel="2" x14ac:dyDescent="0.25">
      <c r="B139" s="2" t="s">
        <v>132</v>
      </c>
      <c r="C139" s="20" t="s">
        <v>15</v>
      </c>
      <c r="D139" s="19">
        <v>47.359000000000002</v>
      </c>
      <c r="E139" s="19">
        <v>24.602</v>
      </c>
      <c r="F139" s="19">
        <v>51.86</v>
      </c>
      <c r="G139" s="19">
        <v>39.320999999999998</v>
      </c>
      <c r="H139" s="19">
        <v>63.296999999999997</v>
      </c>
      <c r="I139" s="19">
        <v>43.451999999999998</v>
      </c>
      <c r="J139" s="19">
        <v>56.040999999999997</v>
      </c>
      <c r="K139" s="19">
        <v>41.612000000000002</v>
      </c>
      <c r="L139" s="19">
        <v>81.009</v>
      </c>
      <c r="M139" s="19">
        <f>146.078-L139</f>
        <v>65.069000000000003</v>
      </c>
      <c r="N139" s="19">
        <f>205.344-SUM(L139:M139)</f>
        <v>59.265999999999991</v>
      </c>
      <c r="O139" s="19">
        <f t="shared" si="272"/>
        <v>90.25</v>
      </c>
      <c r="P139" s="19">
        <v>120.63500000000001</v>
      </c>
      <c r="Q139" s="19">
        <f>288.05-P139</f>
        <v>167.41500000000002</v>
      </c>
      <c r="R139" s="19">
        <f>408.85-SUM(P139:Q139)</f>
        <v>120.80000000000001</v>
      </c>
      <c r="S139" s="19">
        <f t="shared" si="273"/>
        <v>100.572</v>
      </c>
      <c r="T139" s="19">
        <v>25.36</v>
      </c>
      <c r="U139" s="19">
        <f>33.824-T139</f>
        <v>8.4639999999999986</v>
      </c>
      <c r="V139" s="58">
        <f>55.04-SUM(T139:U139)</f>
        <v>21.216000000000001</v>
      </c>
      <c r="W139" s="58">
        <f t="shared" si="274"/>
        <v>24.470999999999997</v>
      </c>
      <c r="X139" s="36"/>
      <c r="Y139" s="19">
        <f t="shared" si="276"/>
        <v>163.142</v>
      </c>
      <c r="Z139" s="19">
        <f t="shared" si="277"/>
        <v>204.40199999999999</v>
      </c>
      <c r="AA139" s="19">
        <v>295.59399999999999</v>
      </c>
      <c r="AB139" s="19">
        <v>509.42200000000003</v>
      </c>
      <c r="AC139" s="19">
        <v>79.510999999999996</v>
      </c>
    </row>
    <row r="140" spans="2:29" outlineLevel="2" x14ac:dyDescent="0.25">
      <c r="B140" s="2" t="s">
        <v>133</v>
      </c>
      <c r="C140" s="20" t="s">
        <v>15</v>
      </c>
      <c r="D140" s="19">
        <v>6.2240000000000002</v>
      </c>
      <c r="E140" s="19">
        <v>13.723000000000001</v>
      </c>
      <c r="F140" s="19">
        <v>6.6609999999999996</v>
      </c>
      <c r="G140" s="19">
        <v>6.6369999999999996</v>
      </c>
      <c r="H140" s="19">
        <v>8.1020000000000003</v>
      </c>
      <c r="I140" s="19">
        <v>11.744999999999999</v>
      </c>
      <c r="J140" s="19">
        <v>-4.1100000000000003</v>
      </c>
      <c r="K140" s="19">
        <v>13.244</v>
      </c>
      <c r="L140" s="19">
        <v>-1.0609999999999999</v>
      </c>
      <c r="M140" s="19">
        <f>5.392-L140</f>
        <v>6.4530000000000003</v>
      </c>
      <c r="N140" s="19">
        <f>11.827-SUM(L140:M140)</f>
        <v>6.4349999999999996</v>
      </c>
      <c r="O140" s="19">
        <f t="shared" si="272"/>
        <v>8.4820000000000011</v>
      </c>
      <c r="P140" s="19">
        <v>13.525</v>
      </c>
      <c r="Q140" s="19">
        <f>20.355-P140</f>
        <v>6.83</v>
      </c>
      <c r="R140" s="19">
        <f>28.44-SUM(P140:Q140)</f>
        <v>8.0850000000000009</v>
      </c>
      <c r="S140" s="19">
        <f t="shared" si="273"/>
        <v>8.4409999999999989</v>
      </c>
      <c r="T140" s="19">
        <v>54.966999999999999</v>
      </c>
      <c r="U140" s="19">
        <f>72.9-T140</f>
        <v>17.933000000000007</v>
      </c>
      <c r="V140" s="58">
        <f>107.93-SUM(T140:U140)</f>
        <v>35.03</v>
      </c>
      <c r="W140" s="58">
        <f t="shared" si="274"/>
        <v>-11.381</v>
      </c>
      <c r="X140" s="36"/>
      <c r="Y140" s="19">
        <f t="shared" si="276"/>
        <v>33.245000000000005</v>
      </c>
      <c r="Z140" s="19">
        <f t="shared" si="277"/>
        <v>28.981000000000002</v>
      </c>
      <c r="AA140" s="19">
        <v>20.309000000000001</v>
      </c>
      <c r="AB140" s="19">
        <v>36.881</v>
      </c>
      <c r="AC140" s="19">
        <v>96.549000000000007</v>
      </c>
    </row>
    <row r="141" spans="2:29" outlineLevel="2" x14ac:dyDescent="0.25">
      <c r="B141" s="2" t="s">
        <v>121</v>
      </c>
      <c r="C141" s="20" t="s">
        <v>15</v>
      </c>
      <c r="D141" s="19">
        <v>20.57</v>
      </c>
      <c r="E141" s="19">
        <v>20.763999999999999</v>
      </c>
      <c r="F141" s="19">
        <v>2.794</v>
      </c>
      <c r="G141" s="19">
        <v>-35.411999999999999</v>
      </c>
      <c r="H141" s="19">
        <v>7.5220000000000002</v>
      </c>
      <c r="I141" s="19">
        <v>20.271000000000001</v>
      </c>
      <c r="J141" s="19">
        <v>15.631</v>
      </c>
      <c r="K141" s="19">
        <v>30.48</v>
      </c>
      <c r="L141" s="19">
        <v>10.269</v>
      </c>
      <c r="M141" s="19">
        <f>64.571-L141</f>
        <v>54.302</v>
      </c>
      <c r="N141" s="19">
        <f>74.6-SUM(L141:M141)</f>
        <v>10.028999999999996</v>
      </c>
      <c r="O141" s="19">
        <f t="shared" si="272"/>
        <v>8.7259999999999991</v>
      </c>
      <c r="P141" s="19">
        <v>5.9749999999999996</v>
      </c>
      <c r="Q141" s="19">
        <f>10.624-P141</f>
        <v>4.6490000000000009</v>
      </c>
      <c r="R141" s="19">
        <f>23.578-SUM(P141:Q141)</f>
        <v>12.953999999999999</v>
      </c>
      <c r="S141" s="19">
        <f t="shared" si="273"/>
        <v>6.208000000000002</v>
      </c>
      <c r="T141" s="19">
        <v>45.174999999999997</v>
      </c>
      <c r="U141" s="19">
        <f>49.095-T141</f>
        <v>3.9200000000000017</v>
      </c>
      <c r="V141" s="58">
        <f>59.795-SUM(T141:U141)</f>
        <v>10.700000000000003</v>
      </c>
      <c r="W141" s="58">
        <f t="shared" si="274"/>
        <v>23.792999999999992</v>
      </c>
      <c r="X141" s="36"/>
      <c r="Y141" s="19">
        <f t="shared" si="276"/>
        <v>8.7160000000000011</v>
      </c>
      <c r="Z141" s="19">
        <f t="shared" si="277"/>
        <v>73.903999999999996</v>
      </c>
      <c r="AA141" s="19">
        <v>83.325999999999993</v>
      </c>
      <c r="AB141" s="19">
        <v>29.786000000000001</v>
      </c>
      <c r="AC141" s="19">
        <v>83.587999999999994</v>
      </c>
    </row>
    <row r="142" spans="2:29" outlineLevel="2" x14ac:dyDescent="0.25">
      <c r="B142" s="2" t="s">
        <v>134</v>
      </c>
      <c r="C142" s="20" t="s">
        <v>15</v>
      </c>
      <c r="D142" s="19">
        <v>-0.66400000000000003</v>
      </c>
      <c r="E142" s="19">
        <v>-8.8999999999999996E-2</v>
      </c>
      <c r="F142" s="19">
        <v>2.5950000000000002</v>
      </c>
      <c r="G142" s="19">
        <v>2.09</v>
      </c>
      <c r="H142" s="19">
        <v>-3.242</v>
      </c>
      <c r="I142" s="19">
        <v>-10.340999999999999</v>
      </c>
      <c r="J142" s="19">
        <v>10.448</v>
      </c>
      <c r="K142" s="19">
        <v>1.94</v>
      </c>
      <c r="L142" s="19">
        <v>1.6879999999999999</v>
      </c>
      <c r="M142" s="19">
        <f>1.888-L142</f>
        <v>0.19999999999999996</v>
      </c>
      <c r="N142" s="19">
        <f>3.54-SUM(L142:M142)</f>
        <v>1.6520000000000001</v>
      </c>
      <c r="O142" s="19">
        <f t="shared" si="272"/>
        <v>-17.649000000000001</v>
      </c>
      <c r="P142" s="19">
        <v>3.2890000000000001</v>
      </c>
      <c r="Q142" s="19">
        <f>14.138-P142</f>
        <v>10.849</v>
      </c>
      <c r="R142" s="19">
        <f>15.594-SUM(P142:Q142)</f>
        <v>1.4559999999999995</v>
      </c>
      <c r="S142" s="19">
        <f t="shared" si="273"/>
        <v>-0.3620000000000001</v>
      </c>
      <c r="T142" s="19">
        <v>-5.181</v>
      </c>
      <c r="U142" s="19">
        <f>-0.921-T142</f>
        <v>4.26</v>
      </c>
      <c r="V142" s="58">
        <f>0.921-SUM(T142:U142)</f>
        <v>1.8420000000000003</v>
      </c>
      <c r="W142" s="58">
        <f t="shared" si="274"/>
        <v>-4.0869999999999997</v>
      </c>
      <c r="X142" s="36"/>
      <c r="Y142" s="19">
        <f t="shared" si="276"/>
        <v>3.9319999999999999</v>
      </c>
      <c r="Z142" s="19">
        <f t="shared" si="277"/>
        <v>-1.1949999999999981</v>
      </c>
      <c r="AA142" s="19">
        <v>-14.109</v>
      </c>
      <c r="AB142" s="19">
        <v>15.231999999999999</v>
      </c>
      <c r="AC142" s="19">
        <v>-3.1659999999999999</v>
      </c>
    </row>
    <row r="143" spans="2:29" outlineLevel="2" x14ac:dyDescent="0.25">
      <c r="B143" s="2" t="s">
        <v>135</v>
      </c>
      <c r="C143" s="20" t="s">
        <v>15</v>
      </c>
      <c r="D143" s="19">
        <v>9.3610000000000007</v>
      </c>
      <c r="E143" s="19">
        <v>9.5939999999999994</v>
      </c>
      <c r="F143" s="19">
        <v>12.125</v>
      </c>
      <c r="G143" s="19">
        <v>15.734999999999999</v>
      </c>
      <c r="H143" s="19">
        <v>9.4</v>
      </c>
      <c r="I143" s="19">
        <v>13.234</v>
      </c>
      <c r="J143" s="19">
        <v>7.3019999999999996</v>
      </c>
      <c r="K143" s="19">
        <v>17.675000000000001</v>
      </c>
      <c r="L143" s="19">
        <v>18.385000000000002</v>
      </c>
      <c r="M143" s="19">
        <f>34.859-L143</f>
        <v>16.474</v>
      </c>
      <c r="N143" s="19">
        <f>48.519-SUM(L143:M143)</f>
        <v>13.659999999999997</v>
      </c>
      <c r="O143" s="19">
        <f t="shared" si="272"/>
        <v>32.835000000000001</v>
      </c>
      <c r="P143" s="19">
        <v>18.896000000000001</v>
      </c>
      <c r="Q143" s="19">
        <f>41.087-P143</f>
        <v>22.191000000000003</v>
      </c>
      <c r="R143" s="19">
        <f>67.613-SUM(P143:Q143)</f>
        <v>26.525999999999996</v>
      </c>
      <c r="S143" s="19">
        <f t="shared" si="273"/>
        <v>28.247</v>
      </c>
      <c r="T143" s="19">
        <v>27.449000000000002</v>
      </c>
      <c r="U143" s="19">
        <f>55.344-T143</f>
        <v>27.895</v>
      </c>
      <c r="V143" s="58">
        <f>83.068-SUM(T143:U143)</f>
        <v>27.723999999999997</v>
      </c>
      <c r="W143" s="58">
        <f t="shared" si="274"/>
        <v>25.897999999999996</v>
      </c>
      <c r="X143" s="36"/>
      <c r="Y143" s="19">
        <f t="shared" si="276"/>
        <v>46.814999999999998</v>
      </c>
      <c r="Z143" s="19">
        <f t="shared" si="277"/>
        <v>47.611000000000004</v>
      </c>
      <c r="AA143" s="19">
        <v>81.353999999999999</v>
      </c>
      <c r="AB143" s="19">
        <v>95.86</v>
      </c>
      <c r="AC143" s="19">
        <v>108.96599999999999</v>
      </c>
    </row>
    <row r="144" spans="2:29" outlineLevel="2" x14ac:dyDescent="0.25">
      <c r="B144" s="2" t="s">
        <v>136</v>
      </c>
      <c r="C144" s="20" t="s">
        <v>15</v>
      </c>
      <c r="D144" s="19">
        <v>0</v>
      </c>
      <c r="E144" s="19">
        <v>0</v>
      </c>
      <c r="F144" s="19">
        <v>0</v>
      </c>
      <c r="G144" s="19">
        <v>0</v>
      </c>
      <c r="H144" s="19">
        <v>2.9910000000000001</v>
      </c>
      <c r="I144" s="19">
        <v>15.494</v>
      </c>
      <c r="J144" s="19">
        <v>-8.9979999999999993</v>
      </c>
      <c r="K144" s="19">
        <v>1.7290000000000001</v>
      </c>
      <c r="L144" s="19">
        <v>0.96299999999999997</v>
      </c>
      <c r="M144" s="19">
        <f>4.855-L144</f>
        <v>3.8920000000000003</v>
      </c>
      <c r="N144" s="19">
        <f>6.988-SUM(L144:M144)</f>
        <v>2.133</v>
      </c>
      <c r="O144" s="19">
        <f t="shared" si="272"/>
        <v>2.5209999999999999</v>
      </c>
      <c r="P144" s="19">
        <v>2.5390000000000001</v>
      </c>
      <c r="Q144" s="19">
        <f>6.192-P144</f>
        <v>3.653</v>
      </c>
      <c r="R144" s="19">
        <f>7.684-SUM(P144:Q144)</f>
        <v>1.492</v>
      </c>
      <c r="S144" s="19">
        <f t="shared" si="273"/>
        <v>0.34100000000000019</v>
      </c>
      <c r="T144" s="19">
        <v>3.24</v>
      </c>
      <c r="U144" s="19">
        <f>-2.134-T144</f>
        <v>-5.3740000000000006</v>
      </c>
      <c r="V144" s="58">
        <f>-1.445-SUM(T144:U144)</f>
        <v>0.68900000000000028</v>
      </c>
      <c r="W144" s="58">
        <f t="shared" si="274"/>
        <v>0.13200000000000012</v>
      </c>
      <c r="X144" s="36"/>
      <c r="Y144" s="19">
        <f t="shared" si="276"/>
        <v>0</v>
      </c>
      <c r="Z144" s="19">
        <f t="shared" si="277"/>
        <v>11.216000000000001</v>
      </c>
      <c r="AA144" s="19">
        <v>9.5090000000000003</v>
      </c>
      <c r="AB144" s="19">
        <v>8.0250000000000004</v>
      </c>
      <c r="AC144" s="19">
        <v>-1.3129999999999999</v>
      </c>
    </row>
    <row r="145" spans="2:29" outlineLevel="2" x14ac:dyDescent="0.25">
      <c r="B145" s="2" t="s">
        <v>137</v>
      </c>
      <c r="C145" s="20" t="s">
        <v>15</v>
      </c>
      <c r="D145" s="19">
        <v>13.36</v>
      </c>
      <c r="E145" s="19">
        <v>17.289000000000001</v>
      </c>
      <c r="F145" s="19">
        <v>22.189</v>
      </c>
      <c r="G145" s="19">
        <v>25.286999999999999</v>
      </c>
      <c r="H145" s="19">
        <v>29.324000000000002</v>
      </c>
      <c r="I145" s="19">
        <v>33.607999999999997</v>
      </c>
      <c r="J145" s="19">
        <v>38.817999999999998</v>
      </c>
      <c r="K145" s="19">
        <v>43.966999999999999</v>
      </c>
      <c r="L145" s="19">
        <v>49.435000000000002</v>
      </c>
      <c r="M145" s="19">
        <f>101.896-L145</f>
        <v>52.460999999999999</v>
      </c>
      <c r="N145" s="19">
        <f>161.944-SUM(L145:M145)</f>
        <v>60.047999999999988</v>
      </c>
      <c r="O145" s="19">
        <f t="shared" si="272"/>
        <v>69.106999999999999</v>
      </c>
      <c r="P145" s="19">
        <v>70.004000000000005</v>
      </c>
      <c r="Q145" s="19">
        <f>140.566-P145</f>
        <v>70.561999999999998</v>
      </c>
      <c r="R145" s="19">
        <f>216.019-SUM(P145:Q145)</f>
        <v>75.453000000000003</v>
      </c>
      <c r="S145" s="19">
        <f t="shared" si="273"/>
        <v>78.048999999999978</v>
      </c>
      <c r="T145" s="19">
        <v>82.358999999999995</v>
      </c>
      <c r="U145" s="19">
        <f>167.636-T145</f>
        <v>85.277000000000001</v>
      </c>
      <c r="V145" s="58">
        <f>264.585-SUM(T145:U145)</f>
        <v>96.948999999999984</v>
      </c>
      <c r="W145" s="58">
        <f t="shared" si="274"/>
        <v>95.628000000000043</v>
      </c>
      <c r="X145" s="36"/>
      <c r="Y145" s="19">
        <f t="shared" si="276"/>
        <v>78.125</v>
      </c>
      <c r="Z145" s="19">
        <f t="shared" si="277"/>
        <v>145.71699999999998</v>
      </c>
      <c r="AA145" s="19">
        <v>231.05099999999999</v>
      </c>
      <c r="AB145" s="19">
        <v>294.06799999999998</v>
      </c>
      <c r="AC145" s="19">
        <v>360.21300000000002</v>
      </c>
    </row>
    <row r="146" spans="2:29" outlineLevel="2" x14ac:dyDescent="0.25">
      <c r="B146" s="2" t="s">
        <v>138</v>
      </c>
      <c r="C146" s="20" t="s">
        <v>15</v>
      </c>
      <c r="D146" s="19">
        <v>9.3620000000000001</v>
      </c>
      <c r="E146" s="19">
        <v>9.6579999999999995</v>
      </c>
      <c r="F146" s="19">
        <v>28.728000000000002</v>
      </c>
      <c r="G146" s="19">
        <v>11.093999999999999</v>
      </c>
      <c r="H146" s="19">
        <v>11.476000000000001</v>
      </c>
      <c r="I146" s="19">
        <v>7.6340000000000003</v>
      </c>
      <c r="J146" s="19">
        <v>8.3629999999999995</v>
      </c>
      <c r="K146" s="19">
        <v>11.956</v>
      </c>
      <c r="L146" s="19">
        <v>11.098000000000001</v>
      </c>
      <c r="M146" s="19">
        <f>22.968-L146</f>
        <v>11.87</v>
      </c>
      <c r="N146" s="19">
        <f>34.69-SUM(L146:M146)</f>
        <v>11.721999999999998</v>
      </c>
      <c r="O146" s="19">
        <f t="shared" si="272"/>
        <v>10.210000000000001</v>
      </c>
      <c r="P146" s="19">
        <v>8.4429999999999996</v>
      </c>
      <c r="Q146" s="19">
        <f>14.707-P146</f>
        <v>6.2640000000000011</v>
      </c>
      <c r="R146" s="19">
        <f>14.704-SUM(P146:Q146)</f>
        <v>-3.0000000000001137E-3</v>
      </c>
      <c r="S146" s="19">
        <f t="shared" si="273"/>
        <v>0</v>
      </c>
      <c r="T146" s="19">
        <v>0</v>
      </c>
      <c r="U146" s="19">
        <v>0</v>
      </c>
      <c r="V146" s="58">
        <f>0-SUM(T146:U146)</f>
        <v>0</v>
      </c>
      <c r="W146" s="58">
        <f t="shared" si="274"/>
        <v>0</v>
      </c>
      <c r="X146" s="36"/>
      <c r="Y146" s="19">
        <f t="shared" si="276"/>
        <v>58.842000000000006</v>
      </c>
      <c r="Z146" s="19">
        <f t="shared" si="277"/>
        <v>39.429000000000002</v>
      </c>
      <c r="AA146" s="19">
        <v>44.9</v>
      </c>
      <c r="AB146" s="19">
        <v>14.704000000000001</v>
      </c>
      <c r="AC146" s="19">
        <v>0</v>
      </c>
    </row>
    <row r="147" spans="2:29" outlineLevel="2" x14ac:dyDescent="0.25">
      <c r="B147" s="2" t="s">
        <v>139</v>
      </c>
      <c r="C147" s="20" t="s">
        <v>15</v>
      </c>
      <c r="D147" s="19">
        <v>25.727</v>
      </c>
      <c r="E147" s="19">
        <v>20.748000000000001</v>
      </c>
      <c r="F147" s="19">
        <v>18.382999999999999</v>
      </c>
      <c r="G147" s="19">
        <v>14.904999999999999</v>
      </c>
      <c r="H147" s="19">
        <v>27.331</v>
      </c>
      <c r="I147" s="19">
        <v>12.522</v>
      </c>
      <c r="J147" s="19">
        <v>12.878</v>
      </c>
      <c r="K147" s="19">
        <v>12.54</v>
      </c>
      <c r="L147" s="19">
        <v>24.219000000000001</v>
      </c>
      <c r="M147" s="19">
        <f>52.58-L147</f>
        <v>28.360999999999997</v>
      </c>
      <c r="N147" s="19">
        <f>89.726-SUM(L147:M147)</f>
        <v>37.146000000000001</v>
      </c>
      <c r="O147" s="19">
        <f t="shared" si="272"/>
        <v>37.197000000000003</v>
      </c>
      <c r="P147" s="19">
        <v>25.5</v>
      </c>
      <c r="Q147" s="19">
        <f>36.504-P147</f>
        <v>11.003999999999998</v>
      </c>
      <c r="R147" s="19">
        <f>45.628-SUM(P147:Q147)</f>
        <v>9.1240000000000023</v>
      </c>
      <c r="S147" s="19">
        <f t="shared" si="273"/>
        <v>20.221999999999994</v>
      </c>
      <c r="T147" s="19">
        <v>24.593</v>
      </c>
      <c r="U147" s="19">
        <f>55.694-T147</f>
        <v>31.101000000000003</v>
      </c>
      <c r="V147" s="58">
        <f>97.623-SUM(T147:U147)</f>
        <v>41.929000000000002</v>
      </c>
      <c r="W147" s="58">
        <f t="shared" si="274"/>
        <v>78.904999999999987</v>
      </c>
      <c r="X147" s="36"/>
      <c r="Y147" s="19">
        <f t="shared" si="276"/>
        <v>79.763000000000005</v>
      </c>
      <c r="Z147" s="19">
        <f t="shared" si="277"/>
        <v>65.271000000000001</v>
      </c>
      <c r="AA147" s="19">
        <v>126.923</v>
      </c>
      <c r="AB147" s="19">
        <v>65.849999999999994</v>
      </c>
      <c r="AC147" s="19">
        <v>176.52799999999999</v>
      </c>
    </row>
    <row r="148" spans="2:29" outlineLevel="2" x14ac:dyDescent="0.25">
      <c r="B148" s="2" t="s">
        <v>140</v>
      </c>
      <c r="C148" s="20" t="s">
        <v>15</v>
      </c>
      <c r="D148" s="19">
        <v>0</v>
      </c>
      <c r="E148" s="19">
        <v>0.73499999999999999</v>
      </c>
      <c r="F148" s="19">
        <v>6.0010000000000003</v>
      </c>
      <c r="G148" s="19">
        <v>6.5819999999999999</v>
      </c>
      <c r="H148" s="19">
        <v>11.856</v>
      </c>
      <c r="I148" s="19">
        <v>8.8640000000000008</v>
      </c>
      <c r="J148" s="19">
        <v>6.3390000000000004</v>
      </c>
      <c r="K148" s="19">
        <v>7.4429999999999996</v>
      </c>
      <c r="L148" s="19">
        <v>5.3239999999999998</v>
      </c>
      <c r="M148" s="19">
        <f>10.615-L148</f>
        <v>5.2910000000000004</v>
      </c>
      <c r="N148" s="19">
        <f>14.774-SUM(L148:M148)</f>
        <v>4.1589999999999989</v>
      </c>
      <c r="O148" s="19">
        <f t="shared" si="272"/>
        <v>3.4320000000000004</v>
      </c>
      <c r="P148" s="19">
        <v>4.7370000000000001</v>
      </c>
      <c r="Q148" s="19">
        <f>14.189-P148</f>
        <v>9.452</v>
      </c>
      <c r="R148" s="19">
        <f>28.538-SUM(P148:Q148)</f>
        <v>14.349</v>
      </c>
      <c r="S148" s="19">
        <f t="shared" si="273"/>
        <v>11.370999999999999</v>
      </c>
      <c r="T148" s="19">
        <v>14.321</v>
      </c>
      <c r="U148" s="19">
        <f>32.938-T148</f>
        <v>18.617000000000004</v>
      </c>
      <c r="V148" s="58">
        <f>58.564-SUM(T148:U148)</f>
        <v>25.625999999999998</v>
      </c>
      <c r="W148" s="58">
        <f t="shared" si="274"/>
        <v>36.777999999999999</v>
      </c>
      <c r="X148" s="36"/>
      <c r="Y148" s="19">
        <f t="shared" si="276"/>
        <v>13.318000000000001</v>
      </c>
      <c r="Z148" s="19">
        <f t="shared" si="277"/>
        <v>34.501999999999995</v>
      </c>
      <c r="AA148" s="19">
        <v>18.206</v>
      </c>
      <c r="AB148" s="19">
        <v>39.908999999999999</v>
      </c>
      <c r="AC148" s="19">
        <v>95.341999999999999</v>
      </c>
    </row>
    <row r="149" spans="2:29" outlineLevel="2" x14ac:dyDescent="0.25">
      <c r="B149" s="2" t="s">
        <v>408</v>
      </c>
      <c r="C149" s="20" t="s">
        <v>15</v>
      </c>
      <c r="D149" s="19">
        <v>0</v>
      </c>
      <c r="E149" s="19">
        <v>0</v>
      </c>
      <c r="F149" s="19">
        <v>0</v>
      </c>
      <c r="G149" s="19">
        <v>0</v>
      </c>
      <c r="H149" s="19">
        <v>0</v>
      </c>
      <c r="I149" s="19">
        <v>0</v>
      </c>
      <c r="J149" s="19">
        <v>0</v>
      </c>
      <c r="K149" s="44">
        <v>0</v>
      </c>
      <c r="L149" s="19">
        <v>9.907</v>
      </c>
      <c r="M149" s="19">
        <f>16.939-L149</f>
        <v>7.032</v>
      </c>
      <c r="N149" s="19">
        <f>26.245-SUM(L149:M149)</f>
        <v>9.3060000000000009</v>
      </c>
      <c r="O149" s="19">
        <f t="shared" si="272"/>
        <v>12.376999999999999</v>
      </c>
      <c r="P149" s="19">
        <v>11.18</v>
      </c>
      <c r="Q149" s="19">
        <f>22.732-P149</f>
        <v>11.552</v>
      </c>
      <c r="R149" s="19">
        <f>33.122-SUM(P149:Q149)</f>
        <v>10.39</v>
      </c>
      <c r="S149" s="19">
        <f t="shared" si="273"/>
        <v>10.837000000000003</v>
      </c>
      <c r="T149" s="19">
        <v>12.337</v>
      </c>
      <c r="U149" s="19">
        <f>28.34-T149</f>
        <v>16.003</v>
      </c>
      <c r="V149" s="58">
        <f>42.713-SUM(T149:U149)</f>
        <v>14.373000000000001</v>
      </c>
      <c r="W149" s="58">
        <f t="shared" si="274"/>
        <v>18.106000000000002</v>
      </c>
      <c r="X149" s="36"/>
      <c r="Y149" s="19">
        <f t="shared" si="276"/>
        <v>0</v>
      </c>
      <c r="Z149" s="19">
        <f t="shared" si="277"/>
        <v>0</v>
      </c>
      <c r="AA149" s="19">
        <v>38.622</v>
      </c>
      <c r="AB149" s="19">
        <v>43.959000000000003</v>
      </c>
      <c r="AC149" s="19">
        <v>60.819000000000003</v>
      </c>
    </row>
    <row r="150" spans="2:29" outlineLevel="2" x14ac:dyDescent="0.25">
      <c r="B150" s="2" t="s">
        <v>141</v>
      </c>
      <c r="C150" s="20" t="s">
        <v>15</v>
      </c>
      <c r="D150" s="19">
        <v>3.8149999999999999</v>
      </c>
      <c r="E150" s="19">
        <v>3.601</v>
      </c>
      <c r="F150" s="19">
        <v>2.84</v>
      </c>
      <c r="G150" s="19">
        <v>3.206</v>
      </c>
      <c r="H150" s="19">
        <v>4.2789999999999999</v>
      </c>
      <c r="I150" s="19">
        <v>7.4039999999999999</v>
      </c>
      <c r="J150" s="19">
        <v>8.3770000000000007</v>
      </c>
      <c r="K150" s="19">
        <v>7.5650000000000004</v>
      </c>
      <c r="L150" s="19">
        <v>7.0069999999999997</v>
      </c>
      <c r="M150" s="19">
        <f>19.324-L150</f>
        <v>12.317000000000002</v>
      </c>
      <c r="N150" s="19">
        <f>32.82-SUM(L150:M150)</f>
        <v>13.495999999999999</v>
      </c>
      <c r="O150" s="19">
        <f t="shared" si="272"/>
        <v>11.447000000000003</v>
      </c>
      <c r="P150" s="19">
        <v>10.923999999999999</v>
      </c>
      <c r="Q150" s="19">
        <f>23.495-P150</f>
        <v>12.571000000000002</v>
      </c>
      <c r="R150" s="19">
        <f>36.052-SUM(P150:Q150)</f>
        <v>12.556999999999999</v>
      </c>
      <c r="S150" s="19">
        <f t="shared" si="273"/>
        <v>12.689</v>
      </c>
      <c r="T150" s="19">
        <v>12.093999999999999</v>
      </c>
      <c r="U150" s="19">
        <f>16.664-T150</f>
        <v>4.5700000000000021</v>
      </c>
      <c r="V150" s="58">
        <f>22.376-SUM(T150:U150)</f>
        <v>5.7119999999999997</v>
      </c>
      <c r="W150" s="58">
        <f t="shared" si="274"/>
        <v>5.4249999999999972</v>
      </c>
      <c r="X150" s="36"/>
      <c r="Y150" s="19">
        <f t="shared" si="276"/>
        <v>13.462</v>
      </c>
      <c r="Z150" s="19">
        <f t="shared" si="277"/>
        <v>27.625000000000004</v>
      </c>
      <c r="AA150" s="19">
        <v>44.267000000000003</v>
      </c>
      <c r="AB150" s="19">
        <v>48.741</v>
      </c>
      <c r="AC150" s="19">
        <v>27.800999999999998</v>
      </c>
    </row>
    <row r="151" spans="2:29" outlineLevel="2" x14ac:dyDescent="0.25">
      <c r="B151" s="2" t="s">
        <v>161</v>
      </c>
      <c r="C151" s="20" t="s">
        <v>15</v>
      </c>
      <c r="D151" s="19">
        <v>0</v>
      </c>
      <c r="E151" s="19">
        <v>0</v>
      </c>
      <c r="F151" s="19">
        <v>0</v>
      </c>
      <c r="G151" s="19">
        <v>2.6720000000000002</v>
      </c>
      <c r="H151" s="19">
        <v>0</v>
      </c>
      <c r="I151" s="19">
        <v>0</v>
      </c>
      <c r="J151" s="19">
        <v>0</v>
      </c>
      <c r="K151" s="19">
        <v>14.025</v>
      </c>
      <c r="L151" s="19">
        <v>1.732</v>
      </c>
      <c r="M151" s="19">
        <f>1.795-L151</f>
        <v>6.2999999999999945E-2</v>
      </c>
      <c r="N151" s="19">
        <f>-SUM(L151:M151)</f>
        <v>-1.7949999999999999</v>
      </c>
      <c r="O151" s="19">
        <f t="shared" si="272"/>
        <v>12.411</v>
      </c>
      <c r="P151" s="19">
        <v>7.0629999999999997</v>
      </c>
      <c r="Q151" s="19">
        <f>8.578-P151</f>
        <v>1.5149999999999997</v>
      </c>
      <c r="R151" s="19">
        <f>10.43-SUM(P151:Q151)</f>
        <v>1.8520000000000003</v>
      </c>
      <c r="S151" s="19">
        <f t="shared" si="273"/>
        <v>2.8529999999999998</v>
      </c>
      <c r="T151" s="19">
        <v>1.391</v>
      </c>
      <c r="U151" s="19">
        <f>2.695-T151</f>
        <v>1.3039999999999998</v>
      </c>
      <c r="V151" s="58">
        <f>5.449-SUM(T151:U151)</f>
        <v>2.754</v>
      </c>
      <c r="W151" s="58">
        <f t="shared" si="274"/>
        <v>6.8870000000000005</v>
      </c>
      <c r="X151" s="36"/>
      <c r="Y151" s="19">
        <f t="shared" si="276"/>
        <v>2.6720000000000002</v>
      </c>
      <c r="Z151" s="19">
        <f t="shared" si="277"/>
        <v>14.025</v>
      </c>
      <c r="AA151" s="19">
        <v>12.411</v>
      </c>
      <c r="AB151" s="19">
        <v>13.282999999999999</v>
      </c>
      <c r="AC151" s="19">
        <v>12.336</v>
      </c>
    </row>
    <row r="152" spans="2:29" outlineLevel="2" x14ac:dyDescent="0.25">
      <c r="B152" s="2" t="s">
        <v>142</v>
      </c>
      <c r="C152" s="20" t="s">
        <v>15</v>
      </c>
      <c r="D152" s="19">
        <v>4.8000000000000001E-2</v>
      </c>
      <c r="E152" s="19">
        <v>-4.5999999999999999E-2</v>
      </c>
      <c r="F152" s="19">
        <v>-1.143</v>
      </c>
      <c r="G152" s="19">
        <v>-2.5750000000000002</v>
      </c>
      <c r="H152" s="19">
        <v>0.14300000000027424</v>
      </c>
      <c r="I152" s="19">
        <v>0.10199999999999999</v>
      </c>
      <c r="J152" s="19">
        <v>7.0750000000000002</v>
      </c>
      <c r="K152" s="19">
        <v>58.412999999999997</v>
      </c>
      <c r="L152" s="19">
        <v>2.4E-2</v>
      </c>
      <c r="M152" s="19">
        <f>0.659-L152</f>
        <v>0.63500000000000001</v>
      </c>
      <c r="N152" s="19">
        <f>8.029+0.461-SUM(L152:M152)</f>
        <v>7.8310000000000004</v>
      </c>
      <c r="O152" s="19">
        <f t="shared" si="272"/>
        <v>-8.6560000000000006</v>
      </c>
      <c r="P152" s="19">
        <v>4.657</v>
      </c>
      <c r="Q152" s="19">
        <f>-0.056-4.195-P152</f>
        <v>-8.9080000000000013</v>
      </c>
      <c r="R152" s="19">
        <f>-6.306-SUM(P152:Q152)</f>
        <v>-2.0549999999999988</v>
      </c>
      <c r="S152" s="19">
        <f t="shared" si="273"/>
        <v>6.4240000000000004</v>
      </c>
      <c r="T152" s="19">
        <v>8.8999999999999996E-2</v>
      </c>
      <c r="U152" s="19">
        <f>0.07+7.161-T152</f>
        <v>7.1419999999999995</v>
      </c>
      <c r="V152" s="58">
        <f>6.878-SUM(T152:U152)</f>
        <v>-0.35299999999999976</v>
      </c>
      <c r="W152" s="58">
        <f t="shared" si="274"/>
        <v>-8.6910000000000007</v>
      </c>
      <c r="X152" s="36"/>
      <c r="Y152" s="19">
        <f t="shared" si="276"/>
        <v>-3.7160000000000002</v>
      </c>
      <c r="Z152" s="19">
        <f t="shared" si="277"/>
        <v>65.733000000000274</v>
      </c>
      <c r="AA152" s="19">
        <v>-0.16600000000000001</v>
      </c>
      <c r="AB152" s="19">
        <v>0.11799999999999999</v>
      </c>
      <c r="AC152" s="19">
        <v>-1.8129999999999999</v>
      </c>
    </row>
    <row r="153" spans="2:29" outlineLevel="2" x14ac:dyDescent="0.25">
      <c r="B153" s="2" t="s">
        <v>415</v>
      </c>
      <c r="C153" s="20" t="s">
        <v>15</v>
      </c>
      <c r="D153" s="19">
        <v>0</v>
      </c>
      <c r="E153" s="19">
        <v>0</v>
      </c>
      <c r="F153" s="19">
        <v>0</v>
      </c>
      <c r="G153" s="19">
        <v>0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19">
        <v>-0.48299999999999998</v>
      </c>
      <c r="N153" s="19">
        <f>-0.232-SUM(L153:M153)</f>
        <v>0.251</v>
      </c>
      <c r="O153" s="19">
        <f t="shared" si="272"/>
        <v>-7.9850000000000003</v>
      </c>
      <c r="P153" s="19">
        <f>-0.532</f>
        <v>-0.53200000000000003</v>
      </c>
      <c r="Q153" s="19">
        <f>-0.584-P153</f>
        <v>-5.1999999999999935E-2</v>
      </c>
      <c r="R153" s="19">
        <f>-2.742-SUM(P153:Q153)</f>
        <v>-2.1579999999999999</v>
      </c>
      <c r="S153" s="19">
        <f t="shared" si="273"/>
        <v>-5.0339999999999998</v>
      </c>
      <c r="T153" s="19">
        <f>-1.176-1.214</f>
        <v>-2.3899999999999997</v>
      </c>
      <c r="U153" s="19">
        <f>-1.992-T153</f>
        <v>0.39799999999999969</v>
      </c>
      <c r="V153" s="58">
        <f>0.415-2.666-SUM(T153:U153)</f>
        <v>-0.2589999999999999</v>
      </c>
      <c r="W153" s="58">
        <f t="shared" si="274"/>
        <v>6.8140000000000001</v>
      </c>
      <c r="X153" s="36"/>
      <c r="Y153" s="19">
        <f t="shared" si="276"/>
        <v>0</v>
      </c>
      <c r="Z153" s="19">
        <f t="shared" si="277"/>
        <v>0</v>
      </c>
      <c r="AA153" s="19">
        <v>-8.2170000000000005</v>
      </c>
      <c r="AB153" s="19">
        <f>-4.133-3.643</f>
        <v>-7.7759999999999998</v>
      </c>
      <c r="AC153" s="19">
        <v>4.5629999999999997</v>
      </c>
    </row>
    <row r="154" spans="2:29" outlineLevel="2" x14ac:dyDescent="0.25">
      <c r="B154" s="1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58"/>
      <c r="W154" s="58"/>
      <c r="X154" s="59"/>
      <c r="Y154" s="19"/>
      <c r="Z154" s="19"/>
      <c r="AA154" s="19"/>
      <c r="AB154" s="19"/>
      <c r="AC154" s="19"/>
    </row>
    <row r="155" spans="2:29" outlineLevel="2" x14ac:dyDescent="0.25">
      <c r="B155" s="2" t="s">
        <v>143</v>
      </c>
      <c r="C155" s="20" t="s">
        <v>15</v>
      </c>
      <c r="D155" s="19">
        <v>-6.5949999999999998</v>
      </c>
      <c r="E155" s="19">
        <v>1.4630000000000001</v>
      </c>
      <c r="F155" s="19">
        <v>-0.15</v>
      </c>
      <c r="G155" s="19">
        <v>-93.126999999999995</v>
      </c>
      <c r="H155" s="19">
        <v>-19.364000000000001</v>
      </c>
      <c r="I155" s="19">
        <v>41.295000000000002</v>
      </c>
      <c r="J155" s="19">
        <v>-110.52500000000001</v>
      </c>
      <c r="K155" s="19">
        <v>-31.233000000000001</v>
      </c>
      <c r="L155" s="19">
        <v>-35.418999999999997</v>
      </c>
      <c r="M155" s="19">
        <f>-84.767-L155</f>
        <v>-49.347999999999999</v>
      </c>
      <c r="N155" s="19">
        <f>-136.402-SUM(L155:M155)</f>
        <v>-51.634999999999991</v>
      </c>
      <c r="O155" s="19">
        <f>AA155-SUM(L155:N155)</f>
        <v>-77.047000000000025</v>
      </c>
      <c r="P155" s="19">
        <v>-84.111000000000004</v>
      </c>
      <c r="Q155" s="19">
        <f>-237.617-P155</f>
        <v>-153.50599999999997</v>
      </c>
      <c r="R155" s="19">
        <f>-334.293-SUM(P155:Q155)</f>
        <v>-96.676000000000045</v>
      </c>
      <c r="S155" s="19">
        <f>AB155-SUM(P155:R155)</f>
        <v>-54.183999999999969</v>
      </c>
      <c r="T155" s="19">
        <v>-75.683000000000007</v>
      </c>
      <c r="U155" s="19">
        <f>-93.35-T155</f>
        <v>-17.666999999999987</v>
      </c>
      <c r="V155" s="58">
        <f>-103.214-SUM(T155:U155)</f>
        <v>-9.8640000000000043</v>
      </c>
      <c r="W155" s="58">
        <f t="shared" si="274"/>
        <v>-10.909000000000006</v>
      </c>
      <c r="X155" s="36"/>
      <c r="Y155" s="19">
        <f>SUM(D155:G155)</f>
        <v>-98.408999999999992</v>
      </c>
      <c r="Z155" s="19">
        <f>SUM(H155:K155)</f>
        <v>-119.82700000000001</v>
      </c>
      <c r="AA155" s="19">
        <v>-213.44900000000001</v>
      </c>
      <c r="AB155" s="19">
        <v>-388.47699999999998</v>
      </c>
      <c r="AC155" s="19">
        <v>-114.123</v>
      </c>
    </row>
    <row r="156" spans="2:29" outlineLevel="1" x14ac:dyDescent="0.25">
      <c r="B156" s="5" t="s">
        <v>160</v>
      </c>
      <c r="C156" s="13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36"/>
      <c r="Y156" s="14"/>
      <c r="Z156" s="14"/>
      <c r="AA156" s="14"/>
      <c r="AB156" s="14"/>
      <c r="AC156" s="14"/>
    </row>
    <row r="157" spans="2:29" outlineLevel="2" x14ac:dyDescent="0.25">
      <c r="B157" s="2" t="s">
        <v>27</v>
      </c>
      <c r="C157" s="20" t="s">
        <v>15</v>
      </c>
      <c r="D157" s="19">
        <v>-22.896000000000001</v>
      </c>
      <c r="E157" s="19">
        <v>-32.697000000000003</v>
      </c>
      <c r="F157" s="19">
        <v>-25.167000000000002</v>
      </c>
      <c r="G157" s="19">
        <v>-36.688000000000002</v>
      </c>
      <c r="H157" s="19">
        <v>-2.7519999999999998</v>
      </c>
      <c r="I157" s="19">
        <v>-59.883000000000003</v>
      </c>
      <c r="J157" s="19">
        <v>-19.411000000000001</v>
      </c>
      <c r="K157" s="19">
        <v>-18.172000000000001</v>
      </c>
      <c r="L157" s="19">
        <v>-47.1</v>
      </c>
      <c r="M157" s="19">
        <f>-142.051-L157</f>
        <v>-94.950999999999993</v>
      </c>
      <c r="N157" s="19">
        <f>-147.533-SUM(L157:M157)</f>
        <v>-5.4819999999999993</v>
      </c>
      <c r="O157" s="19">
        <f t="shared" ref="O157:O163" si="278">AA157-SUM(L157:N157)</f>
        <v>-51.523000000000025</v>
      </c>
      <c r="P157" s="19">
        <v>-32.881</v>
      </c>
      <c r="Q157" s="19">
        <f>-9.242-P157</f>
        <v>23.638999999999999</v>
      </c>
      <c r="R157" s="19">
        <f>-109.701-SUM(P157:Q157)</f>
        <v>-100.45899999999999</v>
      </c>
      <c r="S157" s="19">
        <f t="shared" ref="S157:S163" si="279">AB157-SUM(P157:R157)</f>
        <v>-74.212000000000018</v>
      </c>
      <c r="T157" s="19">
        <v>18.645</v>
      </c>
      <c r="U157" s="19">
        <f>-74.394-T157</f>
        <v>-93.039000000000001</v>
      </c>
      <c r="V157" s="58">
        <f>-50.575-SUM(T157:U157)</f>
        <v>23.819000000000003</v>
      </c>
      <c r="W157" s="58">
        <f t="shared" si="274"/>
        <v>-26.234999999999999</v>
      </c>
      <c r="X157" s="36"/>
      <c r="Y157" s="19">
        <f t="shared" ref="Y157:Y163" si="280">SUM(D157:G157)</f>
        <v>-117.44800000000001</v>
      </c>
      <c r="Z157" s="19">
        <f t="shared" ref="Z157:Z163" si="281">SUM(H157:K157)</f>
        <v>-100.218</v>
      </c>
      <c r="AA157" s="19">
        <v>-199.05600000000001</v>
      </c>
      <c r="AB157" s="19">
        <v>-183.91300000000001</v>
      </c>
      <c r="AC157" s="19">
        <v>-76.81</v>
      </c>
    </row>
    <row r="158" spans="2:29" outlineLevel="2" x14ac:dyDescent="0.25">
      <c r="B158" s="2" t="s">
        <v>28</v>
      </c>
      <c r="C158" s="20" t="s">
        <v>15</v>
      </c>
      <c r="D158" s="19">
        <v>3.7839999999999998</v>
      </c>
      <c r="E158" s="19">
        <v>-4.1120000000000001</v>
      </c>
      <c r="F158" s="19">
        <v>1.0980000000000001</v>
      </c>
      <c r="G158" s="19">
        <v>-6.4000000000000001E-2</v>
      </c>
      <c r="H158" s="19">
        <v>3.0449999999999999</v>
      </c>
      <c r="I158" s="19">
        <v>-2.78</v>
      </c>
      <c r="J158" s="19">
        <v>-1.0269999999999999</v>
      </c>
      <c r="K158" s="19">
        <v>-5.5350000000000001</v>
      </c>
      <c r="L158" s="19">
        <v>5.7590000000000003</v>
      </c>
      <c r="M158" s="19">
        <f>-7.048-L158</f>
        <v>-12.807</v>
      </c>
      <c r="N158" s="19">
        <f>-2.547-SUM(L158:M158)</f>
        <v>4.5009999999999994</v>
      </c>
      <c r="O158" s="19">
        <f t="shared" si="278"/>
        <v>0.26600000000000046</v>
      </c>
      <c r="P158" s="19">
        <v>-23.434000000000001</v>
      </c>
      <c r="Q158" s="19">
        <f>-59.259-P158</f>
        <v>-35.825000000000003</v>
      </c>
      <c r="R158" s="19">
        <f>-35.012-SUM(P158:Q158)</f>
        <v>24.247</v>
      </c>
      <c r="S158" s="19">
        <f t="shared" si="279"/>
        <v>-10.179000000000002</v>
      </c>
      <c r="T158" s="19">
        <v>-16.533000000000001</v>
      </c>
      <c r="U158" s="19">
        <f>-68.943-T158</f>
        <v>-52.41</v>
      </c>
      <c r="V158" s="58">
        <f>-48.536-SUM(T158:U158)</f>
        <v>20.406999999999996</v>
      </c>
      <c r="W158" s="58">
        <f t="shared" si="274"/>
        <v>21.288</v>
      </c>
      <c r="X158" s="36"/>
      <c r="Y158" s="19">
        <f t="shared" si="280"/>
        <v>0.70599999999999974</v>
      </c>
      <c r="Z158" s="19">
        <f t="shared" si="281"/>
        <v>-6.2969999999999997</v>
      </c>
      <c r="AA158" s="19">
        <v>-2.2810000000000001</v>
      </c>
      <c r="AB158" s="19">
        <v>-45.191000000000003</v>
      </c>
      <c r="AC158" s="19">
        <v>-27.248000000000001</v>
      </c>
    </row>
    <row r="159" spans="2:29" outlineLevel="2" x14ac:dyDescent="0.25">
      <c r="B159" s="2" t="s">
        <v>108</v>
      </c>
      <c r="C159" s="20" t="s">
        <v>15</v>
      </c>
      <c r="D159" s="19">
        <v>-26.271000000000001</v>
      </c>
      <c r="E159" s="19">
        <v>-9.4269999999999996</v>
      </c>
      <c r="F159" s="19">
        <v>-17.623000000000001</v>
      </c>
      <c r="G159" s="19">
        <v>49.149000000000001</v>
      </c>
      <c r="H159" s="19">
        <v>-33.78</v>
      </c>
      <c r="I159" s="19">
        <v>-30.306000000000001</v>
      </c>
      <c r="J159" s="19">
        <v>26.86</v>
      </c>
      <c r="K159" s="19">
        <v>-8.5860000000000003</v>
      </c>
      <c r="L159" s="19">
        <v>-8.3390000000000004</v>
      </c>
      <c r="M159" s="19">
        <f>1.998-L159</f>
        <v>10.337</v>
      </c>
      <c r="N159" s="19">
        <f>-46.91-SUM(L159:M159)</f>
        <v>-48.907999999999994</v>
      </c>
      <c r="O159" s="19">
        <f t="shared" si="278"/>
        <v>-12.227000000000004</v>
      </c>
      <c r="P159" s="19">
        <v>23.725999999999999</v>
      </c>
      <c r="Q159" s="19">
        <f>6.1-P159</f>
        <v>-17.625999999999998</v>
      </c>
      <c r="R159" s="19">
        <f>15.715-SUM(P159:Q159)</f>
        <v>9.6149999999999984</v>
      </c>
      <c r="S159" s="19">
        <f t="shared" si="279"/>
        <v>-7.6319999999999997</v>
      </c>
      <c r="T159" s="19">
        <v>-10.468999999999999</v>
      </c>
      <c r="U159" s="19">
        <f>-36.548-T159</f>
        <v>-26.079000000000001</v>
      </c>
      <c r="V159" s="58">
        <f>-10.418-SUM(T159:U159)</f>
        <v>26.130000000000003</v>
      </c>
      <c r="W159" s="58">
        <f t="shared" si="274"/>
        <v>-16.673000000000002</v>
      </c>
      <c r="X159" s="36"/>
      <c r="Y159" s="19">
        <f t="shared" si="280"/>
        <v>-4.171999999999997</v>
      </c>
      <c r="Z159" s="19">
        <f t="shared" si="281"/>
        <v>-45.811999999999998</v>
      </c>
      <c r="AA159" s="19">
        <v>-59.137</v>
      </c>
      <c r="AB159" s="19">
        <v>8.0830000000000002</v>
      </c>
      <c r="AC159" s="19">
        <v>-27.091000000000001</v>
      </c>
    </row>
    <row r="160" spans="2:29" outlineLevel="2" x14ac:dyDescent="0.25">
      <c r="B160" s="2" t="s">
        <v>107</v>
      </c>
      <c r="C160" s="20" t="s">
        <v>15</v>
      </c>
      <c r="D160" s="19">
        <v>-52.441000000000003</v>
      </c>
      <c r="E160" s="19">
        <v>-53.005000000000003</v>
      </c>
      <c r="F160" s="19">
        <v>-52.869</v>
      </c>
      <c r="G160" s="19">
        <v>-45.000999999999998</v>
      </c>
      <c r="H160" s="19">
        <v>-39.484999999999999</v>
      </c>
      <c r="I160" s="19">
        <v>-37.265999999999998</v>
      </c>
      <c r="J160" s="19">
        <v>-48.023000000000003</v>
      </c>
      <c r="K160" s="19">
        <v>-54.408000000000001</v>
      </c>
      <c r="L160" s="19">
        <v>-55.406999999999996</v>
      </c>
      <c r="M160" s="19">
        <f>-119.025-L160</f>
        <v>-63.618000000000009</v>
      </c>
      <c r="N160" s="19">
        <f>-223.932-SUM(L160:M160)</f>
        <v>-104.90699999999998</v>
      </c>
      <c r="O160" s="19">
        <f t="shared" si="278"/>
        <v>-110.62899999999999</v>
      </c>
      <c r="P160" s="19">
        <v>-94.325999999999993</v>
      </c>
      <c r="Q160" s="19">
        <f>-204.544-P160</f>
        <v>-110.21800000000002</v>
      </c>
      <c r="R160" s="19">
        <f>-310.445-SUM(P160:Q160)</f>
        <v>-105.90099999999998</v>
      </c>
      <c r="S160" s="19">
        <f t="shared" si="279"/>
        <v>-92.357000000000028</v>
      </c>
      <c r="T160" s="19">
        <v>-76.094999999999999</v>
      </c>
      <c r="U160" s="19">
        <f>-171.083-T160</f>
        <v>-94.988</v>
      </c>
      <c r="V160" s="58">
        <f>-266.647-SUM(T160:U160)</f>
        <v>-95.563999999999993</v>
      </c>
      <c r="W160" s="58">
        <f t="shared" si="274"/>
        <v>-103.66300000000001</v>
      </c>
      <c r="X160" s="36"/>
      <c r="Y160" s="19">
        <f t="shared" si="280"/>
        <v>-203.316</v>
      </c>
      <c r="Z160" s="19">
        <f t="shared" si="281"/>
        <v>-179.18200000000002</v>
      </c>
      <c r="AA160" s="19">
        <v>-334.56099999999998</v>
      </c>
      <c r="AB160" s="19">
        <v>-402.80200000000002</v>
      </c>
      <c r="AC160" s="19">
        <v>-370.31</v>
      </c>
    </row>
    <row r="161" spans="2:31" outlineLevel="2" x14ac:dyDescent="0.25">
      <c r="B161" s="2" t="s">
        <v>144</v>
      </c>
      <c r="C161" s="20" t="s">
        <v>15</v>
      </c>
      <c r="D161" s="19">
        <v>-0.79100000000000004</v>
      </c>
      <c r="E161" s="19">
        <v>0.79</v>
      </c>
      <c r="F161" s="19">
        <v>5.7249999999999996</v>
      </c>
      <c r="G161" s="19">
        <v>18.719000000000001</v>
      </c>
      <c r="H161" s="19">
        <v>4.9000000000000004</v>
      </c>
      <c r="I161" s="19">
        <v>-34.853000000000002</v>
      </c>
      <c r="J161" s="19">
        <v>37.691000000000003</v>
      </c>
      <c r="K161" s="19">
        <v>34.652000000000001</v>
      </c>
      <c r="L161" s="19">
        <v>-6.9059999999999997</v>
      </c>
      <c r="M161" s="19">
        <f>-26.444-L161</f>
        <v>-19.538</v>
      </c>
      <c r="N161" s="19">
        <f>-47.082-SUM(L161:M161)</f>
        <v>-20.638000000000002</v>
      </c>
      <c r="O161" s="19">
        <f t="shared" si="278"/>
        <v>29.518000000000001</v>
      </c>
      <c r="P161" s="19">
        <v>-62.197000000000003</v>
      </c>
      <c r="Q161" s="19">
        <f>-2.38-P161</f>
        <v>59.817</v>
      </c>
      <c r="R161" s="19">
        <f>-1.467-SUM(P161:Q161)</f>
        <v>0.91300000000000248</v>
      </c>
      <c r="S161" s="19">
        <f t="shared" si="279"/>
        <v>-2.0640000000000001</v>
      </c>
      <c r="T161" s="19">
        <v>-0.48099999999999998</v>
      </c>
      <c r="U161" s="19">
        <f>0-T161</f>
        <v>0.48099999999999998</v>
      </c>
      <c r="V161" s="58">
        <f>0-SUM(T161:U161)</f>
        <v>0</v>
      </c>
      <c r="W161" s="58">
        <f t="shared" si="274"/>
        <v>0</v>
      </c>
      <c r="X161" s="36"/>
      <c r="Y161" s="19">
        <f t="shared" si="280"/>
        <v>24.443000000000001</v>
      </c>
      <c r="Z161" s="19">
        <f t="shared" si="281"/>
        <v>42.39</v>
      </c>
      <c r="AA161" s="19">
        <v>-17.564</v>
      </c>
      <c r="AB161" s="19">
        <v>-3.5310000000000001</v>
      </c>
      <c r="AC161" s="19">
        <v>0</v>
      </c>
    </row>
    <row r="162" spans="2:31" outlineLevel="2" x14ac:dyDescent="0.25">
      <c r="B162" s="2" t="s">
        <v>110</v>
      </c>
      <c r="C162" s="20" t="s">
        <v>15</v>
      </c>
      <c r="D162" s="19">
        <v>3.5939999999999999</v>
      </c>
      <c r="E162" s="19">
        <v>-7.7210000000000001</v>
      </c>
      <c r="F162" s="19">
        <v>-12.706</v>
      </c>
      <c r="G162" s="19">
        <v>13.855</v>
      </c>
      <c r="H162" s="19">
        <v>-4.5510000000000002</v>
      </c>
      <c r="I162" s="19">
        <v>-10.076000000000001</v>
      </c>
      <c r="J162" s="19">
        <v>-6.2240000000000002</v>
      </c>
      <c r="K162" s="19">
        <v>6.4329999999999998</v>
      </c>
      <c r="L162" s="19">
        <v>-44.908000000000001</v>
      </c>
      <c r="M162" s="19">
        <f>-52.71-L162</f>
        <v>-7.8019999999999996</v>
      </c>
      <c r="N162" s="19">
        <f>-81.881-SUM(L162:M162)</f>
        <v>-29.170999999999999</v>
      </c>
      <c r="O162" s="19">
        <f t="shared" si="278"/>
        <v>-133.01900000000001</v>
      </c>
      <c r="P162" s="19">
        <v>-112.32599999999999</v>
      </c>
      <c r="Q162" s="19">
        <f>-137.28-P162</f>
        <v>-24.954000000000008</v>
      </c>
      <c r="R162" s="19">
        <f>-199.337-SUM(P162:Q162)</f>
        <v>-62.056999999999988</v>
      </c>
      <c r="S162" s="19">
        <f t="shared" si="279"/>
        <v>-33.259000000000015</v>
      </c>
      <c r="T162" s="19">
        <v>-14.901999999999999</v>
      </c>
      <c r="U162" s="19">
        <f>-30.33-T162</f>
        <v>-15.427999999999999</v>
      </c>
      <c r="V162" s="58">
        <f>-93.564-SUM(T162:U162)</f>
        <v>-63.233999999999995</v>
      </c>
      <c r="W162" s="58">
        <f t="shared" si="274"/>
        <v>-51.991000000000014</v>
      </c>
      <c r="X162" s="36"/>
      <c r="Y162" s="19">
        <f t="shared" si="280"/>
        <v>-2.977999999999998</v>
      </c>
      <c r="Z162" s="19">
        <f t="shared" si="281"/>
        <v>-14.417999999999999</v>
      </c>
      <c r="AA162" s="19">
        <v>-214.9</v>
      </c>
      <c r="AB162" s="19">
        <v>-232.596</v>
      </c>
      <c r="AC162" s="19">
        <v>-145.55500000000001</v>
      </c>
    </row>
    <row r="163" spans="2:31" outlineLevel="2" x14ac:dyDescent="0.25">
      <c r="B163" s="2" t="s">
        <v>29</v>
      </c>
      <c r="C163" s="20" t="s">
        <v>15</v>
      </c>
      <c r="D163" s="19">
        <v>-21.399000000000001</v>
      </c>
      <c r="E163" s="19">
        <v>-38.651000000000003</v>
      </c>
      <c r="F163" s="19">
        <v>-10.393000000000001</v>
      </c>
      <c r="G163" s="19">
        <v>-6.9169999999999998</v>
      </c>
      <c r="H163" s="19">
        <v>-32.353999999999999</v>
      </c>
      <c r="I163" s="19">
        <v>-52.418999999999997</v>
      </c>
      <c r="J163" s="19">
        <v>11.888999999999999</v>
      </c>
      <c r="K163" s="19">
        <v>-96.472999999999999</v>
      </c>
      <c r="L163" s="19">
        <v>20.146000000000001</v>
      </c>
      <c r="M163" s="19">
        <f>-68.198-L163</f>
        <v>-88.343999999999994</v>
      </c>
      <c r="N163" s="19">
        <f>-139.837-SUM(L163:M163)</f>
        <v>-71.638999999999996</v>
      </c>
      <c r="O163" s="19">
        <f t="shared" si="278"/>
        <v>-65.118000000000023</v>
      </c>
      <c r="P163" s="19">
        <v>-110.78</v>
      </c>
      <c r="Q163" s="19">
        <f>-136.774-P163</f>
        <v>-25.994</v>
      </c>
      <c r="R163" s="19">
        <f>-155.898-SUM(P163:Q163)</f>
        <v>-19.123999999999995</v>
      </c>
      <c r="S163" s="19">
        <f t="shared" si="279"/>
        <v>-64.193000000000012</v>
      </c>
      <c r="T163" s="19">
        <v>-134.30799999999999</v>
      </c>
      <c r="U163" s="19">
        <f>-213.98-T163</f>
        <v>-79.671999999999997</v>
      </c>
      <c r="V163" s="58">
        <f>-189.566-SUM(T163:U163)</f>
        <v>24.413999999999987</v>
      </c>
      <c r="W163" s="58">
        <f t="shared" si="274"/>
        <v>-34.048000000000002</v>
      </c>
      <c r="X163" s="36"/>
      <c r="Y163" s="19">
        <f t="shared" si="280"/>
        <v>-77.360000000000014</v>
      </c>
      <c r="Z163" s="19">
        <f t="shared" si="281"/>
        <v>-169.357</v>
      </c>
      <c r="AA163" s="19">
        <v>-204.95500000000001</v>
      </c>
      <c r="AB163" s="19">
        <v>-220.09100000000001</v>
      </c>
      <c r="AC163" s="19">
        <v>-223.614</v>
      </c>
    </row>
    <row r="164" spans="2:31" outlineLevel="1" x14ac:dyDescent="0.25">
      <c r="B164" s="5" t="s">
        <v>159</v>
      </c>
      <c r="C164" s="13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36"/>
      <c r="Y164" s="14"/>
      <c r="Z164" s="14"/>
      <c r="AA164" s="14"/>
      <c r="AB164" s="14"/>
      <c r="AC164" s="14"/>
    </row>
    <row r="165" spans="2:31" outlineLevel="2" x14ac:dyDescent="0.25">
      <c r="B165" s="2" t="s">
        <v>33</v>
      </c>
      <c r="C165" s="20" t="s">
        <v>15</v>
      </c>
      <c r="D165" s="19">
        <v>-3.6040000000000001</v>
      </c>
      <c r="E165" s="19">
        <v>6.2080000000000002</v>
      </c>
      <c r="F165" s="19">
        <v>-12.244</v>
      </c>
      <c r="G165" s="19">
        <v>12.85</v>
      </c>
      <c r="H165" s="19">
        <v>-8.7780000000000005</v>
      </c>
      <c r="I165" s="19">
        <v>5.6059999999999999</v>
      </c>
      <c r="J165" s="19">
        <v>6.2610000000000001</v>
      </c>
      <c r="K165" s="19">
        <v>-62.618000000000002</v>
      </c>
      <c r="L165" s="19">
        <v>-55.656999999999996</v>
      </c>
      <c r="M165" s="19">
        <f>-59.502-L165</f>
        <v>-3.845000000000006</v>
      </c>
      <c r="N165" s="19">
        <f>-128.798-SUM(L165:M165)</f>
        <v>-69.295999999999992</v>
      </c>
      <c r="O165" s="19">
        <f t="shared" ref="O165:O173" si="282">AA165-SUM(L165:N165)</f>
        <v>-26.414999999999992</v>
      </c>
      <c r="P165" s="19">
        <v>-40.863</v>
      </c>
      <c r="Q165" s="19">
        <f>-41.162-P165</f>
        <v>-0.29899999999999949</v>
      </c>
      <c r="R165" s="19">
        <f>-79.446-SUM(P165:Q165)</f>
        <v>-38.283999999999999</v>
      </c>
      <c r="S165" s="19">
        <f t="shared" ref="S165:S173" si="283">AB165-SUM(P165:R165)</f>
        <v>12.599999999999994</v>
      </c>
      <c r="T165" s="19">
        <v>-42.506999999999998</v>
      </c>
      <c r="U165" s="19">
        <f>-237.042-T165</f>
        <v>-194.535</v>
      </c>
      <c r="V165" s="58">
        <f>-85.468-SUM(T165:U165)</f>
        <v>151.57400000000001</v>
      </c>
      <c r="W165" s="58">
        <f t="shared" si="274"/>
        <v>-96.039000000000016</v>
      </c>
      <c r="X165" s="36"/>
      <c r="Y165" s="19">
        <f t="shared" ref="Y165:Y173" si="284">SUM(D165:G165)</f>
        <v>3.2099999999999991</v>
      </c>
      <c r="Z165" s="19">
        <f t="shared" ref="Z165:Z173" si="285">SUM(H165:K165)</f>
        <v>-59.529000000000003</v>
      </c>
      <c r="AA165" s="19">
        <v>-155.21299999999999</v>
      </c>
      <c r="AB165" s="19">
        <v>-66.846000000000004</v>
      </c>
      <c r="AC165" s="19">
        <v>-181.50700000000001</v>
      </c>
    </row>
    <row r="166" spans="2:31" outlineLevel="2" x14ac:dyDescent="0.25">
      <c r="B166" s="2" t="s">
        <v>111</v>
      </c>
      <c r="C166" s="20" t="s">
        <v>15</v>
      </c>
      <c r="D166" s="19">
        <v>-11.739000000000001</v>
      </c>
      <c r="E166" s="19">
        <v>18.638999999999999</v>
      </c>
      <c r="F166" s="19">
        <v>19.03</v>
      </c>
      <c r="G166" s="19">
        <v>-22.052</v>
      </c>
      <c r="H166" s="19">
        <v>-29.041</v>
      </c>
      <c r="I166" s="19">
        <v>24.859000000000002</v>
      </c>
      <c r="J166" s="19">
        <v>9.766</v>
      </c>
      <c r="K166" s="19">
        <v>-15.776999999999999</v>
      </c>
      <c r="L166" s="19">
        <v>-8.4149999999999991</v>
      </c>
      <c r="M166" s="19">
        <f>13.658-L166</f>
        <v>22.073</v>
      </c>
      <c r="N166" s="19">
        <f>43.462-SUM(L166:M166)</f>
        <v>29.804000000000002</v>
      </c>
      <c r="O166" s="19">
        <f t="shared" si="282"/>
        <v>-66.413000000000011</v>
      </c>
      <c r="P166" s="19">
        <v>-6.6529999999999996</v>
      </c>
      <c r="Q166" s="19">
        <f>42.737-P166</f>
        <v>49.39</v>
      </c>
      <c r="R166" s="19">
        <f>92.053-SUM(P166:Q166)</f>
        <v>49.315999999999995</v>
      </c>
      <c r="S166" s="19">
        <f t="shared" si="283"/>
        <v>-64.38</v>
      </c>
      <c r="T166" s="19">
        <v>-19.425000000000001</v>
      </c>
      <c r="U166" s="19">
        <f>25.844-T166</f>
        <v>45.269000000000005</v>
      </c>
      <c r="V166" s="58">
        <f>57.78-SUM(T166:U166)</f>
        <v>31.935999999999996</v>
      </c>
      <c r="W166" s="58">
        <f t="shared" si="274"/>
        <v>-91.93</v>
      </c>
      <c r="X166" s="36"/>
      <c r="Y166" s="19">
        <f t="shared" si="284"/>
        <v>3.8780000000000001</v>
      </c>
      <c r="Z166" s="19">
        <f t="shared" si="285"/>
        <v>-10.192999999999998</v>
      </c>
      <c r="AA166" s="19">
        <v>-22.951000000000001</v>
      </c>
      <c r="AB166" s="19">
        <v>27.672999999999998</v>
      </c>
      <c r="AC166" s="19">
        <v>-34.15</v>
      </c>
    </row>
    <row r="167" spans="2:31" outlineLevel="2" x14ac:dyDescent="0.25">
      <c r="B167" s="2" t="s">
        <v>112</v>
      </c>
      <c r="C167" s="20" t="s">
        <v>15</v>
      </c>
      <c r="D167" s="19">
        <v>20.277000000000001</v>
      </c>
      <c r="E167" s="19">
        <v>6.84</v>
      </c>
      <c r="F167" s="19">
        <v>20.631</v>
      </c>
      <c r="G167" s="19">
        <v>15.138</v>
      </c>
      <c r="H167" s="19">
        <v>5.109</v>
      </c>
      <c r="I167" s="19">
        <v>5.8330000000000002</v>
      </c>
      <c r="J167" s="19">
        <v>13.246</v>
      </c>
      <c r="K167" s="19">
        <v>7.883</v>
      </c>
      <c r="L167" s="19">
        <v>87.578999999999994</v>
      </c>
      <c r="M167" s="19">
        <f>35.324-L167</f>
        <v>-52.254999999999995</v>
      </c>
      <c r="N167" s="19">
        <f>59.022-SUM(L167:M167)</f>
        <v>23.698</v>
      </c>
      <c r="O167" s="19">
        <f t="shared" si="282"/>
        <v>19.186</v>
      </c>
      <c r="P167" s="19">
        <v>41.689</v>
      </c>
      <c r="Q167" s="19">
        <f>170.807-P167</f>
        <v>129.11799999999999</v>
      </c>
      <c r="R167" s="19">
        <f>148.193-SUM(P167:Q167)</f>
        <v>-22.613999999999976</v>
      </c>
      <c r="S167" s="19">
        <f t="shared" si="283"/>
        <v>-44.688000000000017</v>
      </c>
      <c r="T167" s="19">
        <v>44.667000000000002</v>
      </c>
      <c r="U167" s="19">
        <f>32.369-T167</f>
        <v>-12.298000000000002</v>
      </c>
      <c r="V167" s="58">
        <f>52.373-SUM(T167:U167)</f>
        <v>20.003999999999998</v>
      </c>
      <c r="W167" s="58">
        <f t="shared" si="274"/>
        <v>23.353000000000002</v>
      </c>
      <c r="X167" s="36"/>
      <c r="Y167" s="19">
        <f t="shared" si="284"/>
        <v>62.886000000000003</v>
      </c>
      <c r="Z167" s="19">
        <f t="shared" si="285"/>
        <v>32.071000000000005</v>
      </c>
      <c r="AA167" s="19">
        <v>78.207999999999998</v>
      </c>
      <c r="AB167" s="19">
        <v>103.505</v>
      </c>
      <c r="AC167" s="19">
        <v>75.725999999999999</v>
      </c>
    </row>
    <row r="168" spans="2:31" outlineLevel="2" x14ac:dyDescent="0.25">
      <c r="B168" s="2" t="s">
        <v>72</v>
      </c>
      <c r="C168" s="20" t="s">
        <v>15</v>
      </c>
      <c r="D168" s="19">
        <v>-7.4749999999999996</v>
      </c>
      <c r="E168" s="19">
        <v>57.435000000000002</v>
      </c>
      <c r="F168" s="19">
        <v>22.544</v>
      </c>
      <c r="G168" s="19">
        <v>-42.475000000000001</v>
      </c>
      <c r="H168" s="19">
        <v>58.454999999999998</v>
      </c>
      <c r="I168" s="19">
        <v>-9.9719999999999995</v>
      </c>
      <c r="J168" s="19">
        <v>18.617000000000001</v>
      </c>
      <c r="K168" s="19">
        <v>-37.438000000000002</v>
      </c>
      <c r="L168" s="19">
        <v>60.109000000000002</v>
      </c>
      <c r="M168" s="19">
        <f>125.82-L168</f>
        <v>65.710999999999984</v>
      </c>
      <c r="N168" s="19">
        <f>179.982-SUM(L168:M168)</f>
        <v>54.162000000000006</v>
      </c>
      <c r="O168" s="19">
        <f t="shared" si="282"/>
        <v>93.962999999999994</v>
      </c>
      <c r="P168" s="19">
        <v>181.89500000000001</v>
      </c>
      <c r="Q168" s="19">
        <f>67.009+23.307-P168</f>
        <v>-91.579000000000008</v>
      </c>
      <c r="R168" s="19">
        <f>175.018+24.265-SUM(P168:Q168)</f>
        <v>108.96700000000001</v>
      </c>
      <c r="S168" s="19">
        <f t="shared" si="283"/>
        <v>-35.326999999999998</v>
      </c>
      <c r="T168" s="19">
        <f>23.152+1.47</f>
        <v>24.622</v>
      </c>
      <c r="U168" s="19">
        <f>38.866+6.996-T168</f>
        <v>21.240000000000002</v>
      </c>
      <c r="V168" s="58">
        <f>63.822+16.245-SUM(T168:U168)</f>
        <v>34.205000000000005</v>
      </c>
      <c r="W168" s="58">
        <f t="shared" si="274"/>
        <v>44.86099999999999</v>
      </c>
      <c r="X168" s="36"/>
      <c r="Y168" s="19">
        <f t="shared" si="284"/>
        <v>30.029000000000003</v>
      </c>
      <c r="Z168" s="19">
        <f t="shared" si="285"/>
        <v>29.661999999999992</v>
      </c>
      <c r="AA168" s="19">
        <v>273.94499999999999</v>
      </c>
      <c r="AB168" s="19">
        <f>136.394+27.562</f>
        <v>163.95600000000002</v>
      </c>
      <c r="AC168" s="19">
        <v>124.928</v>
      </c>
    </row>
    <row r="169" spans="2:31" outlineLevel="2" x14ac:dyDescent="0.25">
      <c r="B169" s="2" t="s">
        <v>414</v>
      </c>
      <c r="C169" s="20" t="s">
        <v>15</v>
      </c>
      <c r="D169" s="19">
        <v>0</v>
      </c>
      <c r="E169" s="19">
        <v>0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  <c r="M169" s="19">
        <v>-23.475999999999999</v>
      </c>
      <c r="N169" s="19">
        <f>0-SUM(L169:M169)</f>
        <v>23.475999999999999</v>
      </c>
      <c r="O169" s="19">
        <f t="shared" si="282"/>
        <v>-5.4790000000000001</v>
      </c>
      <c r="P169" s="19">
        <v>0</v>
      </c>
      <c r="Q169" s="19">
        <v>-60.064999999999998</v>
      </c>
      <c r="R169" s="19">
        <f>-66.283-SUM(P169:Q169)</f>
        <v>-6.2180000000000035</v>
      </c>
      <c r="S169" s="19">
        <f t="shared" si="283"/>
        <v>1.8389999999999986</v>
      </c>
      <c r="T169" s="19">
        <v>15.686999999999999</v>
      </c>
      <c r="U169" s="19">
        <f>32.033-T169</f>
        <v>16.346000000000004</v>
      </c>
      <c r="V169" s="58">
        <f>0-SUM(T169:U169)</f>
        <v>-32.033000000000001</v>
      </c>
      <c r="W169" s="58">
        <f t="shared" si="274"/>
        <v>-66.475999999999999</v>
      </c>
      <c r="X169" s="36"/>
      <c r="Y169" s="19">
        <f t="shared" si="284"/>
        <v>0</v>
      </c>
      <c r="Z169" s="19">
        <f t="shared" si="285"/>
        <v>0</v>
      </c>
      <c r="AA169" s="19">
        <v>-5.4790000000000001</v>
      </c>
      <c r="AB169" s="19">
        <v>-64.444000000000003</v>
      </c>
      <c r="AC169" s="19">
        <v>-66.475999999999999</v>
      </c>
    </row>
    <row r="170" spans="2:31" outlineLevel="2" x14ac:dyDescent="0.25">
      <c r="B170" s="2" t="s">
        <v>120</v>
      </c>
      <c r="C170" s="20" t="s">
        <v>15</v>
      </c>
      <c r="D170" s="19">
        <v>1.131</v>
      </c>
      <c r="E170" s="19">
        <v>-2.6949999999999998</v>
      </c>
      <c r="F170" s="19">
        <v>-6.0330000000000004</v>
      </c>
      <c r="G170" s="19">
        <v>-8.93</v>
      </c>
      <c r="H170" s="19">
        <v>6.0000000000000001E-3</v>
      </c>
      <c r="I170" s="19">
        <v>-6.0000000000000001E-3</v>
      </c>
      <c r="J170" s="19">
        <v>-2.8330000000000002</v>
      </c>
      <c r="K170" s="19">
        <v>4.548</v>
      </c>
      <c r="L170" s="19">
        <v>3.1429999999999998</v>
      </c>
      <c r="M170" s="19">
        <f>32.585-L170</f>
        <v>29.442</v>
      </c>
      <c r="N170" s="19">
        <f>36.088-SUM(L170:M170)</f>
        <v>3.5030000000000001</v>
      </c>
      <c r="O170" s="19">
        <f t="shared" si="282"/>
        <v>5.0949999999999989</v>
      </c>
      <c r="P170" s="19">
        <v>0</v>
      </c>
      <c r="Q170" s="19">
        <f>-0.104-P170</f>
        <v>-0.104</v>
      </c>
      <c r="R170" s="19">
        <f>-1.428-SUM(P170:Q170)</f>
        <v>-1.3239999999999998</v>
      </c>
      <c r="S170" s="19">
        <f t="shared" si="283"/>
        <v>1.4279999999999999</v>
      </c>
      <c r="T170" s="19">
        <v>5.8410000000000002</v>
      </c>
      <c r="U170" s="19">
        <f>0-T170</f>
        <v>-5.8410000000000002</v>
      </c>
      <c r="V170" s="58">
        <f>0-SUM(T170:U170)</f>
        <v>0</v>
      </c>
      <c r="W170" s="58">
        <f t="shared" si="274"/>
        <v>0</v>
      </c>
      <c r="X170" s="36"/>
      <c r="Y170" s="19">
        <f t="shared" si="284"/>
        <v>-16.527000000000001</v>
      </c>
      <c r="Z170" s="19">
        <f t="shared" si="285"/>
        <v>1.7149999999999999</v>
      </c>
      <c r="AA170" s="19">
        <v>41.183</v>
      </c>
      <c r="AB170" s="19">
        <v>0</v>
      </c>
      <c r="AC170" s="19">
        <v>0</v>
      </c>
    </row>
    <row r="171" spans="2:31" outlineLevel="2" x14ac:dyDescent="0.25">
      <c r="B171" s="2" t="s">
        <v>121</v>
      </c>
      <c r="C171" s="20" t="s">
        <v>15</v>
      </c>
      <c r="D171" s="19">
        <v>-9.4610000000000003</v>
      </c>
      <c r="E171" s="19">
        <v>-9.0820000000000007</v>
      </c>
      <c r="F171" s="19">
        <v>-13.621</v>
      </c>
      <c r="G171" s="19">
        <v>3.77</v>
      </c>
      <c r="H171" s="19">
        <v>-4.2880000000000003</v>
      </c>
      <c r="I171" s="19">
        <v>8.5210000000000008</v>
      </c>
      <c r="J171" s="19">
        <v>-15.034000000000001</v>
      </c>
      <c r="K171" s="19">
        <v>-51.902000000000001</v>
      </c>
      <c r="L171" s="19">
        <v>-14.662000000000001</v>
      </c>
      <c r="M171" s="19">
        <f>-29.251-L171</f>
        <v>-14.589</v>
      </c>
      <c r="N171" s="19">
        <f>-42.418-SUM(L171:M171)</f>
        <v>-13.166999999999998</v>
      </c>
      <c r="O171" s="19">
        <f t="shared" si="282"/>
        <v>-17.063000000000002</v>
      </c>
      <c r="P171" s="19">
        <v>-14.831</v>
      </c>
      <c r="Q171" s="19">
        <f>-26.006-P171</f>
        <v>-11.175000000000001</v>
      </c>
      <c r="R171" s="19">
        <f>-43.137-SUM(P171:Q171)</f>
        <v>-17.131</v>
      </c>
      <c r="S171" s="19">
        <f t="shared" si="283"/>
        <v>-17.545999999999999</v>
      </c>
      <c r="T171" s="19">
        <v>-36.179000000000002</v>
      </c>
      <c r="U171" s="19">
        <f>-28.562-T171</f>
        <v>7.6170000000000009</v>
      </c>
      <c r="V171" s="58">
        <f>-46.483-SUM(T171:U171)</f>
        <v>-17.920999999999996</v>
      </c>
      <c r="W171" s="58">
        <f t="shared" si="274"/>
        <v>73.293999999998135</v>
      </c>
      <c r="X171" s="36"/>
      <c r="Y171" s="19">
        <f t="shared" si="284"/>
        <v>-28.394000000000002</v>
      </c>
      <c r="Z171" s="19">
        <f t="shared" si="285"/>
        <v>-62.703000000000003</v>
      </c>
      <c r="AA171" s="19">
        <v>-59.481000000000002</v>
      </c>
      <c r="AB171" s="19">
        <v>-60.683</v>
      </c>
      <c r="AC171" s="19">
        <v>26.810999999998131</v>
      </c>
    </row>
    <row r="172" spans="2:31" outlineLevel="2" x14ac:dyDescent="0.25">
      <c r="B172" s="2" t="s">
        <v>116</v>
      </c>
      <c r="C172" s="20" t="s">
        <v>15</v>
      </c>
      <c r="D172" s="19">
        <v>-9.7989999999999995</v>
      </c>
      <c r="E172" s="19">
        <v>14.522</v>
      </c>
      <c r="F172" s="19">
        <v>-15.999000000000001</v>
      </c>
      <c r="G172" s="19">
        <v>-7.81</v>
      </c>
      <c r="H172" s="19">
        <v>-8.6020000000000003</v>
      </c>
      <c r="I172" s="19">
        <v>49.206000000000003</v>
      </c>
      <c r="J172" s="19">
        <v>-40.807000000000002</v>
      </c>
      <c r="K172" s="19">
        <v>-65.656999999999996</v>
      </c>
      <c r="L172" s="19">
        <v>-27.706</v>
      </c>
      <c r="M172" s="19">
        <f>8.803-L172</f>
        <v>36.509</v>
      </c>
      <c r="N172" s="19">
        <f>23.255-SUM(L172:M172)</f>
        <v>14.451999999999998</v>
      </c>
      <c r="O172" s="19">
        <f t="shared" si="282"/>
        <v>-25.805</v>
      </c>
      <c r="P172" s="19">
        <v>3.7519999999999998</v>
      </c>
      <c r="Q172" s="19">
        <f>-2.513-P172</f>
        <v>-6.2649999999999997</v>
      </c>
      <c r="R172" s="19">
        <f>187.256-SUM(P172:Q172)</f>
        <v>189.76900000000001</v>
      </c>
      <c r="S172" s="19">
        <f t="shared" si="283"/>
        <v>-38.419000000000011</v>
      </c>
      <c r="T172" s="19">
        <v>9.548</v>
      </c>
      <c r="U172" s="19">
        <f>-10.803-T172</f>
        <v>-20.350999999999999</v>
      </c>
      <c r="V172" s="58">
        <f>-116.382-SUM(T172:U172)</f>
        <v>-105.57900000000001</v>
      </c>
      <c r="W172" s="58">
        <f t="shared" si="274"/>
        <v>-14.257000000000005</v>
      </c>
      <c r="X172" s="36"/>
      <c r="Y172" s="19">
        <f t="shared" si="284"/>
        <v>-19.085999999999999</v>
      </c>
      <c r="Z172" s="19">
        <f t="shared" si="285"/>
        <v>-65.86</v>
      </c>
      <c r="AA172" s="19">
        <v>-2.5499999999999998</v>
      </c>
      <c r="AB172" s="19">
        <v>148.83699999999999</v>
      </c>
      <c r="AC172" s="19">
        <v>-130.63900000000001</v>
      </c>
    </row>
    <row r="173" spans="2:31" outlineLevel="2" x14ac:dyDescent="0.25">
      <c r="B173" s="2" t="s">
        <v>119</v>
      </c>
      <c r="C173" s="20" t="s">
        <v>15</v>
      </c>
      <c r="D173" s="19">
        <v>-5.4349999999999996</v>
      </c>
      <c r="E173" s="19">
        <v>-5.7439999999999998</v>
      </c>
      <c r="F173" s="19">
        <v>-26.026</v>
      </c>
      <c r="G173" s="19">
        <v>-6.7960000000000003</v>
      </c>
      <c r="H173" s="19">
        <v>-9.7129999999999992</v>
      </c>
      <c r="I173" s="19">
        <v>-18.606999999999999</v>
      </c>
      <c r="J173" s="19">
        <v>-12.832000000000001</v>
      </c>
      <c r="K173" s="19">
        <v>-11.081</v>
      </c>
      <c r="L173" s="19">
        <v>-10.872999999999999</v>
      </c>
      <c r="M173" s="19">
        <f>-40.383-L173</f>
        <v>-29.510000000000005</v>
      </c>
      <c r="N173" s="19">
        <f>-77.66-SUM(L173:M173)</f>
        <v>-37.276999999999994</v>
      </c>
      <c r="O173" s="19">
        <f t="shared" si="282"/>
        <v>-71.032000000000011</v>
      </c>
      <c r="P173" s="19">
        <v>-43.161000000000001</v>
      </c>
      <c r="Q173" s="19">
        <f>-55.033-P173</f>
        <v>-11.872</v>
      </c>
      <c r="R173" s="19">
        <f>-66.231-SUM(P173:Q173)</f>
        <v>-11.197999999999993</v>
      </c>
      <c r="S173" s="19">
        <f t="shared" si="283"/>
        <v>5.4839999999999947</v>
      </c>
      <c r="T173" s="19">
        <v>-3.5230000000000001</v>
      </c>
      <c r="U173" s="19">
        <f>-6.719-T173</f>
        <v>-3.1960000000000002</v>
      </c>
      <c r="V173" s="58">
        <f>-20.614-SUM(T173:U173)</f>
        <v>-13.895</v>
      </c>
      <c r="W173" s="58">
        <f t="shared" si="274"/>
        <v>-1.5619999999999976</v>
      </c>
      <c r="X173" s="36"/>
      <c r="Y173" s="19">
        <f t="shared" si="284"/>
        <v>-44.000999999999998</v>
      </c>
      <c r="Z173" s="19">
        <f t="shared" si="285"/>
        <v>-52.233000000000004</v>
      </c>
      <c r="AA173" s="19">
        <v>-148.69200000000001</v>
      </c>
      <c r="AB173" s="19">
        <v>-60.747</v>
      </c>
      <c r="AC173" s="19">
        <v>-22.175999999999998</v>
      </c>
    </row>
    <row r="174" spans="2:31" outlineLevel="1" x14ac:dyDescent="0.25">
      <c r="B174" s="3" t="s">
        <v>145</v>
      </c>
      <c r="C174" s="3" t="s">
        <v>15</v>
      </c>
      <c r="D174" s="14">
        <f t="shared" ref="D174:R174" si="286">SUM(D131:D173)</f>
        <v>49.779999999999852</v>
      </c>
      <c r="E174" s="14">
        <f t="shared" si="286"/>
        <v>110.93399999999981</v>
      </c>
      <c r="F174" s="14">
        <f t="shared" si="286"/>
        <v>87.301999999999893</v>
      </c>
      <c r="G174" s="14">
        <f t="shared" si="286"/>
        <v>62.208999999999925</v>
      </c>
      <c r="H174" s="14">
        <f t="shared" si="286"/>
        <v>124.9610000000001</v>
      </c>
      <c r="I174" s="14">
        <f t="shared" si="286"/>
        <v>112.79899999999978</v>
      </c>
      <c r="J174" s="14">
        <f t="shared" si="286"/>
        <v>142.3809999999998</v>
      </c>
      <c r="K174" s="14">
        <f t="shared" si="286"/>
        <v>-1.2050000000000942</v>
      </c>
      <c r="L174" s="14">
        <f t="shared" si="286"/>
        <v>224.13599999999994</v>
      </c>
      <c r="M174" s="14">
        <f t="shared" si="286"/>
        <v>91.444000000000131</v>
      </c>
      <c r="N174" s="14">
        <f t="shared" si="286"/>
        <v>92.563999999999538</v>
      </c>
      <c r="O174" s="14">
        <f t="shared" si="286"/>
        <v>-70.217000000000013</v>
      </c>
      <c r="P174" s="14">
        <f t="shared" si="286"/>
        <v>152.43600000000021</v>
      </c>
      <c r="Q174" s="14">
        <f t="shared" si="286"/>
        <v>349.05300000000005</v>
      </c>
      <c r="R174" s="14">
        <f t="shared" si="286"/>
        <v>475.32199999999989</v>
      </c>
      <c r="S174" s="14">
        <f t="shared" ref="S174:T174" si="287">SUM(S131:S173)</f>
        <v>2.6939999999999671</v>
      </c>
      <c r="T174" s="14">
        <f t="shared" si="287"/>
        <v>50.965999999999745</v>
      </c>
      <c r="U174" s="14">
        <f t="shared" ref="U174:V174" si="288">SUM(U131:U173)</f>
        <v>-270.76200000000006</v>
      </c>
      <c r="V174" s="14">
        <f t="shared" si="288"/>
        <v>274.50400000000053</v>
      </c>
      <c r="W174" s="14">
        <f t="shared" ref="W174" si="289">SUM(W131:W173)</f>
        <v>22.501999999998283</v>
      </c>
      <c r="X174" s="36"/>
      <c r="Y174" s="14">
        <f>SUM(Y131:Y173)</f>
        <v>310.2249999999986</v>
      </c>
      <c r="Z174" s="14">
        <f>SUM(Z131:Z173)</f>
        <v>378.93600000000021</v>
      </c>
      <c r="AA174" s="14">
        <f>SUM(AA131:AA173)</f>
        <v>337.92700000000076</v>
      </c>
      <c r="AB174" s="14">
        <f>SUM(AB131:AB173)</f>
        <v>979.50499999999772</v>
      </c>
      <c r="AC174" s="14">
        <f>SUM(AC131:AC173)</f>
        <v>77.209999999999994</v>
      </c>
      <c r="AE174" s="27"/>
    </row>
    <row r="175" spans="2:31" outlineLevel="1" x14ac:dyDescent="0.25">
      <c r="B175" s="1"/>
      <c r="X175" s="36"/>
    </row>
    <row r="176" spans="2:31" outlineLevel="2" x14ac:dyDescent="0.25">
      <c r="B176" s="1" t="s">
        <v>69</v>
      </c>
      <c r="C176" s="20" t="s">
        <v>15</v>
      </c>
      <c r="D176" s="19">
        <v>-492.92200000000003</v>
      </c>
      <c r="E176" s="19">
        <v>-722.49199999999996</v>
      </c>
      <c r="F176" s="19">
        <v>-467.07</v>
      </c>
      <c r="G176" s="19">
        <v>-1151.2059999999999</v>
      </c>
      <c r="H176" s="19">
        <v>-1547.4690000000001</v>
      </c>
      <c r="I176" s="19">
        <v>-1299.6980000000001</v>
      </c>
      <c r="J176" s="19">
        <v>-1351.596</v>
      </c>
      <c r="K176" s="19">
        <v>-2877.52</v>
      </c>
      <c r="L176" s="19">
        <v>-2298.1</v>
      </c>
      <c r="M176" s="19">
        <f>-1887.596-L176</f>
        <v>410.50399999999991</v>
      </c>
      <c r="N176" s="19">
        <f>-5922.428-SUM(L176:M176)</f>
        <v>-4034.8319999999999</v>
      </c>
      <c r="O176" s="19">
        <f>AA176-SUM(L176:N176)</f>
        <v>-5762.0509999999995</v>
      </c>
      <c r="P176" s="19">
        <v>-6359.3249999999998</v>
      </c>
      <c r="Q176" s="19">
        <f>-8505.57-P176</f>
        <v>-2146.2449999999999</v>
      </c>
      <c r="R176" s="19">
        <f>-10727.398-SUM(P176:Q176)</f>
        <v>-2221.8279999999995</v>
      </c>
      <c r="S176" s="19">
        <f>AB176-SUM(P176:R176)</f>
        <v>-4314.3610000000008</v>
      </c>
      <c r="T176" s="19">
        <v>-3691.7170000000001</v>
      </c>
      <c r="U176" s="19">
        <f>-8703.107-T176</f>
        <v>-5011.3899999999994</v>
      </c>
      <c r="V176" s="58">
        <f>-10498.231-SUM(T176:U176)</f>
        <v>-1795.1239999999998</v>
      </c>
      <c r="W176" s="58">
        <f t="shared" ref="W176:W180" si="290">AC176-SUM(T176:V176)</f>
        <v>-2576.0650000000005</v>
      </c>
      <c r="X176" s="36"/>
      <c r="Y176" s="19">
        <f>SUM(D176:G176)</f>
        <v>-2833.6899999999996</v>
      </c>
      <c r="Z176" s="19">
        <f>SUM(H176:K176)</f>
        <v>-7076.2830000000013</v>
      </c>
      <c r="AA176" s="19">
        <v>-11684.478999999999</v>
      </c>
      <c r="AB176" s="19">
        <v>-15041.759</v>
      </c>
      <c r="AC176" s="19">
        <v>-13074.296</v>
      </c>
    </row>
    <row r="177" spans="2:29" outlineLevel="2" x14ac:dyDescent="0.25">
      <c r="B177" s="1" t="s">
        <v>146</v>
      </c>
      <c r="C177" s="20" t="s">
        <v>15</v>
      </c>
      <c r="D177" s="19">
        <v>499.61900000000003</v>
      </c>
      <c r="E177" s="19">
        <v>780.29100000000005</v>
      </c>
      <c r="F177" s="19">
        <v>402.28</v>
      </c>
      <c r="G177" s="19">
        <v>602.73500000000001</v>
      </c>
      <c r="H177" s="19">
        <v>1912.1579999999999</v>
      </c>
      <c r="I177" s="19">
        <v>1137.9839999999999</v>
      </c>
      <c r="J177" s="19">
        <v>1275.972</v>
      </c>
      <c r="K177" s="19">
        <v>2884.866</v>
      </c>
      <c r="L177" s="19">
        <v>2349.5360000000001</v>
      </c>
      <c r="M177" s="19">
        <f>2213.632-L177</f>
        <v>-135.904</v>
      </c>
      <c r="N177" s="19">
        <f>5813.494-SUM(L177:M177)</f>
        <v>3599.8619999999996</v>
      </c>
      <c r="O177" s="19">
        <f>AA177-SUM(L177:N177)</f>
        <v>6077.3560000000007</v>
      </c>
      <c r="P177" s="19">
        <v>6466.1880000000001</v>
      </c>
      <c r="Q177" s="19">
        <f>8154.455-P177</f>
        <v>1688.2669999999998</v>
      </c>
      <c r="R177" s="19">
        <f>10438.986-SUM(P177:Q177)</f>
        <v>2284.5310000000009</v>
      </c>
      <c r="S177" s="19">
        <f>AB177-SUM(P177:R177)</f>
        <v>4966.744999999999</v>
      </c>
      <c r="T177" s="19">
        <v>3740.2719999999999</v>
      </c>
      <c r="U177" s="19">
        <f>8112.838-T177</f>
        <v>4372.5659999999998</v>
      </c>
      <c r="V177" s="58">
        <f>10370.911-SUM(T177:U177)</f>
        <v>2258.0730000000003</v>
      </c>
      <c r="W177" s="58">
        <f t="shared" si="290"/>
        <v>2741.0429999999997</v>
      </c>
      <c r="X177" s="36"/>
      <c r="Y177" s="19">
        <f>SUM(D177:G177)</f>
        <v>2284.9250000000002</v>
      </c>
      <c r="Z177" s="19">
        <f>SUM(H177:K177)</f>
        <v>7210.98</v>
      </c>
      <c r="AA177" s="19">
        <v>11890.85</v>
      </c>
      <c r="AB177" s="19">
        <v>15405.731</v>
      </c>
      <c r="AC177" s="19">
        <v>13111.954</v>
      </c>
    </row>
    <row r="178" spans="2:29" outlineLevel="2" x14ac:dyDescent="0.25">
      <c r="B178" s="1" t="s">
        <v>147</v>
      </c>
      <c r="C178" s="20" t="s">
        <v>15</v>
      </c>
      <c r="D178" s="19">
        <v>-32.771000000000001</v>
      </c>
      <c r="E178" s="19">
        <v>-162.077</v>
      </c>
      <c r="F178" s="19">
        <v>-149.90199999999999</v>
      </c>
      <c r="G178" s="19">
        <v>0</v>
      </c>
      <c r="H178" s="19">
        <v>-48.975999999999999</v>
      </c>
      <c r="I178" s="19">
        <v>-16.657</v>
      </c>
      <c r="J178" s="19">
        <v>-0.16900000000000001</v>
      </c>
      <c r="K178" s="19">
        <v>-123.506</v>
      </c>
      <c r="L178" s="19">
        <v>-946.649</v>
      </c>
      <c r="M178" s="19">
        <f>-1215.835-L178</f>
        <v>-269.18600000000004</v>
      </c>
      <c r="N178" s="19">
        <f>-1296.024-SUM(L178:M178)</f>
        <v>-80.188999999999851</v>
      </c>
      <c r="O178" s="19">
        <f>AA178-SUM(L178:N178)</f>
        <v>-229.11900000000014</v>
      </c>
      <c r="P178" s="19">
        <v>-2496.1880000000001</v>
      </c>
      <c r="Q178" s="19">
        <f>-2631.212-P178</f>
        <v>-135.02399999999989</v>
      </c>
      <c r="R178" s="19">
        <f>-2877.029-SUM(P178:Q178)</f>
        <v>-245.81700000000001</v>
      </c>
      <c r="S178" s="19">
        <f>AB178-SUM(P178:R178)</f>
        <v>-48.73700000000008</v>
      </c>
      <c r="T178" s="19">
        <v>-374.51600000000002</v>
      </c>
      <c r="U178" s="19">
        <f>-1391.055-T178</f>
        <v>-1016.539</v>
      </c>
      <c r="V178" s="58">
        <f>-1657.597-5-SUM(T178:U178)</f>
        <v>-271.54199999999992</v>
      </c>
      <c r="W178" s="58">
        <f t="shared" si="290"/>
        <v>-124.12900000000013</v>
      </c>
      <c r="X178" s="36"/>
      <c r="Y178" s="19">
        <f>SUM(D178:G178)</f>
        <v>-344.75</v>
      </c>
      <c r="Z178" s="19">
        <f>SUM(H178:K178)</f>
        <v>-189.30799999999999</v>
      </c>
      <c r="AA178" s="19">
        <v>-1525.143</v>
      </c>
      <c r="AB178" s="19">
        <v>-2925.7660000000001</v>
      </c>
      <c r="AC178" s="19">
        <v>-1786.7260000000001</v>
      </c>
    </row>
    <row r="179" spans="2:29" outlineLevel="2" x14ac:dyDescent="0.25">
      <c r="B179" s="1" t="s">
        <v>70</v>
      </c>
      <c r="C179" s="20" t="s">
        <v>15</v>
      </c>
      <c r="D179" s="19">
        <v>-24.658000000000001</v>
      </c>
      <c r="E179" s="19">
        <v>-23.446999999999999</v>
      </c>
      <c r="F179" s="19">
        <v>-37.255000000000003</v>
      </c>
      <c r="G179" s="19">
        <v>-44.845999999999997</v>
      </c>
      <c r="H179" s="19">
        <v>-33.195</v>
      </c>
      <c r="I179" s="19">
        <v>-62.960999999999999</v>
      </c>
      <c r="J179" s="19">
        <v>-69.481999999999999</v>
      </c>
      <c r="K179" s="19">
        <v>13.003</v>
      </c>
      <c r="L179" s="19">
        <v>-43.686999999999998</v>
      </c>
      <c r="M179" s="19">
        <f>-86.655-L179</f>
        <v>-42.968000000000004</v>
      </c>
      <c r="N179" s="19">
        <f>-130.756-SUM(L179:M179)</f>
        <v>-44.100999999999999</v>
      </c>
      <c r="O179" s="19">
        <f>AA179-SUM(L179:N179)</f>
        <v>-54.681000000000012</v>
      </c>
      <c r="P179" s="19">
        <v>-33.893999999999998</v>
      </c>
      <c r="Q179" s="19">
        <f>-124.69-P179</f>
        <v>-90.795999999999992</v>
      </c>
      <c r="R179" s="19">
        <f>-165.029-SUM(P179:Q179)</f>
        <v>-40.338999999999999</v>
      </c>
      <c r="S179" s="19">
        <f>AB179-SUM(P179:R179)</f>
        <v>-47.903999999999996</v>
      </c>
      <c r="T179" s="19">
        <v>-44.122</v>
      </c>
      <c r="U179" s="19">
        <f>-28.285-T179</f>
        <v>15.837</v>
      </c>
      <c r="V179" s="58">
        <f>-267.602-SUM(T179:U179)</f>
        <v>-239.31699999999998</v>
      </c>
      <c r="W179" s="58">
        <f t="shared" si="290"/>
        <v>29.681999999999988</v>
      </c>
      <c r="X179" s="36"/>
      <c r="Y179" s="19">
        <f>SUM(D179:G179)</f>
        <v>-130.20600000000002</v>
      </c>
      <c r="Z179" s="19">
        <f>SUM(H179:K179)</f>
        <v>-152.63499999999999</v>
      </c>
      <c r="AA179" s="19">
        <v>-185.43700000000001</v>
      </c>
      <c r="AB179" s="19">
        <v>-212.93299999999999</v>
      </c>
      <c r="AC179" s="19">
        <f>(-5000-(232920))/1000</f>
        <v>-237.92</v>
      </c>
    </row>
    <row r="180" spans="2:29" outlineLevel="2" x14ac:dyDescent="0.25">
      <c r="B180" s="1" t="s">
        <v>148</v>
      </c>
      <c r="C180" s="20" t="s">
        <v>15</v>
      </c>
      <c r="D180" s="19">
        <v>-4.2750000000000004</v>
      </c>
      <c r="E180" s="19">
        <v>0.873</v>
      </c>
      <c r="F180" s="19">
        <v>-4.6449999999999996</v>
      </c>
      <c r="G180" s="19">
        <v>-14.986000000000001</v>
      </c>
      <c r="H180" s="19">
        <v>-1.9E-2</v>
      </c>
      <c r="I180" s="19">
        <v>0.67200000000000004</v>
      </c>
      <c r="J180" s="19">
        <v>-6.976</v>
      </c>
      <c r="K180" s="19">
        <v>5.0590000000000002</v>
      </c>
      <c r="L180" s="19">
        <v>-1.35</v>
      </c>
      <c r="M180" s="19">
        <f>-4.67-L180</f>
        <v>-3.32</v>
      </c>
      <c r="N180" s="19">
        <f>-0.851-SUM(L180:M180)</f>
        <v>3.819</v>
      </c>
      <c r="O180" s="19">
        <f>AA180-SUM(L180:N180)</f>
        <v>-0.52300000000000013</v>
      </c>
      <c r="P180" s="19">
        <v>-2.6629999999999998</v>
      </c>
      <c r="Q180" s="19">
        <f>-0.013-P180</f>
        <v>2.65</v>
      </c>
      <c r="R180" s="19">
        <f>-1.817-SUM(P180:Q180)</f>
        <v>-1.804</v>
      </c>
      <c r="S180" s="19">
        <f>AB180-SUM(P180:R180)</f>
        <v>-0.46699999999999986</v>
      </c>
      <c r="T180" s="19">
        <v>0</v>
      </c>
      <c r="U180" s="19">
        <v>-0.70699999999999996</v>
      </c>
      <c r="V180" s="58">
        <f>-1.366-SUM(T180:U180)</f>
        <v>-0.65900000000000014</v>
      </c>
      <c r="W180" s="58">
        <f t="shared" si="290"/>
        <v>-2.0419999999999998</v>
      </c>
      <c r="X180" s="36"/>
      <c r="Y180" s="19">
        <f>SUM(D180:G180)</f>
        <v>-23.033000000000001</v>
      </c>
      <c r="Z180" s="19">
        <f>SUM(H180:K180)</f>
        <v>-1.2640000000000002</v>
      </c>
      <c r="AA180" s="19">
        <v>-1.3740000000000001</v>
      </c>
      <c r="AB180" s="19">
        <v>-2.2839999999999998</v>
      </c>
      <c r="AC180" s="19">
        <v>-3.4079999999999999</v>
      </c>
    </row>
    <row r="181" spans="2:29" outlineLevel="1" x14ac:dyDescent="0.25">
      <c r="B181" s="3" t="s">
        <v>149</v>
      </c>
      <c r="C181" s="13" t="s">
        <v>15</v>
      </c>
      <c r="D181" s="14">
        <f t="shared" ref="D181:I181" si="291">SUM(D176:D180)</f>
        <v>-55.006999999999998</v>
      </c>
      <c r="E181" s="14">
        <f t="shared" si="291"/>
        <v>-126.8519999999999</v>
      </c>
      <c r="F181" s="14">
        <f t="shared" si="291"/>
        <v>-256.59199999999998</v>
      </c>
      <c r="G181" s="14">
        <f t="shared" si="291"/>
        <v>-608.30299999999988</v>
      </c>
      <c r="H181" s="14">
        <f t="shared" si="291"/>
        <v>282.49899999999985</v>
      </c>
      <c r="I181" s="14">
        <f t="shared" si="291"/>
        <v>-240.66000000000017</v>
      </c>
      <c r="J181" s="14">
        <f t="shared" ref="J181:K181" si="292">SUM(J176:J180)</f>
        <v>-152.25100000000003</v>
      </c>
      <c r="K181" s="14">
        <f t="shared" si="292"/>
        <v>-98.097999999999999</v>
      </c>
      <c r="L181" s="14">
        <f t="shared" ref="L181:M181" si="293">SUM(L176:L180)</f>
        <v>-940.24999999999989</v>
      </c>
      <c r="M181" s="14">
        <f t="shared" si="293"/>
        <v>-40.87400000000013</v>
      </c>
      <c r="N181" s="14">
        <f t="shared" ref="N181:O181" si="294">SUM(N176:N180)</f>
        <v>-555.44100000000014</v>
      </c>
      <c r="O181" s="14">
        <f t="shared" si="294"/>
        <v>30.982000000001047</v>
      </c>
      <c r="P181" s="14">
        <f t="shared" ref="P181:R181" si="295">SUM(P176:P180)</f>
        <v>-2425.8819999999996</v>
      </c>
      <c r="Q181" s="14">
        <f t="shared" si="295"/>
        <v>-681.14800000000002</v>
      </c>
      <c r="R181" s="14">
        <f t="shared" si="295"/>
        <v>-225.25699999999867</v>
      </c>
      <c r="S181" s="14">
        <f t="shared" ref="S181:T181" si="296">SUM(S176:S180)</f>
        <v>555.27599999999813</v>
      </c>
      <c r="T181" s="14">
        <f t="shared" si="296"/>
        <v>-370.0830000000002</v>
      </c>
      <c r="U181" s="14">
        <f t="shared" ref="U181:V181" si="297">SUM(U176:U180)</f>
        <v>-1640.2329999999997</v>
      </c>
      <c r="V181" s="14">
        <f t="shared" si="297"/>
        <v>-48.56899999999937</v>
      </c>
      <c r="W181" s="14">
        <f t="shared" ref="W181" si="298">SUM(W176:W180)</f>
        <v>68.48899999999901</v>
      </c>
      <c r="X181" s="36"/>
      <c r="Y181" s="14">
        <f t="shared" ref="Y181:Z181" si="299">SUM(Y176:Y180)</f>
        <v>-1046.7539999999995</v>
      </c>
      <c r="Z181" s="14">
        <f t="shared" si="299"/>
        <v>-208.5100000000017</v>
      </c>
      <c r="AA181" s="14">
        <f t="shared" ref="AA181:AB181" si="300">SUM(AA176:AA180)</f>
        <v>-1505.5829999999989</v>
      </c>
      <c r="AB181" s="14">
        <f t="shared" si="300"/>
        <v>-2777.0110000000004</v>
      </c>
      <c r="AC181" s="14">
        <f t="shared" ref="AC181" si="301">SUM(AC176:AC180)</f>
        <v>-1990.3960000000006</v>
      </c>
    </row>
    <row r="182" spans="2:29" outlineLevel="1" x14ac:dyDescent="0.25">
      <c r="B182" s="1"/>
      <c r="X182" s="36"/>
    </row>
    <row r="183" spans="2:29" outlineLevel="2" x14ac:dyDescent="0.25">
      <c r="B183" s="1" t="s">
        <v>150</v>
      </c>
      <c r="C183" s="20" t="s">
        <v>15</v>
      </c>
      <c r="D183" s="19">
        <v>0.55100000000000005</v>
      </c>
      <c r="E183" s="19">
        <v>0</v>
      </c>
      <c r="F183" s="19">
        <v>0</v>
      </c>
      <c r="G183" s="19">
        <v>1E-3</v>
      </c>
      <c r="H183" s="19">
        <v>0</v>
      </c>
      <c r="I183" s="19">
        <v>331.48899999999998</v>
      </c>
      <c r="J183" s="19">
        <v>2E-3</v>
      </c>
      <c r="K183" s="19">
        <v>304.976</v>
      </c>
      <c r="L183" s="19">
        <v>0</v>
      </c>
      <c r="M183" s="19">
        <v>0</v>
      </c>
      <c r="N183" s="19">
        <f t="shared" ref="N183:N190" si="302">-SUM(L183:M183)</f>
        <v>0</v>
      </c>
      <c r="O183" s="19">
        <f t="shared" ref="O183:O190" si="303">AA183-SUM(L183:N183)</f>
        <v>3663.0819999999999</v>
      </c>
      <c r="P183" s="19">
        <v>0</v>
      </c>
      <c r="Q183" s="19">
        <v>0.22500000000000001</v>
      </c>
      <c r="R183" s="19">
        <f>78.727-SUM(P183:Q183)</f>
        <v>78.50200000000001</v>
      </c>
      <c r="S183" s="19">
        <f t="shared" ref="S183:S190" si="304">AB183-SUM(P183:R183)</f>
        <v>41.718999999999994</v>
      </c>
      <c r="T183" s="19">
        <v>0</v>
      </c>
      <c r="U183" s="19">
        <v>162.15600000000001</v>
      </c>
      <c r="V183" s="58">
        <f>162.156-SUM(T183:U183)</f>
        <v>0</v>
      </c>
      <c r="W183" s="58">
        <f t="shared" ref="W183:W190" si="305">AC183-SUM(T183:V183)</f>
        <v>0</v>
      </c>
      <c r="X183" s="36"/>
      <c r="Y183" s="19">
        <f t="shared" ref="Y183:Y188" si="306">SUM(D183:G183)</f>
        <v>0.55200000000000005</v>
      </c>
      <c r="Z183" s="19">
        <f t="shared" ref="Z183:Z188" si="307">SUM(H183:K183)</f>
        <v>636.46699999999998</v>
      </c>
      <c r="AA183" s="19">
        <f>3760.083-97.001</f>
        <v>3663.0819999999999</v>
      </c>
      <c r="AB183" s="19">
        <v>120.446</v>
      </c>
      <c r="AC183" s="19">
        <v>162.15600000000001</v>
      </c>
    </row>
    <row r="184" spans="2:29" outlineLevel="2" x14ac:dyDescent="0.25">
      <c r="B184" s="1" t="s">
        <v>413</v>
      </c>
      <c r="C184" s="20" t="s">
        <v>15</v>
      </c>
      <c r="D184" s="19">
        <v>0</v>
      </c>
      <c r="E184" s="19">
        <v>0</v>
      </c>
      <c r="F184" s="19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  <c r="M184" s="19">
        <v>-79.341999999999999</v>
      </c>
      <c r="N184" s="19">
        <f>-79.342-SUM(L184:M184)</f>
        <v>0</v>
      </c>
      <c r="O184" s="19">
        <f t="shared" si="303"/>
        <v>0</v>
      </c>
      <c r="P184" s="19">
        <v>0</v>
      </c>
      <c r="Q184" s="19">
        <v>0</v>
      </c>
      <c r="R184" s="19">
        <f>-100.569-SUM(P184:Q184)</f>
        <v>-100.569</v>
      </c>
      <c r="S184" s="19">
        <f t="shared" si="304"/>
        <v>0</v>
      </c>
      <c r="T184" s="19">
        <v>0</v>
      </c>
      <c r="U184" s="19"/>
      <c r="V184" s="58">
        <f>-173.392-SUM(T184:U184)</f>
        <v>-173.392</v>
      </c>
      <c r="W184" s="58">
        <f t="shared" si="305"/>
        <v>0</v>
      </c>
      <c r="X184" s="36"/>
      <c r="Y184" s="19">
        <f t="shared" si="306"/>
        <v>0</v>
      </c>
      <c r="Z184" s="19">
        <f t="shared" si="307"/>
        <v>0</v>
      </c>
      <c r="AA184" s="19">
        <v>-79.341999999999999</v>
      </c>
      <c r="AB184" s="19">
        <v>-100.569</v>
      </c>
      <c r="AC184" s="19">
        <v>-173.392</v>
      </c>
    </row>
    <row r="185" spans="2:29" outlineLevel="2" x14ac:dyDescent="0.25">
      <c r="B185" s="1" t="s">
        <v>152</v>
      </c>
      <c r="C185" s="20" t="s">
        <v>15</v>
      </c>
      <c r="D185" s="19">
        <v>0</v>
      </c>
      <c r="E185" s="19">
        <v>0</v>
      </c>
      <c r="F185" s="19">
        <v>0</v>
      </c>
      <c r="G185" s="19">
        <v>299.00400000000002</v>
      </c>
      <c r="H185" s="19">
        <v>348.65600000000001</v>
      </c>
      <c r="I185" s="19">
        <v>0</v>
      </c>
      <c r="J185" s="19">
        <v>1E-3</v>
      </c>
      <c r="K185" s="19">
        <v>0</v>
      </c>
      <c r="L185" s="19">
        <v>887.16499999999996</v>
      </c>
      <c r="M185" s="19">
        <v>0</v>
      </c>
      <c r="N185" s="19">
        <f>1682.72-SUM(L185:M185)</f>
        <v>795.55500000000006</v>
      </c>
      <c r="O185" s="19">
        <f t="shared" si="303"/>
        <v>0</v>
      </c>
      <c r="P185" s="19">
        <v>0</v>
      </c>
      <c r="Q185" s="19">
        <v>0</v>
      </c>
      <c r="R185" s="19">
        <f>750-SUM(P185:Q185)</f>
        <v>750</v>
      </c>
      <c r="S185" s="19">
        <f t="shared" si="304"/>
        <v>687.96299999999997</v>
      </c>
      <c r="T185" s="19">
        <v>0</v>
      </c>
      <c r="U185" s="19"/>
      <c r="V185" s="58">
        <f>0-SUM(T185:U185)</f>
        <v>0</v>
      </c>
      <c r="W185" s="58">
        <f t="shared" si="305"/>
        <v>1193.3589999999999</v>
      </c>
      <c r="X185" s="36"/>
      <c r="Y185" s="19">
        <f t="shared" si="306"/>
        <v>299.00400000000002</v>
      </c>
      <c r="Z185" s="19">
        <f t="shared" si="307"/>
        <v>348.65699999999998</v>
      </c>
      <c r="AA185" s="19">
        <v>1682.72</v>
      </c>
      <c r="AB185" s="19">
        <v>1437.963</v>
      </c>
      <c r="AC185" s="19">
        <v>1193.3589999999999</v>
      </c>
    </row>
    <row r="186" spans="2:29" outlineLevel="2" x14ac:dyDescent="0.25">
      <c r="B186" s="1" t="s">
        <v>158</v>
      </c>
      <c r="C186" s="20" t="s">
        <v>15</v>
      </c>
      <c r="D186" s="19">
        <v>0</v>
      </c>
      <c r="E186" s="19">
        <v>-120.374</v>
      </c>
      <c r="F186" s="19">
        <v>0</v>
      </c>
      <c r="G186" s="19">
        <v>-63.012999999999998</v>
      </c>
      <c r="H186" s="19">
        <f>-546.19-19.041</f>
        <v>-565.23100000000011</v>
      </c>
      <c r="I186" s="19">
        <v>-11.214</v>
      </c>
      <c r="J186" s="19">
        <v>-12.954000000000001</v>
      </c>
      <c r="K186" s="19">
        <v>-12.066000000000001</v>
      </c>
      <c r="L186" s="19">
        <f>-12.908-60</f>
        <v>-72.908000000000001</v>
      </c>
      <c r="M186" s="19">
        <v>-11.805999999999997</v>
      </c>
      <c r="N186" s="19">
        <f>-64.84-120-SUM(L186:M186)</f>
        <v>-100.126</v>
      </c>
      <c r="O186" s="19">
        <f t="shared" si="303"/>
        <v>-360.774</v>
      </c>
      <c r="P186" s="19">
        <f>-960-64.253</f>
        <v>-1024.2529999999999</v>
      </c>
      <c r="Q186" s="19">
        <f>-960-64.255-P186</f>
        <v>-2.00000000018008E-3</v>
      </c>
      <c r="R186" s="19">
        <f>-1106.247-SUM(P186:Q186)</f>
        <v>-81.991999999999962</v>
      </c>
      <c r="S186" s="19">
        <f t="shared" si="304"/>
        <v>0</v>
      </c>
      <c r="T186" s="19">
        <f>-31.279-60</f>
        <v>-91.278999999999996</v>
      </c>
      <c r="U186" s="19">
        <f>-45.675-60-T186</f>
        <v>-14.396000000000001</v>
      </c>
      <c r="V186" s="58">
        <f>-60-88.815-SUM(T186:U186)</f>
        <v>-43.14</v>
      </c>
      <c r="W186" s="58">
        <f t="shared" si="305"/>
        <v>-26.106999999999999</v>
      </c>
      <c r="X186" s="36"/>
      <c r="Y186" s="19">
        <f t="shared" si="306"/>
        <v>-183.387</v>
      </c>
      <c r="Z186" s="19">
        <f t="shared" si="307"/>
        <v>-601.46500000000015</v>
      </c>
      <c r="AA186" s="19">
        <f>-470-75.614</f>
        <v>-545.61400000000003</v>
      </c>
      <c r="AB186" s="19">
        <f>-86.247-1020</f>
        <v>-1106.2470000000001</v>
      </c>
      <c r="AC186" s="19">
        <v>-174.922</v>
      </c>
    </row>
    <row r="187" spans="2:29" outlineLevel="2" x14ac:dyDescent="0.25">
      <c r="B187" s="1" t="s">
        <v>387</v>
      </c>
      <c r="C187" s="20" t="s">
        <v>15</v>
      </c>
      <c r="D187" s="19">
        <v>0</v>
      </c>
      <c r="E187" s="19">
        <v>150</v>
      </c>
      <c r="F187" s="19">
        <v>150</v>
      </c>
      <c r="G187" s="19">
        <v>331.83800000000002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0</v>
      </c>
      <c r="N187" s="19">
        <f t="shared" si="302"/>
        <v>0</v>
      </c>
      <c r="O187" s="19">
        <f t="shared" si="303"/>
        <v>29.850999999999999</v>
      </c>
      <c r="P187" s="19">
        <v>360</v>
      </c>
      <c r="Q187" s="19">
        <f>880-P187</f>
        <v>520</v>
      </c>
      <c r="R187" s="19">
        <f>1174.419-SUM(P187:Q187)</f>
        <v>294.4190000000001</v>
      </c>
      <c r="S187" s="19">
        <f t="shared" si="304"/>
        <v>-0.24000000000000909</v>
      </c>
      <c r="T187" s="19">
        <v>0</v>
      </c>
      <c r="U187" s="19">
        <v>303.99</v>
      </c>
      <c r="V187" s="58">
        <f>508.909-SUM(T187:U187)</f>
        <v>204.91899999999998</v>
      </c>
      <c r="W187" s="58">
        <f t="shared" si="305"/>
        <v>-0.17599999999998772</v>
      </c>
      <c r="X187" s="36"/>
      <c r="Y187" s="19">
        <f t="shared" si="306"/>
        <v>631.83799999999997</v>
      </c>
      <c r="Z187" s="19">
        <f t="shared" si="307"/>
        <v>0</v>
      </c>
      <c r="AA187" s="19">
        <v>29.850999999999999</v>
      </c>
      <c r="AB187" s="19">
        <v>1174.1790000000001</v>
      </c>
      <c r="AC187" s="19">
        <v>508.733</v>
      </c>
    </row>
    <row r="188" spans="2:29" outlineLevel="2" x14ac:dyDescent="0.25">
      <c r="B188" s="1" t="s">
        <v>157</v>
      </c>
      <c r="C188" s="20" t="s">
        <v>15</v>
      </c>
      <c r="D188" s="19">
        <v>-0.38300000000000001</v>
      </c>
      <c r="E188" s="19">
        <v>-0.95899999999999996</v>
      </c>
      <c r="F188" s="19">
        <v>-1.2090000000000001</v>
      </c>
      <c r="G188" s="19">
        <v>-8.9090000000000007</v>
      </c>
      <c r="H188" s="19">
        <v>-183.13800000000001</v>
      </c>
      <c r="I188" s="19">
        <v>-164.721</v>
      </c>
      <c r="J188" s="19">
        <v>-5.9610000000000003</v>
      </c>
      <c r="K188" s="19">
        <v>-91.251000000000005</v>
      </c>
      <c r="L188" s="19">
        <f>-21.214-5.769</f>
        <v>-26.982999999999997</v>
      </c>
      <c r="M188" s="19">
        <v>-73.406000000000006</v>
      </c>
      <c r="N188" s="19">
        <f>-94.942-14.257-SUM(L188:M188)</f>
        <v>-8.8099999999999881</v>
      </c>
      <c r="O188" s="19">
        <f t="shared" si="303"/>
        <v>-27.658000000000001</v>
      </c>
      <c r="P188" s="19">
        <f>-74.992-4.895</f>
        <v>-79.887</v>
      </c>
      <c r="Q188" s="19">
        <f>-150.38-6.338-P188</f>
        <v>-76.830999999999989</v>
      </c>
      <c r="R188" s="19">
        <f>-256.261-SUM(P188:Q188)</f>
        <v>-99.543000000000035</v>
      </c>
      <c r="S188" s="19">
        <f t="shared" si="304"/>
        <v>-93.012</v>
      </c>
      <c r="T188" s="19">
        <f>-115.208-6.7</f>
        <v>-121.908</v>
      </c>
      <c r="U188" s="19">
        <f>-137.19-23.158-T188</f>
        <v>-38.440000000000012</v>
      </c>
      <c r="V188" s="58">
        <f>-34.182-288.975-SUM(T188:U188)</f>
        <v>-162.80900000000003</v>
      </c>
      <c r="W188" s="58">
        <f t="shared" si="305"/>
        <v>-53.72199999999998</v>
      </c>
      <c r="X188" s="36"/>
      <c r="Y188" s="19">
        <f t="shared" si="306"/>
        <v>-11.46</v>
      </c>
      <c r="Z188" s="19">
        <f t="shared" si="307"/>
        <v>-445.07100000000003</v>
      </c>
      <c r="AA188" s="19">
        <f>-122.6-14.257</f>
        <v>-136.857</v>
      </c>
      <c r="AB188" s="19">
        <f>-324.826-24.447</f>
        <v>-349.27300000000002</v>
      </c>
      <c r="AC188" s="19">
        <v>-376.87900000000002</v>
      </c>
    </row>
    <row r="189" spans="2:29" outlineLevel="2" x14ac:dyDescent="0.25">
      <c r="B189" s="1" t="s">
        <v>402</v>
      </c>
      <c r="C189" s="20" t="s">
        <v>15</v>
      </c>
      <c r="D189" s="19">
        <v>0</v>
      </c>
      <c r="E189" s="19">
        <v>0</v>
      </c>
      <c r="F189" s="19">
        <v>0</v>
      </c>
      <c r="G189" s="19">
        <v>0</v>
      </c>
      <c r="H189" s="19">
        <v>0</v>
      </c>
      <c r="I189" s="19">
        <v>0</v>
      </c>
      <c r="J189" s="19">
        <v>0</v>
      </c>
      <c r="K189" s="19">
        <v>0</v>
      </c>
      <c r="L189" s="19">
        <f>-6.904-9.907</f>
        <v>-16.811</v>
      </c>
      <c r="M189" s="19">
        <v>-13.484999999999999</v>
      </c>
      <c r="N189" s="19">
        <f>-20.493-26.245-SUM(L189:M189)</f>
        <v>-16.442</v>
      </c>
      <c r="O189" s="19">
        <f t="shared" si="303"/>
        <v>-21.841000000000008</v>
      </c>
      <c r="P189" s="19">
        <f>-9.21-11.192</f>
        <v>-20.402000000000001</v>
      </c>
      <c r="Q189" s="19">
        <f>-18.282-22.732-P189</f>
        <v>-20.611999999999995</v>
      </c>
      <c r="R189" s="19">
        <f>-63.056-SUM(P189:Q189)</f>
        <v>-22.042000000000002</v>
      </c>
      <c r="S189" s="19">
        <f t="shared" si="304"/>
        <v>-21.503</v>
      </c>
      <c r="T189" s="19">
        <f>-11.809-12.337</f>
        <v>-24.146000000000001</v>
      </c>
      <c r="U189" s="19">
        <f>-53.918-T189</f>
        <v>-29.771999999999998</v>
      </c>
      <c r="V189" s="58">
        <f>-84.601-SUM(T189:U189)</f>
        <v>-30.683</v>
      </c>
      <c r="W189" s="58">
        <f t="shared" si="305"/>
        <v>-37.183999999999997</v>
      </c>
      <c r="X189" s="36"/>
      <c r="Y189" s="19">
        <v>0</v>
      </c>
      <c r="Z189" s="19">
        <v>0</v>
      </c>
      <c r="AA189" s="19">
        <f>-29.957-38.622</f>
        <v>-68.579000000000008</v>
      </c>
      <c r="AB189" s="19">
        <f>-40.6-43.959</f>
        <v>-84.558999999999997</v>
      </c>
      <c r="AC189" s="19">
        <v>-121.785</v>
      </c>
    </row>
    <row r="190" spans="2:29" outlineLevel="2" x14ac:dyDescent="0.25">
      <c r="B190" s="1" t="s">
        <v>151</v>
      </c>
      <c r="C190" s="20" t="s">
        <v>15</v>
      </c>
      <c r="D190" s="19">
        <v>-0.47599999999999998</v>
      </c>
      <c r="E190" s="19">
        <v>0</v>
      </c>
      <c r="F190" s="19">
        <v>-2.38</v>
      </c>
      <c r="G190" s="19">
        <v>-1E-3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  <c r="M190" s="19">
        <v>0</v>
      </c>
      <c r="N190" s="19">
        <f t="shared" si="302"/>
        <v>0</v>
      </c>
      <c r="O190" s="19">
        <f t="shared" si="303"/>
        <v>0</v>
      </c>
      <c r="P190" s="19">
        <v>-245.12200000000001</v>
      </c>
      <c r="Q190" s="19">
        <f>-245.122-P190</f>
        <v>0</v>
      </c>
      <c r="R190" s="19">
        <f>-245.122-SUM(P190:Q190)</f>
        <v>0</v>
      </c>
      <c r="S190" s="19">
        <f t="shared" si="304"/>
        <v>0</v>
      </c>
      <c r="T190" s="19">
        <v>0</v>
      </c>
      <c r="U190" s="19">
        <v>0</v>
      </c>
      <c r="V190" s="58">
        <f>0-SUM(T190:U190)</f>
        <v>0</v>
      </c>
      <c r="W190" s="58">
        <f t="shared" si="305"/>
        <v>0</v>
      </c>
      <c r="X190" s="36"/>
      <c r="Y190" s="19">
        <f>SUM(D190:G190)</f>
        <v>-2.8569999999999998</v>
      </c>
      <c r="Z190" s="19">
        <f>SUM(H190:K190)</f>
        <v>0</v>
      </c>
      <c r="AA190" s="19">
        <v>0</v>
      </c>
      <c r="AB190" s="19">
        <v>-245.12200000000001</v>
      </c>
      <c r="AC190" s="19">
        <v>0</v>
      </c>
    </row>
    <row r="191" spans="2:29" outlineLevel="1" x14ac:dyDescent="0.25">
      <c r="B191" s="3" t="s">
        <v>153</v>
      </c>
      <c r="C191" s="13" t="s">
        <v>15</v>
      </c>
      <c r="D191" s="14">
        <f t="shared" ref="D191:Q191" si="308">SUM(D183:D190)</f>
        <v>-0.30799999999999994</v>
      </c>
      <c r="E191" s="14">
        <f t="shared" si="308"/>
        <v>28.667000000000005</v>
      </c>
      <c r="F191" s="14">
        <f t="shared" si="308"/>
        <v>146.411</v>
      </c>
      <c r="G191" s="14">
        <f t="shared" si="308"/>
        <v>558.92000000000007</v>
      </c>
      <c r="H191" s="14">
        <f t="shared" si="308"/>
        <v>-399.71300000000008</v>
      </c>
      <c r="I191" s="14">
        <f t="shared" si="308"/>
        <v>155.55399999999997</v>
      </c>
      <c r="J191" s="14">
        <f t="shared" si="308"/>
        <v>-18.911999999999999</v>
      </c>
      <c r="K191" s="14">
        <f t="shared" si="308"/>
        <v>201.65900000000002</v>
      </c>
      <c r="L191" s="14">
        <f t="shared" si="308"/>
        <v>770.46299999999997</v>
      </c>
      <c r="M191" s="14">
        <f t="shared" si="308"/>
        <v>-178.03899999999999</v>
      </c>
      <c r="N191" s="14">
        <f t="shared" si="308"/>
        <v>670.17700000000013</v>
      </c>
      <c r="O191" s="14">
        <f t="shared" si="308"/>
        <v>3282.6600000000003</v>
      </c>
      <c r="P191" s="14">
        <f t="shared" si="308"/>
        <v>-1009.664</v>
      </c>
      <c r="Q191" s="14">
        <f t="shared" si="308"/>
        <v>422.77999999999986</v>
      </c>
      <c r="R191" s="14">
        <f t="shared" ref="R191:S191" si="309">SUM(R183:R190)</f>
        <v>818.77500000000009</v>
      </c>
      <c r="S191" s="14">
        <f t="shared" si="309"/>
        <v>614.92700000000002</v>
      </c>
      <c r="T191" s="14">
        <f t="shared" ref="T191:U191" si="310">SUM(T183:T190)</f>
        <v>-237.33300000000003</v>
      </c>
      <c r="U191" s="14">
        <f t="shared" si="310"/>
        <v>383.53800000000001</v>
      </c>
      <c r="V191" s="14">
        <f t="shared" ref="V191:W191" si="311">SUM(V183:V190)</f>
        <v>-205.10500000000002</v>
      </c>
      <c r="W191" s="14">
        <f t="shared" si="311"/>
        <v>1076.17</v>
      </c>
      <c r="X191" s="36"/>
      <c r="Y191" s="14">
        <f>SUM(Y183:Y190)</f>
        <v>733.69</v>
      </c>
      <c r="Z191" s="14">
        <f>SUM(Z183:Z190)</f>
        <v>-61.412000000000148</v>
      </c>
      <c r="AA191" s="14">
        <f>SUM(AA183:AA190)</f>
        <v>4545.2609999999995</v>
      </c>
      <c r="AB191" s="14">
        <f>SUM(AB183:AB190)</f>
        <v>846.81799999999976</v>
      </c>
      <c r="AC191" s="14">
        <f>SUM(AC183:AC190)</f>
        <v>1017.2699999999999</v>
      </c>
    </row>
    <row r="192" spans="2:29" outlineLevel="1" x14ac:dyDescent="0.25">
      <c r="B192" s="3" t="s">
        <v>154</v>
      </c>
      <c r="C192" s="13" t="s">
        <v>15</v>
      </c>
      <c r="D192" s="14">
        <f t="shared" ref="D192:Q192" si="312">+D191+D181+D174</f>
        <v>-5.5350000000001458</v>
      </c>
      <c r="E192" s="14">
        <f t="shared" si="312"/>
        <v>12.74899999999991</v>
      </c>
      <c r="F192" s="14">
        <f t="shared" si="312"/>
        <v>-22.87900000000009</v>
      </c>
      <c r="G192" s="14">
        <f t="shared" si="312"/>
        <v>12.826000000000114</v>
      </c>
      <c r="H192" s="14">
        <f t="shared" si="312"/>
        <v>7.746999999999872</v>
      </c>
      <c r="I192" s="14">
        <f t="shared" si="312"/>
        <v>27.692999999999586</v>
      </c>
      <c r="J192" s="14">
        <f t="shared" si="312"/>
        <v>-28.782000000000238</v>
      </c>
      <c r="K192" s="14">
        <f t="shared" si="312"/>
        <v>102.35599999999992</v>
      </c>
      <c r="L192" s="14">
        <f t="shared" si="312"/>
        <v>54.349000000000018</v>
      </c>
      <c r="M192" s="14">
        <f t="shared" si="312"/>
        <v>-127.46899999999999</v>
      </c>
      <c r="N192" s="14">
        <f t="shared" si="312"/>
        <v>207.29999999999953</v>
      </c>
      <c r="O192" s="14">
        <f t="shared" si="312"/>
        <v>3243.4250000000011</v>
      </c>
      <c r="P192" s="14">
        <f t="shared" si="312"/>
        <v>-3283.1099999999992</v>
      </c>
      <c r="Q192" s="14">
        <f t="shared" si="312"/>
        <v>90.684999999999889</v>
      </c>
      <c r="R192" s="14">
        <f t="shared" ref="R192:S192" si="313">+R191+R181+R174</f>
        <v>1068.8400000000013</v>
      </c>
      <c r="S192" s="14">
        <f t="shared" si="313"/>
        <v>1172.8969999999981</v>
      </c>
      <c r="T192" s="14">
        <f t="shared" ref="T192:U192" si="314">+T191+T181+T174</f>
        <v>-556.45000000000039</v>
      </c>
      <c r="U192" s="14">
        <f t="shared" si="314"/>
        <v>-1527.4569999999999</v>
      </c>
      <c r="V192" s="14">
        <f t="shared" ref="V192:W192" si="315">+V191+V181+V174</f>
        <v>20.830000000001149</v>
      </c>
      <c r="W192" s="14">
        <f t="shared" si="315"/>
        <v>1167.1609999999976</v>
      </c>
      <c r="X192" s="36"/>
      <c r="Y192" s="14">
        <f>+Y191+Y181+Y174</f>
        <v>-2.8390000000007944</v>
      </c>
      <c r="Z192" s="14">
        <f>+Z191+Z181+Z174</f>
        <v>109.01399999999836</v>
      </c>
      <c r="AA192" s="14">
        <f>+AA191+AA181+AA174</f>
        <v>3377.6050000000014</v>
      </c>
      <c r="AB192" s="14">
        <f>+AB191+AB181+AB174</f>
        <v>-950.68800000000294</v>
      </c>
      <c r="AC192" s="14">
        <f>+AC191+AC181+AC174</f>
        <v>-895.91600000000074</v>
      </c>
    </row>
    <row r="193" spans="2:29" outlineLevel="1" x14ac:dyDescent="0.25">
      <c r="B193" s="1"/>
      <c r="X193" s="36"/>
    </row>
    <row r="194" spans="2:29" outlineLevel="1" x14ac:dyDescent="0.25">
      <c r="B194" s="1" t="s">
        <v>155</v>
      </c>
      <c r="C194" s="20" t="s">
        <v>15</v>
      </c>
      <c r="D194" s="19">
        <v>30.651</v>
      </c>
      <c r="E194" s="28">
        <f t="shared" ref="E194:W194" si="316">D79</f>
        <v>25.116</v>
      </c>
      <c r="F194" s="28">
        <f t="shared" si="316"/>
        <v>37.863999999999997</v>
      </c>
      <c r="G194" s="28">
        <f t="shared" si="316"/>
        <v>23.271999999999998</v>
      </c>
      <c r="H194" s="28">
        <f t="shared" si="316"/>
        <v>27.821999999999999</v>
      </c>
      <c r="I194" s="28">
        <f t="shared" si="316"/>
        <v>35.569000000000003</v>
      </c>
      <c r="J194" s="28">
        <f t="shared" si="316"/>
        <v>63.26</v>
      </c>
      <c r="K194" s="28">
        <f t="shared" si="316"/>
        <v>34.478999999999999</v>
      </c>
      <c r="L194" s="28">
        <f t="shared" si="316"/>
        <v>136.834</v>
      </c>
      <c r="M194" s="28">
        <f t="shared" si="316"/>
        <v>191.18299999999999</v>
      </c>
      <c r="N194" s="28">
        <f t="shared" si="316"/>
        <v>63.713999999999999</v>
      </c>
      <c r="O194" s="28">
        <f t="shared" si="316"/>
        <v>271.01400000000001</v>
      </c>
      <c r="P194" s="28">
        <f t="shared" si="316"/>
        <v>3514.4389999999999</v>
      </c>
      <c r="Q194" s="28">
        <f t="shared" si="316"/>
        <v>231.34</v>
      </c>
      <c r="R194" s="28">
        <f t="shared" si="316"/>
        <v>322.01400000000001</v>
      </c>
      <c r="S194" s="28">
        <f t="shared" si="316"/>
        <v>1390.854</v>
      </c>
      <c r="T194" s="28">
        <f t="shared" si="316"/>
        <v>2563.7510000000002</v>
      </c>
      <c r="U194" s="28">
        <f t="shared" si="316"/>
        <v>2007.3009999999999</v>
      </c>
      <c r="V194" s="28">
        <f t="shared" si="316"/>
        <v>479.84399999999999</v>
      </c>
      <c r="W194" s="28">
        <f t="shared" si="316"/>
        <v>500.67399999999998</v>
      </c>
      <c r="X194" s="36"/>
      <c r="Y194" s="28">
        <f>D194</f>
        <v>30.651</v>
      </c>
      <c r="Z194" s="28">
        <f>Y79</f>
        <v>27.821999999999999</v>
      </c>
      <c r="AA194" s="28">
        <f>Z79</f>
        <v>136.834</v>
      </c>
      <c r="AB194" s="28">
        <f>AA79</f>
        <v>3514.4389999999999</v>
      </c>
      <c r="AC194" s="28">
        <f>AB79</f>
        <v>2563.7510000000002</v>
      </c>
    </row>
    <row r="195" spans="2:29" outlineLevel="1" x14ac:dyDescent="0.25">
      <c r="B195" s="1" t="s">
        <v>156</v>
      </c>
      <c r="C195" s="20" t="s">
        <v>15</v>
      </c>
      <c r="D195" s="19">
        <f t="shared" ref="D195:Q195" si="317">D79</f>
        <v>25.116</v>
      </c>
      <c r="E195" s="19">
        <f t="shared" si="317"/>
        <v>37.863999999999997</v>
      </c>
      <c r="F195" s="19">
        <f t="shared" si="317"/>
        <v>23.271999999999998</v>
      </c>
      <c r="G195" s="19">
        <f t="shared" si="317"/>
        <v>27.821999999999999</v>
      </c>
      <c r="H195" s="19">
        <f t="shared" si="317"/>
        <v>35.569000000000003</v>
      </c>
      <c r="I195" s="19">
        <f t="shared" si="317"/>
        <v>63.26</v>
      </c>
      <c r="J195" s="19">
        <f t="shared" si="317"/>
        <v>34.478999999999999</v>
      </c>
      <c r="K195" s="19">
        <f t="shared" si="317"/>
        <v>136.834</v>
      </c>
      <c r="L195" s="19">
        <f t="shared" si="317"/>
        <v>191.18299999999999</v>
      </c>
      <c r="M195" s="19">
        <f t="shared" si="317"/>
        <v>63.713999999999999</v>
      </c>
      <c r="N195" s="19">
        <f t="shared" si="317"/>
        <v>271.01400000000001</v>
      </c>
      <c r="O195" s="19">
        <f t="shared" si="317"/>
        <v>3514.4389999999999</v>
      </c>
      <c r="P195" s="19">
        <f t="shared" si="317"/>
        <v>231.34</v>
      </c>
      <c r="Q195" s="19">
        <f t="shared" si="317"/>
        <v>322.01400000000001</v>
      </c>
      <c r="R195" s="19">
        <f t="shared" ref="R195:S195" si="318">R79</f>
        <v>1390.854</v>
      </c>
      <c r="S195" s="19">
        <f t="shared" si="318"/>
        <v>2563.7510000000002</v>
      </c>
      <c r="T195" s="19">
        <f t="shared" ref="T195:U195" si="319">T79</f>
        <v>2007.3009999999999</v>
      </c>
      <c r="U195" s="19">
        <f t="shared" si="319"/>
        <v>479.84399999999999</v>
      </c>
      <c r="V195" s="19">
        <f t="shared" ref="V195:W195" si="320">V79</f>
        <v>500.67399999999998</v>
      </c>
      <c r="W195" s="19">
        <f t="shared" si="320"/>
        <v>1667.835</v>
      </c>
      <c r="X195" s="36"/>
      <c r="Y195" s="19">
        <f>Y79</f>
        <v>27.821999999999999</v>
      </c>
      <c r="Z195" s="19">
        <f>Z79</f>
        <v>136.834</v>
      </c>
      <c r="AA195" s="19">
        <f>AA79</f>
        <v>3514.4389999999999</v>
      </c>
      <c r="AB195" s="19">
        <f>AB79</f>
        <v>2563.7510000000002</v>
      </c>
      <c r="AC195" s="19">
        <f>AC79</f>
        <v>1667.835</v>
      </c>
    </row>
    <row r="196" spans="2:29" outlineLevel="1" x14ac:dyDescent="0.25">
      <c r="B196" s="3" t="s">
        <v>162</v>
      </c>
      <c r="C196" s="13" t="s">
        <v>15</v>
      </c>
      <c r="D196" s="14">
        <f t="shared" ref="D196:G196" si="321">D195-D194</f>
        <v>-5.5350000000000001</v>
      </c>
      <c r="E196" s="14">
        <f t="shared" si="321"/>
        <v>12.747999999999998</v>
      </c>
      <c r="F196" s="14">
        <f t="shared" si="321"/>
        <v>-14.591999999999999</v>
      </c>
      <c r="G196" s="14">
        <f t="shared" si="321"/>
        <v>4.5500000000000007</v>
      </c>
      <c r="H196" s="14">
        <f t="shared" ref="H196:M196" si="322">H195-H194</f>
        <v>7.7470000000000034</v>
      </c>
      <c r="I196" s="14">
        <f t="shared" si="322"/>
        <v>27.690999999999995</v>
      </c>
      <c r="J196" s="14">
        <f t="shared" si="322"/>
        <v>-28.780999999999999</v>
      </c>
      <c r="K196" s="14">
        <f t="shared" si="322"/>
        <v>102.355</v>
      </c>
      <c r="L196" s="14">
        <f t="shared" si="322"/>
        <v>54.34899999999999</v>
      </c>
      <c r="M196" s="14">
        <f t="shared" si="322"/>
        <v>-127.46899999999999</v>
      </c>
      <c r="N196" s="14">
        <f t="shared" ref="N196:O196" si="323">N195-N194</f>
        <v>207.3</v>
      </c>
      <c r="O196" s="14">
        <f t="shared" si="323"/>
        <v>3243.4249999999997</v>
      </c>
      <c r="P196" s="14">
        <f t="shared" ref="P196:R196" si="324">P195-P194</f>
        <v>-3283.0989999999997</v>
      </c>
      <c r="Q196" s="14">
        <f t="shared" si="324"/>
        <v>90.674000000000007</v>
      </c>
      <c r="R196" s="14">
        <f t="shared" si="324"/>
        <v>1068.8400000000001</v>
      </c>
      <c r="S196" s="14">
        <f t="shared" ref="S196:T196" si="325">S195-S194</f>
        <v>1172.8970000000002</v>
      </c>
      <c r="T196" s="14">
        <f t="shared" si="325"/>
        <v>-556.45000000000027</v>
      </c>
      <c r="U196" s="14">
        <f t="shared" ref="U196:V196" si="326">U195-U194</f>
        <v>-1527.4569999999999</v>
      </c>
      <c r="V196" s="14">
        <f t="shared" si="326"/>
        <v>20.829999999999984</v>
      </c>
      <c r="W196" s="14">
        <f t="shared" ref="W196" si="327">W195-W194</f>
        <v>1167.1610000000001</v>
      </c>
      <c r="X196" s="36"/>
      <c r="Y196" s="14">
        <f>Y195-Y194</f>
        <v>-2.8290000000000006</v>
      </c>
      <c r="Z196" s="14">
        <f>Z195-Z194</f>
        <v>109.012</v>
      </c>
      <c r="AA196" s="14">
        <f>AA195-AA194</f>
        <v>3377.605</v>
      </c>
      <c r="AB196" s="14">
        <f>AB195-AB194</f>
        <v>-950.68799999999965</v>
      </c>
      <c r="AC196" s="14">
        <f>AC195-AC194</f>
        <v>-895.91600000000017</v>
      </c>
    </row>
    <row r="197" spans="2:29" x14ac:dyDescent="0.25"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Y197" s="27"/>
      <c r="Z197" s="27"/>
      <c r="AA197" s="27"/>
      <c r="AB197" s="27"/>
      <c r="AC197" s="27"/>
    </row>
    <row r="198" spans="2:29" ht="15.75" x14ac:dyDescent="0.25">
      <c r="B198" s="33" t="s">
        <v>189</v>
      </c>
    </row>
    <row r="199" spans="2:29" outlineLevel="1" x14ac:dyDescent="0.25">
      <c r="B199" s="32" t="s">
        <v>6</v>
      </c>
      <c r="C199" s="17" t="s">
        <v>0</v>
      </c>
      <c r="D199" s="17" t="s">
        <v>1</v>
      </c>
      <c r="E199" s="17" t="s">
        <v>2</v>
      </c>
      <c r="F199" s="17" t="s">
        <v>3</v>
      </c>
      <c r="G199" s="17" t="s">
        <v>4</v>
      </c>
      <c r="H199" s="17" t="s">
        <v>5</v>
      </c>
      <c r="I199" s="17" t="s">
        <v>375</v>
      </c>
      <c r="J199" s="17" t="s">
        <v>383</v>
      </c>
      <c r="K199" s="17" t="s">
        <v>385</v>
      </c>
      <c r="L199" s="17" t="s">
        <v>399</v>
      </c>
      <c r="M199" s="17" t="s">
        <v>412</v>
      </c>
      <c r="N199" s="17" t="s">
        <v>422</v>
      </c>
      <c r="O199" s="17" t="s">
        <v>424</v>
      </c>
      <c r="P199" s="17" t="s">
        <v>427</v>
      </c>
      <c r="Q199" s="17" t="s">
        <v>431</v>
      </c>
      <c r="R199" s="17" t="s">
        <v>554</v>
      </c>
      <c r="S199" s="17" t="s">
        <v>571</v>
      </c>
      <c r="T199" s="17" t="s">
        <v>574</v>
      </c>
      <c r="U199" s="17" t="s">
        <v>589</v>
      </c>
      <c r="V199" s="17" t="s">
        <v>593</v>
      </c>
      <c r="W199" s="17" t="s">
        <v>600</v>
      </c>
      <c r="Y199" s="17">
        <v>2017</v>
      </c>
      <c r="Z199" s="17">
        <v>2018</v>
      </c>
      <c r="AA199" s="17">
        <v>2019</v>
      </c>
      <c r="AB199" s="17">
        <v>2020</v>
      </c>
      <c r="AC199" s="17">
        <v>2021</v>
      </c>
    </row>
    <row r="200" spans="2:29" outlineLevel="1" x14ac:dyDescent="0.25">
      <c r="B200" s="9" t="s">
        <v>22</v>
      </c>
      <c r="C200" s="3" t="s">
        <v>15</v>
      </c>
      <c r="D200" s="4">
        <f t="shared" ref="D200:R200" si="328">D72</f>
        <v>59.371999999999879</v>
      </c>
      <c r="E200" s="4">
        <f t="shared" si="328"/>
        <v>25.249999999999819</v>
      </c>
      <c r="F200" s="4">
        <f t="shared" si="328"/>
        <v>35.821999999999882</v>
      </c>
      <c r="G200" s="4">
        <f t="shared" si="328"/>
        <v>117.71099999999994</v>
      </c>
      <c r="H200" s="4">
        <f t="shared" si="328"/>
        <v>60.26199999999983</v>
      </c>
      <c r="I200" s="4">
        <f t="shared" si="328"/>
        <v>51.272999999999783</v>
      </c>
      <c r="J200" s="4">
        <f t="shared" si="328"/>
        <v>94.151999999999774</v>
      </c>
      <c r="K200" s="4">
        <f t="shared" si="328"/>
        <v>128.38599999999997</v>
      </c>
      <c r="L200" s="4">
        <f t="shared" si="328"/>
        <v>102.84199999999989</v>
      </c>
      <c r="M200" s="4">
        <f t="shared" si="328"/>
        <v>89.6460000000002</v>
      </c>
      <c r="N200" s="4">
        <f t="shared" si="328"/>
        <v>99.69199999999968</v>
      </c>
      <c r="O200" s="4">
        <f t="shared" si="328"/>
        <v>131.40300000000005</v>
      </c>
      <c r="P200" s="4">
        <f t="shared" si="328"/>
        <v>160.40400000000008</v>
      </c>
      <c r="Q200" s="4">
        <f t="shared" si="328"/>
        <v>223.39099999999996</v>
      </c>
      <c r="R200" s="4">
        <f t="shared" si="328"/>
        <v>196.78499999999971</v>
      </c>
      <c r="S200" s="4">
        <f t="shared" ref="S200:T200" si="329">S72</f>
        <v>155.16500000000013</v>
      </c>
      <c r="T200" s="14">
        <f t="shared" si="329"/>
        <v>-27.900000000000347</v>
      </c>
      <c r="U200" s="14">
        <f t="shared" ref="U200:V200" si="330">U72</f>
        <v>-47.980000000000004</v>
      </c>
      <c r="V200" s="14">
        <f t="shared" si="330"/>
        <v>-90.729999999999478</v>
      </c>
      <c r="W200" s="14">
        <f t="shared" ref="W200" si="331">W72</f>
        <v>-4.8969999999999274</v>
      </c>
      <c r="Y200" s="4">
        <f>Y72</f>
        <v>238.15499999999867</v>
      </c>
      <c r="Z200" s="4">
        <f>Z72</f>
        <v>334.07300000000004</v>
      </c>
      <c r="AA200" s="4">
        <f>AA72</f>
        <v>423.58300000000065</v>
      </c>
      <c r="AB200" s="4">
        <f>AB72</f>
        <v>735.74499999999716</v>
      </c>
      <c r="AC200" s="14">
        <f>AC72</f>
        <v>-171.5069999999983</v>
      </c>
    </row>
    <row r="201" spans="2:29" outlineLevel="1" x14ac:dyDescent="0.25">
      <c r="B201" s="1" t="s">
        <v>99</v>
      </c>
      <c r="C201" s="6" t="s">
        <v>15</v>
      </c>
      <c r="D201" s="19">
        <f t="shared" ref="D201:R201" si="332">-SUM(D70:D71)</f>
        <v>47.359000000000002</v>
      </c>
      <c r="E201" s="19">
        <f t="shared" si="332"/>
        <v>24.602</v>
      </c>
      <c r="F201" s="19">
        <f t="shared" si="332"/>
        <v>47.597000000000001</v>
      </c>
      <c r="G201" s="19">
        <f t="shared" si="332"/>
        <v>43.583999999999996</v>
      </c>
      <c r="H201" s="19">
        <f t="shared" si="332"/>
        <v>63.296999999999997</v>
      </c>
      <c r="I201" s="19">
        <f t="shared" si="332"/>
        <v>43.451999999999998</v>
      </c>
      <c r="J201" s="19">
        <f t="shared" si="332"/>
        <v>56.040999999999997</v>
      </c>
      <c r="K201" s="19">
        <f t="shared" si="332"/>
        <v>41.611999999999995</v>
      </c>
      <c r="L201" s="19">
        <f t="shared" si="332"/>
        <v>81.009</v>
      </c>
      <c r="M201" s="19">
        <f t="shared" si="332"/>
        <v>65.069000000000003</v>
      </c>
      <c r="N201" s="19">
        <f t="shared" si="332"/>
        <v>59.265999999999998</v>
      </c>
      <c r="O201" s="19">
        <f t="shared" si="332"/>
        <v>90.25</v>
      </c>
      <c r="P201" s="19">
        <f t="shared" si="332"/>
        <v>120.63500000000002</v>
      </c>
      <c r="Q201" s="19">
        <f t="shared" si="332"/>
        <v>167.41500000000002</v>
      </c>
      <c r="R201" s="19">
        <f t="shared" si="332"/>
        <v>120.8</v>
      </c>
      <c r="S201" s="19">
        <f t="shared" ref="S201:T201" si="333">-SUM(S70:S71)</f>
        <v>100.572</v>
      </c>
      <c r="T201" s="19">
        <f t="shared" si="333"/>
        <v>25.36</v>
      </c>
      <c r="U201" s="19">
        <f t="shared" ref="U201:V201" si="334">-SUM(U70:U71)</f>
        <v>8.4640000000000004</v>
      </c>
      <c r="V201" s="19">
        <f t="shared" si="334"/>
        <v>21.216000000000001</v>
      </c>
      <c r="W201" s="19">
        <f t="shared" ref="W201" si="335">-SUM(W70:W71)</f>
        <v>17.548999999999999</v>
      </c>
      <c r="Y201" s="19">
        <f>-SUM(Y70:Y71)</f>
        <v>163.142</v>
      </c>
      <c r="Z201" s="19">
        <f>-SUM(Z70:Z71)</f>
        <v>204.40199999999999</v>
      </c>
      <c r="AA201" s="19">
        <f>-SUM(AA70:AA71)</f>
        <v>295.59400000000005</v>
      </c>
      <c r="AB201" s="19">
        <f>-SUM(AB70:AB71)</f>
        <v>509.42200000000003</v>
      </c>
      <c r="AC201" s="19">
        <f>-SUM(AC70:AC71)</f>
        <v>72.588999999999999</v>
      </c>
    </row>
    <row r="202" spans="2:29" outlineLevel="1" x14ac:dyDescent="0.25">
      <c r="B202" s="1" t="s">
        <v>97</v>
      </c>
      <c r="C202" s="6" t="s">
        <v>15</v>
      </c>
      <c r="D202" s="19">
        <f t="shared" ref="D202:R202" si="336">-SUM(D67:D68)</f>
        <v>23.465999999999998</v>
      </c>
      <c r="E202" s="19">
        <f t="shared" si="336"/>
        <v>11.852999999999998</v>
      </c>
      <c r="F202" s="19">
        <f t="shared" si="336"/>
        <v>51.28</v>
      </c>
      <c r="G202" s="19">
        <f t="shared" si="336"/>
        <v>14.015999999999998</v>
      </c>
      <c r="H202" s="19">
        <f t="shared" si="336"/>
        <v>33.328000000000003</v>
      </c>
      <c r="I202" s="19">
        <f t="shared" si="336"/>
        <v>11.216999999999999</v>
      </c>
      <c r="J202" s="19">
        <f t="shared" si="336"/>
        <v>10.628</v>
      </c>
      <c r="K202" s="19">
        <f t="shared" si="336"/>
        <v>23.811</v>
      </c>
      <c r="L202" s="19">
        <f t="shared" si="336"/>
        <v>35.32</v>
      </c>
      <c r="M202" s="19">
        <f t="shared" si="336"/>
        <v>36.606000000000002</v>
      </c>
      <c r="N202" s="19">
        <f t="shared" si="336"/>
        <v>50.609999999999992</v>
      </c>
      <c r="O202" s="19">
        <f t="shared" si="336"/>
        <v>65.010999999999996</v>
      </c>
      <c r="P202" s="19">
        <f t="shared" si="336"/>
        <v>32.762999999999998</v>
      </c>
      <c r="Q202" s="19">
        <f t="shared" si="336"/>
        <v>29.231999999999999</v>
      </c>
      <c r="R202" s="19">
        <f t="shared" si="336"/>
        <v>31.894999999999996</v>
      </c>
      <c r="S202" s="19">
        <f t="shared" ref="S202:T202" si="337">-SUM(S67:S68)</f>
        <v>42.146999999999998</v>
      </c>
      <c r="T202" s="19">
        <f t="shared" si="337"/>
        <v>49.939000000000007</v>
      </c>
      <c r="U202" s="19">
        <f t="shared" ref="U202:V202" si="338">-SUM(U67:U68)</f>
        <v>68.790000000000006</v>
      </c>
      <c r="V202" s="19">
        <f t="shared" si="338"/>
        <v>92.535999999999987</v>
      </c>
      <c r="W202" s="19">
        <f t="shared" ref="W202" si="339">-SUM(W67:W68)</f>
        <v>136.75300000000001</v>
      </c>
      <c r="Y202" s="19">
        <f>-SUM(Y67:Y68)</f>
        <v>100.61499999999998</v>
      </c>
      <c r="Z202" s="19">
        <f>-SUM(Z67:Z68)</f>
        <v>78.983999999999995</v>
      </c>
      <c r="AA202" s="19">
        <f>-SUM(AA67:AA68)</f>
        <v>187.54700000000003</v>
      </c>
      <c r="AB202" s="19">
        <f>-SUM(AB67:AB68)</f>
        <v>136.03700000000003</v>
      </c>
      <c r="AC202" s="19">
        <f>-SUM(AC67:AC68)</f>
        <v>348.01800000000003</v>
      </c>
    </row>
    <row r="203" spans="2:29" outlineLevel="1" x14ac:dyDescent="0.25">
      <c r="B203" s="1" t="s">
        <v>98</v>
      </c>
      <c r="C203" s="6" t="s">
        <v>15</v>
      </c>
      <c r="D203" s="19">
        <f t="shared" ref="D203:K203" si="340">-D47-D59</f>
        <v>23.804000000000002</v>
      </c>
      <c r="E203" s="19">
        <f t="shared" si="340"/>
        <v>32.435999999999993</v>
      </c>
      <c r="F203" s="19">
        <f t="shared" si="340"/>
        <v>23.812000000000005</v>
      </c>
      <c r="G203" s="19">
        <f t="shared" si="340"/>
        <v>34.106999999999999</v>
      </c>
      <c r="H203" s="19">
        <f t="shared" si="340"/>
        <v>29.339999999999996</v>
      </c>
      <c r="I203" s="19">
        <f t="shared" si="340"/>
        <v>30.192999999999998</v>
      </c>
      <c r="J203" s="19">
        <f t="shared" si="340"/>
        <v>36.316000000000003</v>
      </c>
      <c r="K203" s="19">
        <f t="shared" si="340"/>
        <v>31.488</v>
      </c>
      <c r="L203" s="19">
        <f t="shared" ref="L203:R203" si="341">-L47-L59-L61</f>
        <v>52.766000000000005</v>
      </c>
      <c r="M203" s="19">
        <f t="shared" si="341"/>
        <v>52.684999999999995</v>
      </c>
      <c r="N203" s="19">
        <f t="shared" si="341"/>
        <v>68.811000000000007</v>
      </c>
      <c r="O203" s="19">
        <f t="shared" si="341"/>
        <v>71.460999999999999</v>
      </c>
      <c r="P203" s="19">
        <f t="shared" si="341"/>
        <v>69.317000000000007</v>
      </c>
      <c r="Q203" s="19">
        <f t="shared" si="341"/>
        <v>90.338999999999999</v>
      </c>
      <c r="R203" s="19">
        <f t="shared" si="341"/>
        <v>88.046999999999997</v>
      </c>
      <c r="S203" s="19">
        <f t="shared" ref="S203:T203" si="342">-S47-S59-S61</f>
        <v>96.179999999999993</v>
      </c>
      <c r="T203" s="19">
        <f t="shared" si="342"/>
        <v>89.552999999999997</v>
      </c>
      <c r="U203" s="19">
        <f t="shared" ref="U203:V203" si="343">-U47-U59-U61</f>
        <v>89.589000000000013</v>
      </c>
      <c r="V203" s="19">
        <f t="shared" si="343"/>
        <v>103.30199999999999</v>
      </c>
      <c r="W203" s="19">
        <f t="shared" ref="W203" si="344">-W47-W59-W61</f>
        <v>110.887</v>
      </c>
      <c r="Y203" s="19">
        <f>-Y47-Y59</f>
        <v>114.15900000000001</v>
      </c>
      <c r="Z203" s="19">
        <f>-Z47-Z59</f>
        <v>127.337</v>
      </c>
      <c r="AA203" s="19">
        <f>-AA47-AA59-AA61</f>
        <v>245.72300000000001</v>
      </c>
      <c r="AB203" s="19">
        <f>-AB47-AB59-AB61</f>
        <v>343.88300000000004</v>
      </c>
      <c r="AC203" s="19">
        <f>-AC47-AC59-AC61</f>
        <v>393.33100000000002</v>
      </c>
    </row>
    <row r="204" spans="2:29" outlineLevel="1" x14ac:dyDescent="0.25">
      <c r="B204" s="9" t="s">
        <v>8</v>
      </c>
      <c r="C204" s="3" t="s">
        <v>15</v>
      </c>
      <c r="D204" s="4">
        <f t="shared" ref="D204:I204" si="345">SUM(D200:D203)</f>
        <v>154.00099999999989</v>
      </c>
      <c r="E204" s="4">
        <f t="shared" si="345"/>
        <v>94.140999999999806</v>
      </c>
      <c r="F204" s="4">
        <f t="shared" si="345"/>
        <v>158.51099999999991</v>
      </c>
      <c r="G204" s="4">
        <f t="shared" si="345"/>
        <v>209.41799999999992</v>
      </c>
      <c r="H204" s="4">
        <f t="shared" si="345"/>
        <v>186.22699999999983</v>
      </c>
      <c r="I204" s="4">
        <f t="shared" si="345"/>
        <v>136.13499999999976</v>
      </c>
      <c r="J204" s="4">
        <f t="shared" ref="J204:K204" si="346">SUM(J200:J203)</f>
        <v>197.13699999999974</v>
      </c>
      <c r="K204" s="4">
        <f t="shared" si="346"/>
        <v>225.29699999999997</v>
      </c>
      <c r="L204" s="4">
        <f t="shared" ref="L204:M204" si="347">SUM(L200:L203)</f>
        <v>271.9369999999999</v>
      </c>
      <c r="M204" s="4">
        <f t="shared" si="347"/>
        <v>244.0060000000002</v>
      </c>
      <c r="N204" s="4">
        <f t="shared" ref="N204:O204" si="348">SUM(N200:N203)</f>
        <v>278.37899999999968</v>
      </c>
      <c r="O204" s="4">
        <f t="shared" si="348"/>
        <v>358.12500000000006</v>
      </c>
      <c r="P204" s="4">
        <f t="shared" ref="P204:R204" si="349">SUM(P200:P203)</f>
        <v>383.11900000000009</v>
      </c>
      <c r="Q204" s="4">
        <f t="shared" si="349"/>
        <v>510.37700000000001</v>
      </c>
      <c r="R204" s="4">
        <f t="shared" si="349"/>
        <v>437.5269999999997</v>
      </c>
      <c r="S204" s="4">
        <f t="shared" ref="S204:T204" si="350">SUM(S200:S203)</f>
        <v>394.06400000000014</v>
      </c>
      <c r="T204" s="4">
        <f t="shared" si="350"/>
        <v>136.95199999999966</v>
      </c>
      <c r="U204" s="4">
        <f t="shared" ref="U204:V204" si="351">SUM(U200:U203)</f>
        <v>118.86300000000001</v>
      </c>
      <c r="V204" s="4">
        <f t="shared" si="351"/>
        <v>126.32400000000051</v>
      </c>
      <c r="W204" s="4">
        <f t="shared" ref="W204" si="352">SUM(W200:W203)</f>
        <v>260.29200000000009</v>
      </c>
      <c r="Y204" s="4">
        <f t="shared" ref="Y204:Z204" si="353">SUM(Y200:Y203)</f>
        <v>616.07099999999866</v>
      </c>
      <c r="Z204" s="4">
        <f t="shared" si="353"/>
        <v>744.79600000000005</v>
      </c>
      <c r="AA204" s="4">
        <f t="shared" ref="AA204:AB204" si="354">SUM(AA200:AA203)</f>
        <v>1152.4470000000008</v>
      </c>
      <c r="AB204" s="4">
        <f t="shared" si="354"/>
        <v>1725.0869999999973</v>
      </c>
      <c r="AC204" s="4">
        <f t="shared" ref="AC204" si="355">SUM(AC200:AC203)</f>
        <v>642.43100000000175</v>
      </c>
    </row>
    <row r="205" spans="2:29" outlineLevel="1" x14ac:dyDescent="0.25">
      <c r="B205" s="1" t="s">
        <v>105</v>
      </c>
      <c r="C205" s="6" t="s">
        <v>15</v>
      </c>
      <c r="D205" s="19">
        <f t="shared" ref="D205:R205" si="356">-D60</f>
        <v>3.8149999999999999</v>
      </c>
      <c r="E205" s="19">
        <f t="shared" si="356"/>
        <v>3.6010000000000004</v>
      </c>
      <c r="F205" s="19">
        <f t="shared" si="356"/>
        <v>2.84</v>
      </c>
      <c r="G205" s="19">
        <f t="shared" si="356"/>
        <v>3.206</v>
      </c>
      <c r="H205" s="19">
        <f t="shared" si="356"/>
        <v>4.2789999999999999</v>
      </c>
      <c r="I205" s="19">
        <f t="shared" si="356"/>
        <v>7.4039999999999999</v>
      </c>
      <c r="J205" s="19">
        <f t="shared" si="356"/>
        <v>8.3759999999999994</v>
      </c>
      <c r="K205" s="19">
        <f t="shared" si="356"/>
        <v>7.5650000000000004</v>
      </c>
      <c r="L205" s="19">
        <f t="shared" si="356"/>
        <v>7.0069999999999997</v>
      </c>
      <c r="M205" s="19">
        <f t="shared" si="356"/>
        <v>12.317</v>
      </c>
      <c r="N205" s="19">
        <f t="shared" si="356"/>
        <v>13.496</v>
      </c>
      <c r="O205" s="19">
        <f t="shared" si="356"/>
        <v>11.446999999999999</v>
      </c>
      <c r="P205" s="19">
        <f t="shared" si="356"/>
        <v>10.923999999999999</v>
      </c>
      <c r="Q205" s="19">
        <f t="shared" si="356"/>
        <v>12.571</v>
      </c>
      <c r="R205" s="19">
        <f t="shared" si="356"/>
        <v>12.557</v>
      </c>
      <c r="S205" s="19">
        <f t="shared" ref="S205:T205" si="357">-S60</f>
        <v>12.689</v>
      </c>
      <c r="T205" s="19">
        <f t="shared" si="357"/>
        <v>12.093999999999999</v>
      </c>
      <c r="U205" s="19">
        <f t="shared" ref="U205:V205" si="358">-U60</f>
        <v>4.57</v>
      </c>
      <c r="V205" s="19">
        <f t="shared" si="358"/>
        <v>5.7119999999999997</v>
      </c>
      <c r="W205" s="19">
        <f t="shared" ref="W205" si="359">-W60</f>
        <v>5.4249999999999998</v>
      </c>
      <c r="Y205" s="19">
        <f>-Y60</f>
        <v>13.462</v>
      </c>
      <c r="Z205" s="19">
        <f>-Z60</f>
        <v>27.623999999999999</v>
      </c>
      <c r="AA205" s="19">
        <f>-AA60</f>
        <v>44.266999999999996</v>
      </c>
      <c r="AB205" s="19">
        <f>-AB60</f>
        <v>48.741</v>
      </c>
      <c r="AC205" s="19">
        <f>-AC60</f>
        <v>27.801000000000002</v>
      </c>
    </row>
    <row r="206" spans="2:29" outlineLevel="1" x14ac:dyDescent="0.25">
      <c r="B206" s="1" t="s">
        <v>100</v>
      </c>
      <c r="C206" s="6" t="s">
        <v>15</v>
      </c>
      <c r="D206" s="19">
        <f t="shared" ref="D206:J206" si="360">D151</f>
        <v>0</v>
      </c>
      <c r="E206" s="19">
        <f t="shared" si="360"/>
        <v>0</v>
      </c>
      <c r="F206" s="19">
        <f t="shared" si="360"/>
        <v>0</v>
      </c>
      <c r="G206" s="19">
        <f t="shared" si="360"/>
        <v>2.6720000000000002</v>
      </c>
      <c r="H206" s="19">
        <f t="shared" si="360"/>
        <v>0</v>
      </c>
      <c r="I206" s="19">
        <f t="shared" si="360"/>
        <v>0</v>
      </c>
      <c r="J206" s="19">
        <f t="shared" si="360"/>
        <v>0</v>
      </c>
      <c r="K206" s="19">
        <v>0</v>
      </c>
      <c r="L206" s="19">
        <v>0</v>
      </c>
      <c r="M206" s="19">
        <v>0</v>
      </c>
      <c r="N206" s="19">
        <v>0</v>
      </c>
      <c r="O206" s="19">
        <v>0</v>
      </c>
      <c r="P206" s="19">
        <v>0</v>
      </c>
      <c r="Q206" s="19">
        <v>0</v>
      </c>
      <c r="R206" s="19">
        <v>0</v>
      </c>
      <c r="S206" s="19">
        <v>0</v>
      </c>
      <c r="T206" s="19">
        <v>0</v>
      </c>
      <c r="U206" s="19">
        <v>0</v>
      </c>
      <c r="V206" s="19">
        <v>0</v>
      </c>
      <c r="W206" s="19">
        <v>0</v>
      </c>
      <c r="Y206" s="19">
        <f>Y151</f>
        <v>2.6720000000000002</v>
      </c>
      <c r="Z206" s="19">
        <v>0</v>
      </c>
      <c r="AA206" s="19">
        <v>0</v>
      </c>
      <c r="AB206" s="19">
        <v>0</v>
      </c>
      <c r="AC206" s="19">
        <v>0</v>
      </c>
    </row>
    <row r="207" spans="2:29" outlineLevel="1" x14ac:dyDescent="0.25">
      <c r="B207" s="1" t="s">
        <v>101</v>
      </c>
      <c r="C207" s="6" t="s">
        <v>15</v>
      </c>
      <c r="D207" s="19">
        <v>11.569748650000001</v>
      </c>
      <c r="E207" s="19">
        <v>10.75934202</v>
      </c>
      <c r="F207" s="19">
        <v>9.3357791199999998</v>
      </c>
      <c r="G207" s="19">
        <v>8.4641815500000011</v>
      </c>
      <c r="H207" s="19">
        <v>4.9546623900000002</v>
      </c>
      <c r="I207" s="19">
        <v>5.3514121800000005</v>
      </c>
      <c r="J207" s="19">
        <v>5.5236062199999996</v>
      </c>
      <c r="K207" s="19">
        <v>5.4983212699999999</v>
      </c>
      <c r="L207" s="19">
        <v>6.4819795100000004</v>
      </c>
      <c r="M207" s="19">
        <v>7.3927340776470913</v>
      </c>
      <c r="N207" s="19">
        <v>9.6489742199999995</v>
      </c>
      <c r="O207" s="19">
        <v>9.1592846399999992</v>
      </c>
      <c r="P207" s="19">
        <v>7.7060604799999997</v>
      </c>
      <c r="Q207" s="19">
        <v>9.1752813700000004</v>
      </c>
      <c r="R207" s="19">
        <v>5.7542764900000005</v>
      </c>
      <c r="S207" s="19">
        <v>8.1327593300000007</v>
      </c>
      <c r="T207" s="19">
        <v>0</v>
      </c>
      <c r="U207" s="19">
        <v>0</v>
      </c>
      <c r="V207" s="19">
        <v>0</v>
      </c>
      <c r="W207" s="19">
        <v>0</v>
      </c>
      <c r="Y207" s="19">
        <f>SUM(D207:G207)</f>
        <v>40.129051339999997</v>
      </c>
      <c r="Z207" s="19">
        <f>SUM(H207:K207)</f>
        <v>21.328002059999999</v>
      </c>
      <c r="AA207" s="19">
        <f>SUM(L207:O207)</f>
        <v>32.682972447647089</v>
      </c>
      <c r="AB207" s="19">
        <f>SUM(P207:S207)</f>
        <v>30.76837767</v>
      </c>
      <c r="AC207" s="19">
        <f>SUM(T207:W207)</f>
        <v>0</v>
      </c>
    </row>
    <row r="208" spans="2:29" outlineLevel="1" x14ac:dyDescent="0.25">
      <c r="B208" s="1" t="s">
        <v>102</v>
      </c>
      <c r="C208" s="6" t="s">
        <v>15</v>
      </c>
      <c r="D208" s="19">
        <f t="shared" ref="D208:I208" si="361">SUM(D209:D211)</f>
        <v>2.3567584300000006</v>
      </c>
      <c r="E208" s="19">
        <f t="shared" si="361"/>
        <v>12.939547380000004</v>
      </c>
      <c r="F208" s="19">
        <f t="shared" si="361"/>
        <v>8.2589469246238032</v>
      </c>
      <c r="G208" s="19">
        <f t="shared" si="361"/>
        <v>15.005070531103591</v>
      </c>
      <c r="H208" s="19">
        <f t="shared" si="361"/>
        <v>17.493074140000001</v>
      </c>
      <c r="I208" s="19">
        <f t="shared" si="361"/>
        <v>32.40829944758778</v>
      </c>
      <c r="J208" s="19">
        <f t="shared" ref="J208:K208" si="362">SUM(J209:J211)</f>
        <v>1.732343727587772</v>
      </c>
      <c r="K208" s="19">
        <f t="shared" si="362"/>
        <v>39.133857989999996</v>
      </c>
      <c r="L208" s="19">
        <f t="shared" ref="L208:M208" si="363">SUM(L209:L211)</f>
        <v>5.4158438899999997</v>
      </c>
      <c r="M208" s="19">
        <f t="shared" si="363"/>
        <v>6.8913997799999995</v>
      </c>
      <c r="N208" s="19">
        <f t="shared" ref="N208:O208" si="364">SUM(N209:N211)</f>
        <v>18.119638259999999</v>
      </c>
      <c r="O208" s="19">
        <f t="shared" si="364"/>
        <v>16.571763920000002</v>
      </c>
      <c r="P208" s="19">
        <f t="shared" ref="P208:R208" si="365">SUM(P209:P211)</f>
        <v>6.7365678999999998</v>
      </c>
      <c r="Q208" s="19">
        <f t="shared" si="365"/>
        <v>4.1805400399999995</v>
      </c>
      <c r="R208" s="19">
        <f t="shared" si="365"/>
        <v>2.5847911199999998</v>
      </c>
      <c r="S208" s="19">
        <f t="shared" ref="S208:T208" si="366">SUM(S209:S211)</f>
        <v>4.6137810000000004</v>
      </c>
      <c r="T208" s="19">
        <f t="shared" si="366"/>
        <v>40.280850409999999</v>
      </c>
      <c r="U208" s="19">
        <f t="shared" ref="U208:V208" si="367">SUM(U209:U211)</f>
        <v>8.1630711399999996</v>
      </c>
      <c r="V208" s="19">
        <f t="shared" si="367"/>
        <v>0</v>
      </c>
      <c r="W208" s="19">
        <f t="shared" ref="W208" si="368">SUM(W209:W211)</f>
        <v>0</v>
      </c>
      <c r="Y208" s="19">
        <f t="shared" ref="Y208:Z208" si="369">SUM(Y209:Y211)</f>
        <v>38.560323265727405</v>
      </c>
      <c r="Z208" s="19">
        <f t="shared" si="369"/>
        <v>90.767575305175555</v>
      </c>
      <c r="AA208" s="19">
        <f t="shared" ref="AA208:AB208" si="370">SUM(AA209:AA211)</f>
        <v>46.998645850000003</v>
      </c>
      <c r="AB208" s="19">
        <f t="shared" si="370"/>
        <v>18.115680059999999</v>
      </c>
      <c r="AC208" s="19">
        <f t="shared" ref="AC208" si="371">SUM(AC209:AC211)</f>
        <v>48.443921549999999</v>
      </c>
    </row>
    <row r="209" spans="2:29" outlineLevel="1" x14ac:dyDescent="0.25">
      <c r="B209" s="26" t="s">
        <v>103</v>
      </c>
      <c r="C209" s="6" t="s">
        <v>15</v>
      </c>
      <c r="D209" s="19">
        <v>0.85176966000000021</v>
      </c>
      <c r="E209" s="19">
        <v>6.3542757400000003</v>
      </c>
      <c r="F209" s="19">
        <v>0.60153981000000012</v>
      </c>
      <c r="G209" s="19">
        <v>11.325629559999999</v>
      </c>
      <c r="H209" s="19">
        <v>4.9880152300000002</v>
      </c>
      <c r="I209" s="19">
        <v>29.232572400000002</v>
      </c>
      <c r="J209" s="19">
        <v>0</v>
      </c>
      <c r="K209" s="19">
        <v>30.561</v>
      </c>
      <c r="L209" s="19">
        <v>0</v>
      </c>
      <c r="M209" s="19">
        <v>0</v>
      </c>
      <c r="N209" s="19">
        <v>0</v>
      </c>
      <c r="O209" s="19">
        <v>0</v>
      </c>
      <c r="P209" s="19">
        <v>0</v>
      </c>
      <c r="Q209" s="19">
        <v>0</v>
      </c>
      <c r="R209" s="19">
        <v>0</v>
      </c>
      <c r="S209" s="19">
        <v>0</v>
      </c>
      <c r="T209" s="19">
        <v>0</v>
      </c>
      <c r="U209" s="19">
        <v>0</v>
      </c>
      <c r="V209" s="19">
        <v>0</v>
      </c>
      <c r="W209" s="19">
        <v>0</v>
      </c>
      <c r="Y209" s="19">
        <f>SUM(D209:G209)</f>
        <v>19.133214770000002</v>
      </c>
      <c r="Z209" s="19">
        <f>SUM(H209:K209)</f>
        <v>64.781587630000004</v>
      </c>
      <c r="AA209" s="19">
        <f>SUM(L209:O209)</f>
        <v>0</v>
      </c>
      <c r="AB209" s="19">
        <f>SUM(P209:S209)</f>
        <v>0</v>
      </c>
      <c r="AC209" s="19">
        <f>SUM(T209:W209)</f>
        <v>0</v>
      </c>
    </row>
    <row r="210" spans="2:29" outlineLevel="1" x14ac:dyDescent="0.25">
      <c r="B210" s="26" t="s">
        <v>104</v>
      </c>
      <c r="C210" s="6" t="s">
        <v>15</v>
      </c>
      <c r="D210" s="19">
        <v>0.88333974000000004</v>
      </c>
      <c r="E210" s="19">
        <v>2.93523383</v>
      </c>
      <c r="F210" s="19">
        <v>3.3463860000000003</v>
      </c>
      <c r="G210" s="19">
        <v>0.29964919999999995</v>
      </c>
      <c r="H210" s="19">
        <v>0.671667349999999</v>
      </c>
      <c r="I210" s="19">
        <v>2.2662260199999982</v>
      </c>
      <c r="J210" s="19">
        <v>2.0628427</v>
      </c>
      <c r="K210" s="19">
        <v>7.4068579899999998</v>
      </c>
      <c r="L210" s="19">
        <v>5.4158438899999997</v>
      </c>
      <c r="M210" s="19">
        <v>6.8913997799999995</v>
      </c>
      <c r="N210" s="19">
        <v>18.119638259999999</v>
      </c>
      <c r="O210" s="19">
        <v>16.571763920000002</v>
      </c>
      <c r="P210" s="19">
        <v>6.7365678999999998</v>
      </c>
      <c r="Q210" s="19">
        <v>4.1805400399999995</v>
      </c>
      <c r="R210" s="19">
        <v>2.5847911199999998</v>
      </c>
      <c r="S210" s="19">
        <v>4.6137810000000004</v>
      </c>
      <c r="T210" s="19">
        <v>40.280850409999999</v>
      </c>
      <c r="U210" s="19">
        <v>8.1630711399999996</v>
      </c>
      <c r="V210" s="19">
        <v>0</v>
      </c>
      <c r="W210" s="19">
        <v>0</v>
      </c>
      <c r="Y210" s="19">
        <f>SUM(D210:G210)</f>
        <v>7.4646087700000008</v>
      </c>
      <c r="Z210" s="19">
        <f>SUM(H210:K210)</f>
        <v>12.407594059999997</v>
      </c>
      <c r="AA210" s="19">
        <f>SUM(L210:O210)</f>
        <v>46.998645850000003</v>
      </c>
      <c r="AB210" s="19">
        <f>SUM(P210:S210)</f>
        <v>18.115680059999999</v>
      </c>
      <c r="AC210" s="19">
        <f t="shared" ref="AC210:AC211" si="372">SUM(T210:W210)</f>
        <v>48.443921549999999</v>
      </c>
    </row>
    <row r="211" spans="2:29" outlineLevel="1" x14ac:dyDescent="0.25">
      <c r="B211" s="26" t="s">
        <v>106</v>
      </c>
      <c r="C211" s="6" t="s">
        <v>15</v>
      </c>
      <c r="D211" s="19">
        <v>0.62164903000000049</v>
      </c>
      <c r="E211" s="19">
        <v>3.6500378100000046</v>
      </c>
      <c r="F211" s="19">
        <v>4.3110211146238022</v>
      </c>
      <c r="G211" s="19">
        <v>3.3797917711035916</v>
      </c>
      <c r="H211" s="19">
        <f>3.17739156+8.656</f>
        <v>11.833391560000001</v>
      </c>
      <c r="I211" s="19">
        <v>0.9095010275877794</v>
      </c>
      <c r="J211" s="19">
        <v>-0.33049897241222798</v>
      </c>
      <c r="K211" s="19">
        <v>1.1659999999999999</v>
      </c>
      <c r="L211" s="19">
        <v>0</v>
      </c>
      <c r="M211" s="19">
        <v>0</v>
      </c>
      <c r="N211" s="19">
        <v>0</v>
      </c>
      <c r="O211" s="19">
        <v>0</v>
      </c>
      <c r="P211" s="19">
        <v>0</v>
      </c>
      <c r="Q211" s="19">
        <v>0</v>
      </c>
      <c r="R211" s="19">
        <v>0</v>
      </c>
      <c r="S211" s="19">
        <v>0</v>
      </c>
      <c r="T211" s="19">
        <v>0</v>
      </c>
      <c r="U211" s="19">
        <v>0</v>
      </c>
      <c r="V211" s="19">
        <v>0</v>
      </c>
      <c r="W211" s="19">
        <v>0</v>
      </c>
      <c r="Y211" s="19">
        <f>SUM(D211:G211)</f>
        <v>11.962499725727398</v>
      </c>
      <c r="Z211" s="19">
        <f>SUM(H211:K211)</f>
        <v>13.578393615175553</v>
      </c>
      <c r="AA211" s="19">
        <f>SUM(L211:O211)</f>
        <v>0</v>
      </c>
      <c r="AB211" s="19">
        <f>SUM(P211:S211)</f>
        <v>0</v>
      </c>
      <c r="AC211" s="19">
        <f t="shared" si="372"/>
        <v>0</v>
      </c>
    </row>
    <row r="212" spans="2:29" outlineLevel="1" x14ac:dyDescent="0.25">
      <c r="B212" s="3" t="s">
        <v>78</v>
      </c>
      <c r="C212" s="3" t="s">
        <v>15</v>
      </c>
      <c r="D212" s="4">
        <f t="shared" ref="D212:I212" si="373">SUM(D204:D208)</f>
        <v>171.74250707999991</v>
      </c>
      <c r="E212" s="4">
        <f t="shared" si="373"/>
        <v>121.44088939999982</v>
      </c>
      <c r="F212" s="4">
        <f t="shared" si="373"/>
        <v>178.94572604462374</v>
      </c>
      <c r="G212" s="4">
        <f t="shared" si="373"/>
        <v>238.76525208110351</v>
      </c>
      <c r="H212" s="4">
        <f t="shared" si="373"/>
        <v>212.95373652999984</v>
      </c>
      <c r="I212" s="4">
        <f t="shared" si="373"/>
        <v>181.29871162758755</v>
      </c>
      <c r="J212" s="4">
        <f t="shared" ref="J212:K212" si="374">SUM(J204:J208)</f>
        <v>212.76894994758752</v>
      </c>
      <c r="K212" s="4">
        <f t="shared" si="374"/>
        <v>277.49417925999995</v>
      </c>
      <c r="L212" s="4">
        <f t="shared" ref="L212:M212" si="375">SUM(L204:L208)</f>
        <v>290.8418233999999</v>
      </c>
      <c r="M212" s="4">
        <f t="shared" si="375"/>
        <v>270.60713385764728</v>
      </c>
      <c r="N212" s="4">
        <f t="shared" ref="N212:O212" si="376">SUM(N204:N208)</f>
        <v>319.64361247999966</v>
      </c>
      <c r="O212" s="4">
        <f t="shared" si="376"/>
        <v>395.30304856000009</v>
      </c>
      <c r="P212" s="4">
        <f t="shared" ref="P212:Q212" si="377">SUM(P204:P208)</f>
        <v>408.48562838000009</v>
      </c>
      <c r="Q212" s="4">
        <f t="shared" si="377"/>
        <v>536.30382140999995</v>
      </c>
      <c r="R212" s="4">
        <f t="shared" ref="R212:S212" si="378">SUM(R204:R208)</f>
        <v>458.42306760999969</v>
      </c>
      <c r="S212" s="4">
        <f t="shared" si="378"/>
        <v>419.49954033000017</v>
      </c>
      <c r="T212" s="4">
        <f t="shared" ref="T212:U212" si="379">SUM(T204:T208)</f>
        <v>189.32685040999965</v>
      </c>
      <c r="U212" s="4">
        <f t="shared" si="379"/>
        <v>131.59607114000002</v>
      </c>
      <c r="V212" s="4">
        <f t="shared" ref="V212:W212" si="380">SUM(V204:V208)</f>
        <v>132.03600000000051</v>
      </c>
      <c r="W212" s="4">
        <f t="shared" si="380"/>
        <v>265.7170000000001</v>
      </c>
      <c r="Y212" s="4">
        <f t="shared" ref="Y212:Z212" si="381">SUM(Y204:Y208)</f>
        <v>710.89437460572617</v>
      </c>
      <c r="Z212" s="4">
        <f t="shared" si="381"/>
        <v>884.51557736517566</v>
      </c>
      <c r="AA212" s="4">
        <f t="shared" ref="AA212:AB212" si="382">SUM(AA204:AA208)</f>
        <v>1276.3956182976478</v>
      </c>
      <c r="AB212" s="4">
        <f t="shared" si="382"/>
        <v>1822.7120577299972</v>
      </c>
      <c r="AC212" s="4">
        <f t="shared" ref="AC212" si="383">SUM(AC204:AC208)</f>
        <v>718.67592155000182</v>
      </c>
    </row>
    <row r="213" spans="2:29" outlineLevel="1" x14ac:dyDescent="0.25">
      <c r="B213" s="8" t="s">
        <v>68</v>
      </c>
      <c r="C213" s="9" t="s">
        <v>14</v>
      </c>
      <c r="D213" s="11">
        <f t="shared" ref="D213:Q213" si="384">D212/D44</f>
        <v>0.14093288682533894</v>
      </c>
      <c r="E213" s="11">
        <f t="shared" si="384"/>
        <v>9.2091230164206797E-2</v>
      </c>
      <c r="F213" s="11">
        <f t="shared" si="384"/>
        <v>0.13070365901900435</v>
      </c>
      <c r="G213" s="11">
        <f t="shared" si="384"/>
        <v>0.17072782401971201</v>
      </c>
      <c r="H213" s="11">
        <f t="shared" si="384"/>
        <v>0.14803442411135709</v>
      </c>
      <c r="I213" s="11">
        <f t="shared" si="384"/>
        <v>0.11980869569339038</v>
      </c>
      <c r="J213" s="11">
        <f t="shared" si="384"/>
        <v>0.13655412995174823</v>
      </c>
      <c r="K213" s="11">
        <f t="shared" si="384"/>
        <v>0.17073297311099228</v>
      </c>
      <c r="L213" s="11">
        <f t="shared" si="384"/>
        <v>0.15304620952002071</v>
      </c>
      <c r="M213" s="11">
        <f t="shared" si="384"/>
        <v>0.13291606216223451</v>
      </c>
      <c r="N213" s="11">
        <f t="shared" si="384"/>
        <v>0.14698866671510424</v>
      </c>
      <c r="O213" s="11">
        <f t="shared" si="384"/>
        <v>0.17175536652521112</v>
      </c>
      <c r="P213" s="11">
        <f t="shared" si="384"/>
        <v>0.15959923685828892</v>
      </c>
      <c r="Q213" s="11">
        <f t="shared" si="384"/>
        <v>0.20594767952803256</v>
      </c>
      <c r="R213" s="11">
        <f t="shared" ref="R213:S213" si="385">R212/R44</f>
        <v>0.1698737119243936</v>
      </c>
      <c r="S213" s="11">
        <f t="shared" si="385"/>
        <v>0.14922792352051653</v>
      </c>
      <c r="T213" s="11">
        <f t="shared" ref="T213:U213" si="386">T212/T44</f>
        <v>6.5207478960396345E-2</v>
      </c>
      <c r="U213" s="11">
        <f t="shared" si="386"/>
        <v>4.1171209183831499E-2</v>
      </c>
      <c r="V213" s="11">
        <f t="shared" ref="V213:W213" si="387">V212/V44</f>
        <v>4.0996578650518568E-2</v>
      </c>
      <c r="W213" s="11">
        <f t="shared" si="387"/>
        <v>8.1409990882174182E-2</v>
      </c>
      <c r="Y213" s="11">
        <f>Y212/Y44</f>
        <v>0.13400653970014764</v>
      </c>
      <c r="Z213" s="11">
        <f>Z212/Z44</f>
        <v>0.14417021881461989</v>
      </c>
      <c r="AA213" s="11">
        <f>AA212/AA44</f>
        <v>0.1517271766603773</v>
      </c>
      <c r="AB213" s="11">
        <f>AB212/AB44</f>
        <v>0.17077356792034057</v>
      </c>
      <c r="AC213" s="11">
        <f>AC212/AC44</f>
        <v>5.7108654269374642E-2</v>
      </c>
    </row>
    <row r="215" spans="2:29" ht="15.75" x14ac:dyDescent="0.25">
      <c r="B215" s="33" t="s">
        <v>190</v>
      </c>
    </row>
    <row r="216" spans="2:29" outlineLevel="1" x14ac:dyDescent="0.25">
      <c r="B216" s="32" t="s">
        <v>6</v>
      </c>
      <c r="C216" s="17" t="s">
        <v>0</v>
      </c>
      <c r="D216" s="17" t="s">
        <v>1</v>
      </c>
      <c r="E216" s="17" t="s">
        <v>2</v>
      </c>
      <c r="F216" s="17" t="s">
        <v>3</v>
      </c>
      <c r="G216" s="17" t="s">
        <v>4</v>
      </c>
      <c r="H216" s="17" t="s">
        <v>5</v>
      </c>
      <c r="I216" s="17" t="s">
        <v>375</v>
      </c>
      <c r="J216" s="17" t="s">
        <v>383</v>
      </c>
      <c r="K216" s="17" t="s">
        <v>385</v>
      </c>
      <c r="L216" s="17" t="s">
        <v>399</v>
      </c>
      <c r="M216" s="17" t="s">
        <v>412</v>
      </c>
      <c r="N216" s="17" t="s">
        <v>422</v>
      </c>
      <c r="O216" s="17" t="s">
        <v>424</v>
      </c>
      <c r="P216" s="17" t="s">
        <v>427</v>
      </c>
      <c r="Q216" s="17" t="s">
        <v>431</v>
      </c>
      <c r="R216" s="17" t="s">
        <v>554</v>
      </c>
      <c r="S216" s="17" t="s">
        <v>571</v>
      </c>
      <c r="T216" s="17" t="s">
        <v>574</v>
      </c>
      <c r="U216" s="17" t="s">
        <v>589</v>
      </c>
      <c r="V216" s="17" t="s">
        <v>593</v>
      </c>
      <c r="W216" s="17" t="s">
        <v>600</v>
      </c>
      <c r="Y216" s="17">
        <v>2017</v>
      </c>
      <c r="Z216" s="17">
        <v>2018</v>
      </c>
      <c r="AA216" s="17">
        <v>2019</v>
      </c>
      <c r="AB216" s="17">
        <v>2020</v>
      </c>
      <c r="AC216" s="17">
        <v>2021</v>
      </c>
    </row>
    <row r="217" spans="2:29" outlineLevel="1" x14ac:dyDescent="0.25">
      <c r="B217" s="9" t="s">
        <v>22</v>
      </c>
      <c r="C217" s="3" t="s">
        <v>15</v>
      </c>
      <c r="D217" s="4">
        <f t="shared" ref="D217:R217" si="388">D72</f>
        <v>59.371999999999879</v>
      </c>
      <c r="E217" s="4">
        <f t="shared" si="388"/>
        <v>25.249999999999819</v>
      </c>
      <c r="F217" s="4">
        <f t="shared" si="388"/>
        <v>35.821999999999882</v>
      </c>
      <c r="G217" s="4">
        <f t="shared" si="388"/>
        <v>117.71099999999994</v>
      </c>
      <c r="H217" s="4">
        <f t="shared" si="388"/>
        <v>60.26199999999983</v>
      </c>
      <c r="I217" s="4">
        <f t="shared" si="388"/>
        <v>51.272999999999783</v>
      </c>
      <c r="J217" s="4">
        <f t="shared" si="388"/>
        <v>94.151999999999774</v>
      </c>
      <c r="K217" s="4">
        <f t="shared" si="388"/>
        <v>128.38599999999997</v>
      </c>
      <c r="L217" s="4">
        <f t="shared" si="388"/>
        <v>102.84199999999989</v>
      </c>
      <c r="M217" s="4">
        <f t="shared" si="388"/>
        <v>89.6460000000002</v>
      </c>
      <c r="N217" s="4">
        <f t="shared" si="388"/>
        <v>99.69199999999968</v>
      </c>
      <c r="O217" s="4">
        <f t="shared" si="388"/>
        <v>131.40300000000005</v>
      </c>
      <c r="P217" s="4">
        <f t="shared" si="388"/>
        <v>160.40400000000008</v>
      </c>
      <c r="Q217" s="4">
        <f t="shared" si="388"/>
        <v>223.39099999999996</v>
      </c>
      <c r="R217" s="4">
        <f t="shared" si="388"/>
        <v>196.78499999999971</v>
      </c>
      <c r="S217" s="4">
        <f t="shared" ref="S217:T217" si="389">S72</f>
        <v>155.16500000000013</v>
      </c>
      <c r="T217" s="14">
        <f t="shared" si="389"/>
        <v>-27.900000000000347</v>
      </c>
      <c r="U217" s="14">
        <f t="shared" ref="U217:V217" si="390">U72</f>
        <v>-47.980000000000004</v>
      </c>
      <c r="V217" s="14">
        <f t="shared" si="390"/>
        <v>-90.729999999999478</v>
      </c>
      <c r="W217" s="14">
        <f t="shared" ref="W217" si="391">W72</f>
        <v>-4.8969999999999274</v>
      </c>
      <c r="Y217" s="4">
        <f>Y72</f>
        <v>238.15499999999867</v>
      </c>
      <c r="Z217" s="4">
        <f>Z72</f>
        <v>334.07300000000004</v>
      </c>
      <c r="AA217" s="4">
        <f>AA72</f>
        <v>423.58300000000065</v>
      </c>
      <c r="AB217" s="4">
        <f>AB72</f>
        <v>735.74499999999716</v>
      </c>
      <c r="AC217" s="14">
        <f>AC72</f>
        <v>-171.5069999999983</v>
      </c>
    </row>
    <row r="218" spans="2:29" outlineLevel="1" x14ac:dyDescent="0.25">
      <c r="B218" s="1" t="s">
        <v>170</v>
      </c>
      <c r="C218" s="6" t="s">
        <v>15</v>
      </c>
      <c r="D218" s="19">
        <f t="shared" ref="D218:I218" si="392">D209</f>
        <v>0.85176966000000021</v>
      </c>
      <c r="E218" s="19">
        <f t="shared" si="392"/>
        <v>6.3542757400000003</v>
      </c>
      <c r="F218" s="19">
        <f t="shared" si="392"/>
        <v>0.60153981000000012</v>
      </c>
      <c r="G218" s="19">
        <f t="shared" si="392"/>
        <v>11.325629559999999</v>
      </c>
      <c r="H218" s="19">
        <f t="shared" si="392"/>
        <v>4.9880152300000002</v>
      </c>
      <c r="I218" s="19">
        <f t="shared" si="392"/>
        <v>29.232572400000002</v>
      </c>
      <c r="J218" s="19">
        <f t="shared" ref="J218:K218" si="393">J209</f>
        <v>0</v>
      </c>
      <c r="K218" s="19">
        <f t="shared" si="393"/>
        <v>30.561</v>
      </c>
      <c r="L218" s="19">
        <f t="shared" ref="L218:M218" si="394">L209</f>
        <v>0</v>
      </c>
      <c r="M218" s="19">
        <f t="shared" si="394"/>
        <v>0</v>
      </c>
      <c r="N218" s="19">
        <f t="shared" ref="N218:O218" si="395">N209</f>
        <v>0</v>
      </c>
      <c r="O218" s="19">
        <f t="shared" si="395"/>
        <v>0</v>
      </c>
      <c r="P218" s="19">
        <f t="shared" ref="P218:Q218" si="396">P209</f>
        <v>0</v>
      </c>
      <c r="Q218" s="19">
        <f t="shared" si="396"/>
        <v>0</v>
      </c>
      <c r="R218" s="19">
        <f t="shared" ref="R218:S218" si="397">R209</f>
        <v>0</v>
      </c>
      <c r="S218" s="19">
        <f t="shared" si="397"/>
        <v>0</v>
      </c>
      <c r="T218" s="19">
        <f t="shared" ref="T218:U218" si="398">T209</f>
        <v>0</v>
      </c>
      <c r="U218" s="19">
        <f t="shared" si="398"/>
        <v>0</v>
      </c>
      <c r="V218" s="19">
        <f t="shared" ref="V218:W218" si="399">V209</f>
        <v>0</v>
      </c>
      <c r="W218" s="19">
        <f t="shared" si="399"/>
        <v>0</v>
      </c>
      <c r="Y218" s="19">
        <f t="shared" ref="Y218:Z218" si="400">Y209</f>
        <v>19.133214770000002</v>
      </c>
      <c r="Z218" s="19">
        <f t="shared" si="400"/>
        <v>64.781587630000004</v>
      </c>
      <c r="AA218" s="19">
        <f t="shared" ref="AA218:AB218" si="401">AA209</f>
        <v>0</v>
      </c>
      <c r="AB218" s="19">
        <f t="shared" si="401"/>
        <v>0</v>
      </c>
      <c r="AC218" s="19">
        <f t="shared" ref="AC218" si="402">AC209</f>
        <v>0</v>
      </c>
    </row>
    <row r="219" spans="2:29" outlineLevel="1" x14ac:dyDescent="0.25">
      <c r="B219" s="1" t="s">
        <v>173</v>
      </c>
      <c r="C219" s="6" t="s">
        <v>15</v>
      </c>
      <c r="D219" s="19">
        <f t="shared" ref="D219:J219" si="403">D211</f>
        <v>0.62164903000000049</v>
      </c>
      <c r="E219" s="19">
        <f t="shared" si="403"/>
        <v>3.6500378100000046</v>
      </c>
      <c r="F219" s="19">
        <f t="shared" si="403"/>
        <v>4.3110211146238022</v>
      </c>
      <c r="G219" s="19">
        <f t="shared" si="403"/>
        <v>3.3797917711035916</v>
      </c>
      <c r="H219" s="19">
        <f t="shared" si="403"/>
        <v>11.833391560000001</v>
      </c>
      <c r="I219" s="19">
        <f t="shared" si="403"/>
        <v>0.9095010275877794</v>
      </c>
      <c r="J219" s="19">
        <f t="shared" si="403"/>
        <v>-0.33049897241222798</v>
      </c>
      <c r="K219" s="19">
        <f t="shared" ref="K219:L219" si="404">K211</f>
        <v>1.1659999999999999</v>
      </c>
      <c r="L219" s="19">
        <f t="shared" si="404"/>
        <v>0</v>
      </c>
      <c r="M219" s="19">
        <f t="shared" ref="M219:N219" si="405">M211</f>
        <v>0</v>
      </c>
      <c r="N219" s="19">
        <f t="shared" si="405"/>
        <v>0</v>
      </c>
      <c r="O219" s="19">
        <f t="shared" ref="O219:P219" si="406">O211</f>
        <v>0</v>
      </c>
      <c r="P219" s="19">
        <f t="shared" si="406"/>
        <v>0</v>
      </c>
      <c r="Q219" s="19">
        <f t="shared" ref="Q219" si="407">Q211</f>
        <v>0</v>
      </c>
      <c r="R219" s="19">
        <f t="shared" ref="R219:S219" si="408">R211</f>
        <v>0</v>
      </c>
      <c r="S219" s="19">
        <f t="shared" si="408"/>
        <v>0</v>
      </c>
      <c r="T219" s="19">
        <f t="shared" ref="T219:U219" si="409">T211</f>
        <v>0</v>
      </c>
      <c r="U219" s="19">
        <f t="shared" si="409"/>
        <v>0</v>
      </c>
      <c r="V219" s="19">
        <f t="shared" ref="V219:W219" si="410">V211</f>
        <v>0</v>
      </c>
      <c r="W219" s="19">
        <f t="shared" si="410"/>
        <v>0</v>
      </c>
      <c r="Y219" s="19">
        <f t="shared" ref="Y219:Z219" si="411">Y211</f>
        <v>11.962499725727398</v>
      </c>
      <c r="Z219" s="19">
        <f t="shared" si="411"/>
        <v>13.578393615175553</v>
      </c>
      <c r="AA219" s="19">
        <f t="shared" ref="AA219:AB219" si="412">AA211</f>
        <v>0</v>
      </c>
      <c r="AB219" s="19">
        <f t="shared" si="412"/>
        <v>0</v>
      </c>
      <c r="AC219" s="19">
        <f t="shared" ref="AC219" si="413">AC211</f>
        <v>0</v>
      </c>
    </row>
    <row r="220" spans="2:29" outlineLevel="1" x14ac:dyDescent="0.25">
      <c r="B220" s="1" t="s">
        <v>174</v>
      </c>
      <c r="C220" s="6" t="s">
        <v>15</v>
      </c>
      <c r="D220" s="19">
        <v>-0.28960168440000006</v>
      </c>
      <c r="E220" s="19">
        <v>-2.2247320470000003</v>
      </c>
      <c r="F220" s="19">
        <v>-0.93709741240000022</v>
      </c>
      <c r="G220" s="19">
        <v>-3.8507140503999997</v>
      </c>
      <c r="H220" s="19">
        <v>-1.6959251782000002</v>
      </c>
      <c r="I220" s="19">
        <v>-9.939074616000001</v>
      </c>
      <c r="J220" s="19">
        <v>0.86</v>
      </c>
      <c r="K220" s="19">
        <v>-10.390739999999999</v>
      </c>
      <c r="L220" s="19">
        <v>0</v>
      </c>
      <c r="M220" s="19">
        <v>0</v>
      </c>
      <c r="N220" s="19">
        <v>0</v>
      </c>
      <c r="O220" s="19">
        <v>0</v>
      </c>
      <c r="P220" s="19">
        <v>0</v>
      </c>
      <c r="Q220" s="19">
        <v>0</v>
      </c>
      <c r="R220" s="19">
        <v>0</v>
      </c>
      <c r="S220" s="19">
        <v>0</v>
      </c>
      <c r="T220" s="19">
        <v>0</v>
      </c>
      <c r="U220" s="19">
        <v>0</v>
      </c>
      <c r="V220" s="19">
        <v>0</v>
      </c>
      <c r="W220" s="19">
        <v>0</v>
      </c>
      <c r="Y220" s="19">
        <f>SUM(D220:G220)</f>
        <v>-7.3021451942000004</v>
      </c>
      <c r="Z220" s="19">
        <f>SUM(H220:K220)</f>
        <v>-21.1657397942</v>
      </c>
      <c r="AA220" s="19">
        <f>SUM(L220:O220)</f>
        <v>0</v>
      </c>
      <c r="AB220" s="19">
        <f>SUM(P220:S220)</f>
        <v>0</v>
      </c>
      <c r="AC220" s="19">
        <f>SUM(T220:W220)</f>
        <v>0</v>
      </c>
    </row>
    <row r="221" spans="2:29" outlineLevel="1" x14ac:dyDescent="0.25">
      <c r="B221" s="1" t="s">
        <v>105</v>
      </c>
      <c r="C221" s="6" t="s">
        <v>15</v>
      </c>
      <c r="D221" s="19">
        <f t="shared" ref="D221:I221" si="414">D205</f>
        <v>3.8149999999999999</v>
      </c>
      <c r="E221" s="19">
        <f t="shared" si="414"/>
        <v>3.6010000000000004</v>
      </c>
      <c r="F221" s="19">
        <f t="shared" si="414"/>
        <v>2.84</v>
      </c>
      <c r="G221" s="19">
        <f t="shared" si="414"/>
        <v>3.206</v>
      </c>
      <c r="H221" s="19">
        <f t="shared" si="414"/>
        <v>4.2789999999999999</v>
      </c>
      <c r="I221" s="19">
        <f t="shared" si="414"/>
        <v>7.4039999999999999</v>
      </c>
      <c r="J221" s="19">
        <f t="shared" ref="J221:K221" si="415">J205</f>
        <v>8.3759999999999994</v>
      </c>
      <c r="K221" s="19">
        <f t="shared" si="415"/>
        <v>7.5650000000000004</v>
      </c>
      <c r="L221" s="19">
        <f t="shared" ref="L221:M221" si="416">L205</f>
        <v>7.0069999999999997</v>
      </c>
      <c r="M221" s="19">
        <f t="shared" si="416"/>
        <v>12.317</v>
      </c>
      <c r="N221" s="19">
        <f t="shared" ref="N221:O221" si="417">N205</f>
        <v>13.496</v>
      </c>
      <c r="O221" s="19">
        <f t="shared" si="417"/>
        <v>11.446999999999999</v>
      </c>
      <c r="P221" s="19">
        <f t="shared" ref="P221:R221" si="418">P205</f>
        <v>10.923999999999999</v>
      </c>
      <c r="Q221" s="19">
        <f t="shared" si="418"/>
        <v>12.571</v>
      </c>
      <c r="R221" s="19">
        <f t="shared" si="418"/>
        <v>12.557</v>
      </c>
      <c r="S221" s="19">
        <f t="shared" ref="S221:T221" si="419">S205</f>
        <v>12.689</v>
      </c>
      <c r="T221" s="19">
        <f t="shared" si="419"/>
        <v>12.093999999999999</v>
      </c>
      <c r="U221" s="19">
        <f t="shared" ref="U221:V221" si="420">U205</f>
        <v>4.57</v>
      </c>
      <c r="V221" s="19">
        <f t="shared" si="420"/>
        <v>5.7119999999999997</v>
      </c>
      <c r="W221" s="19">
        <f t="shared" ref="W221" si="421">W205</f>
        <v>5.4249999999999998</v>
      </c>
      <c r="Y221" s="19">
        <f t="shared" ref="Y221:Z221" si="422">Y205</f>
        <v>13.462</v>
      </c>
      <c r="Z221" s="19">
        <f t="shared" si="422"/>
        <v>27.623999999999999</v>
      </c>
      <c r="AA221" s="19">
        <f>SUM(L221:O221)</f>
        <v>44.266999999999996</v>
      </c>
      <c r="AB221" s="19">
        <f>SUM(P221:S221)</f>
        <v>48.741</v>
      </c>
      <c r="AC221" s="19">
        <f>SUM(T221:W221)</f>
        <v>27.801000000000002</v>
      </c>
    </row>
    <row r="222" spans="2:29" outlineLevel="1" x14ac:dyDescent="0.25">
      <c r="B222" s="1" t="s">
        <v>175</v>
      </c>
      <c r="C222" s="6" t="s">
        <v>15</v>
      </c>
      <c r="D222" s="19">
        <v>0</v>
      </c>
      <c r="E222" s="19">
        <v>0</v>
      </c>
      <c r="F222" s="19">
        <v>0</v>
      </c>
      <c r="G222" s="19">
        <v>0</v>
      </c>
      <c r="H222" s="19">
        <v>10.7523353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  <c r="Q222" s="19">
        <v>0</v>
      </c>
      <c r="R222" s="19">
        <v>0</v>
      </c>
      <c r="S222" s="19">
        <v>0</v>
      </c>
      <c r="T222" s="19">
        <v>0</v>
      </c>
      <c r="U222" s="19">
        <v>0</v>
      </c>
      <c r="V222" s="19">
        <v>0</v>
      </c>
      <c r="W222" s="19">
        <v>0</v>
      </c>
      <c r="Y222" s="19">
        <f>SUM(D222:G222)</f>
        <v>0</v>
      </c>
      <c r="Z222" s="19">
        <f>SUM(H222:K222)</f>
        <v>10.7523353</v>
      </c>
      <c r="AA222" s="19">
        <f>SUM(L222:O222)</f>
        <v>0</v>
      </c>
      <c r="AB222" s="19">
        <f>SUM(P222:S222)</f>
        <v>0</v>
      </c>
      <c r="AC222" s="19">
        <f t="shared" ref="AC222:AC224" si="423">SUM(T222:W222)</f>
        <v>0</v>
      </c>
    </row>
    <row r="223" spans="2:29" outlineLevel="1" x14ac:dyDescent="0.25">
      <c r="B223" s="1" t="s">
        <v>172</v>
      </c>
      <c r="C223" s="6" t="s">
        <v>15</v>
      </c>
      <c r="D223" s="19">
        <v>17.375499999999999</v>
      </c>
      <c r="E223" s="19">
        <v>17.375499999999999</v>
      </c>
      <c r="F223" s="19">
        <v>17.375499999999999</v>
      </c>
      <c r="G223" s="19">
        <v>17.375499999999999</v>
      </c>
      <c r="H223" s="19">
        <v>16.187000000000001</v>
      </c>
      <c r="I223" s="19">
        <v>16.187498972412222</v>
      </c>
      <c r="J223" s="19">
        <v>16.187498972412222</v>
      </c>
      <c r="K223" s="19">
        <v>16.187997944824499</v>
      </c>
      <c r="L223" s="19">
        <v>16.148391839999999</v>
      </c>
      <c r="M223" s="19">
        <v>16.128838260000002</v>
      </c>
      <c r="N223" s="19">
        <v>33.533000000000001</v>
      </c>
      <c r="O223" s="19">
        <v>25.913</v>
      </c>
      <c r="P223" s="19">
        <v>29.353999999999999</v>
      </c>
      <c r="Q223" s="19">
        <v>32.356999999999999</v>
      </c>
      <c r="R223" s="19">
        <v>37.624000000000002</v>
      </c>
      <c r="S223" s="19">
        <v>31.312999999999999</v>
      </c>
      <c r="T223" s="19">
        <v>34.618000000000002</v>
      </c>
      <c r="U223" s="19">
        <v>34.982999999999997</v>
      </c>
      <c r="V223" s="19">
        <v>30.161999999999999</v>
      </c>
      <c r="W223" s="19">
        <v>33.710999999999999</v>
      </c>
      <c r="Y223" s="19">
        <f>SUM(D223:G223)</f>
        <v>69.501999999999995</v>
      </c>
      <c r="Z223" s="19">
        <f>SUM(H223:K223)</f>
        <v>64.749995889648943</v>
      </c>
      <c r="AA223" s="19">
        <f>SUM(L223:O223)</f>
        <v>91.723230099999995</v>
      </c>
      <c r="AB223" s="19">
        <f>SUM(P223:S223)</f>
        <v>130.648</v>
      </c>
      <c r="AC223" s="19">
        <f t="shared" si="423"/>
        <v>133.47399999999999</v>
      </c>
    </row>
    <row r="224" spans="2:29" outlineLevel="1" x14ac:dyDescent="0.25">
      <c r="B224" s="1" t="s">
        <v>171</v>
      </c>
      <c r="C224" s="6" t="s">
        <v>15</v>
      </c>
      <c r="D224" s="19">
        <f t="shared" ref="D224:N224" si="424">-D71</f>
        <v>14.525</v>
      </c>
      <c r="E224" s="19">
        <f t="shared" si="424"/>
        <v>15.148</v>
      </c>
      <c r="F224" s="19">
        <f t="shared" si="424"/>
        <v>13.35</v>
      </c>
      <c r="G224" s="19">
        <f t="shared" si="424"/>
        <v>8.2289999999999992</v>
      </c>
      <c r="H224" s="19">
        <f t="shared" si="424"/>
        <v>31.015000000000001</v>
      </c>
      <c r="I224" s="19">
        <f t="shared" si="424"/>
        <v>10.387</v>
      </c>
      <c r="J224" s="19">
        <f t="shared" si="424"/>
        <v>7.968</v>
      </c>
      <c r="K224" s="19">
        <f t="shared" si="424"/>
        <v>23.712</v>
      </c>
      <c r="L224" s="19">
        <f t="shared" si="424"/>
        <v>21.55</v>
      </c>
      <c r="M224" s="19">
        <f t="shared" si="424"/>
        <v>12.651</v>
      </c>
      <c r="N224" s="19">
        <f t="shared" si="424"/>
        <v>9.0009999999999994</v>
      </c>
      <c r="O224" s="19">
        <v>29.568000000000001</v>
      </c>
      <c r="P224" s="19">
        <v>7.2690000000000001</v>
      </c>
      <c r="Q224" s="19">
        <v>35.543999999999997</v>
      </c>
      <c r="R224" s="19">
        <v>18.558</v>
      </c>
      <c r="S224" s="19">
        <v>33.502000000000002</v>
      </c>
      <c r="T224" s="19">
        <v>9.109</v>
      </c>
      <c r="U224" s="19">
        <v>-1.4359999999999999</v>
      </c>
      <c r="V224" s="19">
        <v>18.295000000000002</v>
      </c>
      <c r="W224" s="19">
        <v>14.362</v>
      </c>
      <c r="Y224" s="19">
        <f>-Y71</f>
        <v>51.252000000000002</v>
      </c>
      <c r="Z224" s="19">
        <f>-Z71</f>
        <v>73.082000000000008</v>
      </c>
      <c r="AA224" s="19">
        <f>SUM(L224:O224)</f>
        <v>72.77</v>
      </c>
      <c r="AB224" s="19">
        <f>SUM(P224:S224)</f>
        <v>94.87299999999999</v>
      </c>
      <c r="AC224" s="19">
        <f t="shared" si="423"/>
        <v>40.330000000000005</v>
      </c>
    </row>
    <row r="225" spans="2:29" outlineLevel="1" x14ac:dyDescent="0.25">
      <c r="B225" s="3" t="s">
        <v>169</v>
      </c>
      <c r="C225" s="3" t="s">
        <v>15</v>
      </c>
      <c r="D225" s="14">
        <f t="shared" ref="D225:I225" si="425">SUM(D217:D224)</f>
        <v>96.271317005599897</v>
      </c>
      <c r="E225" s="14">
        <f t="shared" si="425"/>
        <v>69.154081502999816</v>
      </c>
      <c r="F225" s="14">
        <f t="shared" si="425"/>
        <v>73.362963512223672</v>
      </c>
      <c r="G225" s="14">
        <f t="shared" si="425"/>
        <v>157.37620728070351</v>
      </c>
      <c r="H225" s="14">
        <f t="shared" si="425"/>
        <v>137.62081691179981</v>
      </c>
      <c r="I225" s="14">
        <f t="shared" si="425"/>
        <v>105.45449778399978</v>
      </c>
      <c r="J225" s="14">
        <f t="shared" ref="J225:K225" si="426">SUM(J217:J224)</f>
        <v>127.21299999999978</v>
      </c>
      <c r="K225" s="14">
        <f t="shared" si="426"/>
        <v>197.18725794482447</v>
      </c>
      <c r="L225" s="14">
        <f t="shared" ref="L225:M225" si="427">SUM(L217:L224)</f>
        <v>147.5473918399999</v>
      </c>
      <c r="M225" s="14">
        <f t="shared" si="427"/>
        <v>130.74283826000021</v>
      </c>
      <c r="N225" s="14">
        <f t="shared" ref="N225:O225" si="428">SUM(N217:N224)</f>
        <v>155.72199999999967</v>
      </c>
      <c r="O225" s="14">
        <f t="shared" si="428"/>
        <v>198.33100000000007</v>
      </c>
      <c r="P225" s="14">
        <f t="shared" ref="P225:Q225" si="429">SUM(P217:P224)</f>
        <v>207.95100000000008</v>
      </c>
      <c r="Q225" s="14">
        <f t="shared" si="429"/>
        <v>303.86299999999994</v>
      </c>
      <c r="R225" s="14">
        <f t="shared" ref="R225:S225" si="430">SUM(R217:R224)</f>
        <v>265.52399999999972</v>
      </c>
      <c r="S225" s="14">
        <f t="shared" si="430"/>
        <v>232.66900000000012</v>
      </c>
      <c r="T225" s="14">
        <f t="shared" ref="T225:U225" si="431">SUM(T217:T224)</f>
        <v>27.920999999999658</v>
      </c>
      <c r="U225" s="14">
        <f t="shared" si="431"/>
        <v>-9.8630000000000067</v>
      </c>
      <c r="V225" s="14">
        <f t="shared" ref="V225:W225" si="432">SUM(V217:V224)</f>
        <v>-36.560999999999474</v>
      </c>
      <c r="W225" s="14">
        <f t="shared" si="432"/>
        <v>48.60100000000007</v>
      </c>
      <c r="Y225" s="4">
        <f t="shared" ref="Y225:Z225" si="433">SUM(Y217:Y224)</f>
        <v>396.16456930152606</v>
      </c>
      <c r="Z225" s="4">
        <f t="shared" si="433"/>
        <v>567.47557264062459</v>
      </c>
      <c r="AA225" s="4">
        <f t="shared" ref="AA225:AB225" si="434">SUM(AA217:AA224)</f>
        <v>632.3432301000006</v>
      </c>
      <c r="AB225" s="4">
        <f t="shared" si="434"/>
        <v>1010.0069999999971</v>
      </c>
      <c r="AC225" s="14">
        <f t="shared" ref="AC225" si="435">SUM(AC217:AC224)</f>
        <v>30.098000000001683</v>
      </c>
    </row>
    <row r="226" spans="2:29" outlineLevel="1" x14ac:dyDescent="0.25">
      <c r="B226" s="8" t="s">
        <v>361</v>
      </c>
      <c r="C226" s="9" t="s">
        <v>14</v>
      </c>
      <c r="D226" s="11">
        <f t="shared" ref="D226:Q226" si="436">+D225/D44</f>
        <v>7.9000795171555754E-2</v>
      </c>
      <c r="E226" s="11">
        <f t="shared" si="436"/>
        <v>5.2441022689735682E-2</v>
      </c>
      <c r="F226" s="11">
        <f t="shared" si="436"/>
        <v>5.3585005797423611E-2</v>
      </c>
      <c r="G226" s="11">
        <f t="shared" si="436"/>
        <v>0.11253102026915963</v>
      </c>
      <c r="H226" s="11">
        <f t="shared" si="436"/>
        <v>9.5666874454690798E-2</v>
      </c>
      <c r="I226" s="11">
        <f t="shared" si="436"/>
        <v>6.968811703667957E-2</v>
      </c>
      <c r="J226" s="11">
        <f t="shared" si="436"/>
        <v>8.1644716194872041E-2</v>
      </c>
      <c r="K226" s="11">
        <f t="shared" si="436"/>
        <v>0.1213227855744682</v>
      </c>
      <c r="L226" s="11">
        <f t="shared" si="436"/>
        <v>7.7642096936726981E-2</v>
      </c>
      <c r="M226" s="11">
        <f t="shared" si="436"/>
        <v>6.4217905011235782E-2</v>
      </c>
      <c r="N226" s="11">
        <f t="shared" si="436"/>
        <v>7.1609030384242767E-2</v>
      </c>
      <c r="O226" s="11">
        <f t="shared" si="436"/>
        <v>8.6172908917349966E-2</v>
      </c>
      <c r="P226" s="11">
        <f t="shared" si="436"/>
        <v>8.1248442045661479E-2</v>
      </c>
      <c r="Q226" s="11">
        <f t="shared" si="436"/>
        <v>0.11668736497140253</v>
      </c>
      <c r="R226" s="11">
        <f t="shared" ref="R226:S226" si="437">+R225/R44</f>
        <v>9.8392839872067414E-2</v>
      </c>
      <c r="S226" s="11">
        <f t="shared" si="437"/>
        <v>8.276698398830655E-2</v>
      </c>
      <c r="T226" s="11">
        <f t="shared" ref="T226:U226" si="438">+T225/T44</f>
        <v>9.6164807902864823E-3</v>
      </c>
      <c r="U226" s="11">
        <f t="shared" si="438"/>
        <v>-3.0857428543449926E-3</v>
      </c>
      <c r="V226" s="11">
        <f t="shared" ref="V226:W226" si="439">+V225/V44</f>
        <v>-1.1352024539077086E-2</v>
      </c>
      <c r="W226" s="11">
        <f t="shared" si="439"/>
        <v>1.4890304221651426E-2</v>
      </c>
      <c r="Y226" s="11">
        <f>+Y225/Y44</f>
        <v>7.467866532681551E-2</v>
      </c>
      <c r="Z226" s="11">
        <f>+Z225/Z44</f>
        <v>9.2494784233487518E-2</v>
      </c>
      <c r="AA226" s="11">
        <f>+AA225/AA44</f>
        <v>7.5167645209671133E-2</v>
      </c>
      <c r="AB226" s="11">
        <f>+AB225/AB44</f>
        <v>9.4629592361027318E-2</v>
      </c>
      <c r="AC226" s="11">
        <f>+AC225/AC44</f>
        <v>2.3916987123940325E-3</v>
      </c>
    </row>
    <row r="228" spans="2:29" ht="15.75" x14ac:dyDescent="0.25">
      <c r="B228" s="33" t="s">
        <v>163</v>
      </c>
    </row>
    <row r="229" spans="2:29" outlineLevel="1" x14ac:dyDescent="0.25">
      <c r="B229" s="32" t="s">
        <v>6</v>
      </c>
      <c r="C229" s="17" t="s">
        <v>0</v>
      </c>
      <c r="D229" s="17" t="s">
        <v>1</v>
      </c>
      <c r="E229" s="17" t="s">
        <v>2</v>
      </c>
      <c r="F229" s="17" t="s">
        <v>3</v>
      </c>
      <c r="G229" s="17" t="s">
        <v>4</v>
      </c>
      <c r="H229" s="17" t="s">
        <v>5</v>
      </c>
      <c r="I229" s="17" t="s">
        <v>375</v>
      </c>
      <c r="J229" s="17" t="s">
        <v>383</v>
      </c>
      <c r="K229" s="17" t="s">
        <v>385</v>
      </c>
      <c r="L229" s="17" t="s">
        <v>399</v>
      </c>
      <c r="M229" s="17" t="s">
        <v>412</v>
      </c>
      <c r="N229" s="17" t="s">
        <v>422</v>
      </c>
      <c r="O229" s="17" t="s">
        <v>424</v>
      </c>
      <c r="P229" s="17" t="s">
        <v>427</v>
      </c>
      <c r="Q229" s="17" t="s">
        <v>431</v>
      </c>
      <c r="R229" s="17" t="s">
        <v>554</v>
      </c>
      <c r="S229" s="17" t="s">
        <v>571</v>
      </c>
      <c r="T229" s="17" t="s">
        <v>574</v>
      </c>
      <c r="U229" s="17" t="s">
        <v>589</v>
      </c>
      <c r="V229" s="17" t="s">
        <v>593</v>
      </c>
      <c r="W229" s="17" t="s">
        <v>600</v>
      </c>
      <c r="Y229" s="17">
        <v>2017</v>
      </c>
      <c r="Z229" s="17">
        <v>2018</v>
      </c>
      <c r="AA229" s="17">
        <v>2019</v>
      </c>
      <c r="AB229" s="17">
        <v>2020</v>
      </c>
      <c r="AC229" s="17">
        <v>2021</v>
      </c>
    </row>
    <row r="230" spans="2:29" outlineLevel="1" x14ac:dyDescent="0.25">
      <c r="B230" s="1" t="s">
        <v>370</v>
      </c>
      <c r="C230" s="6" t="s">
        <v>15</v>
      </c>
      <c r="D230" s="19">
        <f t="shared" ref="D230:R230" si="440">D115+D107</f>
        <v>224.66300000000001</v>
      </c>
      <c r="E230" s="19">
        <f t="shared" si="440"/>
        <v>228.577</v>
      </c>
      <c r="F230" s="19">
        <f t="shared" si="440"/>
        <v>231.279</v>
      </c>
      <c r="G230" s="19">
        <f t="shared" si="440"/>
        <v>235.577</v>
      </c>
      <c r="H230" s="19">
        <f t="shared" si="440"/>
        <v>237.34100000000001</v>
      </c>
      <c r="I230" s="19">
        <f t="shared" si="440"/>
        <v>226.36699999999999</v>
      </c>
      <c r="J230" s="19">
        <f t="shared" si="440"/>
        <v>221.898</v>
      </c>
      <c r="K230" s="19">
        <f t="shared" si="440"/>
        <v>222.773</v>
      </c>
      <c r="L230" s="19">
        <f t="shared" si="440"/>
        <v>222.99799999999999</v>
      </c>
      <c r="M230" s="19">
        <f t="shared" si="440"/>
        <v>205.358</v>
      </c>
      <c r="N230" s="19">
        <f t="shared" si="440"/>
        <v>179.803</v>
      </c>
      <c r="O230" s="19">
        <f t="shared" si="440"/>
        <v>118.98099999999999</v>
      </c>
      <c r="P230" s="19">
        <f t="shared" si="440"/>
        <v>84.262</v>
      </c>
      <c r="Q230" s="19">
        <f t="shared" si="440"/>
        <v>78.655000000000001</v>
      </c>
      <c r="R230" s="19">
        <f t="shared" si="440"/>
        <v>67.453999999999994</v>
      </c>
      <c r="S230" s="19">
        <f t="shared" ref="S230:T230" si="441">S115+S107</f>
        <v>72.938000000000002</v>
      </c>
      <c r="T230" s="19">
        <f t="shared" si="441"/>
        <v>69.415000000000006</v>
      </c>
      <c r="U230" s="19">
        <f t="shared" ref="U230:V230" si="442">U115+U107</f>
        <v>66.218999999999994</v>
      </c>
      <c r="V230" s="19">
        <f t="shared" si="442"/>
        <v>52.323999999999998</v>
      </c>
      <c r="W230" s="19">
        <f t="shared" ref="W230" si="443">W115+W107</f>
        <v>50.762</v>
      </c>
      <c r="Y230" s="19">
        <f>Y115</f>
        <v>235.577</v>
      </c>
      <c r="Z230" s="19">
        <f>Z115</f>
        <v>222.773</v>
      </c>
      <c r="AA230" s="19">
        <f>AA115+AA107</f>
        <v>118.98099999999999</v>
      </c>
      <c r="AB230" s="19">
        <f>AB115+AB107</f>
        <v>72.938000000000002</v>
      </c>
      <c r="AC230" s="19">
        <f>AC115+AC107</f>
        <v>50.762</v>
      </c>
    </row>
    <row r="231" spans="2:29" outlineLevel="1" x14ac:dyDescent="0.25">
      <c r="B231" s="1" t="s">
        <v>164</v>
      </c>
      <c r="C231" s="6" t="s">
        <v>15</v>
      </c>
      <c r="D231" s="19">
        <f t="shared" ref="D231:R231" si="444">+D104+D113</f>
        <v>675.95299999999997</v>
      </c>
      <c r="E231" s="19">
        <f t="shared" si="444"/>
        <v>576.327</v>
      </c>
      <c r="F231" s="19">
        <f t="shared" si="444"/>
        <v>594.71</v>
      </c>
      <c r="G231" s="19">
        <f t="shared" si="444"/>
        <v>845.60599999999999</v>
      </c>
      <c r="H231" s="19">
        <f t="shared" si="444"/>
        <v>656.36199999999997</v>
      </c>
      <c r="I231" s="19">
        <f t="shared" si="444"/>
        <v>657.66899999999998</v>
      </c>
      <c r="J231" s="19">
        <f t="shared" si="444"/>
        <v>657.59399999999994</v>
      </c>
      <c r="K231" s="19">
        <f t="shared" si="444"/>
        <v>658.06799999999998</v>
      </c>
      <c r="L231" s="19">
        <f t="shared" si="444"/>
        <v>1496.5440000000001</v>
      </c>
      <c r="M231" s="19">
        <f t="shared" si="444"/>
        <v>1513.0989999999999</v>
      </c>
      <c r="N231" s="19">
        <f t="shared" si="444"/>
        <v>2245.674</v>
      </c>
      <c r="O231" s="19">
        <f t="shared" si="444"/>
        <v>1922.097</v>
      </c>
      <c r="P231" s="19">
        <f t="shared" si="444"/>
        <v>923.34400000000005</v>
      </c>
      <c r="Q231" s="19">
        <f t="shared" si="444"/>
        <v>934.346</v>
      </c>
      <c r="R231" s="19">
        <f t="shared" si="444"/>
        <v>1611.4779999999998</v>
      </c>
      <c r="S231" s="19">
        <f t="shared" ref="S231:T231" si="445">+S104+S113</f>
        <v>2319.663</v>
      </c>
      <c r="T231" s="19">
        <f t="shared" si="445"/>
        <v>2252.9769999999999</v>
      </c>
      <c r="U231" s="19">
        <f t="shared" ref="U231:V231" si="446">+U104+U113</f>
        <v>2269.6819999999998</v>
      </c>
      <c r="V231" s="19">
        <f t="shared" si="446"/>
        <v>2268.471</v>
      </c>
      <c r="W231" s="19">
        <f t="shared" ref="W231" si="447">+W104+W113</f>
        <v>3514.6280000000002</v>
      </c>
      <c r="Y231" s="19">
        <f>+Y104+Y113</f>
        <v>845.60599999999999</v>
      </c>
      <c r="Z231" s="19">
        <f>+Z104+Z113</f>
        <v>658.06799999999998</v>
      </c>
      <c r="AA231" s="19">
        <f>+AA104+AA113</f>
        <v>1922.097</v>
      </c>
      <c r="AB231" s="19">
        <f>+AB104+AB113</f>
        <v>2319.663</v>
      </c>
      <c r="AC231" s="19">
        <f>+AC104+AC113</f>
        <v>3514.6280000000002</v>
      </c>
    </row>
    <row r="232" spans="2:29" outlineLevel="1" x14ac:dyDescent="0.25">
      <c r="B232" s="1" t="s">
        <v>165</v>
      </c>
      <c r="C232" s="6" t="s">
        <v>15</v>
      </c>
      <c r="D232" s="19">
        <f t="shared" ref="D232:R232" si="448">+D103+D112</f>
        <v>2.5209999999999999</v>
      </c>
      <c r="E232" s="19">
        <f t="shared" si="448"/>
        <v>157.23000000000002</v>
      </c>
      <c r="F232" s="19">
        <f t="shared" si="448"/>
        <v>312.06800000000004</v>
      </c>
      <c r="G232" s="19">
        <f t="shared" si="448"/>
        <v>641.59500000000003</v>
      </c>
      <c r="H232" s="19">
        <f t="shared" si="448"/>
        <v>488.976</v>
      </c>
      <c r="I232" s="19">
        <f t="shared" si="448"/>
        <v>333.21699999999998</v>
      </c>
      <c r="J232" s="19">
        <f t="shared" si="448"/>
        <v>332.70100000000002</v>
      </c>
      <c r="K232" s="19">
        <f t="shared" si="448"/>
        <v>279.245</v>
      </c>
      <c r="L232" s="19">
        <f t="shared" si="448"/>
        <v>269.93299999999999</v>
      </c>
      <c r="M232" s="19">
        <f t="shared" si="448"/>
        <v>204.28300000000002</v>
      </c>
      <c r="N232" s="19">
        <f t="shared" si="448"/>
        <v>199.672</v>
      </c>
      <c r="O232" s="19">
        <f t="shared" si="448"/>
        <v>255.84199999999998</v>
      </c>
      <c r="P232" s="19">
        <f t="shared" si="448"/>
        <v>543.35</v>
      </c>
      <c r="Q232" s="19">
        <f t="shared" si="448"/>
        <v>1001.532</v>
      </c>
      <c r="R232" s="19">
        <f t="shared" si="448"/>
        <v>1237.4580000000001</v>
      </c>
      <c r="S232" s="19">
        <f t="shared" ref="S232:T232" si="449">+S103+S112</f>
        <v>1168.74</v>
      </c>
      <c r="T232" s="19">
        <f t="shared" si="449"/>
        <v>1136.5509999999999</v>
      </c>
      <c r="U232" s="19">
        <f t="shared" ref="U232:V232" si="450">+U103+U112</f>
        <v>1439.3240000000001</v>
      </c>
      <c r="V232" s="19">
        <f t="shared" si="450"/>
        <v>1511.0719999999999</v>
      </c>
      <c r="W232" s="19">
        <f t="shared" ref="W232" si="451">+W103+W112</f>
        <v>1492.115</v>
      </c>
      <c r="Y232" s="19">
        <f>+Y103+Y112</f>
        <v>641.59500000000003</v>
      </c>
      <c r="Z232" s="19">
        <f>+Z103+Z112</f>
        <v>279.245</v>
      </c>
      <c r="AA232" s="19">
        <f>+AA103+AA112</f>
        <v>255.84199999999998</v>
      </c>
      <c r="AB232" s="19">
        <f>+AB103+AB112</f>
        <v>1168.74</v>
      </c>
      <c r="AC232" s="19">
        <f>+AC103+AC112</f>
        <v>1492.115</v>
      </c>
    </row>
    <row r="233" spans="2:29" outlineLevel="1" x14ac:dyDescent="0.25">
      <c r="B233" s="9" t="s">
        <v>166</v>
      </c>
      <c r="C233" s="3" t="s">
        <v>15</v>
      </c>
      <c r="D233" s="4">
        <f t="shared" ref="D233:I233" si="452">SUM(D230:D232)</f>
        <v>903.13699999999994</v>
      </c>
      <c r="E233" s="4">
        <f t="shared" si="452"/>
        <v>962.13400000000001</v>
      </c>
      <c r="F233" s="4">
        <f t="shared" si="452"/>
        <v>1138.057</v>
      </c>
      <c r="G233" s="4">
        <f t="shared" si="452"/>
        <v>1722.778</v>
      </c>
      <c r="H233" s="4">
        <f t="shared" si="452"/>
        <v>1382.6790000000001</v>
      </c>
      <c r="I233" s="4">
        <f t="shared" si="452"/>
        <v>1217.2529999999999</v>
      </c>
      <c r="J233" s="4">
        <f t="shared" ref="J233:K233" si="453">SUM(J230:J232)</f>
        <v>1212.193</v>
      </c>
      <c r="K233" s="4">
        <f t="shared" si="453"/>
        <v>1160.086</v>
      </c>
      <c r="L233" s="4">
        <f t="shared" ref="L233:M233" si="454">SUM(L230:L232)</f>
        <v>1989.4750000000001</v>
      </c>
      <c r="M233" s="4">
        <f t="shared" si="454"/>
        <v>1922.7399999999998</v>
      </c>
      <c r="N233" s="4">
        <f t="shared" ref="N233:O233" si="455">SUM(N230:N232)</f>
        <v>2625.1489999999999</v>
      </c>
      <c r="O233" s="4">
        <f t="shared" si="455"/>
        <v>2296.92</v>
      </c>
      <c r="P233" s="4">
        <f t="shared" ref="P233:R233" si="456">SUM(P230:P232)</f>
        <v>1550.9560000000001</v>
      </c>
      <c r="Q233" s="4">
        <f t="shared" si="456"/>
        <v>2014.5329999999999</v>
      </c>
      <c r="R233" s="4">
        <f t="shared" si="456"/>
        <v>2916.39</v>
      </c>
      <c r="S233" s="4">
        <f t="shared" ref="S233:T233" si="457">SUM(S230:S232)</f>
        <v>3561.3410000000003</v>
      </c>
      <c r="T233" s="4">
        <f t="shared" si="457"/>
        <v>3458.9429999999998</v>
      </c>
      <c r="U233" s="4">
        <f t="shared" ref="U233:V233" si="458">SUM(U230:U232)</f>
        <v>3775.2249999999999</v>
      </c>
      <c r="V233" s="4">
        <f t="shared" si="458"/>
        <v>3831.8670000000002</v>
      </c>
      <c r="W233" s="4">
        <f t="shared" ref="W233" si="459">SUM(W230:W232)</f>
        <v>5057.5050000000001</v>
      </c>
      <c r="Y233" s="4">
        <f t="shared" ref="Y233:Z233" si="460">SUM(Y230:Y232)</f>
        <v>1722.778</v>
      </c>
      <c r="Z233" s="4">
        <f t="shared" si="460"/>
        <v>1160.086</v>
      </c>
      <c r="AA233" s="4">
        <f t="shared" ref="AA233:AB233" si="461">SUM(AA230:AA232)</f>
        <v>2296.92</v>
      </c>
      <c r="AB233" s="4">
        <f t="shared" si="461"/>
        <v>3561.3410000000003</v>
      </c>
      <c r="AC233" s="4">
        <f t="shared" ref="AC233" si="462">SUM(AC230:AC232)</f>
        <v>5057.5050000000001</v>
      </c>
    </row>
    <row r="234" spans="2:29" outlineLevel="1" x14ac:dyDescent="0.25">
      <c r="B234" s="1" t="s">
        <v>26</v>
      </c>
      <c r="C234" s="6" t="s">
        <v>15</v>
      </c>
      <c r="D234" s="19">
        <f t="shared" ref="D234:R234" si="463">-D79</f>
        <v>-25.116</v>
      </c>
      <c r="E234" s="19">
        <f t="shared" si="463"/>
        <v>-37.863999999999997</v>
      </c>
      <c r="F234" s="19">
        <f t="shared" si="463"/>
        <v>-23.271999999999998</v>
      </c>
      <c r="G234" s="19">
        <f t="shared" si="463"/>
        <v>-27.821999999999999</v>
      </c>
      <c r="H234" s="19">
        <f t="shared" si="463"/>
        <v>-35.569000000000003</v>
      </c>
      <c r="I234" s="19">
        <f t="shared" si="463"/>
        <v>-63.26</v>
      </c>
      <c r="J234" s="19">
        <f t="shared" si="463"/>
        <v>-34.478999999999999</v>
      </c>
      <c r="K234" s="19">
        <f t="shared" si="463"/>
        <v>-136.834</v>
      </c>
      <c r="L234" s="19">
        <f t="shared" si="463"/>
        <v>-191.18299999999999</v>
      </c>
      <c r="M234" s="19">
        <f t="shared" si="463"/>
        <v>-63.713999999999999</v>
      </c>
      <c r="N234" s="19">
        <f t="shared" si="463"/>
        <v>-271.01400000000001</v>
      </c>
      <c r="O234" s="19">
        <f t="shared" si="463"/>
        <v>-3514.4389999999999</v>
      </c>
      <c r="P234" s="19">
        <f t="shared" si="463"/>
        <v>-231.34</v>
      </c>
      <c r="Q234" s="19">
        <f t="shared" si="463"/>
        <v>-322.01400000000001</v>
      </c>
      <c r="R234" s="19">
        <f t="shared" si="463"/>
        <v>-1390.854</v>
      </c>
      <c r="S234" s="19">
        <f t="shared" ref="S234:T234" si="464">-S79</f>
        <v>-2563.7510000000002</v>
      </c>
      <c r="T234" s="19">
        <f t="shared" si="464"/>
        <v>-2007.3009999999999</v>
      </c>
      <c r="U234" s="19">
        <f t="shared" ref="U234:V234" si="465">-U79</f>
        <v>-479.84399999999999</v>
      </c>
      <c r="V234" s="19">
        <f t="shared" si="465"/>
        <v>-500.67399999999998</v>
      </c>
      <c r="W234" s="19">
        <f t="shared" ref="W234" si="466">-W79</f>
        <v>-1667.835</v>
      </c>
      <c r="Y234" s="19">
        <f t="shared" ref="Y234:AA235" si="467">-Y79</f>
        <v>-27.821999999999999</v>
      </c>
      <c r="Z234" s="19">
        <f t="shared" si="467"/>
        <v>-136.834</v>
      </c>
      <c r="AA234" s="19">
        <f t="shared" si="467"/>
        <v>-3514.4389999999999</v>
      </c>
      <c r="AB234" s="19">
        <f t="shared" ref="AB234:AC234" si="468">-AB79</f>
        <v>-2563.7510000000002</v>
      </c>
      <c r="AC234" s="19">
        <f t="shared" si="468"/>
        <v>-1667.835</v>
      </c>
    </row>
    <row r="235" spans="2:29" outlineLevel="1" x14ac:dyDescent="0.25">
      <c r="B235" s="1" t="s">
        <v>601</v>
      </c>
      <c r="C235" s="6" t="s">
        <v>15</v>
      </c>
      <c r="D235" s="19">
        <f t="shared" ref="D235:R235" si="469">-D80</f>
        <v>-642.976</v>
      </c>
      <c r="E235" s="19">
        <f t="shared" si="469"/>
        <v>-612.56899999999996</v>
      </c>
      <c r="F235" s="19">
        <f t="shared" si="469"/>
        <v>-665.995</v>
      </c>
      <c r="G235" s="19">
        <f t="shared" si="469"/>
        <v>-1230.2329999999999</v>
      </c>
      <c r="H235" s="19">
        <f t="shared" si="469"/>
        <v>-897.39099999999996</v>
      </c>
      <c r="I235" s="19">
        <f t="shared" si="469"/>
        <v>-1076.28</v>
      </c>
      <c r="J235" s="19">
        <f t="shared" si="469"/>
        <v>-1171.4069999999999</v>
      </c>
      <c r="K235" s="19">
        <f t="shared" si="469"/>
        <v>-1234.0640000000001</v>
      </c>
      <c r="L235" s="19">
        <f t="shared" si="469"/>
        <v>-1294.5029999999999</v>
      </c>
      <c r="M235" s="19">
        <f t="shared" si="469"/>
        <v>-1065.5450000000001</v>
      </c>
      <c r="N235" s="19">
        <f t="shared" si="469"/>
        <v>-1531.2729999999999</v>
      </c>
      <c r="O235" s="19">
        <f t="shared" si="469"/>
        <v>-1285.126</v>
      </c>
      <c r="P235" s="19">
        <f t="shared" si="469"/>
        <v>-1177.1990000000001</v>
      </c>
      <c r="Q235" s="19">
        <f t="shared" si="469"/>
        <v>-1665.298</v>
      </c>
      <c r="R235" s="19">
        <f t="shared" si="469"/>
        <v>-1629.462</v>
      </c>
      <c r="S235" s="19">
        <f t="shared" ref="S235:T235" si="470">-S80</f>
        <v>-1001.019</v>
      </c>
      <c r="T235" s="19">
        <f t="shared" si="470"/>
        <v>-1028.624</v>
      </c>
      <c r="U235" s="19">
        <f t="shared" ref="U235:V235" si="471">-U80</f>
        <v>-1721.6690000000001</v>
      </c>
      <c r="V235" s="19">
        <f t="shared" si="471"/>
        <v>-1332.3150000000001</v>
      </c>
      <c r="W235" s="19">
        <f>-W80-W87</f>
        <v>-1465.856</v>
      </c>
      <c r="Y235" s="19">
        <f t="shared" si="467"/>
        <v>-1230.2329999999999</v>
      </c>
      <c r="Z235" s="19">
        <f t="shared" si="467"/>
        <v>-1234.0640000000001</v>
      </c>
      <c r="AA235" s="19">
        <f t="shared" si="467"/>
        <v>-1285.126</v>
      </c>
      <c r="AB235" s="19">
        <f t="shared" ref="AB235" si="472">-AB80</f>
        <v>-1001.019</v>
      </c>
      <c r="AC235" s="19">
        <f>-AC80-AC87</f>
        <v>-1465.856</v>
      </c>
    </row>
    <row r="236" spans="2:29" outlineLevel="1" x14ac:dyDescent="0.25">
      <c r="B236" s="3" t="s">
        <v>163</v>
      </c>
      <c r="C236" s="3" t="s">
        <v>15</v>
      </c>
      <c r="D236" s="14">
        <f t="shared" ref="D236:I236" si="473">SUM(D233:D235)</f>
        <v>235.04499999999996</v>
      </c>
      <c r="E236" s="14">
        <f t="shared" si="473"/>
        <v>311.70100000000002</v>
      </c>
      <c r="F236" s="14">
        <f t="shared" si="473"/>
        <v>448.79000000000008</v>
      </c>
      <c r="G236" s="14">
        <f t="shared" si="473"/>
        <v>464.72300000000018</v>
      </c>
      <c r="H236" s="14">
        <f t="shared" si="473"/>
        <v>449.71900000000016</v>
      </c>
      <c r="I236" s="14">
        <f t="shared" si="473"/>
        <v>77.712999999999965</v>
      </c>
      <c r="J236" s="14">
        <f t="shared" ref="J236:K236" si="474">SUM(J233:J235)</f>
        <v>6.3070000000000164</v>
      </c>
      <c r="K236" s="14">
        <f t="shared" si="474"/>
        <v>-210.81200000000013</v>
      </c>
      <c r="L236" s="14">
        <f t="shared" ref="L236:M236" si="475">SUM(L233:L235)</f>
        <v>503.78900000000021</v>
      </c>
      <c r="M236" s="14">
        <f t="shared" si="475"/>
        <v>793.48099999999977</v>
      </c>
      <c r="N236" s="14">
        <f t="shared" ref="N236:O236" si="476">SUM(N233:N235)</f>
        <v>822.86199999999985</v>
      </c>
      <c r="O236" s="14">
        <f t="shared" si="476"/>
        <v>-2502.6449999999995</v>
      </c>
      <c r="P236" s="14">
        <f t="shared" ref="P236:R236" si="477">SUM(P233:P235)</f>
        <v>142.41700000000014</v>
      </c>
      <c r="Q236" s="14">
        <f t="shared" si="477"/>
        <v>27.220999999999776</v>
      </c>
      <c r="R236" s="14">
        <f t="shared" si="477"/>
        <v>-103.92600000000016</v>
      </c>
      <c r="S236" s="14">
        <f t="shared" ref="S236:T236" si="478">SUM(S233:S235)</f>
        <v>-3.4289999999998599</v>
      </c>
      <c r="T236" s="14">
        <f t="shared" si="478"/>
        <v>423.0179999999998</v>
      </c>
      <c r="U236" s="14">
        <f t="shared" ref="U236:V236" si="479">SUM(U233:U235)</f>
        <v>1573.7119999999998</v>
      </c>
      <c r="V236" s="14">
        <f t="shared" si="479"/>
        <v>1998.8780000000002</v>
      </c>
      <c r="W236" s="14">
        <f t="shared" ref="W236" si="480">SUM(W233:W235)</f>
        <v>1923.8140000000001</v>
      </c>
      <c r="Y236" s="14">
        <f t="shared" ref="Y236:Z236" si="481">SUM(Y233:Y235)</f>
        <v>464.72300000000018</v>
      </c>
      <c r="Z236" s="14">
        <f t="shared" si="481"/>
        <v>-210.81200000000013</v>
      </c>
      <c r="AA236" s="14">
        <f t="shared" ref="AA236:AB236" si="482">SUM(AA233:AA235)</f>
        <v>-2502.6449999999995</v>
      </c>
      <c r="AB236" s="14">
        <f t="shared" si="482"/>
        <v>-3.4289999999998599</v>
      </c>
      <c r="AC236" s="14">
        <f t="shared" ref="AC236" si="483">SUM(AC233:AC235)</f>
        <v>1923.8140000000001</v>
      </c>
    </row>
    <row r="237" spans="2:29" outlineLevel="1" x14ac:dyDescent="0.25">
      <c r="B237" s="3" t="s">
        <v>167</v>
      </c>
      <c r="C237" s="3" t="s">
        <v>15</v>
      </c>
      <c r="D237" s="4">
        <v>554.21596373340185</v>
      </c>
      <c r="E237" s="4">
        <v>579.03313825340183</v>
      </c>
      <c r="F237" s="4">
        <v>635.11087165389301</v>
      </c>
      <c r="G237" s="4">
        <f t="shared" ref="G237:W237" si="484">SUM(D212:G212)</f>
        <v>710.89437460572697</v>
      </c>
      <c r="H237" s="4">
        <f t="shared" si="484"/>
        <v>752.10560405572687</v>
      </c>
      <c r="I237" s="4">
        <f t="shared" si="484"/>
        <v>811.96342628331456</v>
      </c>
      <c r="J237" s="4">
        <f t="shared" si="484"/>
        <v>845.78665018627839</v>
      </c>
      <c r="K237" s="4">
        <f t="shared" si="484"/>
        <v>884.51557736517498</v>
      </c>
      <c r="L237" s="4">
        <f t="shared" si="484"/>
        <v>962.4036642351748</v>
      </c>
      <c r="M237" s="4">
        <f t="shared" si="484"/>
        <v>1051.7120864652347</v>
      </c>
      <c r="N237" s="4">
        <f t="shared" si="484"/>
        <v>1158.5867489976467</v>
      </c>
      <c r="O237" s="4">
        <f t="shared" si="484"/>
        <v>1276.3956182976469</v>
      </c>
      <c r="P237" s="4">
        <f t="shared" si="484"/>
        <v>1394.0394232776471</v>
      </c>
      <c r="Q237" s="4">
        <f t="shared" si="484"/>
        <v>1659.7361108299999</v>
      </c>
      <c r="R237" s="4">
        <f t="shared" si="484"/>
        <v>1798.5155659599998</v>
      </c>
      <c r="S237" s="4">
        <f t="shared" si="484"/>
        <v>1822.71205773</v>
      </c>
      <c r="T237" s="4">
        <f t="shared" si="484"/>
        <v>1603.5532797599994</v>
      </c>
      <c r="U237" s="4">
        <f t="shared" si="484"/>
        <v>1198.8455294899995</v>
      </c>
      <c r="V237" s="4">
        <f t="shared" si="484"/>
        <v>872.45846188000041</v>
      </c>
      <c r="W237" s="4">
        <f t="shared" si="484"/>
        <v>718.67592155000034</v>
      </c>
      <c r="Y237" s="4">
        <f>Y212</f>
        <v>710.89437460572617</v>
      </c>
      <c r="Z237" s="4">
        <f t="shared" ref="Z237:AA237" si="485">Z212</f>
        <v>884.51557736517566</v>
      </c>
      <c r="AA237" s="4">
        <f t="shared" si="485"/>
        <v>1276.3956182976478</v>
      </c>
      <c r="AB237" s="4">
        <f t="shared" ref="AB237:AC237" si="486">AB212</f>
        <v>1822.7120577299972</v>
      </c>
      <c r="AC237" s="4">
        <f t="shared" si="486"/>
        <v>718.67592155000182</v>
      </c>
    </row>
    <row r="238" spans="2:29" outlineLevel="1" x14ac:dyDescent="0.25">
      <c r="B238" s="8" t="s">
        <v>168</v>
      </c>
      <c r="C238" s="9" t="s">
        <v>12</v>
      </c>
      <c r="D238" s="29">
        <f>D236/D237</f>
        <v>0.42410362634928572</v>
      </c>
      <c r="E238" s="29">
        <f t="shared" ref="E238:H238" si="487">E236/E237</f>
        <v>0.53831288644414432</v>
      </c>
      <c r="F238" s="29">
        <f t="shared" si="487"/>
        <v>0.70663252674498467</v>
      </c>
      <c r="G238" s="29">
        <f t="shared" si="487"/>
        <v>0.65371596203408244</v>
      </c>
      <c r="H238" s="29">
        <f t="shared" si="487"/>
        <v>0.59794661491004986</v>
      </c>
      <c r="I238" s="29">
        <f t="shared" ref="I238:J238" si="488">I236/I237</f>
        <v>9.570997594771459E-2</v>
      </c>
      <c r="J238" s="29">
        <f t="shared" si="488"/>
        <v>7.4569632880951064E-3</v>
      </c>
      <c r="K238" s="29">
        <f t="shared" ref="K238:L238" si="489">K236/K237</f>
        <v>-0.23833610780261674</v>
      </c>
      <c r="L238" s="29">
        <f t="shared" si="489"/>
        <v>0.52346953645522842</v>
      </c>
      <c r="M238" s="29">
        <f t="shared" ref="M238:N238" si="490">M236/M237</f>
        <v>0.75446598951511523</v>
      </c>
      <c r="N238" s="29">
        <f t="shared" si="490"/>
        <v>0.71022907927429713</v>
      </c>
      <c r="O238" s="29">
        <f t="shared" ref="O238:P238" si="491">O236/O237</f>
        <v>-1.9607126224217415</v>
      </c>
      <c r="P238" s="29">
        <f t="shared" si="491"/>
        <v>0.1021613862720978</v>
      </c>
      <c r="Q238" s="29">
        <f t="shared" ref="Q238:R238" si="492">Q236/Q237</f>
        <v>1.6400799996083182E-2</v>
      </c>
      <c r="R238" s="29">
        <f t="shared" si="492"/>
        <v>-5.7784320562456311E-2</v>
      </c>
      <c r="S238" s="29">
        <f t="shared" ref="S238:T238" si="493">S236/S237</f>
        <v>-1.881262586406723E-3</v>
      </c>
      <c r="T238" s="29">
        <f t="shared" si="493"/>
        <v>0.26380040210657174</v>
      </c>
      <c r="U238" s="29">
        <f t="shared" ref="U238:W238" si="494">U236/U237</f>
        <v>1.3126895511463199</v>
      </c>
      <c r="V238" s="29">
        <f t="shared" si="494"/>
        <v>2.2910867248542197</v>
      </c>
      <c r="W238" s="29">
        <f t="shared" si="494"/>
        <v>2.6768866777264848</v>
      </c>
      <c r="X238" s="60"/>
      <c r="Y238" s="29">
        <f t="shared" ref="Y238:Z238" si="495">Y236/Y237</f>
        <v>0.65371596203408311</v>
      </c>
      <c r="Z238" s="29">
        <f t="shared" si="495"/>
        <v>-0.23833610780261655</v>
      </c>
      <c r="AA238" s="29">
        <f t="shared" ref="AA238:AC238" si="496">AA236/AA237</f>
        <v>-1.9607126224217402</v>
      </c>
      <c r="AB238" s="29">
        <f t="shared" si="496"/>
        <v>-1.8812625864067258E-3</v>
      </c>
      <c r="AC238" s="29">
        <f t="shared" si="496"/>
        <v>2.676886677726479</v>
      </c>
    </row>
    <row r="240" spans="2:29" ht="15.75" x14ac:dyDescent="0.25">
      <c r="B240" s="33" t="s">
        <v>403</v>
      </c>
    </row>
    <row r="241" spans="2:29" outlineLevel="1" x14ac:dyDescent="0.25">
      <c r="B241" s="32" t="s">
        <v>6</v>
      </c>
      <c r="C241" s="17" t="s">
        <v>0</v>
      </c>
      <c r="D241" s="17" t="s">
        <v>1</v>
      </c>
      <c r="E241" s="17" t="s">
        <v>2</v>
      </c>
      <c r="F241" s="17" t="s">
        <v>3</v>
      </c>
      <c r="G241" s="17" t="s">
        <v>4</v>
      </c>
      <c r="H241" s="17" t="s">
        <v>5</v>
      </c>
      <c r="I241" s="17" t="s">
        <v>375</v>
      </c>
      <c r="J241" s="17" t="s">
        <v>383</v>
      </c>
      <c r="K241" s="17" t="s">
        <v>385</v>
      </c>
      <c r="L241" s="17" t="s">
        <v>399</v>
      </c>
      <c r="M241" s="17" t="s">
        <v>412</v>
      </c>
      <c r="N241" s="17" t="s">
        <v>422</v>
      </c>
      <c r="O241" s="17" t="s">
        <v>424</v>
      </c>
      <c r="P241" s="17" t="s">
        <v>427</v>
      </c>
      <c r="Q241" s="17" t="s">
        <v>431</v>
      </c>
      <c r="R241" s="17" t="s">
        <v>554</v>
      </c>
      <c r="S241" s="17" t="s">
        <v>571</v>
      </c>
      <c r="T241" s="17" t="s">
        <v>574</v>
      </c>
      <c r="U241" s="17" t="s">
        <v>589</v>
      </c>
      <c r="V241" s="17" t="s">
        <v>593</v>
      </c>
      <c r="W241" s="17" t="s">
        <v>600</v>
      </c>
      <c r="Y241" s="17">
        <v>2017</v>
      </c>
      <c r="Z241" s="17">
        <v>2018</v>
      </c>
      <c r="AA241" s="17">
        <v>2019</v>
      </c>
      <c r="AB241" s="17">
        <v>2020</v>
      </c>
      <c r="AC241" s="17">
        <v>2021</v>
      </c>
    </row>
    <row r="242" spans="2:29" outlineLevel="1" x14ac:dyDescent="0.25">
      <c r="B242" s="2" t="s">
        <v>178</v>
      </c>
      <c r="C242" s="6" t="s">
        <v>15</v>
      </c>
      <c r="D242" s="19">
        <v>-853.38304400599998</v>
      </c>
      <c r="E242" s="19">
        <v>-904.31992192400014</v>
      </c>
      <c r="F242" s="19">
        <v>-951.69108343799985</v>
      </c>
      <c r="G242" s="19">
        <v>-993.495443368</v>
      </c>
      <c r="H242" s="19">
        <v>-1023.4136710640001</v>
      </c>
      <c r="I242" s="19">
        <v>-1060.2874503583998</v>
      </c>
      <c r="J242" s="19">
        <v>-1114.6476019030003</v>
      </c>
      <c r="K242" s="19">
        <v>-1163.8283607643002</v>
      </c>
      <c r="L242" s="19">
        <v>-1220.5127613558</v>
      </c>
      <c r="M242" s="19">
        <v>-1268.5621506547</v>
      </c>
      <c r="N242" s="19">
        <v>-1316.0937428166001</v>
      </c>
      <c r="O242" s="19">
        <v>-1379.9628588812</v>
      </c>
      <c r="P242" s="19">
        <v>-1710.4586899278931</v>
      </c>
      <c r="Q242" s="19">
        <v>-1747.0013013243999</v>
      </c>
      <c r="R242" s="19">
        <v>-1805.2747333224997</v>
      </c>
      <c r="S242" s="19">
        <v>-1869.7905966585997</v>
      </c>
      <c r="T242" s="19">
        <v>-1940.9307090371003</v>
      </c>
      <c r="U242" s="19">
        <v>-2040.9686600721</v>
      </c>
      <c r="V242" s="19">
        <v>-2124.0812475267003</v>
      </c>
      <c r="W242" s="19">
        <v>-2210.9754775350016</v>
      </c>
      <c r="Y242" s="19">
        <f>G242</f>
        <v>-993.495443368</v>
      </c>
      <c r="Z242" s="19">
        <f>K242</f>
        <v>-1163.8283607643002</v>
      </c>
      <c r="AA242" s="19">
        <f>O242</f>
        <v>-1379.9628588812</v>
      </c>
      <c r="AB242" s="19">
        <f>S242</f>
        <v>-1869.7905966585997</v>
      </c>
      <c r="AC242" s="19">
        <f>W242</f>
        <v>-2210.9754775350016</v>
      </c>
    </row>
    <row r="243" spans="2:29" outlineLevel="1" x14ac:dyDescent="0.25">
      <c r="B243" s="30" t="s">
        <v>177</v>
      </c>
      <c r="C243" s="21" t="s">
        <v>14</v>
      </c>
      <c r="D243" s="31">
        <v>0.57604999999999995</v>
      </c>
      <c r="E243" s="31">
        <v>0.59449999999999992</v>
      </c>
      <c r="F243" s="31">
        <v>0.61294999999999988</v>
      </c>
      <c r="G243" s="31">
        <v>0.63139999999999985</v>
      </c>
      <c r="H243" s="31">
        <v>0.64984999999999982</v>
      </c>
      <c r="I243" s="31">
        <v>0.66829999999999989</v>
      </c>
      <c r="J243" s="31">
        <v>0.68674999999999986</v>
      </c>
      <c r="K243" s="31">
        <v>0.70519999999999983</v>
      </c>
      <c r="L243" s="31">
        <v>0.72364999999999979</v>
      </c>
      <c r="M243" s="31">
        <v>0.74209999999999976</v>
      </c>
      <c r="N243" s="31">
        <v>0.76054999999999973</v>
      </c>
      <c r="O243" s="31">
        <v>0.77899999999999969</v>
      </c>
      <c r="P243" s="31">
        <v>0.75</v>
      </c>
      <c r="Q243" s="31">
        <v>0.75</v>
      </c>
      <c r="R243" s="31">
        <v>0.75</v>
      </c>
      <c r="S243" s="31">
        <v>0.75</v>
      </c>
      <c r="T243" s="31">
        <v>0.75</v>
      </c>
      <c r="U243" s="31">
        <v>0.75</v>
      </c>
      <c r="V243" s="31">
        <v>0.75</v>
      </c>
      <c r="W243" s="31">
        <v>0.75</v>
      </c>
      <c r="Y243" s="31">
        <f>G243</f>
        <v>0.63139999999999985</v>
      </c>
      <c r="Z243" s="31">
        <f>K243</f>
        <v>0.70519999999999983</v>
      </c>
      <c r="AA243" s="31">
        <f>O243</f>
        <v>0.77899999999999969</v>
      </c>
      <c r="AB243" s="31">
        <f>P243</f>
        <v>0.75</v>
      </c>
      <c r="AC243" s="31">
        <f>Q243</f>
        <v>0.75</v>
      </c>
    </row>
    <row r="244" spans="2:29" outlineLevel="1" x14ac:dyDescent="0.25">
      <c r="B244" s="1" t="s">
        <v>191</v>
      </c>
      <c r="C244" s="6" t="s">
        <v>15</v>
      </c>
      <c r="D244" s="19">
        <f>D242*D243</f>
        <v>-491.59130249965625</v>
      </c>
      <c r="E244" s="19">
        <f t="shared" ref="E244:H244" si="497">E242*E243</f>
        <v>-537.61819358381797</v>
      </c>
      <c r="F244" s="19">
        <f t="shared" si="497"/>
        <v>-583.33904959332187</v>
      </c>
      <c r="G244" s="19">
        <f t="shared" si="497"/>
        <v>-627.29302294255501</v>
      </c>
      <c r="H244" s="19">
        <f t="shared" si="497"/>
        <v>-665.06537414094032</v>
      </c>
      <c r="I244" s="19">
        <f t="shared" ref="I244:J244" si="498">I242*I243</f>
        <v>-708.59010307451854</v>
      </c>
      <c r="J244" s="19">
        <f t="shared" si="498"/>
        <v>-765.48424060688535</v>
      </c>
      <c r="K244" s="19">
        <f t="shared" ref="K244:M244" si="499">K242*K243</f>
        <v>-820.73176001098432</v>
      </c>
      <c r="L244" s="19">
        <f t="shared" si="499"/>
        <v>-883.22405975512436</v>
      </c>
      <c r="M244" s="19">
        <f t="shared" si="499"/>
        <v>-941.39997200085259</v>
      </c>
      <c r="N244" s="19">
        <f t="shared" ref="N244:O244" si="500">N242*N243</f>
        <v>-1000.9550960991648</v>
      </c>
      <c r="O244" s="19">
        <f t="shared" si="500"/>
        <v>-1074.9910670684544</v>
      </c>
      <c r="P244" s="19">
        <f t="shared" ref="P244:R244" si="501">P242*P243</f>
        <v>-1282.8440174459199</v>
      </c>
      <c r="Q244" s="19">
        <f t="shared" si="501"/>
        <v>-1310.2509759933</v>
      </c>
      <c r="R244" s="19">
        <f t="shared" si="501"/>
        <v>-1353.9560499918748</v>
      </c>
      <c r="S244" s="19">
        <f t="shared" ref="S244:T244" si="502">S242*S243</f>
        <v>-1402.3429474939499</v>
      </c>
      <c r="T244" s="19">
        <f t="shared" si="502"/>
        <v>-1455.6980317778252</v>
      </c>
      <c r="U244" s="19">
        <f t="shared" ref="U244:V244" si="503">U242*U243</f>
        <v>-1530.726495054075</v>
      </c>
      <c r="V244" s="19">
        <f t="shared" si="503"/>
        <v>-1593.0609356450252</v>
      </c>
      <c r="W244" s="19">
        <f t="shared" ref="W244" si="504">W242*W243</f>
        <v>-1658.2316081512513</v>
      </c>
      <c r="Y244" s="19">
        <f t="shared" ref="Y244:Z244" si="505">Y242*Y243</f>
        <v>-627.29302294255501</v>
      </c>
      <c r="Z244" s="19">
        <f t="shared" si="505"/>
        <v>-820.73176001098432</v>
      </c>
      <c r="AA244" s="19">
        <f t="shared" ref="AA244:AB244" si="506">AA242*AA243</f>
        <v>-1074.9910670684544</v>
      </c>
      <c r="AB244" s="19">
        <f t="shared" si="506"/>
        <v>-1402.3429474939499</v>
      </c>
      <c r="AC244" s="19">
        <f t="shared" ref="AC244" si="507">AC242*AC243</f>
        <v>-1658.2316081512513</v>
      </c>
    </row>
    <row r="245" spans="2:29" outlineLevel="1" x14ac:dyDescent="0.25">
      <c r="B245" s="1" t="s">
        <v>176</v>
      </c>
      <c r="C245" s="6" t="s">
        <v>15</v>
      </c>
      <c r="D245" s="19">
        <v>802.60094276350003</v>
      </c>
      <c r="E245" s="19">
        <v>766.11231814669986</v>
      </c>
      <c r="F245" s="19">
        <v>820.63915763900013</v>
      </c>
      <c r="G245" s="19">
        <v>817.90468010399979</v>
      </c>
      <c r="H245" s="19">
        <v>787.92632913359989</v>
      </c>
      <c r="I245" s="19">
        <v>1202.7827705239997</v>
      </c>
      <c r="J245" s="19">
        <v>1310.1049318232001</v>
      </c>
      <c r="K245" s="19">
        <v>1263.5958340347997</v>
      </c>
      <c r="L245" s="19">
        <v>1245.4430979963004</v>
      </c>
      <c r="M245" s="19">
        <v>1194.6788528482</v>
      </c>
      <c r="N245" s="19">
        <v>1126.0675928806002</v>
      </c>
      <c r="O245" s="19">
        <v>1620.1235433999998</v>
      </c>
      <c r="P245" s="19">
        <v>1384.3705410800001</v>
      </c>
      <c r="Q245" s="19">
        <v>1561.0340722500002</v>
      </c>
      <c r="R245" s="19">
        <v>1395.2663367799839</v>
      </c>
      <c r="S245" s="19">
        <v>2375.1019882000005</v>
      </c>
      <c r="T245" s="19">
        <v>2115.0185937799993</v>
      </c>
      <c r="U245" s="19">
        <v>2324.6742211300016</v>
      </c>
      <c r="V245" s="19">
        <v>2151.2359925500009</v>
      </c>
      <c r="W245" s="19">
        <v>2209.7525082699999</v>
      </c>
      <c r="Y245" s="19">
        <f>G245</f>
        <v>817.90468010399979</v>
      </c>
      <c r="Z245" s="19">
        <f>K245</f>
        <v>1263.5958340347997</v>
      </c>
      <c r="AA245" s="19">
        <f>O245</f>
        <v>1620.1235433999998</v>
      </c>
      <c r="AB245" s="19">
        <f>S245</f>
        <v>2375.1019882000005</v>
      </c>
      <c r="AC245" s="19">
        <f>W245</f>
        <v>2209.7525082699999</v>
      </c>
    </row>
    <row r="246" spans="2:29" outlineLevel="1" x14ac:dyDescent="0.25">
      <c r="B246" s="3" t="s">
        <v>200</v>
      </c>
      <c r="C246" s="3" t="s">
        <v>15</v>
      </c>
      <c r="D246" s="4">
        <f>SUM(D244:D245)</f>
        <v>311.00964026384378</v>
      </c>
      <c r="E246" s="4">
        <f t="shared" ref="E246:H246" si="508">SUM(E244:E245)</f>
        <v>228.49412456288189</v>
      </c>
      <c r="F246" s="4">
        <f t="shared" si="508"/>
        <v>237.30010804567826</v>
      </c>
      <c r="G246" s="4">
        <f t="shared" si="508"/>
        <v>190.61165716144478</v>
      </c>
      <c r="H246" s="4">
        <f t="shared" si="508"/>
        <v>122.86095499265957</v>
      </c>
      <c r="I246" s="4">
        <f t="shared" ref="I246:J246" si="509">SUM(I244:I245)</f>
        <v>494.19266744948118</v>
      </c>
      <c r="J246" s="4">
        <f t="shared" si="509"/>
        <v>544.62069121631475</v>
      </c>
      <c r="K246" s="4">
        <f t="shared" ref="K246:L246" si="510">SUM(K244:K245)</f>
        <v>442.86407402381542</v>
      </c>
      <c r="L246" s="4">
        <f t="shared" si="510"/>
        <v>362.21903824117601</v>
      </c>
      <c r="M246" s="4">
        <f t="shared" ref="M246:N246" si="511">SUM(M244:M245)</f>
        <v>253.27888084734741</v>
      </c>
      <c r="N246" s="4">
        <f t="shared" si="511"/>
        <v>125.11249678143531</v>
      </c>
      <c r="O246" s="4">
        <f t="shared" ref="O246:P246" si="512">SUM(O244:O245)</f>
        <v>545.13247633154538</v>
      </c>
      <c r="P246" s="4">
        <f t="shared" si="512"/>
        <v>101.52652363408015</v>
      </c>
      <c r="Q246" s="4">
        <f t="shared" ref="Q246:R246" si="513">SUM(Q244:Q245)</f>
        <v>250.78309625670022</v>
      </c>
      <c r="R246" s="4">
        <f t="shared" si="513"/>
        <v>41.310286788109124</v>
      </c>
      <c r="S246" s="4">
        <f t="shared" ref="S246:T246" si="514">SUM(S244:S245)</f>
        <v>972.75904070605065</v>
      </c>
      <c r="T246" s="4">
        <f t="shared" si="514"/>
        <v>659.32056200217403</v>
      </c>
      <c r="U246" s="4">
        <f t="shared" ref="U246:V246" si="515">SUM(U244:U245)</f>
        <v>793.94772607592654</v>
      </c>
      <c r="V246" s="4">
        <f t="shared" si="515"/>
        <v>558.17505690497569</v>
      </c>
      <c r="W246" s="4">
        <f t="shared" ref="W246" si="516">SUM(W244:W245)</f>
        <v>551.52090011874861</v>
      </c>
      <c r="Y246" s="4">
        <f t="shared" ref="Y246:Z246" si="517">SUM(Y244:Y245)</f>
        <v>190.61165716144478</v>
      </c>
      <c r="Z246" s="4">
        <f t="shared" si="517"/>
        <v>442.86407402381542</v>
      </c>
      <c r="AA246" s="4">
        <f t="shared" ref="AA246:AB246" si="518">SUM(AA244:AA245)</f>
        <v>545.13247633154538</v>
      </c>
      <c r="AB246" s="4">
        <f t="shared" si="518"/>
        <v>972.75904070605065</v>
      </c>
      <c r="AC246" s="4">
        <f t="shared" ref="AC246" si="519">SUM(AC244:AC245)</f>
        <v>551.52090011874861</v>
      </c>
    </row>
    <row r="247" spans="2:29" outlineLevel="1" x14ac:dyDescent="0.25">
      <c r="B247" s="1"/>
    </row>
    <row r="248" spans="2:29" outlineLevel="1" x14ac:dyDescent="0.25">
      <c r="B248" s="1" t="s">
        <v>199</v>
      </c>
      <c r="C248" s="6" t="s">
        <v>15</v>
      </c>
      <c r="D248" s="19">
        <v>-577.48599999999999</v>
      </c>
      <c r="E248" s="19">
        <v>-648.84500000000003</v>
      </c>
      <c r="F248" s="19">
        <v>-670.827</v>
      </c>
      <c r="G248" s="19">
        <v>-640.46031637999988</v>
      </c>
      <c r="H248" s="19">
        <v>-701.80770245999986</v>
      </c>
      <c r="I248" s="19">
        <v>-712.51458119000006</v>
      </c>
      <c r="J248" s="19">
        <v>-734.68141932000003</v>
      </c>
      <c r="K248" s="19">
        <v>-699.31387775999985</v>
      </c>
      <c r="L248" s="19">
        <v>-902.63900000000001</v>
      </c>
      <c r="M248" s="19">
        <v>-953.49716154000009</v>
      </c>
      <c r="N248" s="19">
        <v>-1002.671554</v>
      </c>
      <c r="O248" s="19">
        <v>-1158.2211063299999</v>
      </c>
      <c r="P248" s="19">
        <v>-1499.501</v>
      </c>
      <c r="Q248" s="19">
        <v>-1428.0840000000001</v>
      </c>
      <c r="R248" s="19">
        <f>-1696.611+123.072</f>
        <v>-1573.5390000000002</v>
      </c>
      <c r="S248" s="19">
        <v>-1569.412</v>
      </c>
      <c r="T248" s="19">
        <v>-1662.1110000000001</v>
      </c>
      <c r="U248" s="19">
        <v>-1860.386</v>
      </c>
      <c r="V248" s="19">
        <v>-1929.5650000000001</v>
      </c>
      <c r="W248" s="19">
        <v>-2002.875</v>
      </c>
      <c r="Y248" s="19">
        <f>G248</f>
        <v>-640.46031637999988</v>
      </c>
      <c r="Z248" s="19">
        <f>K248</f>
        <v>-699.31387775999985</v>
      </c>
      <c r="AA248" s="19">
        <f>O248</f>
        <v>-1158.2211063299999</v>
      </c>
      <c r="AB248" s="19">
        <f>S248</f>
        <v>-1569.412</v>
      </c>
      <c r="AC248" s="19">
        <f>W248</f>
        <v>-2002.875</v>
      </c>
    </row>
    <row r="249" spans="2:29" outlineLevel="1" x14ac:dyDescent="0.25">
      <c r="B249" s="1" t="s">
        <v>198</v>
      </c>
      <c r="C249" s="6" t="s">
        <v>15</v>
      </c>
      <c r="D249" s="19">
        <v>815.04013226749987</v>
      </c>
      <c r="E249" s="19">
        <v>832.38790103999997</v>
      </c>
      <c r="F249" s="19">
        <v>872.14196324999989</v>
      </c>
      <c r="G249" s="19">
        <v>1411.7479250399999</v>
      </c>
      <c r="H249" s="19">
        <v>1134.3746673100002</v>
      </c>
      <c r="I249" s="19">
        <v>1314.8457115600004</v>
      </c>
      <c r="J249" s="19">
        <v>1409.56999701</v>
      </c>
      <c r="K249" s="19">
        <v>1232.7409779299999</v>
      </c>
      <c r="L249" s="19">
        <v>1489.62856143</v>
      </c>
      <c r="M249" s="19">
        <v>1269.9475540399999</v>
      </c>
      <c r="N249" s="19">
        <v>1972.4414444500001</v>
      </c>
      <c r="O249" s="19">
        <v>1795.9672691200001</v>
      </c>
      <c r="P249" s="19">
        <f>1408.539+375.384+149</f>
        <v>1932.923</v>
      </c>
      <c r="Q249" s="19">
        <f>SUM(Q79:Q80)+396.866+165</f>
        <v>2549.1779999999999</v>
      </c>
      <c r="R249" s="19">
        <f>SUM(R79:R80)+462.291+165</f>
        <v>3647.607</v>
      </c>
      <c r="S249" s="19">
        <f>SUM(S79:S80)+474.808+165</f>
        <v>4204.5780000000004</v>
      </c>
      <c r="T249" s="19">
        <f>SUM(T79:T80)+483.032+165</f>
        <v>3683.9570000000003</v>
      </c>
      <c r="U249" s="19">
        <f>SUM(U79:U80)+498.554+165</f>
        <v>2865.067</v>
      </c>
      <c r="V249" s="19">
        <f>SUM(V79:V80)+562.513+165</f>
        <v>2560.502</v>
      </c>
      <c r="W249" s="19">
        <f>SUM(W79:W80)+610.129+189</f>
        <v>3690.13</v>
      </c>
      <c r="Y249" s="19">
        <f>G249</f>
        <v>1411.7479250399999</v>
      </c>
      <c r="Z249" s="19">
        <f>K249</f>
        <v>1232.7409779299999</v>
      </c>
      <c r="AA249" s="19">
        <f>O249</f>
        <v>1795.9672691200001</v>
      </c>
      <c r="AB249" s="19">
        <f t="shared" ref="AB249:AB250" si="520">S249</f>
        <v>4204.5780000000004</v>
      </c>
      <c r="AC249" s="19">
        <f t="shared" ref="AC249:AC250" si="521">W249</f>
        <v>3690.13</v>
      </c>
    </row>
    <row r="250" spans="2:29" outlineLevel="1" x14ac:dyDescent="0.25">
      <c r="B250" s="2" t="s">
        <v>214</v>
      </c>
      <c r="C250" s="6" t="s">
        <v>15</v>
      </c>
      <c r="D250" s="19">
        <v>232.43405768999997</v>
      </c>
      <c r="E250" s="19">
        <v>235.29226641123299</v>
      </c>
      <c r="F250" s="19">
        <v>227.74188066397201</v>
      </c>
      <c r="G250" s="19">
        <v>231.77400318571401</v>
      </c>
      <c r="H250" s="19">
        <v>237.20457872</v>
      </c>
      <c r="I250" s="19">
        <v>250.9</v>
      </c>
      <c r="J250" s="19">
        <v>252.2</v>
      </c>
      <c r="K250" s="19">
        <v>256.60000000000002</v>
      </c>
      <c r="L250" s="19">
        <v>390.8</v>
      </c>
      <c r="M250" s="19">
        <v>407.87</v>
      </c>
      <c r="N250" s="19">
        <v>455.2</v>
      </c>
      <c r="O250" s="19">
        <v>488.2</v>
      </c>
      <c r="P250" s="19">
        <v>597.70000000000005</v>
      </c>
      <c r="Q250" s="19">
        <v>663.8</v>
      </c>
      <c r="R250" s="19">
        <v>600.20000000000005</v>
      </c>
      <c r="S250" s="19">
        <v>616.6</v>
      </c>
      <c r="T250" s="19">
        <v>616.29999999999995</v>
      </c>
      <c r="U250" s="19">
        <v>720.9</v>
      </c>
      <c r="V250" s="19">
        <v>785.2</v>
      </c>
      <c r="W250" s="19">
        <v>803.2</v>
      </c>
      <c r="Y250" s="19">
        <f>G250</f>
        <v>231.77400318571401</v>
      </c>
      <c r="Z250" s="19">
        <f>K250</f>
        <v>256.60000000000002</v>
      </c>
      <c r="AA250" s="19">
        <f>O250</f>
        <v>488.2</v>
      </c>
      <c r="AB250" s="19">
        <f t="shared" si="520"/>
        <v>616.6</v>
      </c>
      <c r="AC250" s="19">
        <f t="shared" si="521"/>
        <v>803.2</v>
      </c>
    </row>
    <row r="252" spans="2:29" ht="15.75" x14ac:dyDescent="0.25">
      <c r="B252" s="33" t="s">
        <v>388</v>
      </c>
    </row>
    <row r="253" spans="2:29" outlineLevel="1" x14ac:dyDescent="0.25">
      <c r="B253" s="32" t="s">
        <v>6</v>
      </c>
      <c r="C253" s="17" t="s">
        <v>0</v>
      </c>
      <c r="D253" s="17" t="s">
        <v>1</v>
      </c>
      <c r="E253" s="17" t="s">
        <v>2</v>
      </c>
      <c r="F253" s="17" t="s">
        <v>3</v>
      </c>
      <c r="G253" s="17" t="s">
        <v>4</v>
      </c>
      <c r="H253" s="17" t="s">
        <v>5</v>
      </c>
      <c r="I253" s="17" t="s">
        <v>375</v>
      </c>
      <c r="J253" s="17" t="s">
        <v>383</v>
      </c>
      <c r="K253" s="17" t="s">
        <v>385</v>
      </c>
      <c r="L253" s="17" t="s">
        <v>399</v>
      </c>
      <c r="M253" s="17" t="s">
        <v>412</v>
      </c>
      <c r="N253" s="17" t="s">
        <v>422</v>
      </c>
      <c r="O253" s="17" t="s">
        <v>424</v>
      </c>
      <c r="P253" s="17" t="s">
        <v>427</v>
      </c>
      <c r="Q253" s="17" t="s">
        <v>431</v>
      </c>
      <c r="R253" s="17" t="s">
        <v>554</v>
      </c>
      <c r="S253" s="17" t="s">
        <v>571</v>
      </c>
      <c r="T253" s="17" t="s">
        <v>574</v>
      </c>
      <c r="U253" s="17" t="s">
        <v>589</v>
      </c>
      <c r="V253" s="17" t="s">
        <v>593</v>
      </c>
      <c r="W253" s="17" t="s">
        <v>600</v>
      </c>
      <c r="Y253" s="17">
        <v>2017</v>
      </c>
      <c r="Z253" s="17">
        <v>2018</v>
      </c>
      <c r="AA253" s="17">
        <v>2019</v>
      </c>
      <c r="AB253" s="17">
        <v>2020</v>
      </c>
      <c r="AC253" s="17">
        <v>2021</v>
      </c>
    </row>
    <row r="254" spans="2:29" outlineLevel="1" x14ac:dyDescent="0.25">
      <c r="B254" s="1" t="s">
        <v>35</v>
      </c>
      <c r="C254" s="6" t="s">
        <v>15</v>
      </c>
      <c r="D254" s="19">
        <v>68.659000000000006</v>
      </c>
      <c r="E254" s="19">
        <v>86.552999999999997</v>
      </c>
      <c r="F254" s="19">
        <v>89.64</v>
      </c>
      <c r="G254" s="19">
        <v>53.410000000000004</v>
      </c>
      <c r="H254" s="19">
        <v>66.649000000000001</v>
      </c>
      <c r="I254" s="19">
        <v>78.622</v>
      </c>
      <c r="J254" s="19">
        <v>66.5</v>
      </c>
      <c r="K254" s="19">
        <v>78.248000000000005</v>
      </c>
      <c r="L254" s="19">
        <v>80.72</v>
      </c>
      <c r="M254" s="19">
        <v>94.528999999999996</v>
      </c>
      <c r="N254" s="19">
        <v>99.388999999999996</v>
      </c>
      <c r="O254" s="19">
        <v>100.206</v>
      </c>
      <c r="P254" s="19">
        <v>105.023</v>
      </c>
      <c r="Q254" s="19">
        <v>127.58</v>
      </c>
      <c r="R254" s="19">
        <v>126.004</v>
      </c>
      <c r="S254" s="19">
        <v>113.22</v>
      </c>
      <c r="T254" s="19">
        <v>113.274</v>
      </c>
      <c r="U254" s="19">
        <v>120.748</v>
      </c>
      <c r="V254" s="19">
        <v>129.863</v>
      </c>
      <c r="W254" s="19">
        <v>148.81399999999999</v>
      </c>
      <c r="Y254" s="19">
        <f t="shared" ref="Y254:Y260" si="522">SUM(D254:G254)</f>
        <v>298.262</v>
      </c>
      <c r="Z254" s="19">
        <f t="shared" ref="Z254:Z260" si="523">SUM(H254:K254)</f>
        <v>290.01900000000001</v>
      </c>
      <c r="AA254" s="19">
        <f t="shared" ref="AA254:AA260" si="524">SUM(L254:O254)</f>
        <v>374.84399999999999</v>
      </c>
      <c r="AB254" s="19">
        <f>SUM(P254:S254)</f>
        <v>471.827</v>
      </c>
      <c r="AC254" s="19">
        <f>SUM(T254:W254)</f>
        <v>512.69899999999996</v>
      </c>
    </row>
    <row r="255" spans="2:29" outlineLevel="1" x14ac:dyDescent="0.25">
      <c r="B255" s="1" t="s">
        <v>389</v>
      </c>
      <c r="C255" s="6" t="s">
        <v>15</v>
      </c>
      <c r="D255" s="19">
        <v>28.491581310000001</v>
      </c>
      <c r="E255" s="19">
        <v>37.851686449999995</v>
      </c>
      <c r="F255" s="19">
        <v>30.424439075376199</v>
      </c>
      <c r="G255" s="19">
        <v>41.319578668896398</v>
      </c>
      <c r="H255" s="19">
        <v>31.162984769999994</v>
      </c>
      <c r="I255" s="19">
        <v>28.584427599999998</v>
      </c>
      <c r="J255" s="19">
        <v>34.420999999999999</v>
      </c>
      <c r="K255" s="19">
        <v>35.051000000000009</v>
      </c>
      <c r="L255" s="19">
        <v>43.094446560000002</v>
      </c>
      <c r="M255" s="19">
        <v>43.022149889999994</v>
      </c>
      <c r="N255" s="19">
        <v>50.997</v>
      </c>
      <c r="O255" s="19">
        <v>50.941910679999999</v>
      </c>
      <c r="P255" s="19">
        <v>51.025432100000003</v>
      </c>
      <c r="Q255" s="19">
        <v>67.886459959999996</v>
      </c>
      <c r="R255" s="19">
        <v>49.706208879999998</v>
      </c>
      <c r="S255" s="19">
        <v>49.782218999999998</v>
      </c>
      <c r="T255" s="19">
        <v>51.083149589999998</v>
      </c>
      <c r="U255" s="19">
        <v>55.00492886</v>
      </c>
      <c r="V255" s="19">
        <v>60.572000000000003</v>
      </c>
      <c r="W255" s="19">
        <v>57.720999999999997</v>
      </c>
      <c r="Y255" s="19">
        <f t="shared" si="522"/>
        <v>138.08728550427259</v>
      </c>
      <c r="Z255" s="19">
        <f t="shared" si="523"/>
        <v>129.21941237000001</v>
      </c>
      <c r="AA255" s="19">
        <f t="shared" si="524"/>
        <v>188.05550713</v>
      </c>
      <c r="AB255" s="19">
        <f t="shared" ref="AB255:AB260" si="525">SUM(P255:S255)</f>
        <v>218.40031994</v>
      </c>
      <c r="AC255" s="19">
        <f t="shared" ref="AC255:AC260" si="526">SUM(T255:W255)</f>
        <v>224.38107845000002</v>
      </c>
    </row>
    <row r="256" spans="2:29" outlineLevel="1" x14ac:dyDescent="0.25">
      <c r="B256" s="1" t="s">
        <v>390</v>
      </c>
      <c r="C256" s="6" t="s">
        <v>15</v>
      </c>
      <c r="D256" s="19">
        <v>8.8170000000000002</v>
      </c>
      <c r="E256" s="19">
        <v>22.904</v>
      </c>
      <c r="F256" s="19">
        <v>20.511999999999997</v>
      </c>
      <c r="G256" s="19">
        <v>17.703999999999997</v>
      </c>
      <c r="H256" s="19">
        <v>15.888999999999999</v>
      </c>
      <c r="I256" s="19">
        <v>25.698999999999998</v>
      </c>
      <c r="J256" s="19">
        <v>19.764000000000003</v>
      </c>
      <c r="K256" s="19">
        <v>21.647000000000002</v>
      </c>
      <c r="L256" s="19">
        <v>16.734999999999999</v>
      </c>
      <c r="M256" s="19">
        <v>20.437999999999999</v>
      </c>
      <c r="N256" s="19">
        <v>22.835000000000001</v>
      </c>
      <c r="O256" s="19">
        <v>22.616</v>
      </c>
      <c r="P256" s="19">
        <v>16.861999999999998</v>
      </c>
      <c r="Q256" s="19">
        <v>9.9469999999999992</v>
      </c>
      <c r="R256" s="19">
        <v>21.137</v>
      </c>
      <c r="S256" s="19">
        <v>21.356000000000002</v>
      </c>
      <c r="T256" s="19">
        <v>19.724</v>
      </c>
      <c r="U256" s="19">
        <v>23.38</v>
      </c>
      <c r="V256" s="19">
        <v>23.94</v>
      </c>
      <c r="W256" s="19">
        <v>26.314</v>
      </c>
      <c r="Y256" s="19">
        <f t="shared" si="522"/>
        <v>69.936999999999998</v>
      </c>
      <c r="Z256" s="19">
        <f t="shared" si="523"/>
        <v>82.998999999999995</v>
      </c>
      <c r="AA256" s="19">
        <f t="shared" si="524"/>
        <v>82.623999999999995</v>
      </c>
      <c r="AB256" s="19">
        <f t="shared" si="525"/>
        <v>69.301999999999992</v>
      </c>
      <c r="AC256" s="19">
        <f t="shared" si="526"/>
        <v>93.358000000000004</v>
      </c>
    </row>
    <row r="257" spans="2:46" outlineLevel="1" x14ac:dyDescent="0.25">
      <c r="B257" s="1" t="s">
        <v>391</v>
      </c>
      <c r="C257" s="6" t="s">
        <v>15</v>
      </c>
      <c r="D257" s="19">
        <v>0.84299999999999997</v>
      </c>
      <c r="E257" s="19">
        <v>2.3730000000000002</v>
      </c>
      <c r="F257" s="19">
        <v>2.6030000000000002</v>
      </c>
      <c r="G257" s="19">
        <v>3.5640000000000001</v>
      </c>
      <c r="H257" s="19">
        <v>2.1659999999999999</v>
      </c>
      <c r="I257" s="19">
        <v>2.972</v>
      </c>
      <c r="J257" s="19">
        <v>3.7010000000000001</v>
      </c>
      <c r="K257" s="19">
        <v>6.4989999999999997</v>
      </c>
      <c r="L257" s="19">
        <v>2.0249999999999999</v>
      </c>
      <c r="M257" s="19">
        <v>2.3730000000000002</v>
      </c>
      <c r="N257" s="19">
        <v>6.2130000000000001</v>
      </c>
      <c r="O257" s="19">
        <v>6.0650000000000004</v>
      </c>
      <c r="P257" s="19">
        <v>3.7690000000000001</v>
      </c>
      <c r="Q257" s="19">
        <v>5.4729999999999999</v>
      </c>
      <c r="R257" s="19">
        <v>4.1159999999999997</v>
      </c>
      <c r="S257" s="19">
        <v>5.29</v>
      </c>
      <c r="T257" s="19">
        <v>3.2130000000000001</v>
      </c>
      <c r="U257" s="19">
        <v>4.9119999999999999</v>
      </c>
      <c r="V257" s="19">
        <v>7.2140000000000004</v>
      </c>
      <c r="W257" s="19">
        <v>18.864000000000001</v>
      </c>
      <c r="Y257" s="19">
        <f t="shared" si="522"/>
        <v>9.3830000000000009</v>
      </c>
      <c r="Z257" s="19">
        <f t="shared" si="523"/>
        <v>15.338000000000001</v>
      </c>
      <c r="AA257" s="19">
        <f t="shared" si="524"/>
        <v>16.676000000000002</v>
      </c>
      <c r="AB257" s="19">
        <f t="shared" si="525"/>
        <v>18.648</v>
      </c>
      <c r="AC257" s="19">
        <f t="shared" si="526"/>
        <v>34.203000000000003</v>
      </c>
    </row>
    <row r="258" spans="2:46" outlineLevel="1" x14ac:dyDescent="0.25">
      <c r="B258" s="1" t="s">
        <v>392</v>
      </c>
      <c r="C258" s="6" t="s">
        <v>15</v>
      </c>
      <c r="D258" s="19">
        <v>9.6170000000000009</v>
      </c>
      <c r="E258" s="19">
        <v>8.3689999999999998</v>
      </c>
      <c r="F258" s="19">
        <v>15.662000000000001</v>
      </c>
      <c r="G258" s="19">
        <v>22.713999999999999</v>
      </c>
      <c r="H258" s="19">
        <v>3.5</v>
      </c>
      <c r="I258" s="19">
        <v>10.173999999999999</v>
      </c>
      <c r="J258" s="19">
        <v>14.76</v>
      </c>
      <c r="K258" s="19">
        <v>14.167999999999999</v>
      </c>
      <c r="L258" s="19">
        <v>18.469000000000001</v>
      </c>
      <c r="M258" s="19">
        <v>20.946999999999999</v>
      </c>
      <c r="N258" s="19">
        <v>14.071</v>
      </c>
      <c r="O258" s="19">
        <v>13.757999999999999</v>
      </c>
      <c r="P258" s="19">
        <v>22.184999999999999</v>
      </c>
      <c r="Q258" s="19">
        <v>33.04</v>
      </c>
      <c r="R258" s="19">
        <v>27.981999999999999</v>
      </c>
      <c r="S258" s="19">
        <v>27.885000000000002</v>
      </c>
      <c r="T258" s="19">
        <v>22.268000000000001</v>
      </c>
      <c r="U258" s="19">
        <v>32.155000000000001</v>
      </c>
      <c r="V258" s="19">
        <v>29.565999999999999</v>
      </c>
      <c r="W258" s="19">
        <v>21.811</v>
      </c>
      <c r="Y258" s="19">
        <f t="shared" si="522"/>
        <v>56.362000000000002</v>
      </c>
      <c r="Z258" s="19">
        <f t="shared" si="523"/>
        <v>42.601999999999997</v>
      </c>
      <c r="AA258" s="19">
        <f t="shared" si="524"/>
        <v>67.24499999999999</v>
      </c>
      <c r="AB258" s="19">
        <f t="shared" si="525"/>
        <v>111.092</v>
      </c>
      <c r="AC258" s="19">
        <f t="shared" si="526"/>
        <v>105.80000000000001</v>
      </c>
    </row>
    <row r="259" spans="2:46" outlineLevel="1" x14ac:dyDescent="0.25">
      <c r="B259" s="1" t="s">
        <v>393</v>
      </c>
      <c r="C259" s="6" t="s">
        <v>15</v>
      </c>
      <c r="D259" s="19">
        <v>19.810000000000002</v>
      </c>
      <c r="E259" s="19">
        <v>11.683</v>
      </c>
      <c r="F259" s="19">
        <v>-6.4700000000000006</v>
      </c>
      <c r="G259" s="19">
        <v>-18.720999999999997</v>
      </c>
      <c r="H259" s="19">
        <v>-2.3279999999999994</v>
      </c>
      <c r="I259" s="19">
        <v>5.2170000000000005</v>
      </c>
      <c r="J259" s="19">
        <v>7.9290000000000003</v>
      </c>
      <c r="K259" s="19">
        <v>6.3090000000000002</v>
      </c>
      <c r="L259" s="19">
        <v>7.4909999999999997</v>
      </c>
      <c r="M259" s="19">
        <v>12.932</v>
      </c>
      <c r="N259" s="19">
        <v>14.163</v>
      </c>
      <c r="O259" s="19">
        <v>9.17</v>
      </c>
      <c r="P259" s="19">
        <v>7.3170000000000002</v>
      </c>
      <c r="Q259" s="19">
        <v>5.5709999999999997</v>
      </c>
      <c r="R259" s="19">
        <v>15.295999999999999</v>
      </c>
      <c r="S259" s="19">
        <v>6.4329999999999998</v>
      </c>
      <c r="T259" s="19">
        <v>16.834000000000003</v>
      </c>
      <c r="U259" s="19">
        <v>5.24</v>
      </c>
      <c r="V259" s="19">
        <v>12.403</v>
      </c>
      <c r="W259" s="19">
        <v>24.997</v>
      </c>
      <c r="Y259" s="19">
        <f t="shared" si="522"/>
        <v>6.3020000000000067</v>
      </c>
      <c r="Z259" s="19">
        <f t="shared" si="523"/>
        <v>17.127000000000002</v>
      </c>
      <c r="AA259" s="19">
        <f t="shared" si="524"/>
        <v>43.756</v>
      </c>
      <c r="AB259" s="19">
        <f t="shared" si="525"/>
        <v>34.616999999999997</v>
      </c>
      <c r="AC259" s="19">
        <f t="shared" si="526"/>
        <v>59.474000000000004</v>
      </c>
    </row>
    <row r="260" spans="2:46" outlineLevel="1" x14ac:dyDescent="0.25">
      <c r="B260" s="1" t="s">
        <v>142</v>
      </c>
      <c r="C260" s="6" t="s">
        <v>15</v>
      </c>
      <c r="D260" s="19">
        <v>0.39766025999995236</v>
      </c>
      <c r="E260" s="19">
        <v>-3.0352338299999531</v>
      </c>
      <c r="F260" s="19">
        <v>-34.423386000000008</v>
      </c>
      <c r="G260" s="19">
        <v>7.067350800000014</v>
      </c>
      <c r="H260" s="19">
        <v>-3.0816673499999894</v>
      </c>
      <c r="I260" s="19">
        <v>-0.77372704758781197</v>
      </c>
      <c r="J260" s="19">
        <v>-6.6053437275877513</v>
      </c>
      <c r="K260" s="19">
        <v>-28.763857989999991</v>
      </c>
      <c r="L260" s="19">
        <v>4.46070954999999</v>
      </c>
      <c r="M260" s="19">
        <v>-5.1965496699999392</v>
      </c>
      <c r="N260" s="19">
        <v>-6.0339999999999918</v>
      </c>
      <c r="O260" s="19">
        <v>-12.58499999999998</v>
      </c>
      <c r="P260" s="19">
        <v>15.231999999999999</v>
      </c>
      <c r="Q260" s="19">
        <v>6.7379999999999995</v>
      </c>
      <c r="R260" s="19">
        <v>-3.1610000000000014</v>
      </c>
      <c r="S260" s="19">
        <v>-8.9919999999999902</v>
      </c>
      <c r="T260" s="19">
        <v>-1.5860000000000127</v>
      </c>
      <c r="U260" s="19">
        <v>-7.289999999999992</v>
      </c>
      <c r="V260" s="19">
        <v>-3.1480000000000246</v>
      </c>
      <c r="W260" s="19">
        <v>-6.9290000000000305</v>
      </c>
      <c r="Y260" s="19">
        <f t="shared" si="522"/>
        <v>-29.993608769999994</v>
      </c>
      <c r="Z260" s="19">
        <f t="shared" si="523"/>
        <v>-39.224596115175544</v>
      </c>
      <c r="AA260" s="19">
        <f t="shared" si="524"/>
        <v>-19.35484011999992</v>
      </c>
      <c r="AB260" s="19">
        <f t="shared" si="525"/>
        <v>9.8170000000000073</v>
      </c>
      <c r="AC260" s="19">
        <f t="shared" si="526"/>
        <v>-18.95300000000006</v>
      </c>
    </row>
    <row r="261" spans="2:46" outlineLevel="1" x14ac:dyDescent="0.25">
      <c r="B261" s="9" t="s">
        <v>388</v>
      </c>
      <c r="C261" s="3" t="s">
        <v>15</v>
      </c>
      <c r="D261" s="4">
        <f t="shared" ref="D261:L261" si="527">SUM(D254:D260)</f>
        <v>136.63524156999998</v>
      </c>
      <c r="E261" s="4">
        <f t="shared" si="527"/>
        <v>166.69845262000001</v>
      </c>
      <c r="F261" s="4">
        <f t="shared" si="527"/>
        <v>117.94805307537619</v>
      </c>
      <c r="G261" s="4">
        <f t="shared" si="527"/>
        <v>127.05792946889642</v>
      </c>
      <c r="H261" s="4">
        <f t="shared" si="527"/>
        <v>113.95731742</v>
      </c>
      <c r="I261" s="4">
        <f t="shared" si="527"/>
        <v>150.49470055241221</v>
      </c>
      <c r="J261" s="4">
        <f t="shared" si="527"/>
        <v>140.46965627241224</v>
      </c>
      <c r="K261" s="4">
        <f t="shared" si="527"/>
        <v>133.15814201000001</v>
      </c>
      <c r="L261" s="4">
        <f t="shared" si="527"/>
        <v>172.99515610999998</v>
      </c>
      <c r="M261" s="4">
        <f t="shared" ref="M261:N261" si="528">SUM(M254:M260)</f>
        <v>189.04460022000001</v>
      </c>
      <c r="N261" s="4">
        <f t="shared" si="528"/>
        <v>201.63400000000001</v>
      </c>
      <c r="O261" s="4">
        <f t="shared" ref="O261:P261" si="529">SUM(O254:O260)</f>
        <v>190.17191068</v>
      </c>
      <c r="P261" s="4">
        <f t="shared" si="529"/>
        <v>221.41343210000002</v>
      </c>
      <c r="Q261" s="4">
        <f t="shared" ref="Q261" si="530">SUM(Q254:Q260)</f>
        <v>256.23545996000001</v>
      </c>
      <c r="R261" s="4">
        <f t="shared" ref="R261:S261" si="531">SUM(R254:R260)</f>
        <v>241.08020888000001</v>
      </c>
      <c r="S261" s="4">
        <f t="shared" si="531"/>
        <v>214.97421899999998</v>
      </c>
      <c r="T261" s="4">
        <f t="shared" ref="T261:U261" si="532">SUM(T254:T260)</f>
        <v>224.81014958999998</v>
      </c>
      <c r="U261" s="4">
        <f t="shared" si="532"/>
        <v>234.14992886000002</v>
      </c>
      <c r="V261" s="4">
        <f t="shared" ref="V261:W261" si="533">SUM(V254:V260)</f>
        <v>260.40999999999997</v>
      </c>
      <c r="W261" s="4">
        <f t="shared" si="533"/>
        <v>291.59199999999998</v>
      </c>
      <c r="Y261" s="4">
        <f>SUM(Y254:Y260)</f>
        <v>548.33967673427253</v>
      </c>
      <c r="Z261" s="4">
        <f>SUM(Z254:Z260)</f>
        <v>538.07981625482432</v>
      </c>
      <c r="AA261" s="4">
        <f>SUM(AA254:AA260)</f>
        <v>753.84566701000006</v>
      </c>
      <c r="AB261" s="4">
        <f>SUM(AB254:AB260)</f>
        <v>933.70331994000003</v>
      </c>
      <c r="AC261" s="4">
        <f>SUM(AC254:AC260)</f>
        <v>1010.9620784499997</v>
      </c>
    </row>
    <row r="262" spans="2:46" outlineLevel="1" x14ac:dyDescent="0.25">
      <c r="B262" s="8" t="s">
        <v>24</v>
      </c>
      <c r="C262" s="9" t="s">
        <v>14</v>
      </c>
      <c r="D262" s="10">
        <f t="shared" ref="D262:Q262" si="534">D261/D44</f>
        <v>0.11212366329069465</v>
      </c>
      <c r="E262" s="10">
        <f t="shared" si="534"/>
        <v>0.1264110106908157</v>
      </c>
      <c r="F262" s="10">
        <f t="shared" si="534"/>
        <v>8.6150378954985743E-2</v>
      </c>
      <c r="G262" s="10">
        <f t="shared" si="534"/>
        <v>9.0852096917797345E-2</v>
      </c>
      <c r="H262" s="10">
        <f t="shared" si="534"/>
        <v>7.9217233434964007E-2</v>
      </c>
      <c r="I262" s="10">
        <f t="shared" si="534"/>
        <v>9.9452299578328712E-2</v>
      </c>
      <c r="J262" s="10">
        <f t="shared" si="534"/>
        <v>9.0152776998831452E-2</v>
      </c>
      <c r="K262" s="10">
        <f t="shared" si="534"/>
        <v>8.1927792287137674E-2</v>
      </c>
      <c r="L262" s="10">
        <f t="shared" si="534"/>
        <v>9.1033169158572111E-2</v>
      </c>
      <c r="M262" s="10">
        <f t="shared" si="534"/>
        <v>9.2854402897945651E-2</v>
      </c>
      <c r="N262" s="10">
        <f t="shared" si="534"/>
        <v>9.2721742801251186E-2</v>
      </c>
      <c r="O262" s="10">
        <f t="shared" si="534"/>
        <v>8.2627863206790914E-2</v>
      </c>
      <c r="P262" s="10">
        <f t="shared" si="534"/>
        <v>8.6508342860134591E-2</v>
      </c>
      <c r="Q262" s="10">
        <f t="shared" si="534"/>
        <v>9.8397766871806458E-2</v>
      </c>
      <c r="R262" s="10">
        <f t="shared" ref="R262:S262" si="535">R261/R44</f>
        <v>8.9334924107253702E-2</v>
      </c>
      <c r="S262" s="10">
        <f t="shared" si="535"/>
        <v>7.6472446874623151E-2</v>
      </c>
      <c r="T262" s="10">
        <f t="shared" ref="T262:U262" si="536">T261/T44</f>
        <v>7.7428547866970801E-2</v>
      </c>
      <c r="U262" s="10">
        <f t="shared" si="536"/>
        <v>7.3256257713183906E-2</v>
      </c>
      <c r="V262" s="10">
        <f t="shared" ref="V262:W262" si="537">V261/V44</f>
        <v>8.0856122923910895E-2</v>
      </c>
      <c r="W262" s="10">
        <f t="shared" si="537"/>
        <v>8.9337536030118223E-2</v>
      </c>
      <c r="Y262" s="10">
        <f>Y261/Y44</f>
        <v>0.10336430457789353</v>
      </c>
      <c r="Z262" s="10">
        <f>Z261/Z44</f>
        <v>8.7703469372774318E-2</v>
      </c>
      <c r="AA262" s="10">
        <f>AA261/AA44</f>
        <v>8.9610833078254723E-2</v>
      </c>
      <c r="AB262" s="10">
        <f>AB261/AB44</f>
        <v>8.7480546721023039E-2</v>
      </c>
      <c r="AC262" s="10">
        <f>AC261/AC44</f>
        <v>8.0334796375437709E-2</v>
      </c>
    </row>
    <row r="264" spans="2:46" ht="15.75" x14ac:dyDescent="0.25">
      <c r="B264" s="33" t="s">
        <v>179</v>
      </c>
      <c r="D264" s="37"/>
      <c r="E264" s="40"/>
    </row>
    <row r="265" spans="2:46" outlineLevel="1" x14ac:dyDescent="0.25">
      <c r="B265" s="32" t="s">
        <v>6</v>
      </c>
      <c r="C265" s="17" t="s">
        <v>0</v>
      </c>
      <c r="D265" s="17">
        <v>2022</v>
      </c>
      <c r="E265" s="17">
        <v>2023</v>
      </c>
      <c r="F265" s="17">
        <v>2024</v>
      </c>
      <c r="G265" s="17">
        <v>2025</v>
      </c>
    </row>
    <row r="266" spans="2:46" s="62" customFormat="1" outlineLevel="1" x14ac:dyDescent="0.25">
      <c r="B266" s="61" t="s">
        <v>180</v>
      </c>
      <c r="C266" s="62" t="s">
        <v>15</v>
      </c>
      <c r="D266" s="19">
        <v>30.882564841866632</v>
      </c>
      <c r="E266" s="19">
        <v>30.882564841866632</v>
      </c>
      <c r="F266" s="19">
        <v>30.882564841866632</v>
      </c>
      <c r="G266" s="19">
        <v>12.86773535077776</v>
      </c>
    </row>
    <row r="267" spans="2:46" s="62" customFormat="1" outlineLevel="1" x14ac:dyDescent="0.25">
      <c r="B267" s="61" t="s">
        <v>194</v>
      </c>
      <c r="C267" s="62" t="s">
        <v>15</v>
      </c>
      <c r="D267" s="19">
        <v>114.19528931651965</v>
      </c>
      <c r="E267" s="19">
        <v>111.27389987250297</v>
      </c>
      <c r="F267" s="19">
        <v>96.689476239719681</v>
      </c>
      <c r="G267" s="19">
        <v>36.11106548580986</v>
      </c>
      <c r="H267" s="19"/>
      <c r="N267" s="19"/>
      <c r="O267" s="19"/>
    </row>
    <row r="269" spans="2:46" ht="15.75" x14ac:dyDescent="0.25">
      <c r="B269" s="33" t="s">
        <v>192</v>
      </c>
    </row>
    <row r="270" spans="2:46" outlineLevel="1" x14ac:dyDescent="0.25">
      <c r="B270" s="32" t="s">
        <v>6</v>
      </c>
      <c r="C270" s="17" t="s">
        <v>0</v>
      </c>
      <c r="D270" s="17">
        <v>2022</v>
      </c>
      <c r="E270" s="17">
        <v>2023</v>
      </c>
      <c r="F270" s="17">
        <v>2024</v>
      </c>
      <c r="G270" s="17">
        <v>2025</v>
      </c>
      <c r="H270" s="17">
        <v>2026</v>
      </c>
      <c r="I270" s="17">
        <v>2027</v>
      </c>
      <c r="J270" s="17">
        <v>2028</v>
      </c>
      <c r="K270" s="17">
        <v>2029</v>
      </c>
      <c r="L270" s="17">
        <v>2030</v>
      </c>
      <c r="M270" s="17">
        <v>2031</v>
      </c>
      <c r="N270" s="17">
        <v>2032</v>
      </c>
      <c r="O270" s="17">
        <v>2033</v>
      </c>
      <c r="P270" s="17">
        <v>2034</v>
      </c>
      <c r="Q270" s="17">
        <v>2035</v>
      </c>
      <c r="R270" s="17">
        <v>2036</v>
      </c>
      <c r="S270" s="17">
        <v>2037</v>
      </c>
      <c r="T270" s="17">
        <v>2038</v>
      </c>
      <c r="U270" s="17">
        <v>2039</v>
      </c>
      <c r="V270" s="17">
        <v>2040</v>
      </c>
      <c r="W270" s="17">
        <v>2041</v>
      </c>
      <c r="X270" s="17">
        <v>2042</v>
      </c>
      <c r="Y270" s="17">
        <v>2043</v>
      </c>
      <c r="Z270" s="17">
        <v>2044</v>
      </c>
      <c r="AA270" s="17">
        <v>2045</v>
      </c>
      <c r="AB270" s="17">
        <v>2046</v>
      </c>
      <c r="AC270" s="17">
        <v>2047</v>
      </c>
      <c r="AD270" s="17">
        <v>2048</v>
      </c>
      <c r="AE270" s="17">
        <v>2049</v>
      </c>
      <c r="AF270" s="17">
        <v>2050</v>
      </c>
      <c r="AG270" s="17">
        <v>2051</v>
      </c>
      <c r="AH270" s="17">
        <v>2052</v>
      </c>
      <c r="AI270" s="17">
        <v>2053</v>
      </c>
      <c r="AJ270" s="17">
        <v>2054</v>
      </c>
      <c r="AK270" s="17">
        <v>2055</v>
      </c>
      <c r="AL270" s="17">
        <v>2056</v>
      </c>
      <c r="AM270" s="17">
        <v>2057</v>
      </c>
      <c r="AN270" s="17">
        <v>2058</v>
      </c>
      <c r="AO270" s="17">
        <v>2059</v>
      </c>
      <c r="AP270" s="17">
        <v>2060</v>
      </c>
      <c r="AQ270" s="17">
        <v>2061</v>
      </c>
      <c r="AR270" s="17">
        <v>2062</v>
      </c>
      <c r="AS270" s="17">
        <v>2063</v>
      </c>
      <c r="AT270" s="17">
        <v>2064</v>
      </c>
    </row>
    <row r="271" spans="2:46" outlineLevel="1" x14ac:dyDescent="0.25">
      <c r="B271" s="1" t="s">
        <v>181</v>
      </c>
      <c r="C271" s="6" t="s">
        <v>15</v>
      </c>
      <c r="D271" s="19">
        <v>22.062427020000001</v>
      </c>
      <c r="E271" s="19">
        <v>7.48116702</v>
      </c>
      <c r="F271" s="19">
        <v>7.264274003333334</v>
      </c>
      <c r="G271" s="19">
        <v>7.1093504200000002</v>
      </c>
      <c r="H271" s="19">
        <v>7.1093504200000002</v>
      </c>
      <c r="I271" s="19">
        <v>7.1093504200000002</v>
      </c>
      <c r="J271" s="19">
        <v>7.1093504200000002</v>
      </c>
      <c r="K271" s="19">
        <v>7.1093504200000002</v>
      </c>
      <c r="L271" s="19">
        <v>7.1093504200000002</v>
      </c>
      <c r="M271" s="19">
        <v>7.1093504200000002</v>
      </c>
      <c r="N271" s="19">
        <v>7.1093504200000002</v>
      </c>
      <c r="O271" s="19">
        <v>7.1093504200000002</v>
      </c>
      <c r="P271" s="19">
        <v>7.1093504200000002</v>
      </c>
      <c r="Q271" s="19">
        <v>7.1093504200000002</v>
      </c>
      <c r="R271" s="19">
        <v>7.1093504200000002</v>
      </c>
      <c r="S271" s="19">
        <v>7.1093504200000002</v>
      </c>
      <c r="T271" s="19">
        <v>7.1093504200000002</v>
      </c>
      <c r="U271" s="19">
        <v>7.1124513966666667</v>
      </c>
      <c r="V271" s="19">
        <v>7.1146663800000001</v>
      </c>
      <c r="W271" s="19">
        <v>7.1146663800000001</v>
      </c>
      <c r="X271" s="19">
        <v>7.1146663800000001</v>
      </c>
      <c r="Y271" s="19">
        <v>7.1146663800000001</v>
      </c>
      <c r="Z271" s="19">
        <v>3.1022663800000001</v>
      </c>
      <c r="AA271" s="19">
        <v>0.23626637999999997</v>
      </c>
      <c r="AB271" s="19">
        <v>0.23626637999999997</v>
      </c>
      <c r="AC271" s="19">
        <v>0.23626637999999997</v>
      </c>
      <c r="AD271" s="19">
        <v>0.23626637999999997</v>
      </c>
      <c r="AE271" s="19">
        <v>0.23626637999999997</v>
      </c>
      <c r="AF271" s="19">
        <v>0.23626637999999997</v>
      </c>
      <c r="AG271" s="19">
        <v>0.23626637999999997</v>
      </c>
      <c r="AH271" s="19">
        <v>0.23626637999999997</v>
      </c>
      <c r="AI271" s="19">
        <v>0.23626637999999997</v>
      </c>
      <c r="AJ271" s="19">
        <v>0.23626637999999997</v>
      </c>
      <c r="AK271" s="19">
        <v>0.23626637999999997</v>
      </c>
      <c r="AL271" s="19">
        <v>0.23626637999999997</v>
      </c>
      <c r="AM271" s="19">
        <v>0.23626637999999997</v>
      </c>
      <c r="AN271" s="19">
        <v>0.23626637999999997</v>
      </c>
      <c r="AO271" s="19">
        <v>0.23626637999999997</v>
      </c>
      <c r="AP271" s="19">
        <v>0.23626637999999997</v>
      </c>
      <c r="AQ271" s="19">
        <v>0.23626637999999997</v>
      </c>
      <c r="AR271" s="19">
        <v>0.23626637999999997</v>
      </c>
      <c r="AS271" s="19">
        <v>0.23626637999999997</v>
      </c>
      <c r="AT271" s="19">
        <v>9.8444325000000013E-2</v>
      </c>
    </row>
    <row r="272" spans="2:46" outlineLevel="1" x14ac:dyDescent="0.25">
      <c r="B272" s="34" t="s">
        <v>193</v>
      </c>
      <c r="E272" s="36"/>
    </row>
    <row r="274" spans="2:9" ht="15.75" x14ac:dyDescent="0.25">
      <c r="B274" s="33" t="s">
        <v>197</v>
      </c>
    </row>
    <row r="275" spans="2:9" outlineLevel="1" x14ac:dyDescent="0.25">
      <c r="B275" s="32" t="s">
        <v>6</v>
      </c>
      <c r="C275" s="17" t="s">
        <v>0</v>
      </c>
      <c r="D275" s="17">
        <v>2022</v>
      </c>
      <c r="E275" s="17">
        <v>2023</v>
      </c>
      <c r="F275" s="17">
        <v>2024</v>
      </c>
      <c r="G275" s="17">
        <v>2025</v>
      </c>
      <c r="H275" s="17">
        <v>2026</v>
      </c>
      <c r="I275" s="17">
        <v>2027</v>
      </c>
    </row>
    <row r="276" spans="2:9" s="62" customFormat="1" outlineLevel="1" x14ac:dyDescent="0.25">
      <c r="B276" s="61" t="s">
        <v>195</v>
      </c>
      <c r="C276" s="62" t="s">
        <v>15</v>
      </c>
      <c r="D276" s="19">
        <v>-267</v>
      </c>
      <c r="E276" s="19">
        <v>-750.33308333333321</v>
      </c>
      <c r="F276" s="19">
        <v>-750.33308333333343</v>
      </c>
      <c r="G276" s="19">
        <f>-483.333083333333-400</f>
        <v>-883.33308333333298</v>
      </c>
      <c r="H276" s="19">
        <v>-400</v>
      </c>
      <c r="I276" s="19">
        <v>-400</v>
      </c>
    </row>
    <row r="277" spans="2:9" s="62" customFormat="1" outlineLevel="1" x14ac:dyDescent="0.25">
      <c r="B277" s="61" t="s">
        <v>196</v>
      </c>
      <c r="C277" s="62" t="s">
        <v>15</v>
      </c>
      <c r="D277" s="19">
        <f>-176.7-50</f>
        <v>-226.7</v>
      </c>
      <c r="E277" s="19">
        <f>-446.7-60</f>
        <v>-506.7</v>
      </c>
      <c r="F277" s="19">
        <f>-186.7-250-60</f>
        <v>-496.7</v>
      </c>
      <c r="G277" s="19">
        <f>-100-60</f>
        <v>-160</v>
      </c>
      <c r="H277" s="19">
        <v>0</v>
      </c>
      <c r="I277" s="19">
        <v>0</v>
      </c>
    </row>
    <row r="279" spans="2:9" ht="15.75" x14ac:dyDescent="0.25">
      <c r="B279" s="33" t="s">
        <v>379</v>
      </c>
    </row>
    <row r="280" spans="2:9" outlineLevel="1" x14ac:dyDescent="0.25">
      <c r="B280" s="32" t="s">
        <v>6</v>
      </c>
      <c r="C280" s="17" t="s">
        <v>0</v>
      </c>
      <c r="D280" s="17">
        <v>2022</v>
      </c>
    </row>
    <row r="281" spans="2:9" outlineLevel="1" x14ac:dyDescent="0.25">
      <c r="B281" s="1" t="s">
        <v>377</v>
      </c>
      <c r="C281" s="6" t="s">
        <v>15</v>
      </c>
      <c r="D281" s="19">
        <v>0</v>
      </c>
    </row>
    <row r="282" spans="2:9" outlineLevel="1" x14ac:dyDescent="0.25">
      <c r="B282" s="1" t="s">
        <v>378</v>
      </c>
      <c r="C282" s="6" t="s">
        <v>15</v>
      </c>
      <c r="D282" s="19">
        <v>0</v>
      </c>
    </row>
    <row r="283" spans="2:9" outlineLevel="1" x14ac:dyDescent="0.25">
      <c r="B283" s="1" t="s">
        <v>416</v>
      </c>
      <c r="C283" s="6" t="s">
        <v>15</v>
      </c>
      <c r="D283" s="19">
        <f>9.29449999907055+1.50959999984904</f>
        <v>10.804099998919591</v>
      </c>
      <c r="E283" s="19"/>
    </row>
    <row r="284" spans="2:9" x14ac:dyDescent="0.25">
      <c r="B284" s="6" t="s">
        <v>433</v>
      </c>
    </row>
  </sheetData>
  <pageMargins left="0.19685039370078741" right="0.19685039370078741" top="0.19685039370078741" bottom="0.19685039370078741" header="0.19685039370078741" footer="0.19685039370078741"/>
  <pageSetup paperSize="9" orientation="landscape" r:id="rId1"/>
  <headerFooter>
    <oddHeader>&amp;C&amp;"Calibri"&amp;10&amp;KA80000CONFIDENCIAL&amp;1#_x000D_&amp;"Calibri"&amp;11&amp;K000000&amp;G</oddHeader>
    <oddFooter>&amp;C&amp;"Calibri"&amp;11&amp;K000000_x000D_&amp;1#&amp;"Calibri"&amp;10&amp;KA80000CONFIDENCIAL</oddFooter>
  </headerFooter>
  <ignoredErrors>
    <ignoredError sqref="D53:G53 D66:G66 D123:H123 D120:I120 E10:I10 J10:J13 J18 J20:J21 J23 J120:J124 K10:M10 H67:K68 H63:L66 H53:L61 H62:K62 L123:M123 L246:M246 M66:N66 J15 E14:O14 N15:N16 N18:N22 M53 N134 N169 N153 N10:O13 O66:O67 O123:P123 N53:O56 O69:O71 I121:I125 P120:Q120 Q128:R129 N183 N184:P184 N185:Q192 P59 P62 Q130 P53:Q58 P60:Q61 P63:Q69 Q121:Q126 R120:R125 P11:R16 Y125:AA206 Y222:AA243 Y87:AA109 Y248:AA260 Y74:AA85 Y55:AB65 S53 Y73:AB73 X66:X73 S120:S124 S66:S73 P18:R29 P17:Q17 T120:T125 Q249:W249 AC12 AB14:AC14 S14:W14 Y33:AA40 S33:X34 S23:W25 Q10:X10 AB10:AC11 AB33:AC34 AB12:AB13 AC15:AC16 AB15:AB17 AB26:AB31 S11:V13 S16:W18 S15:V15 S20:W21 S19:V19 S22:V22 AB18:AC25 S26:V26 S27:U27 S28:V31 X11:X31 S38:X40 S35:V37 X35:X37 AB38:AC39 AB35:AB37 AB40 Y41:AC43 AC54:AC65 AC70:AC71 Y207:AC207 AB209:AC211 AB220:AC224 AB254:AC260 Y9:AA31 U120:X120 U123:X123 U121:V122 X121:X122" formulaRange="1"/>
    <ignoredError sqref="H206:I206 H209 H208:I208 H207 AB51:AB53 AB120:AB123 AC44 AC86 AC107:AC123" formula="1"/>
    <ignoredError sqref="N135 Y244:AA247 Y214:AA219 Y110:AA119 Y86:AA86 Y220:AA221 Y208:AA213 AB44:AB50 Y44:AA54 AB54 AB67:AB72 AB66 Y66:AA72 AB208:AC208 AC45:AC48 AC66:AC69 Y124:AA124 AA120:AA123 Y120:Z123" formula="1" formulaRange="1"/>
    <ignoredError sqref="W73" evalError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E83C7"/>
    <outlinePr summaryBelow="0"/>
  </sheetPr>
  <dimension ref="B3:AU284"/>
  <sheetViews>
    <sheetView showGridLines="0" tabSelected="1"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E2" sqref="E2"/>
    </sheetView>
  </sheetViews>
  <sheetFormatPr defaultColWidth="10.7109375" defaultRowHeight="15" outlineLevelRow="3" x14ac:dyDescent="0.25"/>
  <cols>
    <col min="1" max="1" width="2.7109375" style="6" customWidth="1"/>
    <col min="2" max="2" width="51.5703125" style="6" customWidth="1"/>
    <col min="3" max="3" width="10.7109375" style="6" bestFit="1" customWidth="1"/>
    <col min="4" max="4" width="8.85546875" style="6" bestFit="1" customWidth="1"/>
    <col min="5" max="14" width="9.5703125" style="6" bestFit="1" customWidth="1"/>
    <col min="15" max="16" width="10" style="6" bestFit="1" customWidth="1"/>
    <col min="17" max="21" width="10" style="6" customWidth="1"/>
    <col min="22" max="22" width="10" style="6" bestFit="1" customWidth="1"/>
    <col min="23" max="23" width="10.5703125" style="6" bestFit="1" customWidth="1"/>
    <col min="24" max="24" width="5.5703125" style="6" bestFit="1" customWidth="1"/>
    <col min="25" max="26" width="9.5703125" style="6" bestFit="1" customWidth="1"/>
    <col min="27" max="29" width="10.5703125" style="6" bestFit="1" customWidth="1"/>
    <col min="30" max="30" width="5.5703125" style="6" bestFit="1" customWidth="1"/>
    <col min="31" max="31" width="6.140625" style="6" bestFit="1" customWidth="1"/>
    <col min="32" max="53" width="5.5703125" style="6" bestFit="1" customWidth="1"/>
    <col min="54" max="16384" width="10.7109375" style="6"/>
  </cols>
  <sheetData>
    <row r="3" spans="2:29" x14ac:dyDescent="0.25">
      <c r="D3"/>
    </row>
    <row r="5" spans="2:29" x14ac:dyDescent="0.25">
      <c r="O5" s="27"/>
    </row>
    <row r="6" spans="2:29" x14ac:dyDescent="0.25">
      <c r="D6" s="19"/>
      <c r="E6" s="19"/>
      <c r="F6" s="19"/>
      <c r="G6" s="19"/>
      <c r="H6" s="19"/>
      <c r="I6" s="19"/>
      <c r="J6" s="27"/>
      <c r="K6" s="27"/>
      <c r="L6" s="27"/>
      <c r="M6" s="27"/>
      <c r="O6" s="27"/>
      <c r="Q6" s="27"/>
    </row>
    <row r="7" spans="2:29" ht="15.75" x14ac:dyDescent="0.25">
      <c r="B7" s="33" t="s">
        <v>219</v>
      </c>
      <c r="D7" s="36"/>
      <c r="E7" s="36"/>
      <c r="F7" s="36"/>
      <c r="G7" s="36"/>
      <c r="H7" s="36"/>
      <c r="I7" s="36"/>
      <c r="J7" s="36"/>
      <c r="K7" s="36"/>
      <c r="L7" s="19"/>
      <c r="M7" s="19"/>
      <c r="N7" s="19"/>
      <c r="O7" s="19"/>
      <c r="P7" s="19"/>
      <c r="Q7" s="19"/>
    </row>
    <row r="8" spans="2:29" outlineLevel="1" x14ac:dyDescent="0.25">
      <c r="B8" s="32" t="s">
        <v>6</v>
      </c>
      <c r="C8" s="17" t="s">
        <v>42</v>
      </c>
      <c r="D8" s="17" t="s">
        <v>37</v>
      </c>
      <c r="E8" s="17" t="s">
        <v>38</v>
      </c>
      <c r="F8" s="17" t="s">
        <v>39</v>
      </c>
      <c r="G8" s="17" t="s">
        <v>40</v>
      </c>
      <c r="H8" s="17" t="s">
        <v>41</v>
      </c>
      <c r="I8" s="17" t="s">
        <v>376</v>
      </c>
      <c r="J8" s="17" t="s">
        <v>384</v>
      </c>
      <c r="K8" s="17" t="s">
        <v>398</v>
      </c>
      <c r="L8" s="17" t="s">
        <v>406</v>
      </c>
      <c r="M8" s="17" t="s">
        <v>421</v>
      </c>
      <c r="N8" s="17" t="s">
        <v>423</v>
      </c>
      <c r="O8" s="17" t="s">
        <v>426</v>
      </c>
      <c r="P8" s="17" t="s">
        <v>430</v>
      </c>
      <c r="Q8" s="17" t="s">
        <v>432</v>
      </c>
      <c r="R8" s="17" t="s">
        <v>560</v>
      </c>
      <c r="S8" s="17" t="s">
        <v>572</v>
      </c>
      <c r="T8" s="17" t="s">
        <v>575</v>
      </c>
      <c r="U8" s="17" t="s">
        <v>590</v>
      </c>
      <c r="V8" s="17" t="s">
        <v>594</v>
      </c>
      <c r="W8" s="17" t="s">
        <v>603</v>
      </c>
      <c r="Y8" s="17">
        <v>2017</v>
      </c>
      <c r="Z8" s="17">
        <v>2018</v>
      </c>
      <c r="AA8" s="17">
        <v>2019</v>
      </c>
      <c r="AB8" s="17">
        <v>2020</v>
      </c>
      <c r="AC8" s="17">
        <v>2021</v>
      </c>
    </row>
    <row r="9" spans="2:29" outlineLevel="1" x14ac:dyDescent="0.25">
      <c r="B9" s="3" t="s">
        <v>220</v>
      </c>
      <c r="C9" s="3" t="s">
        <v>218</v>
      </c>
      <c r="D9" s="4">
        <f t="shared" ref="D9:W9" si="0">SUM(D10,D14)</f>
        <v>3464.3229999999999</v>
      </c>
      <c r="E9" s="4">
        <f t="shared" si="0"/>
        <v>3548.3450000000003</v>
      </c>
      <c r="F9" s="4">
        <f t="shared" si="0"/>
        <v>3637.143</v>
      </c>
      <c r="G9" s="4">
        <f t="shared" si="0"/>
        <v>3596.328</v>
      </c>
      <c r="H9" s="4">
        <f t="shared" si="0"/>
        <v>3731.9080000000004</v>
      </c>
      <c r="I9" s="4">
        <f t="shared" si="0"/>
        <v>3991.0089999999991</v>
      </c>
      <c r="J9" s="4">
        <f t="shared" si="0"/>
        <v>4028.1089999999995</v>
      </c>
      <c r="K9" s="4">
        <f t="shared" si="0"/>
        <v>4094.5289999999995</v>
      </c>
      <c r="L9" s="4">
        <f t="shared" si="0"/>
        <v>4656.6529999999993</v>
      </c>
      <c r="M9" s="4">
        <f t="shared" si="0"/>
        <v>4918.598</v>
      </c>
      <c r="N9" s="4">
        <f t="shared" si="0"/>
        <v>5419.8819999999996</v>
      </c>
      <c r="O9" s="4">
        <f t="shared" si="0"/>
        <v>5583.1580000000004</v>
      </c>
      <c r="P9" s="4">
        <f t="shared" si="0"/>
        <v>6127.152</v>
      </c>
      <c r="Q9" s="4">
        <f t="shared" si="0"/>
        <v>6176.7429999999995</v>
      </c>
      <c r="R9" s="4">
        <f t="shared" si="0"/>
        <v>6294.3819999999987</v>
      </c>
      <c r="S9" s="4">
        <f t="shared" si="0"/>
        <v>6452.9750000000004</v>
      </c>
      <c r="T9" s="4">
        <f t="shared" si="0"/>
        <v>6613.2970000000005</v>
      </c>
      <c r="U9" s="4">
        <f t="shared" si="0"/>
        <v>7175.6539999999995</v>
      </c>
      <c r="V9" s="4">
        <f t="shared" si="0"/>
        <v>7609.8559999999979</v>
      </c>
      <c r="W9" s="4">
        <f t="shared" si="0"/>
        <v>7662.2079999999978</v>
      </c>
      <c r="Y9" s="4">
        <f t="shared" ref="Y9:AC9" si="1">SUM(Y10,Y14)</f>
        <v>3596.328</v>
      </c>
      <c r="Z9" s="4">
        <f t="shared" si="1"/>
        <v>4094.5289999999991</v>
      </c>
      <c r="AA9" s="4">
        <f t="shared" si="1"/>
        <v>5583.1580000000004</v>
      </c>
      <c r="AB9" s="4">
        <f t="shared" si="1"/>
        <v>6452.9750000000004</v>
      </c>
      <c r="AC9" s="4">
        <f t="shared" si="1"/>
        <v>7662.2079999999978</v>
      </c>
    </row>
    <row r="10" spans="2:29" outlineLevel="1" x14ac:dyDescent="0.25">
      <c r="B10" s="5" t="s">
        <v>221</v>
      </c>
      <c r="C10" s="3" t="s">
        <v>218</v>
      </c>
      <c r="D10" s="4">
        <v>2041.0379999999998</v>
      </c>
      <c r="E10" s="4">
        <f>D10+SUM(E11:E12)</f>
        <v>2075.5419999999999</v>
      </c>
      <c r="F10" s="4">
        <f t="shared" ref="F10:Q10" si="2">E10+SUM(F11:F12)</f>
        <v>2073.2799999999997</v>
      </c>
      <c r="G10" s="4">
        <f t="shared" si="2"/>
        <v>2056.1469999999999</v>
      </c>
      <c r="H10" s="4">
        <f t="shared" si="2"/>
        <v>2127.239</v>
      </c>
      <c r="I10" s="4">
        <f t="shared" si="2"/>
        <v>2126.974999999999</v>
      </c>
      <c r="J10" s="4">
        <f t="shared" si="2"/>
        <v>2147.5379999999991</v>
      </c>
      <c r="K10" s="4">
        <f t="shared" si="2"/>
        <v>2210.7439999999992</v>
      </c>
      <c r="L10" s="4">
        <f t="shared" si="2"/>
        <v>2704.0539999999992</v>
      </c>
      <c r="M10" s="4">
        <f t="shared" si="2"/>
        <v>2872.913</v>
      </c>
      <c r="N10" s="4">
        <f t="shared" si="2"/>
        <v>2945.2959999999994</v>
      </c>
      <c r="O10" s="4">
        <f t="shared" si="2"/>
        <v>3031.9289999999992</v>
      </c>
      <c r="P10" s="4">
        <f t="shared" si="2"/>
        <v>3564.3509999999992</v>
      </c>
      <c r="Q10" s="4">
        <f t="shared" si="2"/>
        <v>3607.2219999999993</v>
      </c>
      <c r="R10" s="4">
        <f t="shared" ref="R10:W10" si="3">Q10+SUM(R11:R12)</f>
        <v>3694.5589999999988</v>
      </c>
      <c r="S10" s="4">
        <f t="shared" si="3"/>
        <v>3729.9349999999995</v>
      </c>
      <c r="T10" s="4">
        <f t="shared" si="3"/>
        <v>3794.6949999999997</v>
      </c>
      <c r="U10" s="4">
        <f t="shared" si="3"/>
        <v>4262.0499999999993</v>
      </c>
      <c r="V10" s="4">
        <f t="shared" si="3"/>
        <v>4340.0959999999995</v>
      </c>
      <c r="W10" s="4">
        <f t="shared" si="3"/>
        <v>4383.9179999999997</v>
      </c>
      <c r="Y10" s="4">
        <f>G10</f>
        <v>2056.1469999999999</v>
      </c>
      <c r="Z10" s="4">
        <f t="shared" ref="Z10:AC10" si="4">Y10+SUM(Z11:Z12)</f>
        <v>2210.7439999999988</v>
      </c>
      <c r="AA10" s="4">
        <f t="shared" si="4"/>
        <v>3031.9289999999992</v>
      </c>
      <c r="AB10" s="4">
        <f t="shared" si="4"/>
        <v>3729.9349999999995</v>
      </c>
      <c r="AC10" s="4">
        <f t="shared" si="4"/>
        <v>4383.9179999999997</v>
      </c>
    </row>
    <row r="11" spans="2:29" outlineLevel="1" x14ac:dyDescent="0.25">
      <c r="B11" s="2" t="s">
        <v>223</v>
      </c>
      <c r="C11" s="6" t="s">
        <v>218</v>
      </c>
      <c r="D11" s="19">
        <v>10.600000000000001</v>
      </c>
      <c r="E11" s="19">
        <v>34.503999999999991</v>
      </c>
      <c r="F11" s="19">
        <v>-2.2620000000000005</v>
      </c>
      <c r="G11" s="19">
        <v>-17.133000000000003</v>
      </c>
      <c r="H11" s="19">
        <f>71.092-H12</f>
        <v>23.091999999999999</v>
      </c>
      <c r="I11" s="19">
        <v>-0.26400000000103319</v>
      </c>
      <c r="J11" s="19">
        <v>20.563000000000002</v>
      </c>
      <c r="K11" s="19">
        <v>-21.286000000000001</v>
      </c>
      <c r="L11" s="27">
        <v>20.887000000000171</v>
      </c>
      <c r="M11" s="46">
        <v>88.859000000000833</v>
      </c>
      <c r="N11" s="46">
        <v>72.382999999999356</v>
      </c>
      <c r="O11" s="46">
        <v>69.675999999999931</v>
      </c>
      <c r="P11" s="19">
        <f>532.422-P12</f>
        <v>93.124000000000024</v>
      </c>
      <c r="Q11" s="19">
        <v>3.3199999999998298</v>
      </c>
      <c r="R11" s="19">
        <v>46.559999999999548</v>
      </c>
      <c r="S11" s="19">
        <v>-10.888999999999555</v>
      </c>
      <c r="T11" s="19">
        <v>31.970000000000056</v>
      </c>
      <c r="U11" s="19">
        <v>27.354999999999734</v>
      </c>
      <c r="V11" s="19">
        <v>30.78600000000003</v>
      </c>
      <c r="W11" s="19">
        <v>43.822000000000003</v>
      </c>
      <c r="Y11" s="19">
        <f>SUM(D11:G11)</f>
        <v>25.708999999999989</v>
      </c>
      <c r="Z11" s="19">
        <f>SUM(H11:K11)</f>
        <v>22.104999999998967</v>
      </c>
      <c r="AA11" s="19">
        <f>SUM(L11:O11)</f>
        <v>251.80500000000029</v>
      </c>
      <c r="AB11" s="19">
        <f>SUM(P11:S11)</f>
        <v>132.11499999999984</v>
      </c>
      <c r="AC11" s="19">
        <f>SUM(T11:W11)</f>
        <v>133.93299999999982</v>
      </c>
    </row>
    <row r="12" spans="2:29" outlineLevel="1" x14ac:dyDescent="0.25">
      <c r="B12" s="2" t="s">
        <v>76</v>
      </c>
      <c r="C12" s="6" t="s">
        <v>218</v>
      </c>
      <c r="D12" s="19">
        <v>0</v>
      </c>
      <c r="E12" s="19">
        <v>0</v>
      </c>
      <c r="F12" s="19">
        <v>0</v>
      </c>
      <c r="G12" s="19">
        <v>0</v>
      </c>
      <c r="H12" s="19">
        <v>48</v>
      </c>
      <c r="I12" s="19">
        <v>0</v>
      </c>
      <c r="J12" s="19">
        <v>0</v>
      </c>
      <c r="K12" s="19">
        <v>84.492000000000004</v>
      </c>
      <c r="L12" s="19">
        <v>472.423</v>
      </c>
      <c r="M12" s="19">
        <v>80</v>
      </c>
      <c r="N12" s="19">
        <v>0</v>
      </c>
      <c r="O12" s="19">
        <v>16.957000000000001</v>
      </c>
      <c r="P12" s="19">
        <v>439.298</v>
      </c>
      <c r="Q12" s="19">
        <v>39.551000000000244</v>
      </c>
      <c r="R12" s="19">
        <v>40.777000000000001</v>
      </c>
      <c r="S12" s="19">
        <v>46.265000000000001</v>
      </c>
      <c r="T12" s="19">
        <v>32.79</v>
      </c>
      <c r="U12" s="19">
        <v>440</v>
      </c>
      <c r="V12" s="19">
        <v>47.260000000000005</v>
      </c>
      <c r="W12" s="19">
        <v>0</v>
      </c>
      <c r="Y12" s="19">
        <f>SUM(D12:G12)</f>
        <v>0</v>
      </c>
      <c r="Z12" s="19">
        <f>SUM(H12:K12)</f>
        <v>132.49200000000002</v>
      </c>
      <c r="AA12" s="19">
        <f>SUM(L12:O12)</f>
        <v>569.38</v>
      </c>
      <c r="AB12" s="19">
        <f>SUM(P12:S12)</f>
        <v>565.8910000000003</v>
      </c>
      <c r="AC12" s="19">
        <f>SUM(T12:W12)</f>
        <v>520.05000000000007</v>
      </c>
    </row>
    <row r="13" spans="2:29" outlineLevel="1" x14ac:dyDescent="0.25">
      <c r="B13" s="5" t="s">
        <v>224</v>
      </c>
      <c r="C13" s="3" t="s">
        <v>218</v>
      </c>
      <c r="D13" s="4">
        <v>330.05200000000002</v>
      </c>
      <c r="E13" s="4">
        <v>351.92599999999999</v>
      </c>
      <c r="F13" s="4">
        <v>365.387</v>
      </c>
      <c r="G13" s="4">
        <v>378.89800000000002</v>
      </c>
      <c r="H13" s="4">
        <v>403.13800000000003</v>
      </c>
      <c r="I13" s="4">
        <v>404.40800000000019</v>
      </c>
      <c r="J13" s="4">
        <v>427.62500000000023</v>
      </c>
      <c r="K13" s="4">
        <v>459.63900000000035</v>
      </c>
      <c r="L13" s="4">
        <v>477.13799999999992</v>
      </c>
      <c r="M13" s="4">
        <v>512.52800000000002</v>
      </c>
      <c r="N13" s="4">
        <v>545.28300000000013</v>
      </c>
      <c r="O13" s="4">
        <v>626.51300000000003</v>
      </c>
      <c r="P13" s="4">
        <v>753.76699999999994</v>
      </c>
      <c r="Q13" s="4">
        <v>791.84099999999989</v>
      </c>
      <c r="R13" s="4">
        <v>812.85899999999992</v>
      </c>
      <c r="S13" s="4">
        <v>891.58199999999988</v>
      </c>
      <c r="T13" s="4">
        <v>934.31299999999965</v>
      </c>
      <c r="U13" s="4">
        <v>992.8439999999996</v>
      </c>
      <c r="V13" s="4">
        <v>1048.8249999999996</v>
      </c>
      <c r="W13" s="4">
        <v>1114.1879999999996</v>
      </c>
      <c r="Y13" s="4">
        <f>G13</f>
        <v>378.89800000000002</v>
      </c>
      <c r="Z13" s="4">
        <f>K13</f>
        <v>459.63900000000035</v>
      </c>
      <c r="AA13" s="4">
        <f>O13</f>
        <v>626.51300000000003</v>
      </c>
      <c r="AB13" s="4">
        <f>S13</f>
        <v>891.58199999999988</v>
      </c>
      <c r="AC13" s="4">
        <f>W13</f>
        <v>1114.1879999999996</v>
      </c>
    </row>
    <row r="14" spans="2:29" outlineLevel="1" x14ac:dyDescent="0.25">
      <c r="B14" s="5" t="s">
        <v>222</v>
      </c>
      <c r="C14" s="3" t="s">
        <v>218</v>
      </c>
      <c r="D14" s="4">
        <v>1423.2850000000001</v>
      </c>
      <c r="E14" s="4">
        <f t="shared" ref="E14:W14" si="5">D14+SUM(E15:E16)</f>
        <v>1472.8030000000001</v>
      </c>
      <c r="F14" s="4">
        <f t="shared" si="5"/>
        <v>1563.8630000000001</v>
      </c>
      <c r="G14" s="4">
        <f t="shared" si="5"/>
        <v>1540.181</v>
      </c>
      <c r="H14" s="4">
        <f t="shared" si="5"/>
        <v>1604.6690000000001</v>
      </c>
      <c r="I14" s="4">
        <f t="shared" si="5"/>
        <v>1864.0340000000001</v>
      </c>
      <c r="J14" s="4">
        <f t="shared" si="5"/>
        <v>1880.5710000000001</v>
      </c>
      <c r="K14" s="4">
        <f t="shared" si="5"/>
        <v>1883.7850000000005</v>
      </c>
      <c r="L14" s="4">
        <f t="shared" si="5"/>
        <v>1952.5990000000002</v>
      </c>
      <c r="M14" s="4">
        <f t="shared" si="5"/>
        <v>2045.6850000000004</v>
      </c>
      <c r="N14" s="4">
        <f t="shared" si="5"/>
        <v>2474.5860000000007</v>
      </c>
      <c r="O14" s="4">
        <f t="shared" si="5"/>
        <v>2551.2290000000012</v>
      </c>
      <c r="P14" s="4">
        <f t="shared" si="5"/>
        <v>2562.8010000000008</v>
      </c>
      <c r="Q14" s="4">
        <f t="shared" si="5"/>
        <v>2569.5210000000002</v>
      </c>
      <c r="R14" s="4">
        <f t="shared" si="5"/>
        <v>2599.8229999999999</v>
      </c>
      <c r="S14" s="4">
        <f t="shared" si="5"/>
        <v>2723.0400000000004</v>
      </c>
      <c r="T14" s="4">
        <f t="shared" si="5"/>
        <v>2818.6020000000003</v>
      </c>
      <c r="U14" s="4">
        <f t="shared" si="5"/>
        <v>2913.6040000000003</v>
      </c>
      <c r="V14" s="4">
        <f t="shared" si="5"/>
        <v>3269.7599999999989</v>
      </c>
      <c r="W14" s="4">
        <f t="shared" si="5"/>
        <v>3278.2899999999981</v>
      </c>
      <c r="Y14" s="4">
        <f>G14</f>
        <v>1540.181</v>
      </c>
      <c r="Z14" s="4">
        <f t="shared" ref="Z14" si="6">Y14+SUM(Z15:Z15)</f>
        <v>1883.7850000000003</v>
      </c>
      <c r="AA14" s="4">
        <f>Z14+SUM(AA15:AA16)</f>
        <v>2551.2290000000012</v>
      </c>
      <c r="AB14" s="4">
        <f>AA14+SUM(AB15:AB16)</f>
        <v>2723.0400000000004</v>
      </c>
      <c r="AC14" s="4">
        <f>AB14+SUM(AC15:AC16)</f>
        <v>3278.2899999999981</v>
      </c>
    </row>
    <row r="15" spans="2:29" outlineLevel="1" x14ac:dyDescent="0.25">
      <c r="B15" s="2" t="s">
        <v>223</v>
      </c>
      <c r="C15" s="6" t="s">
        <v>218</v>
      </c>
      <c r="D15" s="19">
        <v>240.99600000000004</v>
      </c>
      <c r="E15" s="19">
        <v>49.517999999999986</v>
      </c>
      <c r="F15" s="19">
        <v>91.059999999999974</v>
      </c>
      <c r="G15" s="19">
        <v>-23.681999999999974</v>
      </c>
      <c r="H15" s="19">
        <v>64.488</v>
      </c>
      <c r="I15" s="19">
        <v>259.36500000000001</v>
      </c>
      <c r="J15" s="19">
        <v>16.536999999999992</v>
      </c>
      <c r="K15" s="19">
        <v>3.2140000000003965</v>
      </c>
      <c r="L15" s="19">
        <v>68.813999999999623</v>
      </c>
      <c r="M15" s="19">
        <v>93.08600000000024</v>
      </c>
      <c r="N15" s="19">
        <v>70.792000000000371</v>
      </c>
      <c r="O15" s="19">
        <v>76.643000000000484</v>
      </c>
      <c r="P15" s="19">
        <f>11.5719999999997-P16</f>
        <v>-0.64800000000029812</v>
      </c>
      <c r="Q15" s="19">
        <v>6.7199999999993452</v>
      </c>
      <c r="R15" s="19">
        <v>30.301999999999595</v>
      </c>
      <c r="S15" s="19">
        <v>123.21700000000061</v>
      </c>
      <c r="T15" s="19">
        <v>95.562000000000012</v>
      </c>
      <c r="U15" s="19">
        <v>95.001999999999967</v>
      </c>
      <c r="V15" s="19">
        <v>356.1559999999987</v>
      </c>
      <c r="W15" s="19">
        <v>8.5299999999990632</v>
      </c>
      <c r="Y15" s="19">
        <f>SUM(D15:G15)</f>
        <v>357.892</v>
      </c>
      <c r="Z15" s="19">
        <f>SUM(H15:K15)</f>
        <v>343.60400000000038</v>
      </c>
      <c r="AA15" s="19">
        <f>SUM(L15:O15)</f>
        <v>309.33500000000072</v>
      </c>
      <c r="AB15" s="19">
        <f>SUM(P15:S15)</f>
        <v>159.59099999999927</v>
      </c>
      <c r="AC15" s="19">
        <f t="shared" ref="AC15:AC16" si="7">SUM(T15:W15)</f>
        <v>555.24999999999773</v>
      </c>
    </row>
    <row r="16" spans="2:29" outlineLevel="1" x14ac:dyDescent="0.25">
      <c r="B16" s="2" t="s">
        <v>76</v>
      </c>
      <c r="C16" s="6" t="s">
        <v>218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358.10899999999998</v>
      </c>
      <c r="O16" s="19">
        <v>0</v>
      </c>
      <c r="P16" s="19">
        <v>12.219999999999999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Y16" s="19">
        <v>0</v>
      </c>
      <c r="Z16" s="19">
        <v>0</v>
      </c>
      <c r="AA16" s="19">
        <f>SUM(L16:O16)</f>
        <v>358.10899999999998</v>
      </c>
      <c r="AB16" s="19">
        <f>SUM(P16:S16)</f>
        <v>12.219999999999999</v>
      </c>
      <c r="AC16" s="19">
        <f t="shared" si="7"/>
        <v>0</v>
      </c>
    </row>
    <row r="17" spans="2:29" outlineLevel="1" x14ac:dyDescent="0.25">
      <c r="B17" s="3" t="s">
        <v>212</v>
      </c>
      <c r="C17" s="3" t="s">
        <v>14</v>
      </c>
      <c r="D17" s="38">
        <v>0.56947684105298235</v>
      </c>
      <c r="E17" s="38">
        <v>0.55200000000000005</v>
      </c>
      <c r="F17" s="38">
        <v>0.59199999999999997</v>
      </c>
      <c r="G17" s="38">
        <v>0.6</v>
      </c>
      <c r="H17" s="38">
        <v>0.61399999999999999</v>
      </c>
      <c r="I17" s="38">
        <v>0.66100000000000003</v>
      </c>
      <c r="J17" s="38">
        <v>0.69299999999999995</v>
      </c>
      <c r="K17" s="38">
        <v>0.71699999999999997</v>
      </c>
      <c r="L17" s="38">
        <v>0.71899999999999997</v>
      </c>
      <c r="M17" s="38">
        <v>0.71127541589648802</v>
      </c>
      <c r="N17" s="38">
        <v>0.72399999999999998</v>
      </c>
      <c r="O17" s="38">
        <v>0.73299999999999998</v>
      </c>
      <c r="P17" s="38">
        <v>0.65206017004578154</v>
      </c>
      <c r="Q17" s="38">
        <v>0.66309084813945696</v>
      </c>
      <c r="R17" s="38">
        <v>0.58634350967140525</v>
      </c>
      <c r="S17" s="38">
        <v>0.63244402096236307</v>
      </c>
      <c r="T17" s="38">
        <v>0.66561971490698235</v>
      </c>
      <c r="U17" s="38">
        <v>0.67200000000000004</v>
      </c>
      <c r="V17" s="38">
        <v>0.67700000000000005</v>
      </c>
      <c r="W17" s="38">
        <v>0.68100000000000005</v>
      </c>
      <c r="Y17" s="38">
        <f>G17</f>
        <v>0.6</v>
      </c>
      <c r="Z17" s="38">
        <f>K17</f>
        <v>0.71699999999999997</v>
      </c>
      <c r="AA17" s="38">
        <f>O17</f>
        <v>0.73299999999999998</v>
      </c>
      <c r="AB17" s="38">
        <f>S17</f>
        <v>0.63244402096236307</v>
      </c>
      <c r="AC17" s="38">
        <f>W17</f>
        <v>0.68100000000000005</v>
      </c>
    </row>
    <row r="18" spans="2:29" ht="9.9499999999999993" customHeight="1" outlineLevel="1" x14ac:dyDescent="0.25"/>
    <row r="19" spans="2:29" outlineLevel="1" x14ac:dyDescent="0.25">
      <c r="B19" s="3" t="s">
        <v>227</v>
      </c>
      <c r="C19" s="3" t="s">
        <v>218</v>
      </c>
      <c r="D19" s="4">
        <v>2025.2103333333332</v>
      </c>
      <c r="E19" s="4">
        <v>2061.5576666666666</v>
      </c>
      <c r="F19" s="4">
        <v>2070.572666666666</v>
      </c>
      <c r="G19" s="4">
        <v>2048.023999999999</v>
      </c>
      <c r="H19" s="4">
        <v>2087.213666666667</v>
      </c>
      <c r="I19" s="4">
        <v>2114.8406666666665</v>
      </c>
      <c r="J19" s="4">
        <v>2139.4359999999992</v>
      </c>
      <c r="K19" s="4">
        <v>2218.5233333333326</v>
      </c>
      <c r="L19" s="4">
        <v>2670.663</v>
      </c>
      <c r="M19" s="4">
        <v>2771.0033333333336</v>
      </c>
      <c r="N19" s="4">
        <v>2901.6246666666666</v>
      </c>
      <c r="O19" s="4">
        <v>2993.3973333333329</v>
      </c>
      <c r="P19" s="4">
        <v>3425.6113333333328</v>
      </c>
      <c r="Q19" s="4">
        <v>3597.5043333333338</v>
      </c>
      <c r="R19" s="4">
        <v>3620.130333333334</v>
      </c>
      <c r="S19" s="4">
        <v>3667.9236666666675</v>
      </c>
      <c r="T19" s="4">
        <v>3732.2686666666673</v>
      </c>
      <c r="U19" s="4">
        <v>4226.1563333333334</v>
      </c>
      <c r="V19" s="4">
        <v>4250.4946666666665</v>
      </c>
      <c r="W19" s="4">
        <v>4334.1280000000006</v>
      </c>
      <c r="Y19" s="4">
        <f>AVERAGE(D19:G19)</f>
        <v>2051.3411666666661</v>
      </c>
      <c r="Z19" s="4">
        <f>AVERAGE(H19:K19)</f>
        <v>2140.0034166666665</v>
      </c>
      <c r="AA19" s="4">
        <f>AVERAGE(L19:O19)</f>
        <v>2834.1720833333334</v>
      </c>
      <c r="AB19" s="4">
        <f>AVERAGE(P19:S19)</f>
        <v>3577.7924166666671</v>
      </c>
      <c r="AC19" s="4">
        <f>AVERAGE(T19:W19)</f>
        <v>4135.7619166666673</v>
      </c>
    </row>
    <row r="20" spans="2:29" outlineLevel="1" x14ac:dyDescent="0.25">
      <c r="B20" s="3" t="s">
        <v>225</v>
      </c>
      <c r="C20" s="3" t="s">
        <v>13</v>
      </c>
      <c r="D20" s="4">
        <f t="shared" ref="D20:W20" si="8">D41/(D19*3)*1000</f>
        <v>184.04294138337238</v>
      </c>
      <c r="E20" s="4">
        <f t="shared" si="8"/>
        <v>188.20736359060535</v>
      </c>
      <c r="F20" s="4">
        <f t="shared" si="8"/>
        <v>192.1159331444216</v>
      </c>
      <c r="G20" s="4">
        <f t="shared" si="8"/>
        <v>200.35898016820127</v>
      </c>
      <c r="H20" s="4">
        <f t="shared" si="8"/>
        <v>203.49314181378327</v>
      </c>
      <c r="I20" s="4">
        <f t="shared" si="8"/>
        <v>209.26257328763302</v>
      </c>
      <c r="J20" s="4">
        <f t="shared" si="8"/>
        <v>214.07199529844948</v>
      </c>
      <c r="K20" s="4">
        <f t="shared" si="8"/>
        <v>216.87173299957786</v>
      </c>
      <c r="L20" s="4">
        <f t="shared" si="8"/>
        <v>213.53648887935316</v>
      </c>
      <c r="M20" s="4">
        <f t="shared" si="8"/>
        <v>217.67987768569989</v>
      </c>
      <c r="N20" s="4">
        <f t="shared" si="8"/>
        <v>220.70060979630489</v>
      </c>
      <c r="O20" s="4">
        <f t="shared" si="8"/>
        <v>227.23935078448213</v>
      </c>
      <c r="P20" s="4">
        <f t="shared" si="8"/>
        <v>223.6882487349703</v>
      </c>
      <c r="Q20" s="4">
        <f t="shared" si="8"/>
        <v>226.7910170689625</v>
      </c>
      <c r="R20" s="4">
        <f t="shared" si="8"/>
        <v>229.11523167075657</v>
      </c>
      <c r="S20" s="4">
        <f t="shared" si="8"/>
        <v>233.87791330808312</v>
      </c>
      <c r="T20" s="4">
        <f t="shared" si="8"/>
        <v>234.80446120081024</v>
      </c>
      <c r="U20" s="4">
        <f t="shared" si="8"/>
        <v>226.3393947644625</v>
      </c>
      <c r="V20" s="4">
        <f t="shared" si="8"/>
        <v>226.67087219024862</v>
      </c>
      <c r="W20" s="4">
        <f t="shared" si="8"/>
        <v>224.55243592252003</v>
      </c>
      <c r="Y20" s="4">
        <f>Y41/(Y19*12)*1000</f>
        <v>191.19881488915345</v>
      </c>
      <c r="Z20" s="4">
        <f>Z41/(Z19*12)*1000</f>
        <v>211.02992008462914</v>
      </c>
      <c r="AA20" s="4">
        <f>AA41/(AA19*12)*1000</f>
        <v>220.00107909232165</v>
      </c>
      <c r="AB20" s="4">
        <f>AB41/(AB19*12)*1000</f>
        <v>228.45260563258404</v>
      </c>
      <c r="AC20" s="4">
        <f>AC41/(AC19*12)*1000</f>
        <v>227.86619547309124</v>
      </c>
    </row>
    <row r="21" spans="2:29" ht="9.9499999999999993" customHeight="1" outlineLevel="1" x14ac:dyDescent="0.25"/>
    <row r="22" spans="2:29" outlineLevel="1" x14ac:dyDescent="0.25">
      <c r="B22" s="3" t="s">
        <v>228</v>
      </c>
      <c r="C22" s="3" t="s">
        <v>218</v>
      </c>
      <c r="D22" s="4">
        <v>1316.5473333333332</v>
      </c>
      <c r="E22" s="4">
        <v>1460.4786666666669</v>
      </c>
      <c r="F22" s="4">
        <v>1517.2533333333333</v>
      </c>
      <c r="G22" s="4">
        <v>1525.6330000000005</v>
      </c>
      <c r="H22" s="4">
        <v>1559.7306666666666</v>
      </c>
      <c r="I22" s="4">
        <v>1686.7966666666669</v>
      </c>
      <c r="J22" s="4">
        <v>1858.5310000000002</v>
      </c>
      <c r="K22" s="4">
        <v>1880.5936666666669</v>
      </c>
      <c r="L22" s="4">
        <v>1905.8813333333335</v>
      </c>
      <c r="M22" s="4">
        <v>2014.9733333333336</v>
      </c>
      <c r="N22" s="4">
        <v>2444.4340000000007</v>
      </c>
      <c r="O22" s="4">
        <v>2514.2046666666679</v>
      </c>
      <c r="P22" s="4">
        <v>2540.5500000000011</v>
      </c>
      <c r="Q22" s="4">
        <v>2564.5676666666673</v>
      </c>
      <c r="R22" s="4">
        <v>2556.503666666666</v>
      </c>
      <c r="S22" s="4">
        <v>2655.0743333333335</v>
      </c>
      <c r="T22" s="4">
        <v>2758.3716666666674</v>
      </c>
      <c r="U22" s="4">
        <v>2797.7423333333336</v>
      </c>
      <c r="V22" s="4">
        <v>3088.0856666666664</v>
      </c>
      <c r="W22" s="4">
        <v>3285.3053333333323</v>
      </c>
      <c r="Y22" s="4">
        <f>AVERAGE(D22:G22)</f>
        <v>1454.9780833333334</v>
      </c>
      <c r="Z22" s="4">
        <f>AVERAGE(H22:K22)</f>
        <v>1746.413</v>
      </c>
      <c r="AA22" s="4">
        <f>AVERAGE(L22:O22)</f>
        <v>2219.8733333333339</v>
      </c>
      <c r="AB22" s="4">
        <f>AVERAGE(P22:S22)</f>
        <v>2579.1739166666671</v>
      </c>
      <c r="AC22" s="4">
        <f>AVERAGE(T22:W22)</f>
        <v>2982.3762499999998</v>
      </c>
    </row>
    <row r="23" spans="2:29" outlineLevel="1" x14ac:dyDescent="0.25">
      <c r="B23" s="3" t="s">
        <v>226</v>
      </c>
      <c r="C23" s="3" t="s">
        <v>13</v>
      </c>
      <c r="D23" s="4">
        <f t="shared" ref="D23:W23" si="9">D42/(D22*3)*1000</f>
        <v>11.172911367663195</v>
      </c>
      <c r="E23" s="4">
        <f t="shared" si="9"/>
        <v>10.778429720301745</v>
      </c>
      <c r="F23" s="4">
        <f t="shared" si="9"/>
        <v>10.621166318083555</v>
      </c>
      <c r="G23" s="4">
        <f t="shared" si="9"/>
        <v>10.410323671114433</v>
      </c>
      <c r="H23" s="4">
        <f t="shared" si="9"/>
        <v>11.259208854862122</v>
      </c>
      <c r="I23" s="4">
        <f t="shared" si="9"/>
        <v>10.164038740097105</v>
      </c>
      <c r="J23" s="4">
        <f t="shared" si="9"/>
        <v>9.5385369771430568</v>
      </c>
      <c r="K23" s="4">
        <f t="shared" si="9"/>
        <v>9.4638554740072305</v>
      </c>
      <c r="L23" s="4">
        <f t="shared" si="9"/>
        <v>9.4949947915609982</v>
      </c>
      <c r="M23" s="4">
        <f t="shared" si="9"/>
        <v>9.6838336983781392</v>
      </c>
      <c r="N23" s="4">
        <f t="shared" si="9"/>
        <v>9.7396779786240906</v>
      </c>
      <c r="O23" s="4">
        <f t="shared" si="9"/>
        <v>10.071442075651753</v>
      </c>
      <c r="P23" s="4">
        <f t="shared" si="9"/>
        <v>9.8785696010706285</v>
      </c>
      <c r="Q23" s="4">
        <f t="shared" si="9"/>
        <v>9.8783381682396616</v>
      </c>
      <c r="R23" s="4">
        <f t="shared" si="9"/>
        <v>9.7003576890365011</v>
      </c>
      <c r="S23" s="4">
        <f t="shared" si="9"/>
        <v>9.4253481666489449</v>
      </c>
      <c r="T23" s="4">
        <f t="shared" si="9"/>
        <v>10.44299686469614</v>
      </c>
      <c r="U23" s="4">
        <f t="shared" si="9"/>
        <v>9.4186657884982736</v>
      </c>
      <c r="V23" s="4">
        <f t="shared" si="9"/>
        <v>8.589679668860656</v>
      </c>
      <c r="W23" s="4">
        <f t="shared" si="9"/>
        <v>8.4129166685268046</v>
      </c>
      <c r="Y23" s="4">
        <f>Y42/(Y22*12)*1000</f>
        <v>10.730173083363168</v>
      </c>
      <c r="Z23" s="4">
        <f>Z42/(Z22*12)*1000</f>
        <v>10.053654738789355</v>
      </c>
      <c r="AA23" s="4">
        <f>AA42/(AA22*12)*1000</f>
        <v>9.7684252254633126</v>
      </c>
      <c r="AB23" s="4">
        <f>AB42/(AB22*12)*1000</f>
        <v>9.7177109712163308</v>
      </c>
      <c r="AC23" s="4">
        <f>AC42/(AC22*12)*1000</f>
        <v>9.1639454724511467</v>
      </c>
    </row>
    <row r="24" spans="2:29" ht="9.9499999999999993" customHeight="1" outlineLevel="1" x14ac:dyDescent="0.25"/>
    <row r="25" spans="2:29" outlineLevel="1" x14ac:dyDescent="0.25">
      <c r="B25" s="3" t="s">
        <v>362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Y25" s="3"/>
      <c r="Z25" s="3"/>
      <c r="AA25" s="3"/>
      <c r="AB25" s="3"/>
      <c r="AC25" s="3"/>
    </row>
    <row r="26" spans="2:29" outlineLevel="1" x14ac:dyDescent="0.25">
      <c r="B26" s="1" t="s">
        <v>43</v>
      </c>
      <c r="C26" s="6" t="s">
        <v>12</v>
      </c>
      <c r="D26" s="15">
        <v>13</v>
      </c>
      <c r="E26" s="15">
        <v>16</v>
      </c>
      <c r="F26" s="15">
        <v>17</v>
      </c>
      <c r="G26" s="16">
        <v>17</v>
      </c>
      <c r="H26" s="16">
        <v>18</v>
      </c>
      <c r="I26" s="16">
        <v>18</v>
      </c>
      <c r="J26" s="16">
        <v>17</v>
      </c>
      <c r="K26" s="16">
        <v>18</v>
      </c>
      <c r="L26" s="16">
        <v>19</v>
      </c>
      <c r="M26" s="16">
        <v>21</v>
      </c>
      <c r="N26" s="16">
        <v>21</v>
      </c>
      <c r="O26" s="16">
        <v>20</v>
      </c>
      <c r="P26" s="16">
        <v>23</v>
      </c>
      <c r="Q26" s="16">
        <v>24</v>
      </c>
      <c r="R26" s="16">
        <v>26</v>
      </c>
      <c r="S26" s="16">
        <v>27</v>
      </c>
      <c r="T26" s="16">
        <v>29</v>
      </c>
      <c r="U26" s="16">
        <v>31</v>
      </c>
      <c r="V26" s="16">
        <v>34</v>
      </c>
      <c r="W26" s="16">
        <v>35</v>
      </c>
      <c r="Y26" s="16">
        <f t="shared" ref="Y26:Y31" si="10">G26</f>
        <v>17</v>
      </c>
      <c r="Z26" s="16">
        <f t="shared" ref="Z26:Z31" si="11">K26</f>
        <v>18</v>
      </c>
      <c r="AA26" s="16">
        <f t="shared" ref="AA26:AA31" si="12">O26</f>
        <v>20</v>
      </c>
      <c r="AB26" s="16">
        <f t="shared" ref="AB26:AB31" si="13">S26</f>
        <v>27</v>
      </c>
      <c r="AC26" s="16">
        <f>W26</f>
        <v>35</v>
      </c>
    </row>
    <row r="27" spans="2:29" outlineLevel="1" x14ac:dyDescent="0.25">
      <c r="B27" s="1" t="s">
        <v>44</v>
      </c>
      <c r="C27" s="6" t="s">
        <v>12</v>
      </c>
      <c r="D27" s="16">
        <v>1275</v>
      </c>
      <c r="E27" s="16">
        <f>F27-75</f>
        <v>1632</v>
      </c>
      <c r="F27" s="16">
        <f>G27</f>
        <v>1707</v>
      </c>
      <c r="G27" s="16">
        <f>H27-154</f>
        <v>1707</v>
      </c>
      <c r="H27" s="16">
        <v>1861</v>
      </c>
      <c r="I27" s="16">
        <v>1854</v>
      </c>
      <c r="J27" s="16">
        <v>1791</v>
      </c>
      <c r="K27" s="16">
        <v>1888</v>
      </c>
      <c r="L27" s="16">
        <v>2436</v>
      </c>
      <c r="M27" s="16">
        <v>2659</v>
      </c>
      <c r="N27" s="16">
        <v>2659</v>
      </c>
      <c r="O27" s="16">
        <v>2489</v>
      </c>
      <c r="P27" s="16">
        <v>2702</v>
      </c>
      <c r="Q27" s="16">
        <v>2827</v>
      </c>
      <c r="R27" s="16">
        <v>3092</v>
      </c>
      <c r="S27" s="16">
        <v>3122</v>
      </c>
      <c r="T27" s="16">
        <v>3448</v>
      </c>
      <c r="U27" s="16">
        <v>3696</v>
      </c>
      <c r="V27" s="16">
        <v>3899</v>
      </c>
      <c r="W27" s="16">
        <v>4086</v>
      </c>
      <c r="Y27" s="16">
        <f t="shared" si="10"/>
        <v>1707</v>
      </c>
      <c r="Z27" s="16">
        <f t="shared" si="11"/>
        <v>1888</v>
      </c>
      <c r="AA27" s="16">
        <f t="shared" si="12"/>
        <v>2489</v>
      </c>
      <c r="AB27" s="16">
        <f t="shared" si="13"/>
        <v>3122</v>
      </c>
      <c r="AC27" s="16">
        <f t="shared" ref="AC27:AC31" si="14">W27</f>
        <v>4086</v>
      </c>
    </row>
    <row r="28" spans="2:29" outlineLevel="1" x14ac:dyDescent="0.25">
      <c r="B28" s="2" t="s">
        <v>363</v>
      </c>
      <c r="C28" s="6" t="s">
        <v>14</v>
      </c>
      <c r="D28" s="35">
        <v>0.77354528252835086</v>
      </c>
      <c r="E28" s="35">
        <v>0.78660865383461942</v>
      </c>
      <c r="F28" s="35">
        <v>0.76986478219472554</v>
      </c>
      <c r="G28" s="35">
        <v>0.77719516651820164</v>
      </c>
      <c r="H28" s="35">
        <v>0.79587172146798169</v>
      </c>
      <c r="I28" s="35">
        <v>0.8463755238887305</v>
      </c>
      <c r="J28" s="35">
        <v>0.76742413063794201</v>
      </c>
      <c r="K28" s="35">
        <v>0.76200000000000001</v>
      </c>
      <c r="L28" s="35">
        <v>0.8</v>
      </c>
      <c r="M28" s="35">
        <v>0.81299999999999994</v>
      </c>
      <c r="N28" s="35">
        <v>0.77974717114568604</v>
      </c>
      <c r="O28" s="35">
        <v>0.80900000000000005</v>
      </c>
      <c r="P28" s="35">
        <v>0.79</v>
      </c>
      <c r="Q28" s="35">
        <v>0.57520000000000004</v>
      </c>
      <c r="R28" s="35">
        <v>0.78</v>
      </c>
      <c r="S28" s="35">
        <v>0.8</v>
      </c>
      <c r="T28" s="35">
        <v>0.82</v>
      </c>
      <c r="U28" s="35">
        <v>0.84</v>
      </c>
      <c r="V28" s="35">
        <v>0.78</v>
      </c>
      <c r="W28" s="35">
        <v>0.78</v>
      </c>
      <c r="Y28" s="35">
        <f t="shared" si="10"/>
        <v>0.77719516651820164</v>
      </c>
      <c r="Z28" s="35">
        <f t="shared" si="11"/>
        <v>0.76200000000000001</v>
      </c>
      <c r="AA28" s="35">
        <f t="shared" si="12"/>
        <v>0.80900000000000005</v>
      </c>
      <c r="AB28" s="35">
        <f t="shared" si="13"/>
        <v>0.8</v>
      </c>
      <c r="AC28" s="35">
        <f t="shared" si="14"/>
        <v>0.78</v>
      </c>
    </row>
    <row r="29" spans="2:29" outlineLevel="1" x14ac:dyDescent="0.25">
      <c r="B29" s="1" t="s">
        <v>233</v>
      </c>
      <c r="C29" s="6" t="s">
        <v>12</v>
      </c>
      <c r="D29" s="16">
        <v>65</v>
      </c>
      <c r="E29" s="16">
        <v>66</v>
      </c>
      <c r="F29" s="16">
        <v>65</v>
      </c>
      <c r="G29" s="16">
        <v>64</v>
      </c>
      <c r="H29" s="16">
        <v>67</v>
      </c>
      <c r="I29" s="16">
        <v>66</v>
      </c>
      <c r="J29" s="16">
        <v>64</v>
      </c>
      <c r="K29" s="16">
        <v>67</v>
      </c>
      <c r="L29" s="16">
        <v>77</v>
      </c>
      <c r="M29" s="16">
        <v>75</v>
      </c>
      <c r="N29" s="16">
        <v>75</v>
      </c>
      <c r="O29" s="16">
        <v>73</v>
      </c>
      <c r="P29" s="16">
        <v>87</v>
      </c>
      <c r="Q29" s="16">
        <v>87</v>
      </c>
      <c r="R29" s="16">
        <v>89</v>
      </c>
      <c r="S29" s="16">
        <v>88</v>
      </c>
      <c r="T29" s="16">
        <v>88</v>
      </c>
      <c r="U29" s="16">
        <v>88</v>
      </c>
      <c r="V29" s="16">
        <v>87</v>
      </c>
      <c r="W29" s="16">
        <v>86</v>
      </c>
      <c r="Y29" s="16">
        <f t="shared" si="10"/>
        <v>64</v>
      </c>
      <c r="Z29" s="16">
        <f t="shared" si="11"/>
        <v>67</v>
      </c>
      <c r="AA29" s="16">
        <f t="shared" si="12"/>
        <v>73</v>
      </c>
      <c r="AB29" s="16">
        <f t="shared" si="13"/>
        <v>88</v>
      </c>
      <c r="AC29" s="16">
        <f t="shared" si="14"/>
        <v>86</v>
      </c>
    </row>
    <row r="30" spans="2:29" outlineLevel="1" x14ac:dyDescent="0.25">
      <c r="B30" s="1" t="s">
        <v>234</v>
      </c>
      <c r="C30" s="6" t="s">
        <v>12</v>
      </c>
      <c r="D30" s="16">
        <v>17</v>
      </c>
      <c r="E30" s="16">
        <v>19</v>
      </c>
      <c r="F30" s="16">
        <v>20</v>
      </c>
      <c r="G30" s="16">
        <v>21</v>
      </c>
      <c r="H30" s="16">
        <v>23</v>
      </c>
      <c r="I30" s="16">
        <v>24</v>
      </c>
      <c r="J30" s="16">
        <v>24</v>
      </c>
      <c r="K30" s="16">
        <v>26</v>
      </c>
      <c r="L30" s="16">
        <v>36</v>
      </c>
      <c r="M30" s="16">
        <v>20</v>
      </c>
      <c r="N30" s="16">
        <v>20</v>
      </c>
      <c r="O30" s="16">
        <v>20</v>
      </c>
      <c r="P30" s="16">
        <v>23</v>
      </c>
      <c r="Q30" s="16">
        <v>23</v>
      </c>
      <c r="R30" s="16">
        <v>23</v>
      </c>
      <c r="S30" s="16">
        <v>23</v>
      </c>
      <c r="T30" s="16">
        <v>23</v>
      </c>
      <c r="U30" s="16">
        <v>25</v>
      </c>
      <c r="V30" s="16">
        <v>25</v>
      </c>
      <c r="W30" s="16">
        <v>26</v>
      </c>
      <c r="Y30" s="16">
        <f t="shared" si="10"/>
        <v>21</v>
      </c>
      <c r="Z30" s="16">
        <f t="shared" si="11"/>
        <v>26</v>
      </c>
      <c r="AA30" s="16">
        <f t="shared" si="12"/>
        <v>20</v>
      </c>
      <c r="AB30" s="16">
        <f t="shared" si="13"/>
        <v>23</v>
      </c>
      <c r="AC30" s="16">
        <f t="shared" si="14"/>
        <v>26</v>
      </c>
    </row>
    <row r="31" spans="2:29" outlineLevel="1" x14ac:dyDescent="0.25">
      <c r="B31" s="1" t="s">
        <v>364</v>
      </c>
      <c r="C31" s="6" t="s">
        <v>12</v>
      </c>
      <c r="D31" s="16">
        <v>9</v>
      </c>
      <c r="E31" s="16">
        <v>9</v>
      </c>
      <c r="F31" s="16">
        <v>9</v>
      </c>
      <c r="G31" s="16">
        <v>10</v>
      </c>
      <c r="H31" s="16">
        <v>10</v>
      </c>
      <c r="I31" s="16">
        <v>10</v>
      </c>
      <c r="J31" s="16">
        <v>10</v>
      </c>
      <c r="K31" s="16">
        <v>10</v>
      </c>
      <c r="L31" s="16">
        <v>10</v>
      </c>
      <c r="M31" s="16">
        <v>10</v>
      </c>
      <c r="N31" s="16">
        <v>10</v>
      </c>
      <c r="O31" s="16">
        <v>11</v>
      </c>
      <c r="P31" s="16">
        <v>14</v>
      </c>
      <c r="Q31" s="16">
        <v>14</v>
      </c>
      <c r="R31" s="16">
        <v>17</v>
      </c>
      <c r="S31" s="16">
        <v>14</v>
      </c>
      <c r="T31" s="16">
        <v>15</v>
      </c>
      <c r="U31" s="16">
        <v>17</v>
      </c>
      <c r="V31" s="16">
        <v>17</v>
      </c>
      <c r="W31" s="16">
        <v>17</v>
      </c>
      <c r="Y31" s="16">
        <f t="shared" si="10"/>
        <v>10</v>
      </c>
      <c r="Z31" s="16">
        <f t="shared" si="11"/>
        <v>10</v>
      </c>
      <c r="AA31" s="16">
        <f t="shared" si="12"/>
        <v>11</v>
      </c>
      <c r="AB31" s="16">
        <f t="shared" si="13"/>
        <v>14</v>
      </c>
      <c r="AC31" s="16">
        <f t="shared" si="14"/>
        <v>17</v>
      </c>
    </row>
    <row r="32" spans="2:29" outlineLevel="1" x14ac:dyDescent="0.25">
      <c r="B32" s="1" t="s">
        <v>602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2</v>
      </c>
      <c r="O32" s="16">
        <v>2</v>
      </c>
      <c r="P32" s="16">
        <v>2</v>
      </c>
      <c r="Q32" s="16">
        <v>2</v>
      </c>
      <c r="R32" s="16">
        <v>2</v>
      </c>
      <c r="S32" s="16">
        <v>2</v>
      </c>
      <c r="T32" s="16">
        <v>2</v>
      </c>
      <c r="U32" s="16">
        <v>2</v>
      </c>
      <c r="V32" s="16">
        <v>3</v>
      </c>
      <c r="W32" s="16">
        <v>3</v>
      </c>
      <c r="Y32" s="16"/>
      <c r="Z32" s="16"/>
      <c r="AA32" s="16"/>
      <c r="AB32" s="16"/>
      <c r="AC32" s="16"/>
    </row>
    <row r="33" spans="2:29" ht="9.9499999999999993" customHeight="1" outlineLevel="1" x14ac:dyDescent="0.25"/>
    <row r="34" spans="2:29" outlineLevel="1" x14ac:dyDescent="0.25">
      <c r="B34" s="3" t="s">
        <v>232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Y34" s="3"/>
      <c r="Z34" s="3"/>
      <c r="AA34" s="3"/>
      <c r="AB34" s="3"/>
      <c r="AC34" s="3"/>
    </row>
    <row r="35" spans="2:29" outlineLevel="1" x14ac:dyDescent="0.25">
      <c r="B35" s="1" t="s">
        <v>229</v>
      </c>
      <c r="C35" s="6" t="s">
        <v>14</v>
      </c>
      <c r="D35" s="47">
        <v>0.53208713537640095</v>
      </c>
      <c r="E35" s="47">
        <v>0.55265696615441262</v>
      </c>
      <c r="F35" s="47">
        <v>0.58864367695915976</v>
      </c>
      <c r="G35" s="47">
        <v>0.59016088263399802</v>
      </c>
      <c r="H35" s="47">
        <v>0.57554906270553852</v>
      </c>
      <c r="I35" s="47">
        <v>0.57838492785553219</v>
      </c>
      <c r="J35" s="47">
        <v>0.59485520498695144</v>
      </c>
      <c r="K35" s="47">
        <v>0.61135832832344972</v>
      </c>
      <c r="L35" s="47">
        <v>0.63336382742144481</v>
      </c>
      <c r="M35" s="47">
        <v>0.66</v>
      </c>
      <c r="N35" s="47">
        <v>0.68023782758880602</v>
      </c>
      <c r="O35" s="47">
        <v>0.70392053995670889</v>
      </c>
      <c r="P35" s="47">
        <v>0.68136164815273736</v>
      </c>
      <c r="Q35" s="47">
        <v>0.72243123800729248</v>
      </c>
      <c r="R35" s="47">
        <v>0.69475755160891683</v>
      </c>
      <c r="S35" s="47">
        <v>0.68749363414710385</v>
      </c>
      <c r="T35" s="47">
        <v>0.66490733821179793</v>
      </c>
      <c r="U35" s="47">
        <v>0.6615841947356278</v>
      </c>
      <c r="V35" s="47">
        <v>0.6615841947356278</v>
      </c>
      <c r="W35" s="47">
        <v>0.66802293688990921</v>
      </c>
      <c r="Y35" s="39">
        <f>G35</f>
        <v>0.59016088263399802</v>
      </c>
      <c r="Z35" s="39">
        <f>K35</f>
        <v>0.61135832832344972</v>
      </c>
      <c r="AA35" s="39">
        <f>O35</f>
        <v>0.70392053995670889</v>
      </c>
      <c r="AB35" s="39">
        <f>S35</f>
        <v>0.68749363414710385</v>
      </c>
      <c r="AC35" s="39">
        <f t="shared" ref="AC35:AC37" si="15">W35</f>
        <v>0.66802293688990921</v>
      </c>
    </row>
    <row r="36" spans="2:29" outlineLevel="1" x14ac:dyDescent="0.25">
      <c r="B36" s="2" t="s">
        <v>230</v>
      </c>
      <c r="C36" s="6" t="s">
        <v>14</v>
      </c>
      <c r="D36" s="47">
        <v>0.57331847075932074</v>
      </c>
      <c r="E36" s="47">
        <v>0.58455975107223956</v>
      </c>
      <c r="F36" s="47">
        <v>0.61101209207177765</v>
      </c>
      <c r="G36" s="47">
        <v>0.60113567636583565</v>
      </c>
      <c r="H36" s="47">
        <v>0.58611604955934216</v>
      </c>
      <c r="I36" s="47">
        <v>0.61414402719640349</v>
      </c>
      <c r="J36" s="47">
        <v>0.60795253840656194</v>
      </c>
      <c r="K36" s="47">
        <v>0.63660406126667501</v>
      </c>
      <c r="L36" s="47">
        <v>0.69</v>
      </c>
      <c r="M36" s="47">
        <v>0.71</v>
      </c>
      <c r="N36" s="47">
        <v>0.7066767979968136</v>
      </c>
      <c r="O36" s="47">
        <v>0.69817240597917307</v>
      </c>
      <c r="P36" s="47">
        <v>0.68536838260226496</v>
      </c>
      <c r="Q36" s="47">
        <v>0.64755727424166132</v>
      </c>
      <c r="R36" s="47">
        <v>0.71175899814340549</v>
      </c>
      <c r="S36" s="47">
        <v>0.69697435647445338</v>
      </c>
      <c r="T36" s="47">
        <v>0.71837955810236998</v>
      </c>
      <c r="U36" s="47">
        <v>0.75</v>
      </c>
      <c r="V36" s="47">
        <v>0.7493333333333333</v>
      </c>
      <c r="W36" s="47">
        <v>0.72</v>
      </c>
      <c r="Y36" s="39">
        <f>G36</f>
        <v>0.60113567636583565</v>
      </c>
      <c r="Z36" s="39">
        <f>K36</f>
        <v>0.63660406126667501</v>
      </c>
      <c r="AA36" s="39">
        <f>O36</f>
        <v>0.69817240597917307</v>
      </c>
      <c r="AB36" s="39">
        <f>S36</f>
        <v>0.69697435647445338</v>
      </c>
      <c r="AC36" s="39">
        <f t="shared" si="15"/>
        <v>0.72</v>
      </c>
    </row>
    <row r="37" spans="2:29" outlineLevel="1" x14ac:dyDescent="0.25">
      <c r="B37" s="2" t="s">
        <v>231</v>
      </c>
      <c r="C37" s="6" t="s">
        <v>14</v>
      </c>
      <c r="D37" s="47">
        <v>0.68219822595600277</v>
      </c>
      <c r="E37" s="47">
        <v>0.65712328327936465</v>
      </c>
      <c r="F37" s="47">
        <v>0.65766718119551371</v>
      </c>
      <c r="G37" s="47">
        <v>0.63603537619248163</v>
      </c>
      <c r="H37" s="47">
        <v>0.70266120623214912</v>
      </c>
      <c r="I37" s="47">
        <v>0.71088156026055727</v>
      </c>
      <c r="J37" s="47">
        <v>0.69953383261378999</v>
      </c>
      <c r="K37" s="47">
        <v>0.71475217094389276</v>
      </c>
      <c r="L37" s="47">
        <v>0.7</v>
      </c>
      <c r="M37" s="47">
        <v>0.71</v>
      </c>
      <c r="N37" s="47">
        <v>0.7</v>
      </c>
      <c r="O37" s="47">
        <v>0.69799683982122973</v>
      </c>
      <c r="P37" s="47">
        <v>0.6809246152240287</v>
      </c>
      <c r="Q37" s="47">
        <v>0.6938612904061936</v>
      </c>
      <c r="R37" s="47">
        <v>0.75474334439823965</v>
      </c>
      <c r="S37" s="47">
        <v>0.76326587100723564</v>
      </c>
      <c r="T37" s="47">
        <v>0.7483390498542466</v>
      </c>
      <c r="U37" s="47">
        <v>0.76</v>
      </c>
      <c r="V37" s="47">
        <v>0.76</v>
      </c>
      <c r="W37" s="47">
        <v>0.7</v>
      </c>
      <c r="Y37" s="39">
        <f>G37</f>
        <v>0.63603537619248163</v>
      </c>
      <c r="Z37" s="39">
        <f>K37</f>
        <v>0.71475217094389276</v>
      </c>
      <c r="AA37" s="39">
        <f>O37</f>
        <v>0.69799683982122973</v>
      </c>
      <c r="AB37" s="39">
        <f>S37</f>
        <v>0.76326587100723564</v>
      </c>
      <c r="AC37" s="39">
        <f t="shared" si="15"/>
        <v>0.7</v>
      </c>
    </row>
    <row r="38" spans="2:29" x14ac:dyDescent="0.25">
      <c r="B38" s="2"/>
    </row>
    <row r="39" spans="2:29" ht="15.75" x14ac:dyDescent="0.25">
      <c r="B39" s="33" t="s">
        <v>45</v>
      </c>
    </row>
    <row r="40" spans="2:29" outlineLevel="1" x14ac:dyDescent="0.25">
      <c r="B40" s="32" t="s">
        <v>6</v>
      </c>
      <c r="C40" s="17" t="s">
        <v>42</v>
      </c>
      <c r="D40" s="17" t="s">
        <v>37</v>
      </c>
      <c r="E40" s="17" t="s">
        <v>38</v>
      </c>
      <c r="F40" s="17" t="s">
        <v>39</v>
      </c>
      <c r="G40" s="17" t="s">
        <v>40</v>
      </c>
      <c r="H40" s="17" t="s">
        <v>41</v>
      </c>
      <c r="I40" s="17" t="s">
        <v>376</v>
      </c>
      <c r="J40" s="17" t="s">
        <v>384</v>
      </c>
      <c r="K40" s="17" t="s">
        <v>398</v>
      </c>
      <c r="L40" s="17" t="s">
        <v>406</v>
      </c>
      <c r="M40" s="17" t="s">
        <v>421</v>
      </c>
      <c r="N40" s="17" t="s">
        <v>423</v>
      </c>
      <c r="O40" s="17" t="s">
        <v>426</v>
      </c>
      <c r="P40" s="17" t="s">
        <v>430</v>
      </c>
      <c r="Q40" s="17" t="s">
        <v>432</v>
      </c>
      <c r="R40" s="17" t="s">
        <v>560</v>
      </c>
      <c r="S40" s="17" t="s">
        <v>572</v>
      </c>
      <c r="T40" s="17" t="s">
        <v>575</v>
      </c>
      <c r="U40" s="17" t="s">
        <v>590</v>
      </c>
      <c r="V40" s="17" t="s">
        <v>594</v>
      </c>
      <c r="W40" s="17" t="s">
        <v>603</v>
      </c>
      <c r="Y40" s="17">
        <v>2017</v>
      </c>
      <c r="Z40" s="17">
        <v>2018</v>
      </c>
      <c r="AA40" s="17">
        <v>2019</v>
      </c>
      <c r="AB40" s="17">
        <v>2020</v>
      </c>
      <c r="AC40" s="17">
        <v>2021</v>
      </c>
    </row>
    <row r="41" spans="2:29" outlineLevel="2" x14ac:dyDescent="0.25">
      <c r="B41" s="2" t="s">
        <v>235</v>
      </c>
      <c r="C41" s="6" t="s">
        <v>46</v>
      </c>
      <c r="D41" s="19">
        <v>1118.1769999999999</v>
      </c>
      <c r="E41" s="19">
        <v>1164.001</v>
      </c>
      <c r="F41" s="19">
        <v>1193.3699999999999</v>
      </c>
      <c r="G41" s="19">
        <v>1231.02</v>
      </c>
      <c r="H41" s="19">
        <v>1274.201</v>
      </c>
      <c r="I41" s="19">
        <v>1327.6709999999998</v>
      </c>
      <c r="J41" s="19">
        <v>1373.98</v>
      </c>
      <c r="K41" s="19">
        <v>1443.405</v>
      </c>
      <c r="L41" s="19">
        <v>1710.8519999999999</v>
      </c>
      <c r="M41" s="19">
        <v>1809.575</v>
      </c>
      <c r="N41" s="19">
        <v>1921.1709999999998</v>
      </c>
      <c r="O41" s="19">
        <v>2040.6529999999998</v>
      </c>
      <c r="P41" s="19">
        <v>2298.8069999999998</v>
      </c>
      <c r="Q41" s="19">
        <v>2447.645</v>
      </c>
      <c r="R41" s="19">
        <v>2488.2809999999999</v>
      </c>
      <c r="S41" s="19">
        <v>2573.5389999999998</v>
      </c>
      <c r="T41" s="19">
        <v>2629.06</v>
      </c>
      <c r="U41" s="19">
        <v>2869.6370000000002</v>
      </c>
      <c r="V41" s="19">
        <v>2890.3900000000003</v>
      </c>
      <c r="W41" s="19">
        <v>2919.7170000000001</v>
      </c>
      <c r="Y41" s="19">
        <f>SUM(D41:G41)</f>
        <v>4706.5679999999993</v>
      </c>
      <c r="Z41" s="19">
        <f>SUM(H41:K41)</f>
        <v>5419.2569999999996</v>
      </c>
      <c r="AA41" s="19">
        <f>SUM(L41:O41)</f>
        <v>7482.2510000000002</v>
      </c>
      <c r="AB41" s="19">
        <f>SUM(P41:S41)</f>
        <v>9808.271999999999</v>
      </c>
      <c r="AC41" s="19">
        <f>SUM(T41:W41)</f>
        <v>11308.804</v>
      </c>
    </row>
    <row r="42" spans="2:29" outlineLevel="2" x14ac:dyDescent="0.25">
      <c r="B42" s="2" t="s">
        <v>237</v>
      </c>
      <c r="C42" s="6" t="s">
        <v>46</v>
      </c>
      <c r="D42" s="19">
        <v>44.128999999999998</v>
      </c>
      <c r="E42" s="19">
        <v>47.225000000000001</v>
      </c>
      <c r="F42" s="19">
        <v>48.344999999999999</v>
      </c>
      <c r="G42" s="19">
        <v>47.646999999999998</v>
      </c>
      <c r="H42" s="19">
        <v>52.683999999999997</v>
      </c>
      <c r="I42" s="19">
        <v>51.433999999999997</v>
      </c>
      <c r="J42" s="19">
        <v>53.183</v>
      </c>
      <c r="K42" s="19">
        <v>53.393000000000001</v>
      </c>
      <c r="L42" s="19">
        <v>54.289000000000001</v>
      </c>
      <c r="M42" s="19">
        <v>58.537999999999997</v>
      </c>
      <c r="N42" s="19">
        <v>71.424000000000007</v>
      </c>
      <c r="O42" s="19">
        <v>75.965000000000003</v>
      </c>
      <c r="P42" s="19">
        <v>75.290999999999997</v>
      </c>
      <c r="Q42" s="19">
        <v>76.001000000000005</v>
      </c>
      <c r="R42" s="19">
        <v>74.397000000000006</v>
      </c>
      <c r="S42" s="19">
        <v>75.075000000000003</v>
      </c>
      <c r="T42" s="19">
        <v>86.417000000000002</v>
      </c>
      <c r="U42" s="19">
        <v>79.052999999999997</v>
      </c>
      <c r="V42" s="19">
        <v>79.576999999999998</v>
      </c>
      <c r="W42" s="19">
        <v>82.917000000000002</v>
      </c>
      <c r="Y42" s="19">
        <f>SUM(D42:G42)</f>
        <v>187.346</v>
      </c>
      <c r="Z42" s="19">
        <f>SUM(H42:K42)</f>
        <v>210.69399999999999</v>
      </c>
      <c r="AA42" s="19">
        <f>SUM(L42:O42)</f>
        <v>260.21600000000001</v>
      </c>
      <c r="AB42" s="19">
        <f>SUM(P42:S42)</f>
        <v>300.76400000000001</v>
      </c>
      <c r="AC42" s="19">
        <f t="shared" ref="AC42:AC43" si="16">SUM(T42:W42)</f>
        <v>327.964</v>
      </c>
    </row>
    <row r="43" spans="2:29" outlineLevel="2" x14ac:dyDescent="0.25">
      <c r="B43" s="2" t="s">
        <v>236</v>
      </c>
      <c r="C43" s="6" t="s">
        <v>46</v>
      </c>
      <c r="D43" s="19">
        <v>56.305999999999997</v>
      </c>
      <c r="E43" s="19">
        <v>107.476</v>
      </c>
      <c r="F43" s="19">
        <v>127.38</v>
      </c>
      <c r="G43" s="19">
        <v>119.84699999999999</v>
      </c>
      <c r="H43" s="19">
        <v>111.657</v>
      </c>
      <c r="I43" s="19">
        <v>134.13</v>
      </c>
      <c r="J43" s="19">
        <v>130.96600000000001</v>
      </c>
      <c r="K43" s="19">
        <v>128.51300000000001</v>
      </c>
      <c r="L43" s="19">
        <v>135.21199999999999</v>
      </c>
      <c r="M43" s="19">
        <v>167.81200000000001</v>
      </c>
      <c r="N43" s="19">
        <v>182.01900000000001</v>
      </c>
      <c r="O43" s="19">
        <v>184.929</v>
      </c>
      <c r="P43" s="19">
        <v>185.34800000000001</v>
      </c>
      <c r="Q43" s="19">
        <v>80.432000000000002</v>
      </c>
      <c r="R43" s="19">
        <v>135.93299999999999</v>
      </c>
      <c r="S43" s="19">
        <v>162.51900000000001</v>
      </c>
      <c r="T43" s="19">
        <v>187.976</v>
      </c>
      <c r="U43" s="19">
        <v>247.62299999999999</v>
      </c>
      <c r="V43" s="19">
        <v>250.69200000000001</v>
      </c>
      <c r="W43" s="19">
        <v>261.30200000000002</v>
      </c>
      <c r="Y43" s="19">
        <f>SUM(D43:G43)</f>
        <v>411.00899999999996</v>
      </c>
      <c r="Z43" s="19">
        <f>SUM(H43:K43)</f>
        <v>505.26599999999996</v>
      </c>
      <c r="AA43" s="19">
        <f>SUM(L43:O43)</f>
        <v>669.97199999999998</v>
      </c>
      <c r="AB43" s="19">
        <f>SUM(P43:S43)</f>
        <v>564.23199999999997</v>
      </c>
      <c r="AC43" s="19">
        <f t="shared" si="16"/>
        <v>947.59299999999996</v>
      </c>
    </row>
    <row r="44" spans="2:29" outlineLevel="1" x14ac:dyDescent="0.25">
      <c r="B44" s="5" t="s">
        <v>47</v>
      </c>
      <c r="C44" s="3" t="s">
        <v>46</v>
      </c>
      <c r="D44" s="14">
        <f>SUM(D41:D43)</f>
        <v>1218.6119999999999</v>
      </c>
      <c r="E44" s="14">
        <f t="shared" ref="E44:W44" si="17">SUM(E41:E43)</f>
        <v>1318.7019999999998</v>
      </c>
      <c r="F44" s="14">
        <f t="shared" si="17"/>
        <v>1369.0949999999998</v>
      </c>
      <c r="G44" s="14">
        <f t="shared" si="17"/>
        <v>1398.5139999999999</v>
      </c>
      <c r="H44" s="14">
        <f t="shared" si="17"/>
        <v>1438.5419999999999</v>
      </c>
      <c r="I44" s="14">
        <f t="shared" si="17"/>
        <v>1513.2349999999997</v>
      </c>
      <c r="J44" s="14">
        <f t="shared" si="17"/>
        <v>1558.1289999999999</v>
      </c>
      <c r="K44" s="14">
        <f t="shared" si="17"/>
        <v>1625.3109999999999</v>
      </c>
      <c r="L44" s="14">
        <f t="shared" si="17"/>
        <v>1900.3529999999998</v>
      </c>
      <c r="M44" s="14">
        <f t="shared" si="17"/>
        <v>2035.9250000000002</v>
      </c>
      <c r="N44" s="14">
        <f t="shared" si="17"/>
        <v>2174.6139999999996</v>
      </c>
      <c r="O44" s="14">
        <f t="shared" si="17"/>
        <v>2301.547</v>
      </c>
      <c r="P44" s="14">
        <f t="shared" si="17"/>
        <v>2559.4459999999999</v>
      </c>
      <c r="Q44" s="14">
        <f t="shared" si="17"/>
        <v>2604.078</v>
      </c>
      <c r="R44" s="14">
        <f t="shared" si="17"/>
        <v>2698.6109999999999</v>
      </c>
      <c r="S44" s="14">
        <f t="shared" si="17"/>
        <v>2811.1329999999998</v>
      </c>
      <c r="T44" s="14">
        <f t="shared" si="17"/>
        <v>2903.453</v>
      </c>
      <c r="U44" s="14">
        <f t="shared" si="17"/>
        <v>3196.3130000000001</v>
      </c>
      <c r="V44" s="14">
        <f t="shared" si="17"/>
        <v>3220.6590000000006</v>
      </c>
      <c r="W44" s="14">
        <f t="shared" si="17"/>
        <v>3263.9360000000001</v>
      </c>
      <c r="Y44" s="14">
        <f t="shared" ref="Y44:AC44" si="18">SUM(Y41:Y43)</f>
        <v>5304.9229999999989</v>
      </c>
      <c r="Z44" s="14">
        <f t="shared" si="18"/>
        <v>6135.2169999999996</v>
      </c>
      <c r="AA44" s="14">
        <f t="shared" si="18"/>
        <v>8412.4390000000003</v>
      </c>
      <c r="AB44" s="14">
        <f t="shared" si="18"/>
        <v>10673.267999999998</v>
      </c>
      <c r="AC44" s="14">
        <f t="shared" si="18"/>
        <v>12584.361000000001</v>
      </c>
    </row>
    <row r="45" spans="2:29" outlineLevel="2" x14ac:dyDescent="0.25">
      <c r="B45" s="2" t="s">
        <v>238</v>
      </c>
      <c r="C45" s="6" t="s">
        <v>46</v>
      </c>
      <c r="D45" s="19">
        <v>-6.202</v>
      </c>
      <c r="E45" s="19">
        <v>-13.209</v>
      </c>
      <c r="F45" s="19">
        <v>-6.7149999999999999</v>
      </c>
      <c r="G45" s="19">
        <v>-6.718</v>
      </c>
      <c r="H45" s="19">
        <v>-8.1679999999999993</v>
      </c>
      <c r="I45" s="19">
        <v>3.024</v>
      </c>
      <c r="J45" s="19">
        <v>-4.4219999999999997</v>
      </c>
      <c r="K45" s="19">
        <v>-19.684999999999999</v>
      </c>
      <c r="L45" s="19">
        <v>0.97299999999999998</v>
      </c>
      <c r="M45" s="19">
        <v>-6.4880000000000004</v>
      </c>
      <c r="N45" s="19">
        <v>-6.1539999999999999</v>
      </c>
      <c r="O45" s="19">
        <v>-8.4090000000000007</v>
      </c>
      <c r="P45" s="19">
        <v>-13.455</v>
      </c>
      <c r="Q45" s="19">
        <v>-6.8259999999999996</v>
      </c>
      <c r="R45" s="19">
        <v>-6.806</v>
      </c>
      <c r="S45" s="19">
        <v>-8.2669999999999995</v>
      </c>
      <c r="T45" s="19">
        <v>-41.293999999999997</v>
      </c>
      <c r="U45" s="19">
        <v>-8.5239999999999991</v>
      </c>
      <c r="V45" s="19">
        <v>-35.325000000000003</v>
      </c>
      <c r="W45" s="19">
        <v>-11.943</v>
      </c>
      <c r="Y45" s="19">
        <f>SUM(D45:G45)</f>
        <v>-32.844000000000001</v>
      </c>
      <c r="Z45" s="19">
        <f>SUM(H45:K45)</f>
        <v>-29.250999999999998</v>
      </c>
      <c r="AA45" s="19">
        <f>SUM(L45:O45)</f>
        <v>-20.078000000000003</v>
      </c>
      <c r="AB45" s="19">
        <f>SUM(P45:S45)</f>
        <v>-35.353999999999999</v>
      </c>
      <c r="AC45" s="19">
        <f>SUM(T45:W45)</f>
        <v>-97.085999999999999</v>
      </c>
    </row>
    <row r="46" spans="2:29" outlineLevel="2" x14ac:dyDescent="0.25">
      <c r="B46" s="2" t="s">
        <v>239</v>
      </c>
      <c r="C46" s="6" t="s">
        <v>46</v>
      </c>
      <c r="D46" s="19">
        <v>-0.64100000000000001</v>
      </c>
      <c r="E46" s="19">
        <v>-0.35</v>
      </c>
      <c r="F46" s="19">
        <v>-5.1130000000000004</v>
      </c>
      <c r="G46" s="19">
        <v>0.84599999999999997</v>
      </c>
      <c r="H46" s="19">
        <v>-7.2649999999999997</v>
      </c>
      <c r="I46" s="19">
        <v>-2.5089999999999999</v>
      </c>
      <c r="J46" s="19">
        <v>-2.6680000000000001</v>
      </c>
      <c r="K46" s="19">
        <v>-4.4909999999999997</v>
      </c>
      <c r="L46" s="19">
        <v>-2.4580000000000002</v>
      </c>
      <c r="M46" s="19">
        <v>-13.968</v>
      </c>
      <c r="N46" s="19">
        <v>-10.974</v>
      </c>
      <c r="O46" s="19">
        <v>-29.135000000000002</v>
      </c>
      <c r="P46" s="19">
        <v>-47.521000000000001</v>
      </c>
      <c r="Q46" s="19">
        <v>0.39300000000000002</v>
      </c>
      <c r="R46" s="19">
        <v>-2.831</v>
      </c>
      <c r="S46" s="19">
        <v>-18.917999999999999</v>
      </c>
      <c r="T46" s="19">
        <v>-14.769</v>
      </c>
      <c r="U46" s="19">
        <v>-4.2789999999999999</v>
      </c>
      <c r="V46" s="19">
        <v>-34.729999999999997</v>
      </c>
      <c r="W46" s="19">
        <v>-31.562000000000001</v>
      </c>
      <c r="Y46" s="19">
        <f>SUM(D46:G46)</f>
        <v>-5.258</v>
      </c>
      <c r="Z46" s="19">
        <f>SUM(H46:K46)</f>
        <v>-16.933</v>
      </c>
      <c r="AA46" s="19">
        <f>SUM(L46:O46)</f>
        <v>-56.535000000000004</v>
      </c>
      <c r="AB46" s="19">
        <f>SUM(P46:S46)</f>
        <v>-68.87700000000001</v>
      </c>
      <c r="AC46" s="19">
        <f t="shared" ref="AC46:AC48" si="19">SUM(T46:W46)</f>
        <v>-85.34</v>
      </c>
    </row>
    <row r="47" spans="2:29" outlineLevel="2" x14ac:dyDescent="0.25">
      <c r="B47" s="2" t="s">
        <v>241</v>
      </c>
      <c r="C47" s="6" t="s">
        <v>46</v>
      </c>
      <c r="D47" s="19">
        <v>-7.149</v>
      </c>
      <c r="E47" s="19">
        <v>-6.782</v>
      </c>
      <c r="F47" s="19">
        <v>-6.3470000000000004</v>
      </c>
      <c r="G47" s="19">
        <v>-7.1059999999999999</v>
      </c>
      <c r="H47" s="19">
        <v>-8.3989999999999991</v>
      </c>
      <c r="I47" s="19">
        <v>-8.4559999999999995</v>
      </c>
      <c r="J47" s="19">
        <v>-11.86</v>
      </c>
      <c r="K47" s="19">
        <v>-8.2870000000000008</v>
      </c>
      <c r="L47" s="19">
        <v>-21.524000000000001</v>
      </c>
      <c r="M47" s="19">
        <v>-22.603999999999999</v>
      </c>
      <c r="N47" s="19">
        <v>-14.605</v>
      </c>
      <c r="O47" s="19">
        <v>-30.465</v>
      </c>
      <c r="P47" s="19">
        <v>-36.615000000000002</v>
      </c>
      <c r="Q47" s="19">
        <v>-38.119999999999997</v>
      </c>
      <c r="R47" s="19">
        <v>-45.735999999999997</v>
      </c>
      <c r="S47" s="19">
        <v>-47.92</v>
      </c>
      <c r="T47" s="19">
        <v>-49.795000000000002</v>
      </c>
      <c r="U47" s="19">
        <v>-55.526000000000003</v>
      </c>
      <c r="V47" s="19">
        <v>-58.116</v>
      </c>
      <c r="W47" s="19">
        <v>-67.367000000000004</v>
      </c>
      <c r="Y47" s="19">
        <f>SUM(D47:G47)</f>
        <v>-27.384</v>
      </c>
      <c r="Z47" s="19">
        <f>SUM(H47:K47)</f>
        <v>-37.001999999999995</v>
      </c>
      <c r="AA47" s="19">
        <f>SUM(L47:O47)</f>
        <v>-89.198000000000008</v>
      </c>
      <c r="AB47" s="19">
        <f>SUM(P47:S47)</f>
        <v>-168.39100000000002</v>
      </c>
      <c r="AC47" s="19">
        <f t="shared" si="19"/>
        <v>-230.80400000000003</v>
      </c>
    </row>
    <row r="48" spans="2:29" outlineLevel="2" x14ac:dyDescent="0.25">
      <c r="B48" s="2" t="s">
        <v>240</v>
      </c>
      <c r="C48" s="6" t="s">
        <v>46</v>
      </c>
      <c r="D48" s="19">
        <v>-873.024</v>
      </c>
      <c r="E48" s="19">
        <v>-980.03599999999994</v>
      </c>
      <c r="F48" s="19">
        <v>-1014.472</v>
      </c>
      <c r="G48" s="19">
        <v>-975.96100000000001</v>
      </c>
      <c r="H48" s="19">
        <v>-1034.146</v>
      </c>
      <c r="I48" s="19">
        <v>-1117.6199999999999</v>
      </c>
      <c r="J48" s="19">
        <v>-1126.2380000000001</v>
      </c>
      <c r="K48" s="19">
        <v>-1110.79</v>
      </c>
      <c r="L48" s="19">
        <v>-1348.7909999999999</v>
      </c>
      <c r="M48" s="19">
        <v>-1463.4770000000001</v>
      </c>
      <c r="N48" s="19">
        <v>-1551.723</v>
      </c>
      <c r="O48" s="19">
        <v>-1574.665</v>
      </c>
      <c r="P48" s="19">
        <v>-1746.1759999999999</v>
      </c>
      <c r="Q48" s="19">
        <v>-1683.9110000000001</v>
      </c>
      <c r="R48" s="19">
        <v>-1852.13</v>
      </c>
      <c r="S48" s="19">
        <v>-2007.82</v>
      </c>
      <c r="T48" s="19">
        <v>-2274.8090000000002</v>
      </c>
      <c r="U48" s="19">
        <v>-2642.5129999999999</v>
      </c>
      <c r="V48" s="19">
        <v>-2578.5680000000002</v>
      </c>
      <c r="W48" s="19">
        <v>-2483.4650000000001</v>
      </c>
      <c r="Y48" s="19">
        <f>SUM(D48:G48)</f>
        <v>-3843.4930000000004</v>
      </c>
      <c r="Z48" s="19">
        <f>SUM(H48:K48)</f>
        <v>-4388.7939999999999</v>
      </c>
      <c r="AA48" s="19">
        <f>SUM(L48:O48)</f>
        <v>-5938.6559999999999</v>
      </c>
      <c r="AB48" s="19">
        <f>SUM(P48:S48)</f>
        <v>-7290.0370000000003</v>
      </c>
      <c r="AC48" s="19">
        <f t="shared" si="19"/>
        <v>-9979.3549999999996</v>
      </c>
    </row>
    <row r="49" spans="2:29" outlineLevel="2" x14ac:dyDescent="0.25">
      <c r="B49" s="22" t="s">
        <v>242</v>
      </c>
      <c r="C49" s="21" t="s">
        <v>14</v>
      </c>
      <c r="D49" s="23">
        <f>D48/D44</f>
        <v>-0.71640850410138757</v>
      </c>
      <c r="E49" s="23">
        <f t="shared" ref="E49:W49" si="20">E48/E44</f>
        <v>-0.7431823110907545</v>
      </c>
      <c r="F49" s="23">
        <f t="shared" si="20"/>
        <v>-0.74097999043163554</v>
      </c>
      <c r="G49" s="23">
        <f t="shared" si="20"/>
        <v>-0.69785572400419305</v>
      </c>
      <c r="H49" s="23">
        <f t="shared" si="20"/>
        <v>-0.71888481531995596</v>
      </c>
      <c r="I49" s="23">
        <f t="shared" si="20"/>
        <v>-0.73856340885586191</v>
      </c>
      <c r="J49" s="23">
        <f t="shared" si="20"/>
        <v>-0.72281434977463366</v>
      </c>
      <c r="K49" s="23">
        <f t="shared" si="20"/>
        <v>-0.68343227849931487</v>
      </c>
      <c r="L49" s="23">
        <f t="shared" si="20"/>
        <v>-0.70975813440976498</v>
      </c>
      <c r="M49" s="23">
        <f t="shared" si="20"/>
        <v>-0.71882657759986246</v>
      </c>
      <c r="N49" s="23">
        <f t="shared" si="20"/>
        <v>-0.71356249890785228</v>
      </c>
      <c r="O49" s="23">
        <f t="shared" si="20"/>
        <v>-0.6841767732746713</v>
      </c>
      <c r="P49" s="23">
        <f t="shared" si="20"/>
        <v>-0.68224764265391802</v>
      </c>
      <c r="Q49" s="23">
        <f t="shared" si="20"/>
        <v>-0.64664384092949601</v>
      </c>
      <c r="R49" s="23">
        <f t="shared" si="20"/>
        <v>-0.68632715126411337</v>
      </c>
      <c r="S49" s="23">
        <f t="shared" si="20"/>
        <v>-0.71423870731125139</v>
      </c>
      <c r="T49" s="23">
        <f t="shared" si="20"/>
        <v>-0.78348401024573167</v>
      </c>
      <c r="U49" s="23">
        <f t="shared" si="20"/>
        <v>-0.82673786953905948</v>
      </c>
      <c r="V49" s="23">
        <f t="shared" si="20"/>
        <v>-0.8006336591362202</v>
      </c>
      <c r="W49" s="23">
        <f t="shared" si="20"/>
        <v>-0.76088042167493486</v>
      </c>
      <c r="Y49" s="23">
        <f t="shared" ref="Y49:AC49" si="21">Y48/Y44</f>
        <v>-0.7245143803218258</v>
      </c>
      <c r="Z49" s="23">
        <f t="shared" si="21"/>
        <v>-0.71534454282546156</v>
      </c>
      <c r="AA49" s="23">
        <f t="shared" si="21"/>
        <v>-0.70593748138916668</v>
      </c>
      <c r="AB49" s="23">
        <f t="shared" si="21"/>
        <v>-0.68301826582074032</v>
      </c>
      <c r="AC49" s="23">
        <f t="shared" si="21"/>
        <v>-0.79299656136692187</v>
      </c>
    </row>
    <row r="50" spans="2:29" outlineLevel="1" x14ac:dyDescent="0.25">
      <c r="B50" s="5" t="s">
        <v>243</v>
      </c>
      <c r="C50" s="3" t="s">
        <v>46</v>
      </c>
      <c r="D50" s="14">
        <f>SUM(D45:D48)</f>
        <v>-887.01599999999996</v>
      </c>
      <c r="E50" s="14">
        <f t="shared" ref="E50:W50" si="22">SUM(E45:E48)</f>
        <v>-1000.377</v>
      </c>
      <c r="F50" s="14">
        <f t="shared" si="22"/>
        <v>-1032.6469999999999</v>
      </c>
      <c r="G50" s="14">
        <f t="shared" si="22"/>
        <v>-988.93899999999996</v>
      </c>
      <c r="H50" s="14">
        <f t="shared" si="22"/>
        <v>-1057.9780000000001</v>
      </c>
      <c r="I50" s="14">
        <f t="shared" si="22"/>
        <v>-1125.5609999999999</v>
      </c>
      <c r="J50" s="14">
        <f t="shared" si="22"/>
        <v>-1145.1880000000001</v>
      </c>
      <c r="K50" s="14">
        <f t="shared" si="22"/>
        <v>-1143.2529999999999</v>
      </c>
      <c r="L50" s="14">
        <f t="shared" si="22"/>
        <v>-1371.8</v>
      </c>
      <c r="M50" s="14">
        <f t="shared" si="22"/>
        <v>-1506.537</v>
      </c>
      <c r="N50" s="14">
        <f t="shared" si="22"/>
        <v>-1583.4559999999999</v>
      </c>
      <c r="O50" s="14">
        <f t="shared" si="22"/>
        <v>-1642.674</v>
      </c>
      <c r="P50" s="14">
        <f t="shared" si="22"/>
        <v>-1843.7669999999998</v>
      </c>
      <c r="Q50" s="14">
        <f t="shared" si="22"/>
        <v>-1728.4639999999999</v>
      </c>
      <c r="R50" s="14">
        <f t="shared" si="22"/>
        <v>-1907.5030000000002</v>
      </c>
      <c r="S50" s="14">
        <f t="shared" si="22"/>
        <v>-2082.9249999999997</v>
      </c>
      <c r="T50" s="14">
        <f t="shared" si="22"/>
        <v>-2380.6670000000004</v>
      </c>
      <c r="U50" s="14">
        <f t="shared" si="22"/>
        <v>-2710.8420000000001</v>
      </c>
      <c r="V50" s="14">
        <f t="shared" si="22"/>
        <v>-2706.739</v>
      </c>
      <c r="W50" s="14">
        <f t="shared" si="22"/>
        <v>-2594.337</v>
      </c>
      <c r="Y50" s="14">
        <f t="shared" ref="Y50:AC50" si="23">SUM(Y45:Y48)</f>
        <v>-3908.9790000000003</v>
      </c>
      <c r="Z50" s="14">
        <f t="shared" si="23"/>
        <v>-4471.9799999999996</v>
      </c>
      <c r="AA50" s="14">
        <f t="shared" si="23"/>
        <v>-6104.4669999999996</v>
      </c>
      <c r="AB50" s="14">
        <f t="shared" si="23"/>
        <v>-7562.6590000000006</v>
      </c>
      <c r="AC50" s="14">
        <f t="shared" si="23"/>
        <v>-10392.584999999999</v>
      </c>
    </row>
    <row r="51" spans="2:29" outlineLevel="1" x14ac:dyDescent="0.25">
      <c r="B51" s="7" t="s">
        <v>48</v>
      </c>
      <c r="C51" s="3" t="s">
        <v>46</v>
      </c>
      <c r="D51" s="14">
        <f t="shared" ref="D51:W51" si="24">SUM(D44,D50)</f>
        <v>331.59599999999989</v>
      </c>
      <c r="E51" s="14">
        <f t="shared" si="24"/>
        <v>318.32499999999982</v>
      </c>
      <c r="F51" s="14">
        <f t="shared" si="24"/>
        <v>336.44799999999987</v>
      </c>
      <c r="G51" s="14">
        <f t="shared" si="24"/>
        <v>409.57499999999993</v>
      </c>
      <c r="H51" s="14">
        <f t="shared" si="24"/>
        <v>380.56399999999985</v>
      </c>
      <c r="I51" s="14">
        <f t="shared" si="24"/>
        <v>387.67399999999975</v>
      </c>
      <c r="J51" s="14">
        <f t="shared" si="24"/>
        <v>412.9409999999998</v>
      </c>
      <c r="K51" s="14">
        <f t="shared" si="24"/>
        <v>482.05799999999999</v>
      </c>
      <c r="L51" s="14">
        <f t="shared" si="24"/>
        <v>528.55299999999988</v>
      </c>
      <c r="M51" s="14">
        <f t="shared" si="24"/>
        <v>529.38800000000015</v>
      </c>
      <c r="N51" s="14">
        <f t="shared" si="24"/>
        <v>591.15799999999967</v>
      </c>
      <c r="O51" s="14">
        <f t="shared" si="24"/>
        <v>658.87300000000005</v>
      </c>
      <c r="P51" s="14">
        <f t="shared" si="24"/>
        <v>715.67900000000009</v>
      </c>
      <c r="Q51" s="14">
        <f t="shared" si="24"/>
        <v>875.61400000000003</v>
      </c>
      <c r="R51" s="14">
        <f t="shared" si="24"/>
        <v>791.10799999999972</v>
      </c>
      <c r="S51" s="14">
        <f t="shared" si="24"/>
        <v>728.20800000000008</v>
      </c>
      <c r="T51" s="14">
        <f t="shared" si="24"/>
        <v>522.7859999999996</v>
      </c>
      <c r="U51" s="14">
        <f t="shared" si="24"/>
        <v>485.471</v>
      </c>
      <c r="V51" s="14">
        <f t="shared" si="24"/>
        <v>513.92000000000053</v>
      </c>
      <c r="W51" s="14">
        <f t="shared" si="24"/>
        <v>669.59900000000016</v>
      </c>
      <c r="Y51" s="14">
        <f t="shared" ref="Y51:AC51" si="25">SUM(Y44,Y50)</f>
        <v>1395.9439999999986</v>
      </c>
      <c r="Z51" s="14">
        <f t="shared" si="25"/>
        <v>1663.2370000000001</v>
      </c>
      <c r="AA51" s="14">
        <f t="shared" si="25"/>
        <v>2307.9720000000007</v>
      </c>
      <c r="AB51" s="14">
        <f t="shared" si="25"/>
        <v>3110.6089999999976</v>
      </c>
      <c r="AC51" s="14">
        <f t="shared" si="25"/>
        <v>2191.7760000000017</v>
      </c>
    </row>
    <row r="52" spans="2:29" outlineLevel="1" x14ac:dyDescent="0.25">
      <c r="B52" s="8" t="s">
        <v>316</v>
      </c>
      <c r="C52" s="9" t="s">
        <v>14</v>
      </c>
      <c r="D52" s="10">
        <f t="shared" ref="D52:W52" si="26">D51/D44</f>
        <v>0.27210958040787381</v>
      </c>
      <c r="E52" s="10">
        <f t="shared" si="26"/>
        <v>0.24139267249158633</v>
      </c>
      <c r="F52" s="10">
        <f t="shared" si="26"/>
        <v>0.24574481683155655</v>
      </c>
      <c r="G52" s="10">
        <f t="shared" si="26"/>
        <v>0.29286442609798685</v>
      </c>
      <c r="H52" s="10">
        <f t="shared" si="26"/>
        <v>0.26454841082151226</v>
      </c>
      <c r="I52" s="10">
        <f t="shared" si="26"/>
        <v>0.25618889333117451</v>
      </c>
      <c r="J52" s="10">
        <f t="shared" si="26"/>
        <v>0.26502362769706478</v>
      </c>
      <c r="K52" s="10">
        <f t="shared" si="26"/>
        <v>0.29659431333449415</v>
      </c>
      <c r="L52" s="10">
        <f t="shared" si="26"/>
        <v>0.27813411508282931</v>
      </c>
      <c r="M52" s="10">
        <f t="shared" si="26"/>
        <v>0.26002333091837865</v>
      </c>
      <c r="N52" s="10">
        <f t="shared" si="26"/>
        <v>0.27184502628972307</v>
      </c>
      <c r="O52" s="10">
        <f t="shared" si="26"/>
        <v>0.28627397137664362</v>
      </c>
      <c r="P52" s="10">
        <f t="shared" si="26"/>
        <v>0.27962262145792494</v>
      </c>
      <c r="Q52" s="10">
        <f t="shared" si="26"/>
        <v>0.33624722454550132</v>
      </c>
      <c r="R52" s="10">
        <f t="shared" si="26"/>
        <v>0.29315377429351608</v>
      </c>
      <c r="S52" s="10">
        <f t="shared" si="26"/>
        <v>0.25904430704630488</v>
      </c>
      <c r="T52" s="10">
        <f t="shared" si="26"/>
        <v>0.18005664290071152</v>
      </c>
      <c r="U52" s="10">
        <f t="shared" si="26"/>
        <v>0.15188468713796177</v>
      </c>
      <c r="V52" s="10">
        <f t="shared" si="26"/>
        <v>0.15956982716891183</v>
      </c>
      <c r="W52" s="10">
        <f t="shared" si="26"/>
        <v>0.20515077501519641</v>
      </c>
      <c r="Y52" s="10">
        <f t="shared" ref="Y52:AC52" si="27">Y51/Y44</f>
        <v>0.26314123692276004</v>
      </c>
      <c r="Z52" s="10">
        <f t="shared" si="27"/>
        <v>0.2710966865556671</v>
      </c>
      <c r="AA52" s="10">
        <f t="shared" si="27"/>
        <v>0.27435230139558819</v>
      </c>
      <c r="AB52" s="10">
        <f t="shared" si="27"/>
        <v>0.29143922929696869</v>
      </c>
      <c r="AC52" s="10">
        <f t="shared" si="27"/>
        <v>0.17416665017794719</v>
      </c>
    </row>
    <row r="53" spans="2:29" outlineLevel="2" x14ac:dyDescent="0.25">
      <c r="B53" s="25" t="s">
        <v>50</v>
      </c>
      <c r="C53" s="3" t="s">
        <v>46</v>
      </c>
      <c r="D53" s="14">
        <f t="shared" ref="D53:I53" si="28">SUM(D54:D62)</f>
        <v>-151.03299999999999</v>
      </c>
      <c r="E53" s="14">
        <f t="shared" si="28"/>
        <v>-202.5</v>
      </c>
      <c r="F53" s="14">
        <f t="shared" si="28"/>
        <v>-161.708</v>
      </c>
      <c r="G53" s="14">
        <f t="shared" si="28"/>
        <v>-152.72800000000001</v>
      </c>
      <c r="H53" s="14">
        <f t="shared" si="28"/>
        <v>-157.59100000000001</v>
      </c>
      <c r="I53" s="14">
        <f t="shared" si="28"/>
        <v>-199.27600000000001</v>
      </c>
      <c r="J53" s="14">
        <f t="shared" ref="J53:W53" si="29">SUM(J54:J62)</f>
        <v>-174.625</v>
      </c>
      <c r="K53" s="14">
        <f t="shared" si="29"/>
        <v>-218.709</v>
      </c>
      <c r="L53" s="14">
        <f t="shared" si="29"/>
        <v>-194.952</v>
      </c>
      <c r="M53" s="14">
        <f t="shared" si="29"/>
        <v>-225.85999999999996</v>
      </c>
      <c r="N53" s="14">
        <f t="shared" si="29"/>
        <v>-274.61599999999999</v>
      </c>
      <c r="O53" s="14">
        <f t="shared" si="29"/>
        <v>-248.1</v>
      </c>
      <c r="P53" s="14">
        <f t="shared" si="29"/>
        <v>-245.84100000000001</v>
      </c>
      <c r="Q53" s="14">
        <f t="shared" si="29"/>
        <v>-292.14600000000002</v>
      </c>
      <c r="R53" s="14">
        <f t="shared" si="29"/>
        <v>-266.73399999999998</v>
      </c>
      <c r="S53" s="14">
        <f t="shared" si="29"/>
        <v>-264.50299999999999</v>
      </c>
      <c r="T53" s="14">
        <f t="shared" si="29"/>
        <v>-301.07299999999998</v>
      </c>
      <c r="U53" s="14">
        <f t="shared" si="29"/>
        <v>-255.74</v>
      </c>
      <c r="V53" s="14">
        <f t="shared" si="29"/>
        <v>-288.95999999999998</v>
      </c>
      <c r="W53" s="14">
        <f t="shared" si="29"/>
        <v>-330.72</v>
      </c>
      <c r="Y53" s="14">
        <f t="shared" ref="Y53:AC53" si="30">SUM(Y54:Y62)</f>
        <v>-667.96900000000005</v>
      </c>
      <c r="Z53" s="14">
        <f t="shared" si="30"/>
        <v>-750.20100000000002</v>
      </c>
      <c r="AA53" s="14">
        <f t="shared" si="30"/>
        <v>-943.52800000000013</v>
      </c>
      <c r="AB53" s="14">
        <f t="shared" si="30"/>
        <v>-1069.2240000000002</v>
      </c>
      <c r="AC53" s="14">
        <f t="shared" si="30"/>
        <v>-1176.4929999999999</v>
      </c>
    </row>
    <row r="54" spans="2:29" outlineLevel="3" x14ac:dyDescent="0.25">
      <c r="B54" s="18" t="s">
        <v>51</v>
      </c>
      <c r="C54" s="6" t="s">
        <v>46</v>
      </c>
      <c r="D54" s="19">
        <v>-68.659000000000006</v>
      </c>
      <c r="E54" s="19">
        <v>-86.552999999999983</v>
      </c>
      <c r="F54" s="19">
        <v>-89.640000000000015</v>
      </c>
      <c r="G54" s="19">
        <v>-53.506</v>
      </c>
      <c r="H54" s="19">
        <v>-75.495000000000005</v>
      </c>
      <c r="I54" s="19">
        <v>-78.930000000000007</v>
      </c>
      <c r="J54" s="19">
        <v>-66.808000000000007</v>
      </c>
      <c r="K54" s="19">
        <v>-78.569000000000003</v>
      </c>
      <c r="L54" s="19">
        <v>-80.72</v>
      </c>
      <c r="M54" s="19">
        <v>-94.528999999999996</v>
      </c>
      <c r="N54" s="19">
        <v>-99.388999999999996</v>
      </c>
      <c r="O54" s="19">
        <v>-100.206</v>
      </c>
      <c r="P54" s="19">
        <v>-105.023</v>
      </c>
      <c r="Q54" s="19">
        <v>-127.58</v>
      </c>
      <c r="R54" s="19">
        <v>-126.004</v>
      </c>
      <c r="S54" s="19">
        <v>-113.22</v>
      </c>
      <c r="T54" s="19">
        <v>-113.274</v>
      </c>
      <c r="U54" s="19">
        <v>-120.748</v>
      </c>
      <c r="V54" s="19">
        <v>-129.863</v>
      </c>
      <c r="W54" s="19">
        <v>-148.81399999999999</v>
      </c>
      <c r="Y54" s="19">
        <f t="shared" ref="Y54:Y60" si="31">SUM(D54:G54)</f>
        <v>-298.358</v>
      </c>
      <c r="Z54" s="19">
        <f t="shared" ref="Z54:Z60" si="32">SUM(H54:K54)</f>
        <v>-299.80200000000002</v>
      </c>
      <c r="AA54" s="19">
        <f t="shared" ref="AA54:AA65" si="33">SUM(L54:O54)</f>
        <v>-374.84399999999999</v>
      </c>
      <c r="AB54" s="19">
        <f t="shared" ref="AB54:AB65" si="34">SUM(P54:S54)</f>
        <v>-471.827</v>
      </c>
      <c r="AC54" s="19">
        <f t="shared" ref="AC54:AC62" si="35">SUM(T54:W54)</f>
        <v>-512.69899999999996</v>
      </c>
    </row>
    <row r="55" spans="2:29" outlineLevel="3" x14ac:dyDescent="0.25">
      <c r="B55" s="41" t="s">
        <v>244</v>
      </c>
      <c r="C55" s="6" t="s">
        <v>46</v>
      </c>
      <c r="D55" s="19">
        <v>-29.919</v>
      </c>
      <c r="E55" s="19">
        <v>-44.91</v>
      </c>
      <c r="F55" s="19">
        <v>-34.952000000000012</v>
      </c>
      <c r="G55" s="19">
        <v>-47.521999999999998</v>
      </c>
      <c r="H55" s="19">
        <v>-37.887999999999998</v>
      </c>
      <c r="I55" s="19">
        <v>-58.119</v>
      </c>
      <c r="J55" s="19">
        <v>-34.771999999999998</v>
      </c>
      <c r="K55" s="19">
        <v>-66.108000000000004</v>
      </c>
      <c r="L55" s="19">
        <v>-45.625</v>
      </c>
      <c r="M55" s="19">
        <v>-48.421999999999997</v>
      </c>
      <c r="N55" s="19">
        <v>-53.716000000000001</v>
      </c>
      <c r="O55" s="19">
        <v>-58.780999999999999</v>
      </c>
      <c r="P55" s="19">
        <v>-57.762</v>
      </c>
      <c r="Q55" s="19">
        <v>-72.066999999999993</v>
      </c>
      <c r="R55" s="19">
        <v>-52.290999999999997</v>
      </c>
      <c r="S55" s="19">
        <v>-54.396000000000001</v>
      </c>
      <c r="T55" s="19">
        <v>-62.113999999999997</v>
      </c>
      <c r="U55" s="19">
        <v>-63.167999999999999</v>
      </c>
      <c r="V55" s="19">
        <v>-60.572000000000003</v>
      </c>
      <c r="W55" s="19">
        <v>-57.720999999999997</v>
      </c>
      <c r="Y55" s="19">
        <f t="shared" si="31"/>
        <v>-157.303</v>
      </c>
      <c r="Z55" s="19">
        <f t="shared" si="32"/>
        <v>-196.887</v>
      </c>
      <c r="AA55" s="19">
        <f t="shared" si="33"/>
        <v>-206.54400000000001</v>
      </c>
      <c r="AB55" s="19">
        <f t="shared" si="34"/>
        <v>-236.51600000000002</v>
      </c>
      <c r="AC55" s="19">
        <f t="shared" si="35"/>
        <v>-243.57499999999999</v>
      </c>
    </row>
    <row r="56" spans="2:29" outlineLevel="3" x14ac:dyDescent="0.25">
      <c r="B56" s="41" t="s">
        <v>245</v>
      </c>
      <c r="C56" s="6" t="s">
        <v>46</v>
      </c>
      <c r="D56" s="19">
        <v>-8.8170000000000002</v>
      </c>
      <c r="E56" s="19">
        <v>-22.904</v>
      </c>
      <c r="F56" s="19">
        <v>-20.521999999999998</v>
      </c>
      <c r="G56" s="19">
        <v>-17.704999999999998</v>
      </c>
      <c r="H56" s="19">
        <v>-15.888999999999999</v>
      </c>
      <c r="I56" s="19">
        <v>-25.734999999999999</v>
      </c>
      <c r="J56" s="19">
        <v>-19.879000000000001</v>
      </c>
      <c r="K56" s="19">
        <v>-21.742000000000001</v>
      </c>
      <c r="L56" s="19">
        <v>-16.734999999999999</v>
      </c>
      <c r="M56" s="19">
        <v>-20.437999999999999</v>
      </c>
      <c r="N56" s="19">
        <v>-22.835000000000001</v>
      </c>
      <c r="O56" s="19">
        <v>-22.616</v>
      </c>
      <c r="P56" s="19">
        <v>-16.861999999999998</v>
      </c>
      <c r="Q56" s="19">
        <v>-9.9469999999999992</v>
      </c>
      <c r="R56" s="19">
        <v>-21.137</v>
      </c>
      <c r="S56" s="19">
        <v>-21.356000000000002</v>
      </c>
      <c r="T56" s="19">
        <v>-19.724</v>
      </c>
      <c r="U56" s="19">
        <v>-23.38</v>
      </c>
      <c r="V56" s="19">
        <v>-23.94</v>
      </c>
      <c r="W56" s="19">
        <v>-26.314</v>
      </c>
      <c r="Y56" s="19">
        <f t="shared" si="31"/>
        <v>-69.947999999999993</v>
      </c>
      <c r="Z56" s="19">
        <f t="shared" si="32"/>
        <v>-83.245000000000005</v>
      </c>
      <c r="AA56" s="19">
        <f t="shared" si="33"/>
        <v>-82.623999999999995</v>
      </c>
      <c r="AB56" s="19">
        <f t="shared" si="34"/>
        <v>-69.301999999999992</v>
      </c>
      <c r="AC56" s="19">
        <f t="shared" si="35"/>
        <v>-93.358000000000004</v>
      </c>
    </row>
    <row r="57" spans="2:29" outlineLevel="3" x14ac:dyDescent="0.25">
      <c r="B57" s="41" t="s">
        <v>327</v>
      </c>
      <c r="C57" s="6" t="s">
        <v>46</v>
      </c>
      <c r="D57" s="19">
        <v>-0.84299999999999997</v>
      </c>
      <c r="E57" s="19">
        <v>-2.3730000000000002</v>
      </c>
      <c r="F57" s="19">
        <v>-2.6029999999999998</v>
      </c>
      <c r="G57" s="19">
        <v>-3.5640000000000001</v>
      </c>
      <c r="H57" s="19">
        <v>-2.1659999999999999</v>
      </c>
      <c r="I57" s="19">
        <v>-2.972</v>
      </c>
      <c r="J57" s="19">
        <v>-3.7010000000000001</v>
      </c>
      <c r="K57" s="19">
        <v>-6.4989999999999997</v>
      </c>
      <c r="L57" s="19">
        <v>-2.0249999999999999</v>
      </c>
      <c r="M57" s="19">
        <v>-2.3730000000000002</v>
      </c>
      <c r="N57" s="19">
        <v>-6.2130000000000001</v>
      </c>
      <c r="O57" s="19">
        <v>-6.0650000000000004</v>
      </c>
      <c r="P57" s="19">
        <v>-3.7690000000000001</v>
      </c>
      <c r="Q57" s="19">
        <v>-5.4729999999999999</v>
      </c>
      <c r="R57" s="19">
        <v>-4.1159999999999997</v>
      </c>
      <c r="S57" s="19">
        <v>-5.29</v>
      </c>
      <c r="T57" s="19">
        <v>-3.2130000000000001</v>
      </c>
      <c r="U57" s="19">
        <v>-4.9119999999999999</v>
      </c>
      <c r="V57" s="19">
        <v>-7.2140000000000004</v>
      </c>
      <c r="W57" s="19">
        <v>-18.864000000000001</v>
      </c>
      <c r="Y57" s="19">
        <f t="shared" si="31"/>
        <v>-9.3829999999999991</v>
      </c>
      <c r="Z57" s="19">
        <f t="shared" si="32"/>
        <v>-15.338000000000001</v>
      </c>
      <c r="AA57" s="19">
        <f t="shared" si="33"/>
        <v>-16.676000000000002</v>
      </c>
      <c r="AB57" s="19">
        <f t="shared" si="34"/>
        <v>-18.648</v>
      </c>
      <c r="AC57" s="19">
        <f t="shared" si="35"/>
        <v>-34.203000000000003</v>
      </c>
    </row>
    <row r="58" spans="2:29" outlineLevel="3" x14ac:dyDescent="0.25">
      <c r="B58" s="18" t="s">
        <v>326</v>
      </c>
      <c r="C58" s="6" t="s">
        <v>46</v>
      </c>
      <c r="D58" s="19">
        <v>-9.5760000000000005</v>
      </c>
      <c r="E58" s="19">
        <v>-7.0030000000000001</v>
      </c>
      <c r="F58" s="19">
        <v>16.994</v>
      </c>
      <c r="G58" s="19">
        <v>30.332999999999998</v>
      </c>
      <c r="H58" s="19">
        <v>9.8409999999999993</v>
      </c>
      <c r="I58" s="19">
        <v>-2.423</v>
      </c>
      <c r="J58" s="19">
        <v>6.8070000000000004</v>
      </c>
      <c r="K58" s="19">
        <v>-6.6000000000000003E-2</v>
      </c>
      <c r="L58" s="19">
        <v>-6.274</v>
      </c>
      <c r="M58" s="19">
        <v>-10.16</v>
      </c>
      <c r="N58" s="19">
        <v>-12.8</v>
      </c>
      <c r="O58" s="19">
        <v>-4.3840000000000003</v>
      </c>
      <c r="P58" s="19">
        <v>-5.9749999999999996</v>
      </c>
      <c r="Q58" s="19">
        <v>-4.649</v>
      </c>
      <c r="R58" s="19">
        <v>-12.954000000000001</v>
      </c>
      <c r="S58" s="19">
        <v>-6.2080000000000002</v>
      </c>
      <c r="T58" s="19">
        <v>-45.174999999999997</v>
      </c>
      <c r="U58" s="19">
        <v>-3.92</v>
      </c>
      <c r="V58" s="19">
        <v>-10.7</v>
      </c>
      <c r="W58" s="19">
        <v>-23.792999999999999</v>
      </c>
      <c r="Y58" s="19">
        <f t="shared" si="31"/>
        <v>30.747999999999998</v>
      </c>
      <c r="Z58" s="19">
        <f t="shared" si="32"/>
        <v>14.158999999999999</v>
      </c>
      <c r="AA58" s="19">
        <f t="shared" si="33"/>
        <v>-33.618000000000002</v>
      </c>
      <c r="AB58" s="19">
        <f t="shared" si="34"/>
        <v>-29.786000000000001</v>
      </c>
      <c r="AC58" s="19">
        <f t="shared" si="35"/>
        <v>-83.587999999999994</v>
      </c>
    </row>
    <row r="59" spans="2:29" outlineLevel="3" x14ac:dyDescent="0.25">
      <c r="B59" s="18" t="s">
        <v>73</v>
      </c>
      <c r="C59" s="6" t="s">
        <v>46</v>
      </c>
      <c r="D59" s="19">
        <v>-16.655000000000001</v>
      </c>
      <c r="E59" s="19">
        <v>-25.653999999999996</v>
      </c>
      <c r="F59" s="19">
        <v>-17.465000000000003</v>
      </c>
      <c r="G59" s="19">
        <v>-27.001000000000001</v>
      </c>
      <c r="H59" s="19">
        <v>-20.940999999999999</v>
      </c>
      <c r="I59" s="19">
        <v>-21.736999999999998</v>
      </c>
      <c r="J59" s="19">
        <v>-24.456</v>
      </c>
      <c r="K59" s="19">
        <v>-23.201000000000001</v>
      </c>
      <c r="L59" s="19">
        <v>-27.545000000000002</v>
      </c>
      <c r="M59" s="19">
        <v>-26.69</v>
      </c>
      <c r="N59" s="19">
        <v>-51.088999999999999</v>
      </c>
      <c r="O59" s="19">
        <v>-36.633000000000003</v>
      </c>
      <c r="P59" s="19">
        <v>-29.036999999999999</v>
      </c>
      <c r="Q59" s="19">
        <v>-48.488999999999997</v>
      </c>
      <c r="R59" s="19">
        <v>-39.161999999999999</v>
      </c>
      <c r="S59" s="19">
        <v>-45.16</v>
      </c>
      <c r="T59" s="19">
        <v>-34.896000000000001</v>
      </c>
      <c r="U59" s="19">
        <v>-29.327000000000002</v>
      </c>
      <c r="V59" s="19">
        <v>-38.409999999999997</v>
      </c>
      <c r="W59" s="19">
        <v>-37.789000000000001</v>
      </c>
      <c r="Y59" s="19">
        <f t="shared" si="31"/>
        <v>-86.775000000000006</v>
      </c>
      <c r="Z59" s="19">
        <f t="shared" si="32"/>
        <v>-90.335000000000008</v>
      </c>
      <c r="AA59" s="19">
        <f t="shared" si="33"/>
        <v>-141.95699999999999</v>
      </c>
      <c r="AB59" s="19">
        <f t="shared" si="34"/>
        <v>-161.84799999999998</v>
      </c>
      <c r="AC59" s="19">
        <f t="shared" si="35"/>
        <v>-140.422</v>
      </c>
    </row>
    <row r="60" spans="2:29" outlineLevel="3" x14ac:dyDescent="0.25">
      <c r="B60" s="18" t="s">
        <v>325</v>
      </c>
      <c r="C60" s="6" t="s">
        <v>46</v>
      </c>
      <c r="D60" s="19">
        <v>-3.8149999999999999</v>
      </c>
      <c r="E60" s="19">
        <v>-3.6010000000000004</v>
      </c>
      <c r="F60" s="19">
        <v>-2.84</v>
      </c>
      <c r="G60" s="19">
        <v>-3.206</v>
      </c>
      <c r="H60" s="19">
        <v>-4.2789999999999999</v>
      </c>
      <c r="I60" s="19">
        <v>-7.4039999999999999</v>
      </c>
      <c r="J60" s="19">
        <v>-8.3759999999999994</v>
      </c>
      <c r="K60" s="19">
        <v>-7.5650000000000004</v>
      </c>
      <c r="L60" s="19">
        <v>-7.0069999999999997</v>
      </c>
      <c r="M60" s="19">
        <v>-12.317</v>
      </c>
      <c r="N60" s="19">
        <v>-13.496</v>
      </c>
      <c r="O60" s="19">
        <v>-11.446999999999999</v>
      </c>
      <c r="P60" s="19">
        <v>-10.923999999999999</v>
      </c>
      <c r="Q60" s="19">
        <v>-12.571</v>
      </c>
      <c r="R60" s="19">
        <v>-12.557</v>
      </c>
      <c r="S60" s="19">
        <v>-12.689</v>
      </c>
      <c r="T60" s="19">
        <v>-12.093999999999999</v>
      </c>
      <c r="U60" s="19">
        <v>-4.57</v>
      </c>
      <c r="V60" s="19">
        <v>-5.7119999999999997</v>
      </c>
      <c r="W60" s="19">
        <v>-5.4249999999999998</v>
      </c>
      <c r="Y60" s="19">
        <f t="shared" si="31"/>
        <v>-13.462</v>
      </c>
      <c r="Z60" s="19">
        <f t="shared" si="32"/>
        <v>-27.623999999999999</v>
      </c>
      <c r="AA60" s="19">
        <f t="shared" si="33"/>
        <v>-44.266999999999996</v>
      </c>
      <c r="AB60" s="19">
        <f t="shared" si="34"/>
        <v>-48.741</v>
      </c>
      <c r="AC60" s="19">
        <f t="shared" si="35"/>
        <v>-27.801000000000002</v>
      </c>
    </row>
    <row r="61" spans="2:29" outlineLevel="3" x14ac:dyDescent="0.25">
      <c r="B61" s="18" t="s">
        <v>405</v>
      </c>
      <c r="C61" s="6" t="s">
        <v>46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-3.6970000000000001</v>
      </c>
      <c r="M61" s="19">
        <v>-3.391</v>
      </c>
      <c r="N61" s="19">
        <v>-3.117</v>
      </c>
      <c r="O61" s="19">
        <v>-4.3630000000000004</v>
      </c>
      <c r="P61" s="19">
        <v>-3.665</v>
      </c>
      <c r="Q61" s="19">
        <v>-3.73</v>
      </c>
      <c r="R61" s="19">
        <v>-3.149</v>
      </c>
      <c r="S61" s="19">
        <v>-3.1</v>
      </c>
      <c r="T61" s="19">
        <v>-4.8620000000000001</v>
      </c>
      <c r="U61" s="19">
        <v>-4.7359999999999998</v>
      </c>
      <c r="V61" s="19">
        <v>-6.7759999999999998</v>
      </c>
      <c r="W61" s="19">
        <v>-5.7309999999999999</v>
      </c>
      <c r="Y61" s="19">
        <v>0</v>
      </c>
      <c r="Z61" s="19">
        <v>0</v>
      </c>
      <c r="AA61" s="19">
        <f t="shared" si="33"/>
        <v>-14.568000000000001</v>
      </c>
      <c r="AB61" s="19">
        <f t="shared" si="34"/>
        <v>-13.644</v>
      </c>
      <c r="AC61" s="19">
        <f t="shared" si="35"/>
        <v>-22.104999999999997</v>
      </c>
    </row>
    <row r="62" spans="2:29" outlineLevel="3" x14ac:dyDescent="0.25">
      <c r="B62" s="41" t="s">
        <v>246</v>
      </c>
      <c r="C62" s="6" t="s">
        <v>46</v>
      </c>
      <c r="D62" s="19">
        <v>-12.748999999999967</v>
      </c>
      <c r="E62" s="19">
        <v>-9.5020000000000664</v>
      </c>
      <c r="F62" s="19">
        <v>-10.67999999999995</v>
      </c>
      <c r="G62" s="19">
        <v>-30.557000000000002</v>
      </c>
      <c r="H62" s="19">
        <v>-10.774000000000001</v>
      </c>
      <c r="I62" s="19">
        <v>-1.9560000000000173</v>
      </c>
      <c r="J62" s="19">
        <v>-23.439999999999998</v>
      </c>
      <c r="K62" s="19">
        <v>-14.959</v>
      </c>
      <c r="L62" s="19">
        <v>-5.3240000000000123</v>
      </c>
      <c r="M62" s="19">
        <v>-7.54</v>
      </c>
      <c r="N62" s="19">
        <v>-11.960999999999956</v>
      </c>
      <c r="O62" s="19">
        <f>-248.1-SUM(O54:O61)</f>
        <v>-3.6049999999999613</v>
      </c>
      <c r="P62" s="19">
        <v>-12.824</v>
      </c>
      <c r="Q62" s="19">
        <f>-292.146-SUM(Q54:Q61)</f>
        <v>-7.6399999999999864</v>
      </c>
      <c r="R62" s="19">
        <f>-266.734-SUM(R54:R61)</f>
        <v>4.6360000000000241</v>
      </c>
      <c r="S62" s="19">
        <v>-3.0840000000000032</v>
      </c>
      <c r="T62" s="19">
        <f>-301.073-SUM(T54:T61)</f>
        <v>-5.7209999999999468</v>
      </c>
      <c r="U62" s="19">
        <f>-255.74-SUM(U54:U61)</f>
        <v>-0.97900000000004184</v>
      </c>
      <c r="V62" s="19">
        <f>-288.96-SUM(V54:V61)</f>
        <v>-5.7730000000000246</v>
      </c>
      <c r="W62" s="19">
        <f>-330.72-SUM(W54:W61)</f>
        <v>-6.2690000000000623</v>
      </c>
      <c r="Y62" s="19">
        <f>SUM(D62:G62)</f>
        <v>-63.487999999999985</v>
      </c>
      <c r="Z62" s="19">
        <f>SUM(H62:K62)</f>
        <v>-51.129000000000019</v>
      </c>
      <c r="AA62" s="19">
        <f t="shared" si="33"/>
        <v>-28.429999999999929</v>
      </c>
      <c r="AB62" s="19">
        <f t="shared" si="34"/>
        <v>-18.911999999999964</v>
      </c>
      <c r="AC62" s="19">
        <f t="shared" si="35"/>
        <v>-18.742000000000075</v>
      </c>
    </row>
    <row r="63" spans="2:29" outlineLevel="2" x14ac:dyDescent="0.25">
      <c r="B63" s="25" t="s">
        <v>49</v>
      </c>
      <c r="C63" s="3" t="s">
        <v>46</v>
      </c>
      <c r="D63" s="14">
        <v>-41.936999999999998</v>
      </c>
      <c r="E63" s="14">
        <v>-47.726999999999997</v>
      </c>
      <c r="F63" s="14">
        <v>-55.237000000000002</v>
      </c>
      <c r="G63" s="14">
        <v>-59.311999999999998</v>
      </c>
      <c r="H63" s="14">
        <v>-67.006</v>
      </c>
      <c r="I63" s="14">
        <v>-69.688000000000002</v>
      </c>
      <c r="J63" s="14">
        <v>-77.085999999999999</v>
      </c>
      <c r="K63" s="14">
        <v>-85.191000000000003</v>
      </c>
      <c r="L63" s="14">
        <v>-92.721999999999994</v>
      </c>
      <c r="M63" s="14">
        <v>-99.733000000000004</v>
      </c>
      <c r="N63" s="14">
        <v>-109.535</v>
      </c>
      <c r="O63" s="14">
        <v>-121.755</v>
      </c>
      <c r="P63" s="14">
        <v>-130.101</v>
      </c>
      <c r="Q63" s="14">
        <v>-130.37</v>
      </c>
      <c r="R63" s="14">
        <v>-143.095</v>
      </c>
      <c r="S63" s="14">
        <v>-149.78700000000001</v>
      </c>
      <c r="T63" s="14">
        <v>-158.44399999999999</v>
      </c>
      <c r="U63" s="14">
        <v>-175.251</v>
      </c>
      <c r="V63" s="14">
        <v>-179.59</v>
      </c>
      <c r="W63" s="14">
        <v>-179.65700000000001</v>
      </c>
      <c r="Y63" s="14">
        <f>SUM(D63:G63)</f>
        <v>-204.21299999999997</v>
      </c>
      <c r="Z63" s="14">
        <f>SUM(H63:K63)</f>
        <v>-298.971</v>
      </c>
      <c r="AA63" s="14">
        <f t="shared" si="33"/>
        <v>-423.745</v>
      </c>
      <c r="AB63" s="14">
        <f t="shared" si="34"/>
        <v>-553.35300000000007</v>
      </c>
      <c r="AC63" s="14">
        <f>SUM(T63:W63)</f>
        <v>-692.94200000000001</v>
      </c>
    </row>
    <row r="64" spans="2:29" outlineLevel="2" x14ac:dyDescent="0.25">
      <c r="B64" s="25" t="s">
        <v>323</v>
      </c>
      <c r="C64" s="3" t="s">
        <v>46</v>
      </c>
      <c r="D64" s="14">
        <v>-9.6170000000000009</v>
      </c>
      <c r="E64" s="14">
        <v>-8.3689999999999998</v>
      </c>
      <c r="F64" s="14">
        <v>-15.662000000000001</v>
      </c>
      <c r="G64" s="14">
        <v>-22.713999999999999</v>
      </c>
      <c r="H64" s="14">
        <v>-2.6219999999999999</v>
      </c>
      <c r="I64" s="14">
        <v>-10.173999999999999</v>
      </c>
      <c r="J64" s="14">
        <v>-14.76</v>
      </c>
      <c r="K64" s="14">
        <v>-14.167999999999999</v>
      </c>
      <c r="L64" s="14">
        <v>-18.469000000000001</v>
      </c>
      <c r="M64" s="14">
        <v>-20.946999999999999</v>
      </c>
      <c r="N64" s="14">
        <v>-14.071</v>
      </c>
      <c r="O64" s="14">
        <v>-13.757999999999999</v>
      </c>
      <c r="P64" s="14">
        <v>-22.184999999999999</v>
      </c>
      <c r="Q64" s="14">
        <v>-33.04</v>
      </c>
      <c r="R64" s="14">
        <v>-27.981999999999999</v>
      </c>
      <c r="S64" s="14">
        <v>-27.885000000000002</v>
      </c>
      <c r="T64" s="14">
        <v>-22.268000000000001</v>
      </c>
      <c r="U64" s="14">
        <v>-32.155000000000001</v>
      </c>
      <c r="V64" s="14">
        <v>-29.565999999999999</v>
      </c>
      <c r="W64" s="14">
        <v>-21.811</v>
      </c>
      <c r="Y64" s="14">
        <f>SUM(D64:G64)</f>
        <v>-56.362000000000002</v>
      </c>
      <c r="Z64" s="14">
        <f>SUM(H64:K64)</f>
        <v>-41.723999999999997</v>
      </c>
      <c r="AA64" s="14">
        <f t="shared" si="33"/>
        <v>-67.24499999999999</v>
      </c>
      <c r="AB64" s="14">
        <f t="shared" si="34"/>
        <v>-111.092</v>
      </c>
      <c r="AC64" s="14">
        <f>SUM(T64:W64)</f>
        <v>-105.80000000000001</v>
      </c>
    </row>
    <row r="65" spans="2:29" outlineLevel="2" x14ac:dyDescent="0.25">
      <c r="B65" s="25" t="s">
        <v>321</v>
      </c>
      <c r="C65" s="3" t="s">
        <v>46</v>
      </c>
      <c r="D65" s="14">
        <v>1.1879999999999999</v>
      </c>
      <c r="E65" s="14">
        <v>1.976</v>
      </c>
      <c r="F65" s="14">
        <v>30.858000000000001</v>
      </c>
      <c r="G65" s="14">
        <v>0.49</v>
      </c>
      <c r="H65" s="14">
        <v>3.5419999999999998</v>
      </c>
      <c r="I65" s="14">
        <v>-2.5939999999999999</v>
      </c>
      <c r="J65" s="14">
        <v>14.351000000000001</v>
      </c>
      <c r="K65" s="14">
        <v>29.818999999999999</v>
      </c>
      <c r="L65" s="14">
        <v>-3.2389999999999999</v>
      </c>
      <c r="M65" s="14">
        <v>8.4730000000000008</v>
      </c>
      <c r="N65" s="14">
        <v>16.632000000000001</v>
      </c>
      <c r="O65" s="14">
        <v>11.404</v>
      </c>
      <c r="P65" s="14">
        <v>-3.75</v>
      </c>
      <c r="Q65" s="14">
        <v>-0.02</v>
      </c>
      <c r="R65" s="14">
        <v>-3.8170000000000002</v>
      </c>
      <c r="S65" s="14">
        <v>11.851000000000001</v>
      </c>
      <c r="T65" s="14">
        <v>6.3979999999999997</v>
      </c>
      <c r="U65" s="14">
        <v>6.9489999999999998</v>
      </c>
      <c r="V65" s="14">
        <v>7.218</v>
      </c>
      <c r="W65" s="14">
        <v>11.994</v>
      </c>
      <c r="Y65" s="14">
        <f>SUM(D65:G65)</f>
        <v>34.512</v>
      </c>
      <c r="Z65" s="14">
        <f>SUM(H65:K65)</f>
        <v>45.118000000000002</v>
      </c>
      <c r="AA65" s="14">
        <f t="shared" si="33"/>
        <v>33.270000000000003</v>
      </c>
      <c r="AB65" s="14">
        <f t="shared" si="34"/>
        <v>4.2640000000000011</v>
      </c>
      <c r="AC65" s="14">
        <f>SUM(T65:W65)</f>
        <v>32.558999999999997</v>
      </c>
    </row>
    <row r="66" spans="2:29" outlineLevel="1" x14ac:dyDescent="0.25">
      <c r="B66" s="24" t="s">
        <v>322</v>
      </c>
      <c r="C66" s="3" t="s">
        <v>46</v>
      </c>
      <c r="D66" s="14">
        <f t="shared" ref="D66:W66" si="36">SUM(D63:D65,D53,D51)</f>
        <v>130.19699999999989</v>
      </c>
      <c r="E66" s="14">
        <f t="shared" si="36"/>
        <v>61.704999999999814</v>
      </c>
      <c r="F66" s="14">
        <f t="shared" si="36"/>
        <v>134.69899999999987</v>
      </c>
      <c r="G66" s="14">
        <f t="shared" si="36"/>
        <v>175.31099999999992</v>
      </c>
      <c r="H66" s="14">
        <f t="shared" si="36"/>
        <v>156.88699999999983</v>
      </c>
      <c r="I66" s="14">
        <f t="shared" si="36"/>
        <v>105.94199999999978</v>
      </c>
      <c r="J66" s="14">
        <f t="shared" si="36"/>
        <v>160.8209999999998</v>
      </c>
      <c r="K66" s="14">
        <f t="shared" si="36"/>
        <v>193.80899999999997</v>
      </c>
      <c r="L66" s="14">
        <f t="shared" si="36"/>
        <v>219.17099999999988</v>
      </c>
      <c r="M66" s="14">
        <f t="shared" si="36"/>
        <v>191.3210000000002</v>
      </c>
      <c r="N66" s="14">
        <f t="shared" si="36"/>
        <v>209.5679999999997</v>
      </c>
      <c r="O66" s="14">
        <f t="shared" si="36"/>
        <v>286.66400000000004</v>
      </c>
      <c r="P66" s="14">
        <f t="shared" si="36"/>
        <v>313.80200000000008</v>
      </c>
      <c r="Q66" s="14">
        <f t="shared" si="36"/>
        <v>420.03800000000001</v>
      </c>
      <c r="R66" s="14">
        <f t="shared" si="36"/>
        <v>349.47999999999973</v>
      </c>
      <c r="S66" s="14">
        <f t="shared" si="36"/>
        <v>297.88400000000013</v>
      </c>
      <c r="T66" s="14">
        <f t="shared" si="36"/>
        <v>47.39899999999966</v>
      </c>
      <c r="U66" s="14">
        <f t="shared" si="36"/>
        <v>29.274000000000001</v>
      </c>
      <c r="V66" s="14">
        <f t="shared" si="36"/>
        <v>23.022000000000503</v>
      </c>
      <c r="W66" s="14">
        <f t="shared" si="36"/>
        <v>149.40500000000009</v>
      </c>
      <c r="Y66" s="14">
        <f t="shared" ref="Y66:AC66" si="37">SUM(Y63:Y65,Y53,Y51)</f>
        <v>501.91199999999856</v>
      </c>
      <c r="Z66" s="14">
        <f t="shared" si="37"/>
        <v>617.45900000000006</v>
      </c>
      <c r="AA66" s="14">
        <f t="shared" si="37"/>
        <v>906.72400000000061</v>
      </c>
      <c r="AB66" s="14">
        <f t="shared" si="37"/>
        <v>1381.2039999999974</v>
      </c>
      <c r="AC66" s="14">
        <f t="shared" si="37"/>
        <v>249.10000000000173</v>
      </c>
    </row>
    <row r="67" spans="2:29" outlineLevel="2" x14ac:dyDescent="0.25">
      <c r="B67" s="2" t="s">
        <v>320</v>
      </c>
      <c r="C67" s="6" t="s">
        <v>46</v>
      </c>
      <c r="D67" s="19">
        <v>25.297000000000001</v>
      </c>
      <c r="E67" s="19">
        <v>27.553999999999998</v>
      </c>
      <c r="F67" s="19">
        <v>23.616</v>
      </c>
      <c r="G67" s="19">
        <v>25.747</v>
      </c>
      <c r="H67" s="19">
        <v>25.896999999999998</v>
      </c>
      <c r="I67" s="19">
        <v>27.369</v>
      </c>
      <c r="J67" s="19">
        <v>28.091999999999999</v>
      </c>
      <c r="K67" s="19">
        <v>29.777000000000001</v>
      </c>
      <c r="L67" s="19">
        <v>32.936</v>
      </c>
      <c r="M67" s="19">
        <v>39.335000000000001</v>
      </c>
      <c r="N67" s="19">
        <v>42.255000000000003</v>
      </c>
      <c r="O67" s="19">
        <v>50.084000000000003</v>
      </c>
      <c r="P67" s="19">
        <v>47.192</v>
      </c>
      <c r="Q67" s="19">
        <v>33.478999999999999</v>
      </c>
      <c r="R67" s="19">
        <v>27.914000000000001</v>
      </c>
      <c r="S67" s="19">
        <v>38.901000000000003</v>
      </c>
      <c r="T67" s="19">
        <v>42.704999999999998</v>
      </c>
      <c r="U67" s="19">
        <v>61.585999999999999</v>
      </c>
      <c r="V67" s="19">
        <v>65.748000000000005</v>
      </c>
      <c r="W67" s="19">
        <v>51.152999999999999</v>
      </c>
      <c r="Y67" s="19">
        <f>SUM(D67:G67)</f>
        <v>102.214</v>
      </c>
      <c r="Z67" s="19">
        <f>SUM(H67:K67)</f>
        <v>111.13500000000001</v>
      </c>
      <c r="AA67" s="19">
        <f>SUM(L67:O67)</f>
        <v>164.61</v>
      </c>
      <c r="AB67" s="19">
        <f>SUM(P67:S67)</f>
        <v>147.48599999999999</v>
      </c>
      <c r="AC67" s="19">
        <f>SUM(T67:W67)</f>
        <v>221.19199999999998</v>
      </c>
    </row>
    <row r="68" spans="2:29" outlineLevel="2" x14ac:dyDescent="0.25">
      <c r="B68" s="2" t="s">
        <v>319</v>
      </c>
      <c r="C68" s="6" t="s">
        <v>46</v>
      </c>
      <c r="D68" s="19">
        <v>-48.762999999999998</v>
      </c>
      <c r="E68" s="19">
        <v>-39.406999999999996</v>
      </c>
      <c r="F68" s="19">
        <v>-74.896000000000001</v>
      </c>
      <c r="G68" s="19">
        <v>-39.762999999999998</v>
      </c>
      <c r="H68" s="19">
        <v>-59.225000000000001</v>
      </c>
      <c r="I68" s="19">
        <v>-38.585999999999999</v>
      </c>
      <c r="J68" s="19">
        <v>-38.72</v>
      </c>
      <c r="K68" s="19">
        <v>-53.588000000000001</v>
      </c>
      <c r="L68" s="19">
        <v>-68.256</v>
      </c>
      <c r="M68" s="19">
        <v>-75.941000000000003</v>
      </c>
      <c r="N68" s="19">
        <v>-92.864999999999995</v>
      </c>
      <c r="O68" s="19">
        <v>-115.095</v>
      </c>
      <c r="P68" s="19">
        <v>-79.954999999999998</v>
      </c>
      <c r="Q68" s="19">
        <v>-62.710999999999999</v>
      </c>
      <c r="R68" s="19">
        <v>-59.808999999999997</v>
      </c>
      <c r="S68" s="19">
        <v>-81.048000000000002</v>
      </c>
      <c r="T68" s="19">
        <v>-92.644000000000005</v>
      </c>
      <c r="U68" s="19">
        <v>-130.376</v>
      </c>
      <c r="V68" s="19">
        <v>-158.28399999999999</v>
      </c>
      <c r="W68" s="19">
        <v>-187.90600000000001</v>
      </c>
      <c r="Y68" s="19">
        <f>SUM(D68:G68)</f>
        <v>-202.82899999999998</v>
      </c>
      <c r="Z68" s="19">
        <f>SUM(H68:K68)</f>
        <v>-190.119</v>
      </c>
      <c r="AA68" s="19">
        <f>SUM(L68:O68)</f>
        <v>-352.15700000000004</v>
      </c>
      <c r="AB68" s="19">
        <f>SUM(P68:S68)</f>
        <v>-283.52300000000002</v>
      </c>
      <c r="AC68" s="19">
        <f>SUM(T68:W68)</f>
        <v>-569.21</v>
      </c>
    </row>
    <row r="69" spans="2:29" outlineLevel="1" x14ac:dyDescent="0.25">
      <c r="B69" s="5" t="s">
        <v>324</v>
      </c>
      <c r="C69" s="3" t="s">
        <v>46</v>
      </c>
      <c r="D69" s="14">
        <f>SUM(D66:D68)</f>
        <v>106.73099999999988</v>
      </c>
      <c r="E69" s="14">
        <f t="shared" ref="E69:W69" si="38">SUM(E66:E68)</f>
        <v>49.851999999999819</v>
      </c>
      <c r="F69" s="14">
        <f t="shared" si="38"/>
        <v>83.418999999999883</v>
      </c>
      <c r="G69" s="14">
        <f t="shared" si="38"/>
        <v>161.29499999999993</v>
      </c>
      <c r="H69" s="14">
        <f t="shared" si="38"/>
        <v>123.55899999999983</v>
      </c>
      <c r="I69" s="14">
        <f t="shared" si="38"/>
        <v>94.724999999999781</v>
      </c>
      <c r="J69" s="14">
        <f t="shared" si="38"/>
        <v>150.19299999999978</v>
      </c>
      <c r="K69" s="14">
        <f t="shared" si="38"/>
        <v>169.99799999999996</v>
      </c>
      <c r="L69" s="14">
        <f t="shared" si="38"/>
        <v>183.85099999999989</v>
      </c>
      <c r="M69" s="14">
        <f t="shared" si="38"/>
        <v>154.7150000000002</v>
      </c>
      <c r="N69" s="14">
        <f t="shared" si="38"/>
        <v>158.95799999999969</v>
      </c>
      <c r="O69" s="14">
        <f t="shared" si="38"/>
        <v>221.65300000000005</v>
      </c>
      <c r="P69" s="14">
        <f t="shared" si="38"/>
        <v>281.0390000000001</v>
      </c>
      <c r="Q69" s="14">
        <f t="shared" si="38"/>
        <v>390.80599999999998</v>
      </c>
      <c r="R69" s="14">
        <f t="shared" si="38"/>
        <v>317.5849999999997</v>
      </c>
      <c r="S69" s="14">
        <f t="shared" si="38"/>
        <v>255.73700000000014</v>
      </c>
      <c r="T69" s="14">
        <f t="shared" si="38"/>
        <v>-2.5400000000003473</v>
      </c>
      <c r="U69" s="14">
        <f t="shared" si="38"/>
        <v>-39.516000000000005</v>
      </c>
      <c r="V69" s="14">
        <f t="shared" si="38"/>
        <v>-69.513999999999484</v>
      </c>
      <c r="W69" s="14">
        <f t="shared" si="38"/>
        <v>12.652000000000072</v>
      </c>
      <c r="Y69" s="14">
        <f t="shared" ref="Y69:AC69" si="39">SUM(Y66:Y68)</f>
        <v>401.29699999999866</v>
      </c>
      <c r="Z69" s="14">
        <f t="shared" si="39"/>
        <v>538.47500000000002</v>
      </c>
      <c r="AA69" s="14">
        <f t="shared" si="39"/>
        <v>719.1770000000007</v>
      </c>
      <c r="AB69" s="14">
        <f t="shared" si="39"/>
        <v>1245.1669999999972</v>
      </c>
      <c r="AC69" s="14">
        <f t="shared" si="39"/>
        <v>-98.917999999998301</v>
      </c>
    </row>
    <row r="70" spans="2:29" outlineLevel="2" x14ac:dyDescent="0.25">
      <c r="B70" s="2" t="s">
        <v>317</v>
      </c>
      <c r="C70" s="6" t="s">
        <v>46</v>
      </c>
      <c r="D70" s="19">
        <v>-32.834000000000003</v>
      </c>
      <c r="E70" s="19">
        <v>-9.4540000000000006</v>
      </c>
      <c r="F70" s="19">
        <v>-34.247</v>
      </c>
      <c r="G70" s="19">
        <v>-35.354999999999997</v>
      </c>
      <c r="H70" s="19">
        <v>-32.281999999999996</v>
      </c>
      <c r="I70" s="19">
        <v>-33.064999999999998</v>
      </c>
      <c r="J70" s="19">
        <v>-48.073</v>
      </c>
      <c r="K70" s="19">
        <v>-17.899999999999999</v>
      </c>
      <c r="L70" s="19">
        <v>-59.459000000000003</v>
      </c>
      <c r="M70" s="19">
        <v>-52.417999999999999</v>
      </c>
      <c r="N70" s="19">
        <v>-50.265000000000001</v>
      </c>
      <c r="O70" s="19">
        <v>-106.001</v>
      </c>
      <c r="P70" s="19">
        <v>-134.22300000000001</v>
      </c>
      <c r="Q70" s="19">
        <v>-137.50700000000001</v>
      </c>
      <c r="R70" s="19">
        <v>-102.61799999999999</v>
      </c>
      <c r="S70" s="19">
        <v>-75.674000000000007</v>
      </c>
      <c r="T70" s="19">
        <v>-22.172000000000001</v>
      </c>
      <c r="U70" s="19">
        <v>-12.335000000000001</v>
      </c>
      <c r="V70" s="19">
        <v>-15.52</v>
      </c>
      <c r="W70" s="19">
        <v>-15.641</v>
      </c>
      <c r="Y70" s="19">
        <f>SUM(D70:G70)</f>
        <v>-111.88999999999999</v>
      </c>
      <c r="Z70" s="19">
        <f>SUM(H70:K70)</f>
        <v>-131.32</v>
      </c>
      <c r="AA70" s="19">
        <f>SUM(L70:O70)</f>
        <v>-268.14300000000003</v>
      </c>
      <c r="AB70" s="19">
        <f>SUM(P70:S70)</f>
        <v>-450.02200000000005</v>
      </c>
      <c r="AC70" s="19">
        <f>SUM(T70:W70)</f>
        <v>-65.668000000000006</v>
      </c>
    </row>
    <row r="71" spans="2:29" outlineLevel="2" x14ac:dyDescent="0.25">
      <c r="B71" s="2" t="s">
        <v>318</v>
      </c>
      <c r="C71" s="6" t="s">
        <v>46</v>
      </c>
      <c r="D71" s="19">
        <v>-14.525</v>
      </c>
      <c r="E71" s="19">
        <v>-15.148</v>
      </c>
      <c r="F71" s="19">
        <v>-13.35</v>
      </c>
      <c r="G71" s="19">
        <v>-8.2289999999999992</v>
      </c>
      <c r="H71" s="19">
        <v>-31.015000000000001</v>
      </c>
      <c r="I71" s="19">
        <v>-10.387</v>
      </c>
      <c r="J71" s="19">
        <v>-7.968</v>
      </c>
      <c r="K71" s="19">
        <v>-23.712</v>
      </c>
      <c r="L71" s="19">
        <v>-21.55</v>
      </c>
      <c r="M71" s="19">
        <v>-12.651</v>
      </c>
      <c r="N71" s="19">
        <v>-9.0009999999999994</v>
      </c>
      <c r="O71" s="19">
        <v>15.750999999999999</v>
      </c>
      <c r="P71" s="19">
        <v>13.587999999999999</v>
      </c>
      <c r="Q71" s="19">
        <v>-29.908000000000001</v>
      </c>
      <c r="R71" s="19">
        <v>-18.181999999999999</v>
      </c>
      <c r="S71" s="19">
        <v>-24.898</v>
      </c>
      <c r="T71" s="19">
        <v>-3.1880000000000002</v>
      </c>
      <c r="U71" s="19">
        <v>3.871</v>
      </c>
      <c r="V71" s="19">
        <v>-5.6959999999999997</v>
      </c>
      <c r="W71" s="19">
        <v>-1.9079999999999999</v>
      </c>
      <c r="Y71" s="19">
        <f>SUM(D71:G71)</f>
        <v>-51.252000000000002</v>
      </c>
      <c r="Z71" s="19">
        <f>SUM(H71:K71)</f>
        <v>-73.082000000000008</v>
      </c>
      <c r="AA71" s="19">
        <f>SUM(L71:O71)</f>
        <v>-27.451000000000001</v>
      </c>
      <c r="AB71" s="19">
        <f>SUM(P71:S71)</f>
        <v>-59.399999999999991</v>
      </c>
      <c r="AC71" s="19">
        <f>SUM(T71:W71)</f>
        <v>-6.9209999999999994</v>
      </c>
    </row>
    <row r="72" spans="2:29" outlineLevel="1" x14ac:dyDescent="0.25">
      <c r="B72" s="7" t="s">
        <v>272</v>
      </c>
      <c r="C72" s="3" t="s">
        <v>46</v>
      </c>
      <c r="D72" s="14">
        <f>SUM(D69:D71)</f>
        <v>59.371999999999879</v>
      </c>
      <c r="E72" s="14">
        <f t="shared" ref="E72:W72" si="40">SUM(E69:E71)</f>
        <v>25.249999999999819</v>
      </c>
      <c r="F72" s="14">
        <f t="shared" si="40"/>
        <v>35.821999999999882</v>
      </c>
      <c r="G72" s="14">
        <f t="shared" si="40"/>
        <v>117.71099999999994</v>
      </c>
      <c r="H72" s="14">
        <f t="shared" si="40"/>
        <v>60.26199999999983</v>
      </c>
      <c r="I72" s="14">
        <f t="shared" si="40"/>
        <v>51.272999999999783</v>
      </c>
      <c r="J72" s="14">
        <f t="shared" si="40"/>
        <v>94.151999999999774</v>
      </c>
      <c r="K72" s="14">
        <f t="shared" si="40"/>
        <v>128.38599999999997</v>
      </c>
      <c r="L72" s="14">
        <f t="shared" si="40"/>
        <v>102.84199999999989</v>
      </c>
      <c r="M72" s="14">
        <f t="shared" si="40"/>
        <v>89.6460000000002</v>
      </c>
      <c r="N72" s="14">
        <f t="shared" si="40"/>
        <v>99.69199999999968</v>
      </c>
      <c r="O72" s="14">
        <f t="shared" si="40"/>
        <v>131.40300000000005</v>
      </c>
      <c r="P72" s="14">
        <f t="shared" si="40"/>
        <v>160.40400000000008</v>
      </c>
      <c r="Q72" s="14">
        <f t="shared" si="40"/>
        <v>223.39099999999996</v>
      </c>
      <c r="R72" s="14">
        <f t="shared" si="40"/>
        <v>196.78499999999971</v>
      </c>
      <c r="S72" s="14">
        <f t="shared" si="40"/>
        <v>155.16500000000013</v>
      </c>
      <c r="T72" s="14">
        <f t="shared" si="40"/>
        <v>-27.900000000000347</v>
      </c>
      <c r="U72" s="14">
        <f t="shared" si="40"/>
        <v>-47.980000000000004</v>
      </c>
      <c r="V72" s="14">
        <f t="shared" si="40"/>
        <v>-90.729999999999478</v>
      </c>
      <c r="W72" s="14">
        <f t="shared" si="40"/>
        <v>-4.8969999999999274</v>
      </c>
      <c r="Y72" s="14">
        <f t="shared" ref="Y72:AC72" si="41">SUM(Y69:Y71)</f>
        <v>238.15499999999867</v>
      </c>
      <c r="Z72" s="14">
        <f t="shared" si="41"/>
        <v>334.07300000000004</v>
      </c>
      <c r="AA72" s="14">
        <f t="shared" si="41"/>
        <v>423.58300000000065</v>
      </c>
      <c r="AB72" s="14">
        <f t="shared" si="41"/>
        <v>735.74499999999716</v>
      </c>
      <c r="AC72" s="14">
        <f t="shared" si="41"/>
        <v>-171.5069999999983</v>
      </c>
    </row>
    <row r="73" spans="2:29" outlineLevel="1" x14ac:dyDescent="0.25">
      <c r="B73" s="8" t="s">
        <v>365</v>
      </c>
      <c r="C73" s="9" t="s">
        <v>14</v>
      </c>
      <c r="D73" s="10">
        <f t="shared" ref="D73:W73" si="42">D72/D44</f>
        <v>4.8721003896235952E-2</v>
      </c>
      <c r="E73" s="10">
        <f t="shared" si="42"/>
        <v>1.9147616368216491E-2</v>
      </c>
      <c r="F73" s="10">
        <f t="shared" si="42"/>
        <v>2.616472925545699E-2</v>
      </c>
      <c r="G73" s="10">
        <f t="shared" si="42"/>
        <v>8.4168624697357308E-2</v>
      </c>
      <c r="H73" s="10">
        <f t="shared" si="42"/>
        <v>4.1891025774707887E-2</v>
      </c>
      <c r="I73" s="10">
        <f t="shared" si="42"/>
        <v>3.3883038655595325E-2</v>
      </c>
      <c r="J73" s="10">
        <f t="shared" si="42"/>
        <v>6.0426319001828335E-2</v>
      </c>
      <c r="K73" s="10">
        <f t="shared" si="42"/>
        <v>7.899165144393902E-2</v>
      </c>
      <c r="L73" s="10">
        <f t="shared" si="42"/>
        <v>5.4117313993768471E-2</v>
      </c>
      <c r="M73" s="10">
        <f t="shared" si="42"/>
        <v>4.4032073873055341E-2</v>
      </c>
      <c r="N73" s="10">
        <f t="shared" si="42"/>
        <v>4.5843538209539576E-2</v>
      </c>
      <c r="O73" s="10">
        <f t="shared" si="42"/>
        <v>5.7093337655064198E-2</v>
      </c>
      <c r="P73" s="10">
        <f t="shared" si="42"/>
        <v>6.2671374977241207E-2</v>
      </c>
      <c r="Q73" s="10">
        <f t="shared" si="42"/>
        <v>8.5785064809886638E-2</v>
      </c>
      <c r="R73" s="10">
        <f t="shared" si="42"/>
        <v>7.292084705798639E-2</v>
      </c>
      <c r="S73" s="10">
        <f t="shared" si="42"/>
        <v>5.5196605781370055E-2</v>
      </c>
      <c r="T73" s="10">
        <f t="shared" si="42"/>
        <v>-9.6092480229576123E-3</v>
      </c>
      <c r="U73" s="10">
        <f t="shared" si="42"/>
        <v>-1.5011045539032004E-2</v>
      </c>
      <c r="V73" s="10">
        <f t="shared" si="42"/>
        <v>-2.8171253150364402E-2</v>
      </c>
      <c r="W73" s="10">
        <f t="shared" si="42"/>
        <v>-1.5003357908978385E-3</v>
      </c>
      <c r="Y73" s="10">
        <f t="shared" ref="Y73:AC73" si="43">Y72/Y44</f>
        <v>4.4893205801478875E-2</v>
      </c>
      <c r="Z73" s="10">
        <f t="shared" si="43"/>
        <v>5.4451700730389824E-2</v>
      </c>
      <c r="AA73" s="10">
        <f t="shared" si="43"/>
        <v>5.0351984721672349E-2</v>
      </c>
      <c r="AB73" s="10">
        <f t="shared" si="43"/>
        <v>6.8933432571916795E-2</v>
      </c>
      <c r="AC73" s="10">
        <f t="shared" si="43"/>
        <v>-1.3628582333262555E-2</v>
      </c>
    </row>
    <row r="75" spans="2:29" ht="15.75" x14ac:dyDescent="0.25">
      <c r="B75" s="33" t="s">
        <v>53</v>
      </c>
    </row>
    <row r="76" spans="2:29" outlineLevel="1" x14ac:dyDescent="0.25">
      <c r="B76" s="32" t="s">
        <v>6</v>
      </c>
      <c r="C76" s="17" t="s">
        <v>42</v>
      </c>
      <c r="D76" s="17" t="s">
        <v>37</v>
      </c>
      <c r="E76" s="17" t="s">
        <v>38</v>
      </c>
      <c r="F76" s="17" t="s">
        <v>39</v>
      </c>
      <c r="G76" s="17" t="s">
        <v>40</v>
      </c>
      <c r="H76" s="17" t="s">
        <v>41</v>
      </c>
      <c r="I76" s="17" t="s">
        <v>376</v>
      </c>
      <c r="J76" s="17" t="s">
        <v>384</v>
      </c>
      <c r="K76" s="17" t="s">
        <v>398</v>
      </c>
      <c r="L76" s="17" t="s">
        <v>406</v>
      </c>
      <c r="M76" s="17" t="s">
        <v>421</v>
      </c>
      <c r="N76" s="17" t="s">
        <v>423</v>
      </c>
      <c r="O76" s="17" t="s">
        <v>426</v>
      </c>
      <c r="P76" s="17" t="s">
        <v>430</v>
      </c>
      <c r="Q76" s="17" t="s">
        <v>432</v>
      </c>
      <c r="R76" s="17" t="s">
        <v>560</v>
      </c>
      <c r="S76" s="17" t="s">
        <v>572</v>
      </c>
      <c r="T76" s="17" t="s">
        <v>575</v>
      </c>
      <c r="U76" s="17" t="s">
        <v>590</v>
      </c>
      <c r="V76" s="17" t="s">
        <v>594</v>
      </c>
      <c r="W76" s="17" t="s">
        <v>603</v>
      </c>
      <c r="Y76" s="17">
        <v>2017</v>
      </c>
      <c r="Z76" s="17">
        <v>2018</v>
      </c>
      <c r="AA76" s="17">
        <v>2019</v>
      </c>
      <c r="AB76" s="17">
        <v>2020</v>
      </c>
      <c r="AC76" s="17">
        <v>2021</v>
      </c>
    </row>
    <row r="77" spans="2:29" outlineLevel="1" x14ac:dyDescent="0.25">
      <c r="B77" s="3" t="s">
        <v>54</v>
      </c>
      <c r="C77" s="3" t="s">
        <v>46</v>
      </c>
      <c r="D77" s="12">
        <f t="shared" ref="D77:W77" si="44">SUM(D78,D86)</f>
        <v>3572.4840000000004</v>
      </c>
      <c r="E77" s="12">
        <f t="shared" si="44"/>
        <v>3901.2069999999994</v>
      </c>
      <c r="F77" s="12">
        <f t="shared" si="44"/>
        <v>4243.7749999999996</v>
      </c>
      <c r="G77" s="12">
        <f t="shared" si="44"/>
        <v>4821.7919999999995</v>
      </c>
      <c r="H77" s="12">
        <f t="shared" si="44"/>
        <v>4731.7950000000001</v>
      </c>
      <c r="I77" s="12">
        <f t="shared" si="44"/>
        <v>5070.3580000000002</v>
      </c>
      <c r="J77" s="12">
        <f t="shared" si="44"/>
        <v>5164.674</v>
      </c>
      <c r="K77" s="12">
        <f t="shared" si="44"/>
        <v>5755.866</v>
      </c>
      <c r="L77" s="12">
        <f t="shared" si="44"/>
        <v>8148.7620000000006</v>
      </c>
      <c r="M77" s="12">
        <f t="shared" si="44"/>
        <v>8608.4979999999996</v>
      </c>
      <c r="N77" s="12">
        <f t="shared" si="44"/>
        <v>9587.6899999999987</v>
      </c>
      <c r="O77" s="12">
        <f t="shared" si="44"/>
        <v>13148.039999999999</v>
      </c>
      <c r="P77" s="12">
        <f t="shared" si="44"/>
        <v>13344.385999999999</v>
      </c>
      <c r="Q77" s="12">
        <f t="shared" si="44"/>
        <v>14304.751</v>
      </c>
      <c r="R77" s="12">
        <f t="shared" si="44"/>
        <v>15860.916000000001</v>
      </c>
      <c r="S77" s="12">
        <f t="shared" si="44"/>
        <v>16353.539000000001</v>
      </c>
      <c r="T77" s="12">
        <f t="shared" si="44"/>
        <v>16589.251</v>
      </c>
      <c r="U77" s="12">
        <f t="shared" si="44"/>
        <v>17460.101999999999</v>
      </c>
      <c r="V77" s="12">
        <f t="shared" si="44"/>
        <v>17466.021000000001</v>
      </c>
      <c r="W77" s="12">
        <f t="shared" si="44"/>
        <v>19013.27</v>
      </c>
      <c r="Y77" s="12">
        <f t="shared" ref="Y77:AC77" si="45">SUM(Y78,Y86)</f>
        <v>4821.7919999999995</v>
      </c>
      <c r="Z77" s="12">
        <f t="shared" si="45"/>
        <v>5755.866</v>
      </c>
      <c r="AA77" s="12">
        <f t="shared" si="45"/>
        <v>13148.039999999999</v>
      </c>
      <c r="AB77" s="12">
        <f t="shared" si="45"/>
        <v>16353.539000000001</v>
      </c>
      <c r="AC77" s="12">
        <f t="shared" si="45"/>
        <v>16636.421000000002</v>
      </c>
    </row>
    <row r="78" spans="2:29" outlineLevel="1" x14ac:dyDescent="0.25">
      <c r="B78" s="5" t="s">
        <v>55</v>
      </c>
      <c r="C78" s="3" t="s">
        <v>46</v>
      </c>
      <c r="D78" s="14">
        <f t="shared" ref="D78:I78" si="46">SUM(D79:D85)</f>
        <v>1124.8310000000001</v>
      </c>
      <c r="E78" s="14">
        <f t="shared" si="46"/>
        <v>1224.088</v>
      </c>
      <c r="F78" s="14">
        <f t="shared" si="46"/>
        <v>1306.3440000000001</v>
      </c>
      <c r="G78" s="14">
        <f t="shared" si="46"/>
        <v>1873.761</v>
      </c>
      <c r="H78" s="14">
        <f t="shared" si="46"/>
        <v>1617.5299999999997</v>
      </c>
      <c r="I78" s="14">
        <f t="shared" si="46"/>
        <v>1907.9980000000003</v>
      </c>
      <c r="J78" s="14">
        <f t="shared" ref="J78:W78" si="47">SUM(J79:J85)</f>
        <v>1979.8720000000001</v>
      </c>
      <c r="K78" s="14">
        <f t="shared" si="47"/>
        <v>2296.2430000000004</v>
      </c>
      <c r="L78" s="14">
        <f t="shared" si="47"/>
        <v>2451.0930000000003</v>
      </c>
      <c r="M78" s="14">
        <f t="shared" si="47"/>
        <v>2263.64</v>
      </c>
      <c r="N78" s="14">
        <f t="shared" si="47"/>
        <v>3011.1629999999996</v>
      </c>
      <c r="O78" s="14">
        <f t="shared" si="47"/>
        <v>5973.3809999999994</v>
      </c>
      <c r="P78" s="14">
        <f t="shared" si="47"/>
        <v>2816.4769999999999</v>
      </c>
      <c r="Q78" s="14">
        <f t="shared" si="47"/>
        <v>3593.3069999999998</v>
      </c>
      <c r="R78" s="14">
        <f t="shared" si="47"/>
        <v>4832.0540000000001</v>
      </c>
      <c r="S78" s="14">
        <f t="shared" si="47"/>
        <v>5118.9640000000009</v>
      </c>
      <c r="T78" s="14">
        <f t="shared" si="47"/>
        <v>4686.7979999999998</v>
      </c>
      <c r="U78" s="14">
        <f t="shared" si="47"/>
        <v>4091.5169999999998</v>
      </c>
      <c r="V78" s="14">
        <f t="shared" si="47"/>
        <v>3660.2840000000001</v>
      </c>
      <c r="W78" s="14">
        <f t="shared" si="47"/>
        <v>4733.9679999999998</v>
      </c>
      <c r="Y78" s="14">
        <f t="shared" ref="Y78:AC78" si="48">SUM(Y79:Y85)</f>
        <v>1873.761</v>
      </c>
      <c r="Z78" s="14">
        <f t="shared" si="48"/>
        <v>2296.2430000000004</v>
      </c>
      <c r="AA78" s="14">
        <f t="shared" si="48"/>
        <v>5973.3809999999994</v>
      </c>
      <c r="AB78" s="14">
        <f t="shared" si="48"/>
        <v>5118.9640000000009</v>
      </c>
      <c r="AC78" s="14">
        <f t="shared" si="48"/>
        <v>4733.9679999999998</v>
      </c>
    </row>
    <row r="79" spans="2:29" outlineLevel="2" x14ac:dyDescent="0.25">
      <c r="B79" s="2" t="s">
        <v>57</v>
      </c>
      <c r="C79" s="6" t="s">
        <v>46</v>
      </c>
      <c r="D79" s="19">
        <v>25.116</v>
      </c>
      <c r="E79" s="19">
        <v>37.863999999999997</v>
      </c>
      <c r="F79" s="19">
        <v>23.271999999999998</v>
      </c>
      <c r="G79" s="19">
        <v>27.821999999999999</v>
      </c>
      <c r="H79" s="19">
        <v>35.569000000000003</v>
      </c>
      <c r="I79" s="19">
        <v>63.26</v>
      </c>
      <c r="J79" s="19">
        <v>34.478999999999999</v>
      </c>
      <c r="K79" s="19">
        <v>136.834</v>
      </c>
      <c r="L79" s="19">
        <v>191.18299999999999</v>
      </c>
      <c r="M79" s="19">
        <v>63.713999999999999</v>
      </c>
      <c r="N79" s="19">
        <v>271.01400000000001</v>
      </c>
      <c r="O79" s="19">
        <v>3514.4389999999999</v>
      </c>
      <c r="P79" s="19">
        <v>231.34</v>
      </c>
      <c r="Q79" s="19">
        <v>322.01400000000001</v>
      </c>
      <c r="R79" s="19">
        <v>1390.854</v>
      </c>
      <c r="S79" s="19">
        <v>2563.7510000000002</v>
      </c>
      <c r="T79" s="19">
        <v>2007.3009999999999</v>
      </c>
      <c r="U79" s="19">
        <v>479.84399999999999</v>
      </c>
      <c r="V79" s="19">
        <v>500.67399999999998</v>
      </c>
      <c r="W79" s="19">
        <v>1667.835</v>
      </c>
      <c r="Y79" s="19">
        <f t="shared" ref="Y79:Y85" si="49">G79</f>
        <v>27.821999999999999</v>
      </c>
      <c r="Z79" s="19">
        <f t="shared" ref="Z79:Z85" si="50">K79</f>
        <v>136.834</v>
      </c>
      <c r="AA79" s="19">
        <f t="shared" ref="AA79:AA85" si="51">O79</f>
        <v>3514.4389999999999</v>
      </c>
      <c r="AB79" s="19">
        <f t="shared" ref="AB79:AB95" si="52">S79</f>
        <v>2563.7510000000002</v>
      </c>
      <c r="AC79" s="19">
        <f>W79</f>
        <v>1667.835</v>
      </c>
    </row>
    <row r="80" spans="2:29" outlineLevel="2" x14ac:dyDescent="0.25">
      <c r="B80" s="2" t="s">
        <v>58</v>
      </c>
      <c r="C80" s="6" t="s">
        <v>46</v>
      </c>
      <c r="D80" s="19">
        <v>642.976</v>
      </c>
      <c r="E80" s="19">
        <v>612.56899999999996</v>
      </c>
      <c r="F80" s="19">
        <v>665.995</v>
      </c>
      <c r="G80" s="19">
        <v>1230.2329999999999</v>
      </c>
      <c r="H80" s="19">
        <v>897.39099999999996</v>
      </c>
      <c r="I80" s="19">
        <v>1076.28</v>
      </c>
      <c r="J80" s="19">
        <v>1171.4069999999999</v>
      </c>
      <c r="K80" s="19">
        <v>1234.0640000000001</v>
      </c>
      <c r="L80" s="19">
        <v>1294.5029999999999</v>
      </c>
      <c r="M80" s="19">
        <v>1065.5450000000001</v>
      </c>
      <c r="N80" s="19">
        <v>1531.2729999999999</v>
      </c>
      <c r="O80" s="19">
        <v>1285.126</v>
      </c>
      <c r="P80" s="19">
        <v>1177.1990000000001</v>
      </c>
      <c r="Q80" s="19">
        <v>1665.298</v>
      </c>
      <c r="R80" s="19">
        <v>1629.462</v>
      </c>
      <c r="S80" s="19">
        <v>1001.019</v>
      </c>
      <c r="T80" s="19">
        <v>1028.624</v>
      </c>
      <c r="U80" s="19">
        <v>1721.6690000000001</v>
      </c>
      <c r="V80" s="19">
        <v>1332.3150000000001</v>
      </c>
      <c r="W80" s="19">
        <v>1223.1659999999999</v>
      </c>
      <c r="Y80" s="19">
        <f t="shared" si="49"/>
        <v>1230.2329999999999</v>
      </c>
      <c r="Z80" s="19">
        <f t="shared" si="50"/>
        <v>1234.0640000000001</v>
      </c>
      <c r="AA80" s="19">
        <f t="shared" si="51"/>
        <v>1285.126</v>
      </c>
      <c r="AB80" s="19">
        <f t="shared" si="52"/>
        <v>1001.019</v>
      </c>
      <c r="AC80" s="19">
        <f t="shared" ref="AC80:AC95" si="53">W80</f>
        <v>1223.1659999999999</v>
      </c>
    </row>
    <row r="81" spans="2:29" outlineLevel="2" x14ac:dyDescent="0.25">
      <c r="B81" s="2" t="s">
        <v>59</v>
      </c>
      <c r="C81" s="6" t="s">
        <v>46</v>
      </c>
      <c r="D81" s="19">
        <v>185.858</v>
      </c>
      <c r="E81" s="19">
        <v>234.58</v>
      </c>
      <c r="F81" s="19">
        <v>247.761</v>
      </c>
      <c r="G81" s="19">
        <v>266.411</v>
      </c>
      <c r="H81" s="19">
        <v>268.11900000000003</v>
      </c>
      <c r="I81" s="19">
        <v>304.83999999999997</v>
      </c>
      <c r="J81" s="19">
        <v>312.16699999999997</v>
      </c>
      <c r="K81" s="19">
        <v>332.322</v>
      </c>
      <c r="L81" s="19">
        <v>377.05</v>
      </c>
      <c r="M81" s="19">
        <v>458.06400000000002</v>
      </c>
      <c r="N81" s="19">
        <v>447.31200000000001</v>
      </c>
      <c r="O81" s="19">
        <v>492.76900000000001</v>
      </c>
      <c r="P81" s="19">
        <v>567.35799999999995</v>
      </c>
      <c r="Q81" s="19">
        <v>515.79999999999995</v>
      </c>
      <c r="R81" s="19">
        <v>589.27700000000004</v>
      </c>
      <c r="S81" s="19">
        <v>637.76300000000003</v>
      </c>
      <c r="T81" s="19">
        <v>621.58699999999999</v>
      </c>
      <c r="U81" s="19">
        <v>702.15300000000002</v>
      </c>
      <c r="V81" s="19">
        <v>655.55399999999997</v>
      </c>
      <c r="W81" s="19">
        <v>662.21600000000001</v>
      </c>
      <c r="Y81" s="19">
        <f t="shared" si="49"/>
        <v>266.411</v>
      </c>
      <c r="Z81" s="19">
        <f t="shared" si="50"/>
        <v>332.322</v>
      </c>
      <c r="AA81" s="19">
        <f t="shared" si="51"/>
        <v>492.76900000000001</v>
      </c>
      <c r="AB81" s="19">
        <f t="shared" si="52"/>
        <v>637.76300000000003</v>
      </c>
      <c r="AC81" s="19">
        <f t="shared" si="53"/>
        <v>662.21600000000001</v>
      </c>
    </row>
    <row r="82" spans="2:29" outlineLevel="2" x14ac:dyDescent="0.25">
      <c r="B82" s="2" t="s">
        <v>247</v>
      </c>
      <c r="C82" s="6" t="s">
        <v>46</v>
      </c>
      <c r="D82" s="19">
        <v>24.010999999999999</v>
      </c>
      <c r="E82" s="19">
        <v>29.091999999999999</v>
      </c>
      <c r="F82" s="19">
        <v>28.698</v>
      </c>
      <c r="G82" s="19">
        <v>28.762</v>
      </c>
      <c r="H82" s="19">
        <v>25.831</v>
      </c>
      <c r="I82" s="19">
        <v>28.611000000000001</v>
      </c>
      <c r="J82" s="19">
        <v>29.638000000000002</v>
      </c>
      <c r="K82" s="19">
        <v>37.695999999999998</v>
      </c>
      <c r="L82" s="19">
        <v>40.832000000000001</v>
      </c>
      <c r="M82" s="19">
        <v>55.165999999999997</v>
      </c>
      <c r="N82" s="19">
        <v>50.469000000000001</v>
      </c>
      <c r="O82" s="19">
        <v>50.771000000000001</v>
      </c>
      <c r="P82" s="19">
        <v>77.963999999999999</v>
      </c>
      <c r="Q82" s="19">
        <v>114.10599999999999</v>
      </c>
      <c r="R82" s="19">
        <v>90.084000000000003</v>
      </c>
      <c r="S82" s="19">
        <v>100.52</v>
      </c>
      <c r="T82" s="19">
        <v>124.813</v>
      </c>
      <c r="U82" s="19">
        <v>185.726</v>
      </c>
      <c r="V82" s="19">
        <v>166.02600000000001</v>
      </c>
      <c r="W82" s="19">
        <v>145.477</v>
      </c>
      <c r="Y82" s="19">
        <f t="shared" si="49"/>
        <v>28.762</v>
      </c>
      <c r="Z82" s="19">
        <f t="shared" si="50"/>
        <v>37.695999999999998</v>
      </c>
      <c r="AA82" s="19">
        <f t="shared" si="51"/>
        <v>50.771000000000001</v>
      </c>
      <c r="AB82" s="19">
        <f t="shared" si="52"/>
        <v>100.52</v>
      </c>
      <c r="AC82" s="19">
        <f t="shared" si="53"/>
        <v>145.477</v>
      </c>
    </row>
    <row r="83" spans="2:29" outlineLevel="2" x14ac:dyDescent="0.25">
      <c r="B83" s="2" t="s">
        <v>248</v>
      </c>
      <c r="C83" s="6" t="s">
        <v>46</v>
      </c>
      <c r="D83" s="19">
        <v>56.389000000000003</v>
      </c>
      <c r="E83" s="19">
        <v>73.616</v>
      </c>
      <c r="F83" s="19">
        <v>90.942999999999998</v>
      </c>
      <c r="G83" s="19">
        <v>105.96</v>
      </c>
      <c r="H83" s="19">
        <v>117.956</v>
      </c>
      <c r="I83" s="19">
        <v>126.544</v>
      </c>
      <c r="J83" s="19">
        <v>135.76400000000001</v>
      </c>
      <c r="K83" s="19">
        <v>143.583</v>
      </c>
      <c r="L83" s="19">
        <v>150.935</v>
      </c>
      <c r="M83" s="19">
        <v>155.88999999999999</v>
      </c>
      <c r="N83" s="19">
        <v>172.786</v>
      </c>
      <c r="O83" s="19">
        <v>186.08500000000001</v>
      </c>
      <c r="P83" s="19">
        <v>193.55199999999999</v>
      </c>
      <c r="Q83" s="19">
        <v>214.96299999999999</v>
      </c>
      <c r="R83" s="19">
        <v>233.42500000000001</v>
      </c>
      <c r="S83" s="19">
        <v>244.00899999999999</v>
      </c>
      <c r="T83" s="19">
        <v>245.31899999999999</v>
      </c>
      <c r="U83" s="19">
        <v>256.01499999999999</v>
      </c>
      <c r="V83" s="19">
        <v>260.41399999999999</v>
      </c>
      <c r="W83" s="19">
        <v>266.58100000000002</v>
      </c>
      <c r="Y83" s="19">
        <f t="shared" si="49"/>
        <v>105.96</v>
      </c>
      <c r="Z83" s="19">
        <f t="shared" si="50"/>
        <v>143.583</v>
      </c>
      <c r="AA83" s="19">
        <f t="shared" si="51"/>
        <v>186.08500000000001</v>
      </c>
      <c r="AB83" s="19">
        <f t="shared" si="52"/>
        <v>244.00899999999999</v>
      </c>
      <c r="AC83" s="19">
        <f t="shared" si="53"/>
        <v>266.58100000000002</v>
      </c>
    </row>
    <row r="84" spans="2:29" outlineLevel="2" x14ac:dyDescent="0.25">
      <c r="B84" s="2" t="s">
        <v>249</v>
      </c>
      <c r="C84" s="6" t="s">
        <v>46</v>
      </c>
      <c r="D84" s="19">
        <v>60.915999999999997</v>
      </c>
      <c r="E84" s="19">
        <v>70.757999999999996</v>
      </c>
      <c r="F84" s="19">
        <v>88.454999999999998</v>
      </c>
      <c r="G84" s="19">
        <v>39.305999999999997</v>
      </c>
      <c r="H84" s="19">
        <v>74.272999999999996</v>
      </c>
      <c r="I84" s="19">
        <v>104.553</v>
      </c>
      <c r="J84" s="19">
        <v>77.543999999999997</v>
      </c>
      <c r="K84" s="19">
        <v>61.841000000000001</v>
      </c>
      <c r="L84" s="19">
        <v>96.19</v>
      </c>
      <c r="M84" s="19">
        <v>142.989</v>
      </c>
      <c r="N84" s="19">
        <v>219.97300000000001</v>
      </c>
      <c r="O84" s="19">
        <v>121.029</v>
      </c>
      <c r="P84" s="19">
        <v>181.49700000000001</v>
      </c>
      <c r="Q84" s="19">
        <v>353.709</v>
      </c>
      <c r="R84" s="19">
        <v>439.94299999999998</v>
      </c>
      <c r="S84" s="19">
        <v>113.63</v>
      </c>
      <c r="T84" s="19">
        <v>125.56100000000001</v>
      </c>
      <c r="U84" s="19">
        <v>163.61500000000001</v>
      </c>
      <c r="V84" s="19">
        <v>181.1</v>
      </c>
      <c r="W84" s="19">
        <v>147.10300000000001</v>
      </c>
      <c r="Y84" s="19">
        <f t="shared" si="49"/>
        <v>39.305999999999997</v>
      </c>
      <c r="Z84" s="19">
        <f t="shared" si="50"/>
        <v>61.841000000000001</v>
      </c>
      <c r="AA84" s="19">
        <f t="shared" si="51"/>
        <v>121.029</v>
      </c>
      <c r="AB84" s="19">
        <f t="shared" si="52"/>
        <v>113.63</v>
      </c>
      <c r="AC84" s="19">
        <f t="shared" si="53"/>
        <v>147.10300000000001</v>
      </c>
    </row>
    <row r="85" spans="2:29" outlineLevel="2" x14ac:dyDescent="0.25">
      <c r="B85" s="2" t="s">
        <v>250</v>
      </c>
      <c r="C85" s="6" t="s">
        <v>46</v>
      </c>
      <c r="D85" s="19">
        <v>129.565</v>
      </c>
      <c r="E85" s="19">
        <v>165.60900000000001</v>
      </c>
      <c r="F85" s="19">
        <v>161.22</v>
      </c>
      <c r="G85" s="19">
        <v>175.267</v>
      </c>
      <c r="H85" s="19">
        <v>198.39099999999999</v>
      </c>
      <c r="I85" s="19">
        <v>203.91</v>
      </c>
      <c r="J85" s="19">
        <v>218.87299999999999</v>
      </c>
      <c r="K85" s="19">
        <v>349.90300000000002</v>
      </c>
      <c r="L85" s="19">
        <v>300.39999999999998</v>
      </c>
      <c r="M85" s="19">
        <v>322.27199999999999</v>
      </c>
      <c r="N85" s="19">
        <v>318.33600000000001</v>
      </c>
      <c r="O85" s="19">
        <v>323.16199999999998</v>
      </c>
      <c r="P85" s="19">
        <v>387.56700000000001</v>
      </c>
      <c r="Q85" s="19">
        <v>407.41699999999997</v>
      </c>
      <c r="R85" s="19">
        <v>459.00900000000001</v>
      </c>
      <c r="S85" s="19">
        <v>458.27199999999999</v>
      </c>
      <c r="T85" s="19">
        <v>533.59299999999996</v>
      </c>
      <c r="U85" s="19">
        <v>582.495</v>
      </c>
      <c r="V85" s="19">
        <v>564.20100000000002</v>
      </c>
      <c r="W85" s="19">
        <v>621.59</v>
      </c>
      <c r="Y85" s="19">
        <f t="shared" si="49"/>
        <v>175.267</v>
      </c>
      <c r="Z85" s="19">
        <f t="shared" si="50"/>
        <v>349.90300000000002</v>
      </c>
      <c r="AA85" s="19">
        <f t="shared" si="51"/>
        <v>323.16199999999998</v>
      </c>
      <c r="AB85" s="19">
        <f t="shared" si="52"/>
        <v>458.27199999999999</v>
      </c>
      <c r="AC85" s="19">
        <f t="shared" si="53"/>
        <v>621.59</v>
      </c>
    </row>
    <row r="86" spans="2:29" outlineLevel="1" x14ac:dyDescent="0.25">
      <c r="B86" s="5" t="s">
        <v>251</v>
      </c>
      <c r="C86" s="3" t="s">
        <v>46</v>
      </c>
      <c r="D86" s="14">
        <f t="shared" ref="D86:W86" si="54">SUM(D87:D95)</f>
        <v>2447.6530000000002</v>
      </c>
      <c r="E86" s="14">
        <f t="shared" si="54"/>
        <v>2677.1189999999997</v>
      </c>
      <c r="F86" s="14">
        <f t="shared" si="54"/>
        <v>2937.4309999999996</v>
      </c>
      <c r="G86" s="14">
        <f t="shared" si="54"/>
        <v>2948.0309999999999</v>
      </c>
      <c r="H86" s="14">
        <f t="shared" si="54"/>
        <v>3114.2650000000003</v>
      </c>
      <c r="I86" s="14">
        <f t="shared" si="54"/>
        <v>3162.3599999999997</v>
      </c>
      <c r="J86" s="14">
        <f t="shared" si="54"/>
        <v>3184.8020000000001</v>
      </c>
      <c r="K86" s="14">
        <f t="shared" si="54"/>
        <v>3459.623</v>
      </c>
      <c r="L86" s="14">
        <f t="shared" si="54"/>
        <v>5697.6689999999999</v>
      </c>
      <c r="M86" s="14">
        <f t="shared" si="54"/>
        <v>6344.8580000000002</v>
      </c>
      <c r="N86" s="14">
        <f t="shared" si="54"/>
        <v>6576.527</v>
      </c>
      <c r="O86" s="14">
        <f t="shared" si="54"/>
        <v>7174.6589999999997</v>
      </c>
      <c r="P86" s="14">
        <f t="shared" si="54"/>
        <v>10527.909</v>
      </c>
      <c r="Q86" s="14">
        <f t="shared" si="54"/>
        <v>10711.444</v>
      </c>
      <c r="R86" s="14">
        <f t="shared" si="54"/>
        <v>11028.862000000001</v>
      </c>
      <c r="S86" s="14">
        <f t="shared" si="54"/>
        <v>11234.575000000001</v>
      </c>
      <c r="T86" s="14">
        <f t="shared" si="54"/>
        <v>11902.453000000001</v>
      </c>
      <c r="U86" s="14">
        <f t="shared" si="54"/>
        <v>13368.584999999999</v>
      </c>
      <c r="V86" s="14">
        <f t="shared" si="54"/>
        <v>13805.737000000001</v>
      </c>
      <c r="W86" s="14">
        <f t="shared" si="54"/>
        <v>14279.302</v>
      </c>
      <c r="Y86" s="14">
        <f t="shared" ref="Y86:AA86" si="55">SUM(Y87:Y95)</f>
        <v>2948.0309999999999</v>
      </c>
      <c r="Z86" s="14">
        <f t="shared" si="55"/>
        <v>3459.623</v>
      </c>
      <c r="AA86" s="14">
        <f t="shared" si="55"/>
        <v>7174.6589999999997</v>
      </c>
      <c r="AB86" s="14">
        <f t="shared" si="52"/>
        <v>11234.575000000001</v>
      </c>
      <c r="AC86" s="14">
        <f>T86</f>
        <v>11902.453000000001</v>
      </c>
    </row>
    <row r="87" spans="2:29" outlineLevel="2" x14ac:dyDescent="0.25">
      <c r="B87" s="2" t="s">
        <v>61</v>
      </c>
      <c r="C87" s="6" t="s">
        <v>46</v>
      </c>
      <c r="D87" s="19">
        <v>25.507000000000001</v>
      </c>
      <c r="E87" s="19">
        <v>26.143999999999998</v>
      </c>
      <c r="F87" s="19">
        <v>48.869</v>
      </c>
      <c r="G87" s="19">
        <v>49.271000000000001</v>
      </c>
      <c r="H87" s="19">
        <v>50.036000000000001</v>
      </c>
      <c r="I87" s="19">
        <v>50.798000000000002</v>
      </c>
      <c r="J87" s="19">
        <v>51.585000000000001</v>
      </c>
      <c r="K87" s="19">
        <v>28.478000000000002</v>
      </c>
      <c r="L87" s="19">
        <v>28.916</v>
      </c>
      <c r="M87" s="19">
        <v>29.128</v>
      </c>
      <c r="N87" s="19">
        <v>29.577999999999999</v>
      </c>
      <c r="O87" s="19">
        <v>0</v>
      </c>
      <c r="P87" s="19">
        <v>150.06299999999999</v>
      </c>
      <c r="Q87" s="19">
        <v>151.1</v>
      </c>
      <c r="R87" s="19">
        <v>151.85599999999999</v>
      </c>
      <c r="S87" s="19">
        <v>152.64699999999999</v>
      </c>
      <c r="T87" s="19">
        <v>159.197</v>
      </c>
      <c r="U87" s="19">
        <v>256.29199999999997</v>
      </c>
      <c r="V87" s="19">
        <v>244.84399999999999</v>
      </c>
      <c r="W87" s="19">
        <v>242.69</v>
      </c>
      <c r="Y87" s="19">
        <f t="shared" ref="Y87:Y93" si="56">G87</f>
        <v>49.271000000000001</v>
      </c>
      <c r="Z87" s="19">
        <f t="shared" ref="Z87:Z93" si="57">K87</f>
        <v>28.478000000000002</v>
      </c>
      <c r="AA87" s="19">
        <f t="shared" ref="AA87:AA95" si="58">O87</f>
        <v>0</v>
      </c>
      <c r="AB87" s="19">
        <f t="shared" si="52"/>
        <v>152.64699999999999</v>
      </c>
      <c r="AC87" s="19">
        <f t="shared" si="53"/>
        <v>242.69</v>
      </c>
    </row>
    <row r="88" spans="2:29" outlineLevel="2" x14ac:dyDescent="0.25">
      <c r="B88" s="2" t="s">
        <v>252</v>
      </c>
      <c r="C88" s="6" t="s">
        <v>46</v>
      </c>
      <c r="D88" s="19">
        <v>304.08499999999998</v>
      </c>
      <c r="E88" s="19">
        <v>296.04899999999998</v>
      </c>
      <c r="F88" s="19">
        <v>285.81700000000001</v>
      </c>
      <c r="G88" s="19">
        <v>274.86500000000001</v>
      </c>
      <c r="H88" s="19">
        <v>264.30599999999998</v>
      </c>
      <c r="I88" s="19">
        <v>242.86199999999999</v>
      </c>
      <c r="J88" s="19">
        <v>234.523</v>
      </c>
      <c r="K88" s="19">
        <v>215.358</v>
      </c>
      <c r="L88" s="19">
        <v>238.99600000000001</v>
      </c>
      <c r="M88" s="19">
        <v>283.64</v>
      </c>
      <c r="N88" s="19">
        <v>295.34399999999999</v>
      </c>
      <c r="O88" s="19">
        <v>312.41199999999998</v>
      </c>
      <c r="P88" s="19">
        <v>361.16500000000002</v>
      </c>
      <c r="Q88" s="19">
        <v>379.96499999999997</v>
      </c>
      <c r="R88" s="19">
        <v>383.22899999999998</v>
      </c>
      <c r="S88" s="19">
        <v>386.64699999999999</v>
      </c>
      <c r="T88" s="19">
        <v>471.488</v>
      </c>
      <c r="U88" s="19">
        <v>442.28899999999999</v>
      </c>
      <c r="V88" s="19">
        <v>489.46899999999999</v>
      </c>
      <c r="W88" s="19">
        <v>676.26199999999994</v>
      </c>
      <c r="Y88" s="19">
        <f t="shared" si="56"/>
        <v>274.86500000000001</v>
      </c>
      <c r="Z88" s="19">
        <f t="shared" si="57"/>
        <v>215.358</v>
      </c>
      <c r="AA88" s="19">
        <f t="shared" si="58"/>
        <v>312.41199999999998</v>
      </c>
      <c r="AB88" s="19">
        <f t="shared" si="52"/>
        <v>386.64699999999999</v>
      </c>
      <c r="AC88" s="19">
        <f t="shared" si="53"/>
        <v>676.26199999999994</v>
      </c>
    </row>
    <row r="89" spans="2:29" outlineLevel="2" x14ac:dyDescent="0.25">
      <c r="B89" s="2" t="s">
        <v>248</v>
      </c>
      <c r="C89" s="6" t="s">
        <v>46</v>
      </c>
      <c r="D89" s="19">
        <v>80.346000000000004</v>
      </c>
      <c r="E89" s="19">
        <v>98.834999999999994</v>
      </c>
      <c r="F89" s="19">
        <v>112.188</v>
      </c>
      <c r="G89" s="19">
        <v>116.88500000000001</v>
      </c>
      <c r="H89" s="19">
        <v>115.05</v>
      </c>
      <c r="I89" s="19">
        <v>110.12</v>
      </c>
      <c r="J89" s="19">
        <v>110.105</v>
      </c>
      <c r="K89" s="19">
        <v>112.727</v>
      </c>
      <c r="L89" s="19">
        <v>111.34699999999999</v>
      </c>
      <c r="M89" s="19">
        <v>122.562</v>
      </c>
      <c r="N89" s="19">
        <v>150.52500000000001</v>
      </c>
      <c r="O89" s="19">
        <v>178.74799999999999</v>
      </c>
      <c r="P89" s="19">
        <v>195.60300000000001</v>
      </c>
      <c r="Q89" s="19">
        <v>213.84800000000001</v>
      </c>
      <c r="R89" s="19">
        <v>225.834</v>
      </c>
      <c r="S89" s="19">
        <v>229.55799999999999</v>
      </c>
      <c r="T89" s="19">
        <v>221.98400000000001</v>
      </c>
      <c r="U89" s="19">
        <v>223.124</v>
      </c>
      <c r="V89" s="19">
        <v>217.34</v>
      </c>
      <c r="W89" s="19">
        <v>219.208</v>
      </c>
      <c r="Y89" s="19">
        <f t="shared" si="56"/>
        <v>116.88500000000001</v>
      </c>
      <c r="Z89" s="19">
        <f t="shared" si="57"/>
        <v>112.727</v>
      </c>
      <c r="AA89" s="19">
        <f t="shared" si="58"/>
        <v>178.74799999999999</v>
      </c>
      <c r="AB89" s="19">
        <f t="shared" si="52"/>
        <v>229.55799999999999</v>
      </c>
      <c r="AC89" s="19">
        <f t="shared" si="53"/>
        <v>219.208</v>
      </c>
    </row>
    <row r="90" spans="2:29" outlineLevel="2" x14ac:dyDescent="0.25">
      <c r="B90" s="2" t="s">
        <v>253</v>
      </c>
      <c r="C90" s="6" t="s">
        <v>46</v>
      </c>
      <c r="D90" s="19">
        <v>215.26900000000001</v>
      </c>
      <c r="E90" s="19">
        <v>220.02699999999999</v>
      </c>
      <c r="F90" s="19">
        <v>237.416</v>
      </c>
      <c r="G90" s="19">
        <v>227.61699999999999</v>
      </c>
      <c r="H90" s="19">
        <v>237.517</v>
      </c>
      <c r="I90" s="19">
        <v>247.91399999999999</v>
      </c>
      <c r="J90" s="19">
        <v>257.548</v>
      </c>
      <c r="K90" s="19">
        <v>265.44299999999998</v>
      </c>
      <c r="L90" s="19">
        <v>312.51799999999997</v>
      </c>
      <c r="M90" s="19">
        <v>320.851</v>
      </c>
      <c r="N90" s="19">
        <v>357.08499999999998</v>
      </c>
      <c r="O90" s="19">
        <v>493.41399999999999</v>
      </c>
      <c r="P90" s="19">
        <v>641.42700000000002</v>
      </c>
      <c r="Q90" s="19">
        <v>669.25300000000004</v>
      </c>
      <c r="R90" s="19">
        <v>740.721</v>
      </c>
      <c r="S90" s="19">
        <v>782.03300000000002</v>
      </c>
      <c r="T90" s="19">
        <v>804.673</v>
      </c>
      <c r="U90" s="19">
        <v>895.60599999999999</v>
      </c>
      <c r="V90" s="19">
        <v>971.495</v>
      </c>
      <c r="W90" s="19">
        <v>1030.914</v>
      </c>
      <c r="Y90" s="19">
        <f t="shared" si="56"/>
        <v>227.61699999999999</v>
      </c>
      <c r="Z90" s="19">
        <f t="shared" si="57"/>
        <v>265.44299999999998</v>
      </c>
      <c r="AA90" s="19">
        <f t="shared" si="58"/>
        <v>493.41399999999999</v>
      </c>
      <c r="AB90" s="19">
        <f t="shared" si="52"/>
        <v>782.03300000000002</v>
      </c>
      <c r="AC90" s="19">
        <f t="shared" si="53"/>
        <v>1030.914</v>
      </c>
    </row>
    <row r="91" spans="2:29" outlineLevel="2" x14ac:dyDescent="0.25">
      <c r="B91" s="2" t="s">
        <v>254</v>
      </c>
      <c r="C91" s="6" t="s">
        <v>46</v>
      </c>
      <c r="D91" s="19">
        <v>28.364000000000001</v>
      </c>
      <c r="E91" s="19">
        <v>31.105</v>
      </c>
      <c r="F91" s="19">
        <v>46.106999999999999</v>
      </c>
      <c r="G91" s="19">
        <v>74.424000000000007</v>
      </c>
      <c r="H91" s="19">
        <v>87.540999999999997</v>
      </c>
      <c r="I91" s="19">
        <v>134.44200000000001</v>
      </c>
      <c r="J91" s="19">
        <v>122.157</v>
      </c>
      <c r="K91" s="19">
        <v>164.61199999999999</v>
      </c>
      <c r="L91" s="19">
        <v>399.71</v>
      </c>
      <c r="M91" s="19">
        <v>461.31299999999999</v>
      </c>
      <c r="N91" s="19">
        <v>531.46100000000001</v>
      </c>
      <c r="O91" s="19">
        <v>611.04300000000001</v>
      </c>
      <c r="P91" s="19">
        <v>630.58900000000006</v>
      </c>
      <c r="Q91" s="19">
        <v>711.87900000000002</v>
      </c>
      <c r="R91" s="19">
        <v>764.86400000000003</v>
      </c>
      <c r="S91" s="19">
        <v>726.25400000000002</v>
      </c>
      <c r="T91" s="19">
        <v>756.08100000000002</v>
      </c>
      <c r="U91" s="19">
        <v>692.702</v>
      </c>
      <c r="V91" s="19">
        <v>731.29300000000001</v>
      </c>
      <c r="W91" s="19">
        <v>713.61500000000001</v>
      </c>
      <c r="Y91" s="19">
        <f t="shared" si="56"/>
        <v>74.424000000000007</v>
      </c>
      <c r="Z91" s="19">
        <f t="shared" si="57"/>
        <v>164.61199999999999</v>
      </c>
      <c r="AA91" s="19">
        <f t="shared" si="58"/>
        <v>611.04300000000001</v>
      </c>
      <c r="AB91" s="19">
        <f t="shared" si="52"/>
        <v>726.25400000000002</v>
      </c>
      <c r="AC91" s="19">
        <f t="shared" si="53"/>
        <v>713.61500000000001</v>
      </c>
    </row>
    <row r="92" spans="2:29" outlineLevel="2" x14ac:dyDescent="0.25">
      <c r="B92" s="2" t="s">
        <v>62</v>
      </c>
      <c r="C92" s="6" t="s">
        <v>46</v>
      </c>
      <c r="D92" s="19">
        <v>0</v>
      </c>
      <c r="E92" s="19">
        <v>0</v>
      </c>
      <c r="F92" s="19">
        <v>1E-3</v>
      </c>
      <c r="G92" s="19">
        <v>0</v>
      </c>
      <c r="H92" s="19">
        <v>0.45800000000000002</v>
      </c>
      <c r="I92" s="19">
        <v>0.21099999999999999</v>
      </c>
      <c r="J92" s="19">
        <v>0.40300000000000002</v>
      </c>
      <c r="K92" s="19">
        <v>0.41199999999999998</v>
      </c>
      <c r="L92" s="19">
        <v>0.41199999999999998</v>
      </c>
      <c r="M92" s="19">
        <v>0.41199999999999998</v>
      </c>
      <c r="N92" s="19">
        <v>1.0999999999999999E-2</v>
      </c>
      <c r="O92" s="19">
        <v>1.0999999999999999E-2</v>
      </c>
      <c r="P92" s="19">
        <v>0.432</v>
      </c>
      <c r="Q92" s="19">
        <v>0.434</v>
      </c>
      <c r="R92" s="19">
        <v>0.45800000000000002</v>
      </c>
      <c r="S92" s="19">
        <v>0.99299999999999999</v>
      </c>
      <c r="T92" s="19">
        <v>1.2789999999999999</v>
      </c>
      <c r="U92" s="19">
        <v>0.46600000000000003</v>
      </c>
      <c r="V92" s="19">
        <v>7.27</v>
      </c>
      <c r="W92" s="19">
        <v>7.4210000000000003</v>
      </c>
      <c r="Y92" s="19">
        <f t="shared" si="56"/>
        <v>0</v>
      </c>
      <c r="Z92" s="19">
        <f t="shared" si="57"/>
        <v>0.41199999999999998</v>
      </c>
      <c r="AA92" s="19">
        <f t="shared" si="58"/>
        <v>1.0999999999999999E-2</v>
      </c>
      <c r="AB92" s="19">
        <f t="shared" si="52"/>
        <v>0.99299999999999999</v>
      </c>
      <c r="AC92" s="19">
        <f t="shared" si="53"/>
        <v>7.4210000000000003</v>
      </c>
    </row>
    <row r="93" spans="2:29" outlineLevel="2" x14ac:dyDescent="0.25">
      <c r="B93" s="2" t="s">
        <v>63</v>
      </c>
      <c r="C93" s="6" t="s">
        <v>46</v>
      </c>
      <c r="D93" s="19">
        <v>506.85500000000002</v>
      </c>
      <c r="E93" s="19">
        <v>632.83500000000004</v>
      </c>
      <c r="F93" s="19">
        <v>668.95299999999997</v>
      </c>
      <c r="G93" s="19">
        <v>671.56799999999998</v>
      </c>
      <c r="H93" s="19">
        <v>806.51700000000005</v>
      </c>
      <c r="I93" s="19">
        <v>794.51400000000001</v>
      </c>
      <c r="J93" s="19">
        <v>839.71299999999997</v>
      </c>
      <c r="K93" s="19">
        <v>930.96600000000001</v>
      </c>
      <c r="L93" s="19">
        <v>1440.607</v>
      </c>
      <c r="M93" s="19">
        <v>1550.6669999999999</v>
      </c>
      <c r="N93" s="19">
        <v>1624.9359999999999</v>
      </c>
      <c r="O93" s="19">
        <v>1758.5530000000001</v>
      </c>
      <c r="P93" s="19">
        <v>1993.3409999999999</v>
      </c>
      <c r="Q93" s="19">
        <v>2052.692</v>
      </c>
      <c r="R93" s="19">
        <v>2147.799</v>
      </c>
      <c r="S93" s="19">
        <v>2217.4209999999998</v>
      </c>
      <c r="T93" s="19">
        <v>2294.0340000000001</v>
      </c>
      <c r="U93" s="19">
        <v>2455.9740000000002</v>
      </c>
      <c r="V93" s="19">
        <v>2516.5360000000001</v>
      </c>
      <c r="W93" s="19">
        <v>2631.61</v>
      </c>
      <c r="Y93" s="19">
        <f t="shared" si="56"/>
        <v>671.56799999999998</v>
      </c>
      <c r="Z93" s="19">
        <f t="shared" si="57"/>
        <v>930.96600000000001</v>
      </c>
      <c r="AA93" s="19">
        <f t="shared" si="58"/>
        <v>1758.5530000000001</v>
      </c>
      <c r="AB93" s="19">
        <f t="shared" si="52"/>
        <v>2217.4209999999998</v>
      </c>
      <c r="AC93" s="19">
        <f t="shared" si="53"/>
        <v>2631.61</v>
      </c>
    </row>
    <row r="94" spans="2:29" outlineLevel="2" x14ac:dyDescent="0.25">
      <c r="B94" s="2" t="s">
        <v>404</v>
      </c>
      <c r="C94" s="6" t="s">
        <v>46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401.71300000000002</v>
      </c>
      <c r="M94" s="19">
        <v>432.28199999999998</v>
      </c>
      <c r="N94" s="19">
        <v>430.298</v>
      </c>
      <c r="O94" s="19">
        <v>478.80500000000001</v>
      </c>
      <c r="P94" s="19">
        <v>483.14800000000002</v>
      </c>
      <c r="Q94" s="19">
        <v>499.37200000000001</v>
      </c>
      <c r="R94" s="19">
        <v>454.05799999999999</v>
      </c>
      <c r="S94" s="19">
        <v>492.45100000000002</v>
      </c>
      <c r="T94" s="19">
        <v>573.86900000000003</v>
      </c>
      <c r="U94" s="19">
        <v>565.00400000000002</v>
      </c>
      <c r="V94" s="19">
        <v>571.27800000000002</v>
      </c>
      <c r="W94" s="19">
        <v>646.84699999999998</v>
      </c>
      <c r="Y94" s="19">
        <v>0</v>
      </c>
      <c r="Z94" s="19">
        <v>0</v>
      </c>
      <c r="AA94" s="19">
        <f t="shared" si="58"/>
        <v>478.80500000000001</v>
      </c>
      <c r="AB94" s="19">
        <f t="shared" si="52"/>
        <v>492.45100000000002</v>
      </c>
      <c r="AC94" s="19">
        <f t="shared" si="53"/>
        <v>646.84699999999998</v>
      </c>
    </row>
    <row r="95" spans="2:29" outlineLevel="2" x14ac:dyDescent="0.25">
      <c r="B95" s="2" t="s">
        <v>64</v>
      </c>
      <c r="C95" s="6" t="s">
        <v>46</v>
      </c>
      <c r="D95" s="19">
        <v>1287.2270000000001</v>
      </c>
      <c r="E95" s="19">
        <v>1372.124</v>
      </c>
      <c r="F95" s="19">
        <v>1538.08</v>
      </c>
      <c r="G95" s="19">
        <v>1533.4010000000001</v>
      </c>
      <c r="H95" s="19">
        <v>1552.84</v>
      </c>
      <c r="I95" s="19">
        <v>1581.499</v>
      </c>
      <c r="J95" s="19">
        <v>1568.768</v>
      </c>
      <c r="K95" s="19">
        <v>1741.627</v>
      </c>
      <c r="L95" s="19">
        <v>2763.45</v>
      </c>
      <c r="M95" s="19">
        <v>3144.0030000000002</v>
      </c>
      <c r="N95" s="19">
        <v>3157.2890000000002</v>
      </c>
      <c r="O95" s="19">
        <v>3341.6729999999998</v>
      </c>
      <c r="P95" s="19">
        <v>6072.1409999999996</v>
      </c>
      <c r="Q95" s="19">
        <v>6032.9009999999998</v>
      </c>
      <c r="R95" s="19">
        <v>6160.0429999999997</v>
      </c>
      <c r="S95" s="19">
        <v>6246.5709999999999</v>
      </c>
      <c r="T95" s="19">
        <v>6619.848</v>
      </c>
      <c r="U95" s="19">
        <v>7837.1279999999997</v>
      </c>
      <c r="V95" s="19">
        <v>8056.2120000000004</v>
      </c>
      <c r="W95" s="19">
        <v>8110.7349999999997</v>
      </c>
      <c r="Y95" s="19">
        <f>G95</f>
        <v>1533.4010000000001</v>
      </c>
      <c r="Z95" s="19">
        <f>K95</f>
        <v>1741.627</v>
      </c>
      <c r="AA95" s="19">
        <f t="shared" si="58"/>
        <v>3341.6729999999998</v>
      </c>
      <c r="AB95" s="19">
        <f t="shared" si="52"/>
        <v>6246.5709999999999</v>
      </c>
      <c r="AC95" s="19">
        <f t="shared" si="53"/>
        <v>8110.7349999999997</v>
      </c>
    </row>
    <row r="96" spans="2:29" ht="9.9499999999999993" customHeight="1" outlineLevel="1" x14ac:dyDescent="0.25"/>
    <row r="97" spans="2:29" outlineLevel="1" x14ac:dyDescent="0.25">
      <c r="B97" s="3" t="s">
        <v>255</v>
      </c>
      <c r="C97" s="3" t="s">
        <v>46</v>
      </c>
      <c r="D97" s="14">
        <f t="shared" ref="D97:W97" si="59">SUM(D98,D110,D120)</f>
        <v>3513.1120000000001</v>
      </c>
      <c r="E97" s="14">
        <f t="shared" si="59"/>
        <v>3816.5709999999999</v>
      </c>
      <c r="F97" s="14">
        <f t="shared" si="59"/>
        <v>4115.0239999999994</v>
      </c>
      <c r="G97" s="14">
        <f t="shared" si="59"/>
        <v>4821.7920000000004</v>
      </c>
      <c r="H97" s="14">
        <f t="shared" si="59"/>
        <v>4671.5330000000004</v>
      </c>
      <c r="I97" s="14">
        <f t="shared" si="59"/>
        <v>4958.8230000000003</v>
      </c>
      <c r="J97" s="14">
        <f t="shared" si="59"/>
        <v>4958.9870000000001</v>
      </c>
      <c r="K97" s="14">
        <f t="shared" si="59"/>
        <v>5755.866</v>
      </c>
      <c r="L97" s="14">
        <f t="shared" si="59"/>
        <v>8045.92</v>
      </c>
      <c r="M97" s="14">
        <f t="shared" si="59"/>
        <v>8416.010000000002</v>
      </c>
      <c r="N97" s="14">
        <f t="shared" si="59"/>
        <v>9295.51</v>
      </c>
      <c r="O97" s="14">
        <f t="shared" si="59"/>
        <v>13148.039999999999</v>
      </c>
      <c r="P97" s="14">
        <f t="shared" si="59"/>
        <v>13344.384999999998</v>
      </c>
      <c r="Q97" s="14">
        <f t="shared" si="59"/>
        <v>14304.751</v>
      </c>
      <c r="R97" s="14">
        <f t="shared" si="59"/>
        <v>15860.916000000001</v>
      </c>
      <c r="S97" s="14">
        <f t="shared" si="59"/>
        <v>16353.539000000001</v>
      </c>
      <c r="T97" s="14">
        <f t="shared" si="59"/>
        <v>16589.251</v>
      </c>
      <c r="U97" s="14">
        <f t="shared" si="59"/>
        <v>17460.101999999999</v>
      </c>
      <c r="V97" s="14">
        <f t="shared" si="59"/>
        <v>17466.021000000001</v>
      </c>
      <c r="W97" s="14">
        <f t="shared" si="59"/>
        <v>19013.271000000001</v>
      </c>
      <c r="Y97" s="14">
        <f t="shared" ref="Y97:AC97" si="60">SUM(Y98,Y110,Y120)</f>
        <v>4821.7920000000004</v>
      </c>
      <c r="Z97" s="14">
        <f t="shared" si="60"/>
        <v>5755.866</v>
      </c>
      <c r="AA97" s="14">
        <f t="shared" si="60"/>
        <v>13148.039999999999</v>
      </c>
      <c r="AB97" s="14">
        <f t="shared" si="60"/>
        <v>16353.539000000001</v>
      </c>
      <c r="AC97" s="14">
        <f t="shared" si="60"/>
        <v>17231.575000000001</v>
      </c>
    </row>
    <row r="98" spans="2:29" outlineLevel="1" x14ac:dyDescent="0.25">
      <c r="B98" s="5" t="s">
        <v>56</v>
      </c>
      <c r="C98" s="3" t="s">
        <v>46</v>
      </c>
      <c r="D98" s="14">
        <f t="shared" ref="D98:W98" si="61">SUM(D99:D109)</f>
        <v>1097.4590000000001</v>
      </c>
      <c r="E98" s="14">
        <f t="shared" si="61"/>
        <v>1406.0530000000001</v>
      </c>
      <c r="F98" s="14">
        <f t="shared" si="61"/>
        <v>1688.2529999999999</v>
      </c>
      <c r="G98" s="14">
        <f t="shared" si="61"/>
        <v>1556.2149999999999</v>
      </c>
      <c r="H98" s="14">
        <f t="shared" si="61"/>
        <v>1503.8989999999999</v>
      </c>
      <c r="I98" s="14">
        <f t="shared" si="61"/>
        <v>1520.6469999999999</v>
      </c>
      <c r="J98" s="14">
        <f t="shared" si="61"/>
        <v>1471.9359999999999</v>
      </c>
      <c r="K98" s="14">
        <f t="shared" si="61"/>
        <v>1898.6569999999999</v>
      </c>
      <c r="L98" s="14">
        <f t="shared" si="61"/>
        <v>2285.6219999999998</v>
      </c>
      <c r="M98" s="14">
        <f t="shared" si="61"/>
        <v>2616.3740000000003</v>
      </c>
      <c r="N98" s="14">
        <f t="shared" si="61"/>
        <v>2665.3289999999997</v>
      </c>
      <c r="O98" s="14">
        <f t="shared" si="61"/>
        <v>2433.9669999999996</v>
      </c>
      <c r="P98" s="14">
        <f t="shared" si="61"/>
        <v>2900.489</v>
      </c>
      <c r="Q98" s="14">
        <f t="shared" si="61"/>
        <v>3000.0030000000002</v>
      </c>
      <c r="R98" s="14">
        <f t="shared" si="61"/>
        <v>3104.9640000000004</v>
      </c>
      <c r="S98" s="14">
        <f t="shared" si="61"/>
        <v>2797.1000000000004</v>
      </c>
      <c r="T98" s="14">
        <f t="shared" si="61"/>
        <v>2873.4690000000001</v>
      </c>
      <c r="U98" s="14">
        <f t="shared" si="61"/>
        <v>3326.5529999999999</v>
      </c>
      <c r="V98" s="14">
        <f t="shared" si="61"/>
        <v>3138.8999999999996</v>
      </c>
      <c r="W98" s="14">
        <f t="shared" si="61"/>
        <v>3481.2509999999997</v>
      </c>
      <c r="Y98" s="14">
        <f t="shared" ref="Y98:AC98" si="62">SUM(Y99:Y109)</f>
        <v>1556.2149999999999</v>
      </c>
      <c r="Z98" s="14">
        <f t="shared" si="62"/>
        <v>1898.6569999999999</v>
      </c>
      <c r="AA98" s="14">
        <f t="shared" si="62"/>
        <v>2433.9669999999996</v>
      </c>
      <c r="AB98" s="14">
        <f t="shared" si="62"/>
        <v>2797.1000000000004</v>
      </c>
      <c r="AC98" s="14">
        <f t="shared" si="62"/>
        <v>3481.2509999999997</v>
      </c>
    </row>
    <row r="99" spans="2:29" outlineLevel="2" x14ac:dyDescent="0.25">
      <c r="B99" s="2" t="s">
        <v>65</v>
      </c>
      <c r="C99" s="6" t="s">
        <v>46</v>
      </c>
      <c r="D99" s="19">
        <v>44.1</v>
      </c>
      <c r="E99" s="19">
        <v>62.420999999999999</v>
      </c>
      <c r="F99" s="19">
        <v>51.835000000000001</v>
      </c>
      <c r="G99" s="19">
        <v>64.516999999999996</v>
      </c>
      <c r="H99" s="19">
        <v>61.097000000000001</v>
      </c>
      <c r="I99" s="19">
        <v>66.703999999999994</v>
      </c>
      <c r="J99" s="19">
        <v>73.415999999999997</v>
      </c>
      <c r="K99" s="19">
        <v>87.700999999999993</v>
      </c>
      <c r="L99" s="19">
        <v>102.13</v>
      </c>
      <c r="M99" s="19">
        <v>150.934</v>
      </c>
      <c r="N99" s="19">
        <v>140.02699999999999</v>
      </c>
      <c r="O99" s="19">
        <v>133.81700000000001</v>
      </c>
      <c r="P99" s="19">
        <v>146.298</v>
      </c>
      <c r="Q99" s="19">
        <v>141.279</v>
      </c>
      <c r="R99" s="19">
        <v>124.497</v>
      </c>
      <c r="S99" s="19">
        <v>162.32599999999999</v>
      </c>
      <c r="T99" s="19">
        <v>163.696</v>
      </c>
      <c r="U99" s="19">
        <v>176.887</v>
      </c>
      <c r="V99" s="19">
        <v>179.30199999999999</v>
      </c>
      <c r="W99" s="19">
        <v>213.977</v>
      </c>
      <c r="Y99" s="19">
        <f t="shared" ref="Y99:Y107" si="63">G99</f>
        <v>64.516999999999996</v>
      </c>
      <c r="Z99" s="19">
        <f t="shared" ref="Z99:Z107" si="64">K99</f>
        <v>87.700999999999993</v>
      </c>
      <c r="AA99" s="19">
        <f t="shared" ref="AA99:AA109" si="65">O99</f>
        <v>133.81700000000001</v>
      </c>
      <c r="AB99" s="19">
        <f t="shared" ref="AB99:AB119" si="66">S99</f>
        <v>162.32599999999999</v>
      </c>
      <c r="AC99" s="19">
        <f>W99</f>
        <v>213.977</v>
      </c>
    </row>
    <row r="100" spans="2:29" outlineLevel="2" x14ac:dyDescent="0.25">
      <c r="B100" s="2" t="s">
        <v>256</v>
      </c>
      <c r="C100" s="6" t="s">
        <v>46</v>
      </c>
      <c r="D100" s="19">
        <v>71.019000000000005</v>
      </c>
      <c r="E100" s="19">
        <v>110.047</v>
      </c>
      <c r="F100" s="19">
        <v>134.875</v>
      </c>
      <c r="G100" s="19">
        <v>112.822</v>
      </c>
      <c r="H100" s="19">
        <v>96.375</v>
      </c>
      <c r="I100" s="19">
        <v>121.063</v>
      </c>
      <c r="J100" s="19">
        <v>130.91800000000001</v>
      </c>
      <c r="K100" s="19">
        <v>116.459</v>
      </c>
      <c r="L100" s="19">
        <v>148.703</v>
      </c>
      <c r="M100" s="19">
        <v>179.755</v>
      </c>
      <c r="N100" s="19">
        <v>210.18899999999999</v>
      </c>
      <c r="O100" s="19">
        <v>165.09700000000001</v>
      </c>
      <c r="P100" s="19">
        <v>168.33199999999999</v>
      </c>
      <c r="Q100" s="19">
        <v>220.947</v>
      </c>
      <c r="R100" s="19">
        <v>273.81</v>
      </c>
      <c r="S100" s="19">
        <v>212.006</v>
      </c>
      <c r="T100" s="19">
        <v>203.19800000000001</v>
      </c>
      <c r="U100" s="19">
        <v>262.88</v>
      </c>
      <c r="V100" s="19">
        <v>300.00400000000002</v>
      </c>
      <c r="W100" s="19">
        <v>216.7</v>
      </c>
      <c r="Y100" s="19">
        <f t="shared" si="63"/>
        <v>112.822</v>
      </c>
      <c r="Z100" s="19">
        <f t="shared" si="64"/>
        <v>116.459</v>
      </c>
      <c r="AA100" s="19">
        <f t="shared" si="65"/>
        <v>165.09700000000001</v>
      </c>
      <c r="AB100" s="19">
        <f t="shared" si="66"/>
        <v>212.006</v>
      </c>
      <c r="AC100" s="19">
        <f t="shared" ref="AC100:AC119" si="67">W100</f>
        <v>216.7</v>
      </c>
    </row>
    <row r="101" spans="2:29" outlineLevel="2" x14ac:dyDescent="0.25">
      <c r="B101" s="2" t="s">
        <v>257</v>
      </c>
      <c r="C101" s="6" t="s">
        <v>46</v>
      </c>
      <c r="D101" s="19">
        <v>130.928</v>
      </c>
      <c r="E101" s="19">
        <v>139.03800000000001</v>
      </c>
      <c r="F101" s="19">
        <v>161.13900000000001</v>
      </c>
      <c r="G101" s="19">
        <v>186.74</v>
      </c>
      <c r="H101" s="19">
        <v>194.78200000000001</v>
      </c>
      <c r="I101" s="19">
        <v>200.88499999999999</v>
      </c>
      <c r="J101" s="19">
        <v>214.65</v>
      </c>
      <c r="K101" s="19">
        <v>248.351</v>
      </c>
      <c r="L101" s="19">
        <v>294.37200000000001</v>
      </c>
      <c r="M101" s="19">
        <v>305.55200000000002</v>
      </c>
      <c r="N101" s="19">
        <v>326.82499999999999</v>
      </c>
      <c r="O101" s="19">
        <v>360.35700000000003</v>
      </c>
      <c r="P101" s="19">
        <v>414.85700000000003</v>
      </c>
      <c r="Q101" s="19">
        <v>549.41999999999996</v>
      </c>
      <c r="R101" s="19">
        <v>535.98900000000003</v>
      </c>
      <c r="S101" s="19">
        <v>502.84100000000001</v>
      </c>
      <c r="T101" s="19">
        <v>554.92200000000003</v>
      </c>
      <c r="U101" s="19">
        <v>609.11400000000003</v>
      </c>
      <c r="V101" s="19">
        <v>628.48299999999995</v>
      </c>
      <c r="W101" s="19">
        <v>663.976</v>
      </c>
      <c r="Y101" s="19">
        <f t="shared" si="63"/>
        <v>186.74</v>
      </c>
      <c r="Z101" s="19">
        <f t="shared" si="64"/>
        <v>248.351</v>
      </c>
      <c r="AA101" s="19">
        <f t="shared" si="65"/>
        <v>360.35700000000003</v>
      </c>
      <c r="AB101" s="19">
        <f t="shared" si="66"/>
        <v>502.84100000000001</v>
      </c>
      <c r="AC101" s="19">
        <f t="shared" si="67"/>
        <v>663.976</v>
      </c>
    </row>
    <row r="102" spans="2:29" outlineLevel="2" x14ac:dyDescent="0.25">
      <c r="B102" s="2" t="s">
        <v>397</v>
      </c>
      <c r="C102" s="6" t="s">
        <v>46</v>
      </c>
      <c r="D102" s="19">
        <v>0</v>
      </c>
      <c r="E102" s="19">
        <v>0</v>
      </c>
      <c r="F102" s="19">
        <v>0</v>
      </c>
      <c r="G102" s="19">
        <v>0</v>
      </c>
      <c r="H102" s="19">
        <v>0</v>
      </c>
      <c r="I102" s="19">
        <v>0</v>
      </c>
      <c r="J102" s="19">
        <v>0</v>
      </c>
      <c r="K102" s="19">
        <v>79.341999999999999</v>
      </c>
      <c r="L102" s="19">
        <v>79.341999999999999</v>
      </c>
      <c r="M102" s="19">
        <v>0</v>
      </c>
      <c r="N102" s="19">
        <v>0</v>
      </c>
      <c r="O102" s="19">
        <v>100.601</v>
      </c>
      <c r="P102" s="19">
        <v>100.601</v>
      </c>
      <c r="Q102" s="19">
        <v>100.601</v>
      </c>
      <c r="R102" s="19">
        <v>3.2000000000000001E-2</v>
      </c>
      <c r="S102" s="19">
        <v>174.87700000000001</v>
      </c>
      <c r="T102" s="19">
        <v>174.87700000000001</v>
      </c>
      <c r="U102" s="19">
        <v>174.87700000000001</v>
      </c>
      <c r="V102" s="19">
        <v>1.4930000000000001</v>
      </c>
      <c r="W102" s="19">
        <v>1.4930000000000001</v>
      </c>
      <c r="Y102" s="19">
        <f t="shared" si="63"/>
        <v>0</v>
      </c>
      <c r="Z102" s="19">
        <f t="shared" si="64"/>
        <v>79.341999999999999</v>
      </c>
      <c r="AA102" s="19">
        <f t="shared" si="65"/>
        <v>100.601</v>
      </c>
      <c r="AB102" s="19">
        <f t="shared" si="66"/>
        <v>174.87700000000001</v>
      </c>
      <c r="AC102" s="19">
        <f t="shared" si="67"/>
        <v>1.4930000000000001</v>
      </c>
    </row>
    <row r="103" spans="2:29" outlineLevel="2" x14ac:dyDescent="0.25">
      <c r="B103" s="2" t="s">
        <v>258</v>
      </c>
      <c r="C103" s="6" t="s">
        <v>46</v>
      </c>
      <c r="D103" s="19">
        <v>1.33</v>
      </c>
      <c r="E103" s="19">
        <v>155.09700000000001</v>
      </c>
      <c r="F103" s="19">
        <v>310.16000000000003</v>
      </c>
      <c r="G103" s="19">
        <v>307.84399999999999</v>
      </c>
      <c r="H103" s="19">
        <v>222.19</v>
      </c>
      <c r="I103" s="19">
        <v>133.70400000000001</v>
      </c>
      <c r="J103" s="19">
        <v>133.36699999999999</v>
      </c>
      <c r="K103" s="19">
        <v>138.53100000000001</v>
      </c>
      <c r="L103" s="19">
        <v>134.119</v>
      </c>
      <c r="M103" s="19">
        <v>134.85</v>
      </c>
      <c r="N103" s="19">
        <v>133.24199999999999</v>
      </c>
      <c r="O103" s="19">
        <v>220.68299999999999</v>
      </c>
      <c r="P103" s="19">
        <v>330.87099999999998</v>
      </c>
      <c r="Q103" s="19">
        <v>268.46100000000001</v>
      </c>
      <c r="R103" s="19">
        <v>289.24599999999998</v>
      </c>
      <c r="S103" s="19">
        <v>225.077</v>
      </c>
      <c r="T103" s="19">
        <v>236.69399999999999</v>
      </c>
      <c r="U103" s="19">
        <v>303.43700000000001</v>
      </c>
      <c r="V103" s="19">
        <v>206.376</v>
      </c>
      <c r="W103" s="19">
        <v>195.87799999999999</v>
      </c>
      <c r="Y103" s="19">
        <f t="shared" si="63"/>
        <v>307.84399999999999</v>
      </c>
      <c r="Z103" s="19">
        <f t="shared" si="64"/>
        <v>138.53100000000001</v>
      </c>
      <c r="AA103" s="19">
        <f t="shared" si="65"/>
        <v>220.68299999999999</v>
      </c>
      <c r="AB103" s="19">
        <f t="shared" si="66"/>
        <v>225.077</v>
      </c>
      <c r="AC103" s="19">
        <f t="shared" si="67"/>
        <v>195.87799999999999</v>
      </c>
    </row>
    <row r="104" spans="2:29" outlineLevel="2" x14ac:dyDescent="0.25">
      <c r="B104" s="2" t="s">
        <v>259</v>
      </c>
      <c r="C104" s="6" t="s">
        <v>46</v>
      </c>
      <c r="D104" s="19">
        <v>136.62799999999999</v>
      </c>
      <c r="E104" s="19">
        <v>123.691</v>
      </c>
      <c r="F104" s="19">
        <v>141.49299999999999</v>
      </c>
      <c r="G104" s="19">
        <v>119.56399999999999</v>
      </c>
      <c r="H104" s="19">
        <v>67.418999999999997</v>
      </c>
      <c r="I104" s="19">
        <v>68.817999999999998</v>
      </c>
      <c r="J104" s="19">
        <v>128.11099999999999</v>
      </c>
      <c r="K104" s="19">
        <v>478.64499999999998</v>
      </c>
      <c r="L104" s="19">
        <v>484.89699999999999</v>
      </c>
      <c r="M104" s="19">
        <v>500.53500000000003</v>
      </c>
      <c r="N104" s="19">
        <v>494.28699999999998</v>
      </c>
      <c r="O104" s="19">
        <v>169.56</v>
      </c>
      <c r="P104" s="19">
        <v>126.312</v>
      </c>
      <c r="Q104" s="19">
        <v>137.09299999999999</v>
      </c>
      <c r="R104" s="19">
        <v>64.003</v>
      </c>
      <c r="S104" s="19">
        <v>81.090999999999994</v>
      </c>
      <c r="T104" s="19">
        <v>13.582000000000001</v>
      </c>
      <c r="U104" s="19">
        <v>29.463999999999999</v>
      </c>
      <c r="V104" s="19">
        <v>27.43</v>
      </c>
      <c r="W104" s="19">
        <v>344.69200000000001</v>
      </c>
      <c r="Y104" s="19">
        <f t="shared" si="63"/>
        <v>119.56399999999999</v>
      </c>
      <c r="Z104" s="19">
        <f t="shared" si="64"/>
        <v>478.64499999999998</v>
      </c>
      <c r="AA104" s="19">
        <f t="shared" si="65"/>
        <v>169.56</v>
      </c>
      <c r="AB104" s="19">
        <f t="shared" si="66"/>
        <v>81.090999999999994</v>
      </c>
      <c r="AC104" s="19">
        <f t="shared" si="67"/>
        <v>344.69200000000001</v>
      </c>
    </row>
    <row r="105" spans="2:29" outlineLevel="2" x14ac:dyDescent="0.25">
      <c r="B105" s="2" t="s">
        <v>260</v>
      </c>
      <c r="C105" s="6" t="s">
        <v>46</v>
      </c>
      <c r="D105" s="19">
        <v>32.220999999999997</v>
      </c>
      <c r="E105" s="19">
        <v>43.137999999999998</v>
      </c>
      <c r="F105" s="19">
        <v>77.234999999999999</v>
      </c>
      <c r="G105" s="19">
        <v>19.463000000000001</v>
      </c>
      <c r="H105" s="19">
        <v>32.499000000000002</v>
      </c>
      <c r="I105" s="19">
        <v>65.512</v>
      </c>
      <c r="J105" s="19">
        <v>44.372999999999998</v>
      </c>
      <c r="K105" s="19">
        <v>6.8929999999999998</v>
      </c>
      <c r="L105" s="19">
        <v>83.917000000000002</v>
      </c>
      <c r="M105" s="19">
        <v>93.921000000000006</v>
      </c>
      <c r="N105" s="19">
        <v>144.10300000000001</v>
      </c>
      <c r="O105" s="19">
        <v>56.984999999999999</v>
      </c>
      <c r="P105" s="19">
        <v>139.75200000000001</v>
      </c>
      <c r="Q105" s="19">
        <v>276.625</v>
      </c>
      <c r="R105" s="19">
        <v>373.2</v>
      </c>
      <c r="S105" s="19">
        <v>62.430999999999997</v>
      </c>
      <c r="T105" s="19">
        <v>26.654</v>
      </c>
      <c r="U105" s="19">
        <v>42.841999999999999</v>
      </c>
      <c r="V105" s="19">
        <v>60.707999999999998</v>
      </c>
      <c r="W105" s="19">
        <v>22.433</v>
      </c>
      <c r="Y105" s="19">
        <f t="shared" si="63"/>
        <v>19.463000000000001</v>
      </c>
      <c r="Z105" s="19">
        <f t="shared" si="64"/>
        <v>6.8929999999999998</v>
      </c>
      <c r="AA105" s="19">
        <f t="shared" si="65"/>
        <v>56.984999999999999</v>
      </c>
      <c r="AB105" s="19">
        <f t="shared" si="66"/>
        <v>62.430999999999997</v>
      </c>
      <c r="AC105" s="19">
        <f t="shared" si="67"/>
        <v>22.433</v>
      </c>
    </row>
    <row r="106" spans="2:29" outlineLevel="2" x14ac:dyDescent="0.25">
      <c r="B106" s="2" t="s">
        <v>261</v>
      </c>
      <c r="C106" s="6" t="s">
        <v>46</v>
      </c>
      <c r="D106" s="19">
        <v>619.75199999999995</v>
      </c>
      <c r="E106" s="19">
        <v>690.51800000000003</v>
      </c>
      <c r="F106" s="19">
        <v>720.18600000000004</v>
      </c>
      <c r="G106" s="19">
        <v>684.85</v>
      </c>
      <c r="H106" s="19">
        <v>771.53300000000002</v>
      </c>
      <c r="I106" s="19">
        <v>772.80799999999999</v>
      </c>
      <c r="J106" s="19">
        <v>699.553</v>
      </c>
      <c r="K106" s="19">
        <v>692.57100000000003</v>
      </c>
      <c r="L106" s="19">
        <v>866.322</v>
      </c>
      <c r="M106" s="19">
        <v>916.18499999999995</v>
      </c>
      <c r="N106" s="19">
        <v>916.67899999999997</v>
      </c>
      <c r="O106" s="19">
        <v>945.40499999999997</v>
      </c>
      <c r="P106" s="19">
        <v>1154.403</v>
      </c>
      <c r="Q106" s="19">
        <v>1094.9939999999999</v>
      </c>
      <c r="R106" s="19">
        <v>1189.058</v>
      </c>
      <c r="S106" s="19">
        <v>1176.6990000000001</v>
      </c>
      <c r="T106" s="19">
        <v>1258.3779999999999</v>
      </c>
      <c r="U106" s="19">
        <v>1451.9359999999999</v>
      </c>
      <c r="V106" s="19">
        <v>1489.663</v>
      </c>
      <c r="W106" s="19">
        <v>1522.8440000000001</v>
      </c>
      <c r="Y106" s="19">
        <f t="shared" si="63"/>
        <v>684.85</v>
      </c>
      <c r="Z106" s="19">
        <f t="shared" si="64"/>
        <v>692.57100000000003</v>
      </c>
      <c r="AA106" s="19">
        <f t="shared" si="65"/>
        <v>945.40499999999997</v>
      </c>
      <c r="AB106" s="19">
        <f t="shared" si="66"/>
        <v>1176.6990000000001</v>
      </c>
      <c r="AC106" s="19">
        <f t="shared" si="67"/>
        <v>1522.8440000000001</v>
      </c>
    </row>
    <row r="107" spans="2:29" outlineLevel="2" x14ac:dyDescent="0.25">
      <c r="B107" s="2" t="s">
        <v>264</v>
      </c>
      <c r="C107" s="6" t="s">
        <v>46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205.358</v>
      </c>
      <c r="N107" s="19">
        <v>179.803</v>
      </c>
      <c r="O107" s="19">
        <v>118.98099999999999</v>
      </c>
      <c r="P107" s="19">
        <v>84.262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  <c r="V107" s="19">
        <v>0</v>
      </c>
      <c r="W107" s="19">
        <v>0</v>
      </c>
      <c r="Y107" s="19">
        <f t="shared" si="63"/>
        <v>0</v>
      </c>
      <c r="Z107" s="19">
        <f t="shared" si="64"/>
        <v>0</v>
      </c>
      <c r="AA107" s="19">
        <f t="shared" si="65"/>
        <v>118.98099999999999</v>
      </c>
      <c r="AB107" s="19">
        <f t="shared" si="66"/>
        <v>0</v>
      </c>
      <c r="AC107" s="19">
        <f t="shared" si="67"/>
        <v>0</v>
      </c>
    </row>
    <row r="108" spans="2:29" outlineLevel="2" x14ac:dyDescent="0.25">
      <c r="B108" s="2" t="s">
        <v>405</v>
      </c>
      <c r="C108" s="6" t="s">
        <v>46</v>
      </c>
      <c r="D108" s="19">
        <v>0</v>
      </c>
      <c r="E108" s="19">
        <v>0</v>
      </c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27.045999999999999</v>
      </c>
      <c r="M108" s="19">
        <v>27.568000000000001</v>
      </c>
      <c r="N108" s="19">
        <v>28.474</v>
      </c>
      <c r="O108" s="19">
        <v>33.466000000000001</v>
      </c>
      <c r="P108" s="19">
        <v>34.92</v>
      </c>
      <c r="Q108" s="19">
        <v>37.753999999999998</v>
      </c>
      <c r="R108" s="19">
        <v>35.232999999999997</v>
      </c>
      <c r="S108" s="19">
        <v>38.375999999999998</v>
      </c>
      <c r="T108" s="19">
        <v>44.917000000000002</v>
      </c>
      <c r="U108" s="19">
        <v>45.347999999999999</v>
      </c>
      <c r="V108" s="19">
        <v>51.378999999999998</v>
      </c>
      <c r="W108" s="19">
        <v>57.595999999999997</v>
      </c>
      <c r="Y108" s="19">
        <v>0</v>
      </c>
      <c r="Z108" s="19">
        <v>0</v>
      </c>
      <c r="AA108" s="19">
        <f t="shared" si="65"/>
        <v>33.466000000000001</v>
      </c>
      <c r="AB108" s="19">
        <f t="shared" si="66"/>
        <v>38.375999999999998</v>
      </c>
      <c r="AC108" s="19">
        <f t="shared" si="67"/>
        <v>57.595999999999997</v>
      </c>
    </row>
    <row r="109" spans="2:29" outlineLevel="2" x14ac:dyDescent="0.25">
      <c r="B109" s="2" t="s">
        <v>262</v>
      </c>
      <c r="C109" s="6" t="s">
        <v>46</v>
      </c>
      <c r="D109" s="19">
        <v>61.481000000000002</v>
      </c>
      <c r="E109" s="19">
        <v>82.102999999999994</v>
      </c>
      <c r="F109" s="19">
        <v>91.33</v>
      </c>
      <c r="G109" s="19">
        <v>60.414999999999999</v>
      </c>
      <c r="H109" s="19">
        <v>58.003999999999998</v>
      </c>
      <c r="I109" s="19">
        <v>91.153000000000006</v>
      </c>
      <c r="J109" s="19">
        <v>47.548000000000002</v>
      </c>
      <c r="K109" s="19">
        <v>50.164000000000001</v>
      </c>
      <c r="L109" s="19">
        <v>64.774000000000001</v>
      </c>
      <c r="M109" s="19">
        <v>101.71599999999999</v>
      </c>
      <c r="N109" s="19">
        <v>91.7</v>
      </c>
      <c r="O109" s="19">
        <v>129.01499999999999</v>
      </c>
      <c r="P109" s="19">
        <v>199.881</v>
      </c>
      <c r="Q109" s="19">
        <v>172.82900000000001</v>
      </c>
      <c r="R109" s="19">
        <v>219.89599999999999</v>
      </c>
      <c r="S109" s="19">
        <v>161.376</v>
      </c>
      <c r="T109" s="19">
        <v>196.55099999999999</v>
      </c>
      <c r="U109" s="19">
        <v>229.768</v>
      </c>
      <c r="V109" s="19">
        <v>194.06200000000001</v>
      </c>
      <c r="W109" s="19">
        <v>241.66200000000001</v>
      </c>
      <c r="Y109" s="19">
        <f>G109</f>
        <v>60.414999999999999</v>
      </c>
      <c r="Z109" s="19">
        <f>K109</f>
        <v>50.164000000000001</v>
      </c>
      <c r="AA109" s="19">
        <f t="shared" si="65"/>
        <v>129.01499999999999</v>
      </c>
      <c r="AB109" s="19">
        <f t="shared" si="66"/>
        <v>161.376</v>
      </c>
      <c r="AC109" s="19">
        <f t="shared" si="67"/>
        <v>241.66200000000001</v>
      </c>
    </row>
    <row r="110" spans="2:29" outlineLevel="1" x14ac:dyDescent="0.25">
      <c r="B110" s="5" t="s">
        <v>263</v>
      </c>
      <c r="C110" s="3" t="s">
        <v>46</v>
      </c>
      <c r="D110" s="14">
        <f t="shared" ref="D110:W110" si="68">SUM(D111:D119)</f>
        <v>1309.9280000000001</v>
      </c>
      <c r="E110" s="14">
        <f t="shared" si="68"/>
        <v>1301.192</v>
      </c>
      <c r="F110" s="14">
        <f t="shared" si="68"/>
        <v>1316.9779999999998</v>
      </c>
      <c r="G110" s="14">
        <f t="shared" si="68"/>
        <v>1914.4200000000003</v>
      </c>
      <c r="H110" s="14">
        <f t="shared" si="68"/>
        <v>1817.9240000000002</v>
      </c>
      <c r="I110" s="14">
        <f t="shared" si="68"/>
        <v>1749.5710000000001</v>
      </c>
      <c r="J110" s="14">
        <f t="shared" si="68"/>
        <v>1790.0679999999998</v>
      </c>
      <c r="K110" s="14">
        <f t="shared" si="68"/>
        <v>1517.144</v>
      </c>
      <c r="L110" s="14">
        <f t="shared" si="68"/>
        <v>3413.2260000000001</v>
      </c>
      <c r="M110" s="14">
        <f t="shared" si="68"/>
        <v>3440.2470000000003</v>
      </c>
      <c r="N110" s="14">
        <f t="shared" si="68"/>
        <v>4257.2960000000003</v>
      </c>
      <c r="O110" s="14">
        <f t="shared" si="68"/>
        <v>4343.6769999999997</v>
      </c>
      <c r="P110" s="14">
        <f t="shared" si="68"/>
        <v>3903.4719999999998</v>
      </c>
      <c r="Q110" s="14">
        <f t="shared" si="68"/>
        <v>4528.71</v>
      </c>
      <c r="R110" s="14">
        <f t="shared" si="68"/>
        <v>5650.424</v>
      </c>
      <c r="S110" s="14">
        <f t="shared" si="68"/>
        <v>6457.7539999999999</v>
      </c>
      <c r="T110" s="14">
        <f t="shared" si="68"/>
        <v>6632.6559999999999</v>
      </c>
      <c r="U110" s="14">
        <f t="shared" si="68"/>
        <v>6931.6909999999998</v>
      </c>
      <c r="V110" s="14">
        <f t="shared" si="68"/>
        <v>7210.0550000000003</v>
      </c>
      <c r="W110" s="14">
        <f t="shared" si="68"/>
        <v>8414.351999999999</v>
      </c>
      <c r="Y110" s="14">
        <f t="shared" ref="Y110:AA110" si="69">SUM(Y111:Y119)</f>
        <v>1914.4200000000003</v>
      </c>
      <c r="Z110" s="14">
        <f t="shared" si="69"/>
        <v>1517.144</v>
      </c>
      <c r="AA110" s="14">
        <f t="shared" si="69"/>
        <v>4343.6769999999997</v>
      </c>
      <c r="AB110" s="14">
        <f t="shared" si="66"/>
        <v>6457.7539999999999</v>
      </c>
      <c r="AC110" s="14">
        <f>T110</f>
        <v>6632.6559999999999</v>
      </c>
    </row>
    <row r="111" spans="2:29" outlineLevel="2" x14ac:dyDescent="0.25">
      <c r="B111" s="2" t="s">
        <v>257</v>
      </c>
      <c r="C111" s="6" t="s">
        <v>46</v>
      </c>
      <c r="D111" s="19">
        <v>11.765000000000001</v>
      </c>
      <c r="E111" s="19">
        <v>13.256</v>
      </c>
      <c r="F111" s="19">
        <v>12.638</v>
      </c>
      <c r="G111" s="19">
        <v>2.1749999999999998</v>
      </c>
      <c r="H111" s="19">
        <v>8.1560000000000006</v>
      </c>
      <c r="I111" s="19">
        <v>7.8860000000000001</v>
      </c>
      <c r="J111" s="19">
        <v>6.8449999999999998</v>
      </c>
      <c r="K111" s="19">
        <v>26.376999999999999</v>
      </c>
      <c r="L111" s="19">
        <v>82.67</v>
      </c>
      <c r="M111" s="19">
        <v>55.996000000000002</v>
      </c>
      <c r="N111" s="19">
        <v>59.305999999999997</v>
      </c>
      <c r="O111" s="19">
        <v>62.033999999999999</v>
      </c>
      <c r="P111" s="19">
        <v>59.557000000000002</v>
      </c>
      <c r="Q111" s="19">
        <v>64.525000000000006</v>
      </c>
      <c r="R111" s="19">
        <v>60.488999999999997</v>
      </c>
      <c r="S111" s="19">
        <v>62.369</v>
      </c>
      <c r="T111" s="19">
        <v>59.281999999999996</v>
      </c>
      <c r="U111" s="19">
        <v>86.335999999999999</v>
      </c>
      <c r="V111" s="19">
        <v>88.941000000000003</v>
      </c>
      <c r="W111" s="19">
        <v>86.825999999999993</v>
      </c>
      <c r="Y111" s="19">
        <f t="shared" ref="Y111:Y117" si="70">G111</f>
        <v>2.1749999999999998</v>
      </c>
      <c r="Z111" s="19">
        <f t="shared" ref="Z111:Z117" si="71">K111</f>
        <v>26.376999999999999</v>
      </c>
      <c r="AA111" s="19">
        <f t="shared" ref="AA111:AA119" si="72">O111</f>
        <v>62.033999999999999</v>
      </c>
      <c r="AB111" s="19">
        <f t="shared" si="66"/>
        <v>62.369</v>
      </c>
      <c r="AC111" s="19">
        <f t="shared" si="67"/>
        <v>86.825999999999993</v>
      </c>
    </row>
    <row r="112" spans="2:29" outlineLevel="2" x14ac:dyDescent="0.25">
      <c r="B112" s="2" t="s">
        <v>258</v>
      </c>
      <c r="C112" s="6" t="s">
        <v>46</v>
      </c>
      <c r="D112" s="19">
        <v>1.1910000000000001</v>
      </c>
      <c r="E112" s="19">
        <v>2.133</v>
      </c>
      <c r="F112" s="19">
        <v>1.9079999999999999</v>
      </c>
      <c r="G112" s="19">
        <v>333.75099999999998</v>
      </c>
      <c r="H112" s="19">
        <v>266.786</v>
      </c>
      <c r="I112" s="19">
        <v>199.51300000000001</v>
      </c>
      <c r="J112" s="19">
        <v>199.334</v>
      </c>
      <c r="K112" s="19">
        <v>140.714</v>
      </c>
      <c r="L112" s="19">
        <v>135.81399999999999</v>
      </c>
      <c r="M112" s="19">
        <v>69.433000000000007</v>
      </c>
      <c r="N112" s="19">
        <v>66.430000000000007</v>
      </c>
      <c r="O112" s="19">
        <v>35.158999999999999</v>
      </c>
      <c r="P112" s="19">
        <v>212.47900000000001</v>
      </c>
      <c r="Q112" s="19">
        <v>733.07100000000003</v>
      </c>
      <c r="R112" s="19">
        <v>948.21199999999999</v>
      </c>
      <c r="S112" s="19">
        <v>943.66300000000001</v>
      </c>
      <c r="T112" s="19">
        <v>899.85699999999997</v>
      </c>
      <c r="U112" s="19">
        <v>1135.8869999999999</v>
      </c>
      <c r="V112" s="19">
        <v>1304.6959999999999</v>
      </c>
      <c r="W112" s="19">
        <v>1296.2370000000001</v>
      </c>
      <c r="Y112" s="19">
        <f t="shared" si="70"/>
        <v>333.75099999999998</v>
      </c>
      <c r="Z112" s="19">
        <f t="shared" si="71"/>
        <v>140.714</v>
      </c>
      <c r="AA112" s="19">
        <f t="shared" si="72"/>
        <v>35.158999999999999</v>
      </c>
      <c r="AB112" s="19">
        <f t="shared" si="66"/>
        <v>943.66300000000001</v>
      </c>
      <c r="AC112" s="19">
        <f t="shared" si="67"/>
        <v>1296.2370000000001</v>
      </c>
    </row>
    <row r="113" spans="2:29" outlineLevel="2" x14ac:dyDescent="0.25">
      <c r="B113" s="2" t="s">
        <v>259</v>
      </c>
      <c r="C113" s="6" t="s">
        <v>46</v>
      </c>
      <c r="D113" s="19">
        <v>539.32500000000005</v>
      </c>
      <c r="E113" s="19">
        <v>452.63600000000002</v>
      </c>
      <c r="F113" s="19">
        <v>453.21699999999998</v>
      </c>
      <c r="G113" s="19">
        <v>726.04200000000003</v>
      </c>
      <c r="H113" s="19">
        <v>588.94299999999998</v>
      </c>
      <c r="I113" s="19">
        <v>588.851</v>
      </c>
      <c r="J113" s="19">
        <v>529.48299999999995</v>
      </c>
      <c r="K113" s="19">
        <v>179.423</v>
      </c>
      <c r="L113" s="19">
        <v>1011.647</v>
      </c>
      <c r="M113" s="19">
        <v>1012.564</v>
      </c>
      <c r="N113" s="19">
        <v>1751.3869999999999</v>
      </c>
      <c r="O113" s="19">
        <v>1752.537</v>
      </c>
      <c r="P113" s="19">
        <v>797.03200000000004</v>
      </c>
      <c r="Q113" s="19">
        <v>797.25300000000004</v>
      </c>
      <c r="R113" s="19">
        <v>1547.4749999999999</v>
      </c>
      <c r="S113" s="19">
        <v>2238.5720000000001</v>
      </c>
      <c r="T113" s="19">
        <v>2239.395</v>
      </c>
      <c r="U113" s="19">
        <v>2240.2179999999998</v>
      </c>
      <c r="V113" s="19">
        <v>2241.0410000000002</v>
      </c>
      <c r="W113" s="19">
        <v>3169.9360000000001</v>
      </c>
      <c r="Y113" s="19">
        <f t="shared" si="70"/>
        <v>726.04200000000003</v>
      </c>
      <c r="Z113" s="19">
        <f t="shared" si="71"/>
        <v>179.423</v>
      </c>
      <c r="AA113" s="19">
        <f t="shared" si="72"/>
        <v>1752.537</v>
      </c>
      <c r="AB113" s="19">
        <f t="shared" si="66"/>
        <v>2238.5720000000001</v>
      </c>
      <c r="AC113" s="19">
        <f t="shared" si="67"/>
        <v>3169.9360000000001</v>
      </c>
    </row>
    <row r="114" spans="2:29" outlineLevel="2" x14ac:dyDescent="0.25">
      <c r="B114" s="2" t="s">
        <v>261</v>
      </c>
      <c r="C114" s="6" t="s">
        <v>46</v>
      </c>
      <c r="D114" s="19">
        <v>10.552</v>
      </c>
      <c r="E114" s="19">
        <v>10.944000000000001</v>
      </c>
      <c r="F114" s="19">
        <v>10.481</v>
      </c>
      <c r="G114" s="19">
        <v>9.9789999999999992</v>
      </c>
      <c r="H114" s="19">
        <v>9.4350000000000005</v>
      </c>
      <c r="I114" s="19">
        <v>9.9329999999999998</v>
      </c>
      <c r="J114" s="19">
        <v>99.183999999999997</v>
      </c>
      <c r="K114" s="19">
        <v>106.937</v>
      </c>
      <c r="L114" s="19">
        <v>139.15299999999999</v>
      </c>
      <c r="M114" s="19">
        <v>181.49199999999999</v>
      </c>
      <c r="N114" s="19">
        <v>246.17699999999999</v>
      </c>
      <c r="O114" s="19">
        <v>342.83600000000001</v>
      </c>
      <c r="P114" s="19">
        <v>468.19600000000003</v>
      </c>
      <c r="Q114" s="19">
        <v>458.947</v>
      </c>
      <c r="R114" s="19">
        <v>507.553</v>
      </c>
      <c r="S114" s="19">
        <v>531.53700000000003</v>
      </c>
      <c r="T114" s="19">
        <v>563.48</v>
      </c>
      <c r="U114" s="19">
        <v>590.45600000000002</v>
      </c>
      <c r="V114" s="19">
        <v>642.39</v>
      </c>
      <c r="W114" s="19">
        <v>687.65099999999995</v>
      </c>
      <c r="Y114" s="19">
        <f t="shared" si="70"/>
        <v>9.9789999999999992</v>
      </c>
      <c r="Z114" s="19">
        <f t="shared" si="71"/>
        <v>106.937</v>
      </c>
      <c r="AA114" s="19">
        <f t="shared" si="72"/>
        <v>342.83600000000001</v>
      </c>
      <c r="AB114" s="19">
        <f t="shared" si="66"/>
        <v>531.53700000000003</v>
      </c>
      <c r="AC114" s="19">
        <f t="shared" si="67"/>
        <v>687.65099999999995</v>
      </c>
    </row>
    <row r="115" spans="2:29" outlineLevel="2" x14ac:dyDescent="0.25">
      <c r="B115" s="2" t="s">
        <v>264</v>
      </c>
      <c r="C115" s="6" t="s">
        <v>46</v>
      </c>
      <c r="D115" s="19">
        <v>224.66300000000001</v>
      </c>
      <c r="E115" s="19">
        <v>228.577</v>
      </c>
      <c r="F115" s="19">
        <v>231.279</v>
      </c>
      <c r="G115" s="19">
        <v>235.577</v>
      </c>
      <c r="H115" s="19">
        <v>237.34100000000001</v>
      </c>
      <c r="I115" s="19">
        <v>226.36699999999999</v>
      </c>
      <c r="J115" s="19">
        <v>221.898</v>
      </c>
      <c r="K115" s="19">
        <v>222.773</v>
      </c>
      <c r="L115" s="19">
        <v>222.99799999999999</v>
      </c>
      <c r="M115" s="19">
        <v>0</v>
      </c>
      <c r="N115" s="19">
        <v>0</v>
      </c>
      <c r="O115" s="19">
        <v>0</v>
      </c>
      <c r="P115" s="19">
        <v>0</v>
      </c>
      <c r="Q115" s="19">
        <v>78.655000000000001</v>
      </c>
      <c r="R115" s="19">
        <v>67.453999999999994</v>
      </c>
      <c r="S115" s="19">
        <v>72.938000000000002</v>
      </c>
      <c r="T115" s="19">
        <v>69.415000000000006</v>
      </c>
      <c r="U115" s="19">
        <v>66.218999999999994</v>
      </c>
      <c r="V115" s="19">
        <v>52.323999999999998</v>
      </c>
      <c r="W115" s="19">
        <v>50.762</v>
      </c>
      <c r="Y115" s="19">
        <f t="shared" si="70"/>
        <v>235.577</v>
      </c>
      <c r="Z115" s="19">
        <f t="shared" si="71"/>
        <v>222.773</v>
      </c>
      <c r="AA115" s="19">
        <f t="shared" si="72"/>
        <v>0</v>
      </c>
      <c r="AB115" s="19">
        <f t="shared" si="66"/>
        <v>72.938000000000002</v>
      </c>
      <c r="AC115" s="19">
        <f t="shared" si="67"/>
        <v>50.762</v>
      </c>
    </row>
    <row r="116" spans="2:29" outlineLevel="2" x14ac:dyDescent="0.25">
      <c r="B116" s="2" t="s">
        <v>265</v>
      </c>
      <c r="C116" s="6" t="s">
        <v>46</v>
      </c>
      <c r="D116" s="19">
        <v>205.29499999999999</v>
      </c>
      <c r="E116" s="19">
        <v>198.33199999999999</v>
      </c>
      <c r="F116" s="19">
        <v>196.80799999999999</v>
      </c>
      <c r="G116" s="19">
        <v>199.61099999999999</v>
      </c>
      <c r="H116" s="19">
        <v>207.51900000000001</v>
      </c>
      <c r="I116" s="19">
        <v>200.96799999999999</v>
      </c>
      <c r="J116" s="19">
        <v>200.619</v>
      </c>
      <c r="K116" s="19">
        <v>206.74199999999999</v>
      </c>
      <c r="L116" s="19">
        <v>209.88499999999999</v>
      </c>
      <c r="M116" s="19">
        <v>280.82600000000002</v>
      </c>
      <c r="N116" s="19">
        <v>299.04899999999998</v>
      </c>
      <c r="O116" s="19">
        <v>262.80200000000002</v>
      </c>
      <c r="P116" s="19">
        <v>265.245</v>
      </c>
      <c r="Q116" s="19">
        <v>307.39999999999998</v>
      </c>
      <c r="R116" s="19">
        <v>328.44900000000001</v>
      </c>
      <c r="S116" s="19">
        <v>363.31099999999998</v>
      </c>
      <c r="T116" s="19">
        <v>400.87</v>
      </c>
      <c r="U116" s="19">
        <v>429.096</v>
      </c>
      <c r="V116" s="19">
        <v>470.774</v>
      </c>
      <c r="W116" s="19">
        <v>643.41800000000001</v>
      </c>
      <c r="Y116" s="19">
        <f t="shared" si="70"/>
        <v>199.61099999999999</v>
      </c>
      <c r="Z116" s="19">
        <f t="shared" si="71"/>
        <v>206.74199999999999</v>
      </c>
      <c r="AA116" s="19">
        <f t="shared" si="72"/>
        <v>262.80200000000002</v>
      </c>
      <c r="AB116" s="19">
        <f t="shared" si="66"/>
        <v>363.31099999999998</v>
      </c>
      <c r="AC116" s="19">
        <f t="shared" si="67"/>
        <v>643.41800000000001</v>
      </c>
    </row>
    <row r="117" spans="2:29" outlineLevel="2" x14ac:dyDescent="0.25">
      <c r="B117" s="2" t="s">
        <v>266</v>
      </c>
      <c r="C117" s="6" t="s">
        <v>46</v>
      </c>
      <c r="D117" s="19">
        <v>255.15899999999999</v>
      </c>
      <c r="E117" s="19">
        <v>301.327</v>
      </c>
      <c r="F117" s="19">
        <v>317.14400000000001</v>
      </c>
      <c r="G117" s="19">
        <v>291.37099999999998</v>
      </c>
      <c r="H117" s="19">
        <v>347.32400000000001</v>
      </c>
      <c r="I117" s="19">
        <v>364.13200000000001</v>
      </c>
      <c r="J117" s="19">
        <v>378.68099999999998</v>
      </c>
      <c r="K117" s="19">
        <v>424.19099999999997</v>
      </c>
      <c r="L117" s="19">
        <v>780.91300000000001</v>
      </c>
      <c r="M117" s="19">
        <v>870.06899999999996</v>
      </c>
      <c r="N117" s="19">
        <v>882.65099999999995</v>
      </c>
      <c r="O117" s="19">
        <v>887.61800000000005</v>
      </c>
      <c r="P117" s="19">
        <v>894.13800000000003</v>
      </c>
      <c r="Q117" s="19">
        <v>837.81399999999996</v>
      </c>
      <c r="R117" s="19">
        <v>882.69299999999998</v>
      </c>
      <c r="S117" s="19">
        <v>870.53</v>
      </c>
      <c r="T117" s="19">
        <v>884.84299999999996</v>
      </c>
      <c r="U117" s="19">
        <v>787.11599999999999</v>
      </c>
      <c r="V117" s="19">
        <v>807.41700000000003</v>
      </c>
      <c r="W117" s="19">
        <v>774.51</v>
      </c>
      <c r="Y117" s="19">
        <f t="shared" si="70"/>
        <v>291.37099999999998</v>
      </c>
      <c r="Z117" s="19">
        <f t="shared" si="71"/>
        <v>424.19099999999997</v>
      </c>
      <c r="AA117" s="19">
        <f t="shared" si="72"/>
        <v>887.61800000000005</v>
      </c>
      <c r="AB117" s="19">
        <f t="shared" si="66"/>
        <v>870.53</v>
      </c>
      <c r="AC117" s="19">
        <f t="shared" si="67"/>
        <v>774.51</v>
      </c>
    </row>
    <row r="118" spans="2:29" outlineLevel="2" x14ac:dyDescent="0.25">
      <c r="B118" s="2" t="s">
        <v>405</v>
      </c>
      <c r="C118" s="6" t="s">
        <v>46</v>
      </c>
      <c r="D118" s="19">
        <v>0</v>
      </c>
      <c r="E118" s="19">
        <v>0</v>
      </c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379.50299999999999</v>
      </c>
      <c r="M118" s="19">
        <v>412.40300000000002</v>
      </c>
      <c r="N118" s="19">
        <v>415.26499999999999</v>
      </c>
      <c r="O118" s="19">
        <v>464.41</v>
      </c>
      <c r="P118" s="19">
        <v>472.53500000000003</v>
      </c>
      <c r="Q118" s="19">
        <v>491.464</v>
      </c>
      <c r="R118" s="19">
        <v>450.69400000000002</v>
      </c>
      <c r="S118" s="19">
        <v>489.35500000000002</v>
      </c>
      <c r="T118" s="19">
        <v>575.79499999999996</v>
      </c>
      <c r="U118" s="19">
        <v>570.42399999999998</v>
      </c>
      <c r="V118" s="19">
        <v>577.245</v>
      </c>
      <c r="W118" s="19">
        <v>657.15599999999995</v>
      </c>
      <c r="Y118" s="19">
        <v>0</v>
      </c>
      <c r="Z118" s="19">
        <v>0</v>
      </c>
      <c r="AA118" s="19">
        <f t="shared" si="72"/>
        <v>464.41</v>
      </c>
      <c r="AB118" s="19">
        <f t="shared" si="66"/>
        <v>489.35500000000002</v>
      </c>
      <c r="AC118" s="19">
        <f t="shared" si="67"/>
        <v>657.15599999999995</v>
      </c>
    </row>
    <row r="119" spans="2:29" outlineLevel="2" x14ac:dyDescent="0.25">
      <c r="B119" s="2" t="s">
        <v>267</v>
      </c>
      <c r="C119" s="6" t="s">
        <v>46</v>
      </c>
      <c r="D119" s="19">
        <v>61.978000000000002</v>
      </c>
      <c r="E119" s="19">
        <v>93.986999999999995</v>
      </c>
      <c r="F119" s="19">
        <v>93.503</v>
      </c>
      <c r="G119" s="19">
        <v>115.914</v>
      </c>
      <c r="H119" s="19">
        <v>152.41999999999999</v>
      </c>
      <c r="I119" s="19">
        <v>151.92099999999999</v>
      </c>
      <c r="J119" s="19">
        <v>154.024</v>
      </c>
      <c r="K119" s="19">
        <v>209.98699999999999</v>
      </c>
      <c r="L119" s="19">
        <v>450.64299999999997</v>
      </c>
      <c r="M119" s="19">
        <v>557.46400000000006</v>
      </c>
      <c r="N119" s="19">
        <v>537.03099999999995</v>
      </c>
      <c r="O119" s="19">
        <v>536.28099999999995</v>
      </c>
      <c r="P119" s="19">
        <v>734.29</v>
      </c>
      <c r="Q119" s="19">
        <v>759.58100000000002</v>
      </c>
      <c r="R119" s="19">
        <v>857.40499999999997</v>
      </c>
      <c r="S119" s="19">
        <v>885.47900000000004</v>
      </c>
      <c r="T119" s="19">
        <v>939.71900000000005</v>
      </c>
      <c r="U119" s="19">
        <v>1025.9390000000001</v>
      </c>
      <c r="V119" s="19">
        <v>1025.2270000000001</v>
      </c>
      <c r="W119" s="19">
        <v>1047.856</v>
      </c>
      <c r="Y119" s="19">
        <f>G119</f>
        <v>115.914</v>
      </c>
      <c r="Z119" s="19">
        <f>K119</f>
        <v>209.98699999999999</v>
      </c>
      <c r="AA119" s="19">
        <f t="shared" si="72"/>
        <v>536.28099999999995</v>
      </c>
      <c r="AB119" s="19">
        <f t="shared" si="66"/>
        <v>885.47900000000004</v>
      </c>
      <c r="AC119" s="19">
        <f t="shared" si="67"/>
        <v>1047.856</v>
      </c>
    </row>
    <row r="120" spans="2:29" outlineLevel="1" x14ac:dyDescent="0.25">
      <c r="B120" s="5" t="s">
        <v>74</v>
      </c>
      <c r="C120" s="3" t="s">
        <v>46</v>
      </c>
      <c r="D120" s="14">
        <f t="shared" ref="D120:O120" si="73">SUM(D121:D123,D127:D127)</f>
        <v>1105.7249999999999</v>
      </c>
      <c r="E120" s="14">
        <f t="shared" si="73"/>
        <v>1109.326</v>
      </c>
      <c r="F120" s="14">
        <f t="shared" si="73"/>
        <v>1109.7929999999999</v>
      </c>
      <c r="G120" s="14">
        <f t="shared" si="73"/>
        <v>1351.1569999999999</v>
      </c>
      <c r="H120" s="14">
        <f t="shared" si="73"/>
        <v>1349.71</v>
      </c>
      <c r="I120" s="14">
        <f t="shared" si="73"/>
        <v>1688.605</v>
      </c>
      <c r="J120" s="14">
        <f t="shared" si="73"/>
        <v>1696.9830000000002</v>
      </c>
      <c r="K120" s="14">
        <f t="shared" si="73"/>
        <v>2340.0650000000001</v>
      </c>
      <c r="L120" s="14">
        <f t="shared" si="73"/>
        <v>2347.0720000000001</v>
      </c>
      <c r="M120" s="14">
        <f t="shared" si="73"/>
        <v>2359.3890000000001</v>
      </c>
      <c r="N120" s="14">
        <f t="shared" si="73"/>
        <v>2372.8850000000002</v>
      </c>
      <c r="O120" s="14">
        <f t="shared" si="73"/>
        <v>6370.3959999999997</v>
      </c>
      <c r="P120" s="14">
        <f t="shared" ref="P120:W120" si="74">SUM(P121:P123,P126:P127)</f>
        <v>6540.424</v>
      </c>
      <c r="Q120" s="14">
        <f t="shared" si="74"/>
        <v>6776.0380000000014</v>
      </c>
      <c r="R120" s="14">
        <f t="shared" si="74"/>
        <v>7105.5280000000012</v>
      </c>
      <c r="S120" s="14">
        <f t="shared" si="74"/>
        <v>7098.6850000000004</v>
      </c>
      <c r="T120" s="14">
        <f t="shared" si="74"/>
        <v>7083.1260000000002</v>
      </c>
      <c r="U120" s="14">
        <f t="shared" si="74"/>
        <v>7201.8580000000002</v>
      </c>
      <c r="V120" s="14">
        <f t="shared" si="74"/>
        <v>7117.0660000000007</v>
      </c>
      <c r="W120" s="14">
        <f t="shared" si="74"/>
        <v>7117.6680000000006</v>
      </c>
      <c r="Y120" s="14">
        <f t="shared" ref="Y120:AC120" si="75">SUM(Y121:Y123,Y126:Y127)</f>
        <v>1351.1569999999999</v>
      </c>
      <c r="Z120" s="14">
        <f t="shared" si="75"/>
        <v>2340.0650000000001</v>
      </c>
      <c r="AA120" s="14">
        <f t="shared" si="75"/>
        <v>6370.3959999999997</v>
      </c>
      <c r="AB120" s="14">
        <f t="shared" si="75"/>
        <v>7098.6850000000004</v>
      </c>
      <c r="AC120" s="14">
        <f t="shared" si="75"/>
        <v>7117.6680000000006</v>
      </c>
    </row>
    <row r="121" spans="2:29" outlineLevel="2" x14ac:dyDescent="0.25">
      <c r="B121" s="2" t="s">
        <v>66</v>
      </c>
      <c r="C121" s="6" t="s">
        <v>46</v>
      </c>
      <c r="D121" s="19">
        <v>993.53399999999999</v>
      </c>
      <c r="E121" s="19">
        <v>993.53399999999999</v>
      </c>
      <c r="F121" s="19">
        <v>993.53399999999999</v>
      </c>
      <c r="G121" s="19">
        <v>1036.7349999999999</v>
      </c>
      <c r="H121" s="19">
        <v>1036.7349999999999</v>
      </c>
      <c r="I121" s="19">
        <v>1368.2239999999999</v>
      </c>
      <c r="J121" s="19">
        <v>1368.2260000000001</v>
      </c>
      <c r="K121" s="19">
        <v>1749.0119999999999</v>
      </c>
      <c r="L121" s="19">
        <f>1765.924-16.912</f>
        <v>1749.0119999999999</v>
      </c>
      <c r="M121" s="19">
        <f>1765.924-16.912</f>
        <v>1749.0119999999999</v>
      </c>
      <c r="N121" s="19">
        <v>1749.0119999999999</v>
      </c>
      <c r="O121" s="19">
        <v>5412.0940000000001</v>
      </c>
      <c r="P121" s="19">
        <v>5409.3150000000005</v>
      </c>
      <c r="Q121" s="19">
        <v>5409.5400000000009</v>
      </c>
      <c r="R121" s="19">
        <v>5529.7610000000004</v>
      </c>
      <c r="S121" s="19">
        <v>5529.7610000000004</v>
      </c>
      <c r="T121" s="19">
        <v>5529.7610000000004</v>
      </c>
      <c r="U121" s="19">
        <v>5691.9170000000004</v>
      </c>
      <c r="V121" s="19">
        <v>5691.9170000000004</v>
      </c>
      <c r="W121" s="19">
        <v>5691.9170000000004</v>
      </c>
      <c r="Y121" s="19">
        <f>G121</f>
        <v>1036.7349999999999</v>
      </c>
      <c r="Z121" s="19">
        <f>K121</f>
        <v>1749.0119999999999</v>
      </c>
      <c r="AA121" s="19">
        <f>O121</f>
        <v>5412.0940000000001</v>
      </c>
      <c r="AB121" s="19">
        <f>S121</f>
        <v>5529.7610000000004</v>
      </c>
      <c r="AC121" s="19">
        <f>W121</f>
        <v>5691.9170000000004</v>
      </c>
    </row>
    <row r="122" spans="2:29" outlineLevel="2" x14ac:dyDescent="0.25">
      <c r="B122" s="2" t="s">
        <v>268</v>
      </c>
      <c r="C122" s="6" t="s">
        <v>46</v>
      </c>
      <c r="D122" s="19">
        <v>-0.47599999999999998</v>
      </c>
      <c r="E122" s="19">
        <v>-0.47599999999999998</v>
      </c>
      <c r="F122" s="19">
        <v>-2.8559999999999999</v>
      </c>
      <c r="G122" s="19">
        <v>-2.8570000000000002</v>
      </c>
      <c r="H122" s="19">
        <v>-2.8570000000000002</v>
      </c>
      <c r="I122" s="19">
        <v>-2.8570000000000002</v>
      </c>
      <c r="J122" s="19">
        <v>-2.8570000000000002</v>
      </c>
      <c r="K122" s="19">
        <v>-2.8570000000000002</v>
      </c>
      <c r="L122" s="19">
        <v>-2.8570000000000002</v>
      </c>
      <c r="M122" s="19">
        <v>-2.8570000000000002</v>
      </c>
      <c r="N122" s="19">
        <v>-2.8570000000000002</v>
      </c>
      <c r="O122" s="19">
        <v>-2.8570000000000002</v>
      </c>
      <c r="P122" s="19">
        <v>-2.8570000000000002</v>
      </c>
      <c r="Q122" s="19">
        <v>-2.8570000000000002</v>
      </c>
      <c r="R122" s="19">
        <v>-2.8570000000000002</v>
      </c>
      <c r="S122" s="19">
        <v>-2.8570000000000002</v>
      </c>
      <c r="T122" s="19">
        <v>-2.8570000000000002</v>
      </c>
      <c r="U122" s="19">
        <v>-2.8570000000000002</v>
      </c>
      <c r="V122" s="19">
        <v>-2.8570000000000002</v>
      </c>
      <c r="W122" s="19">
        <v>-2.8570000000000002</v>
      </c>
      <c r="Y122" s="19">
        <f>G122</f>
        <v>-2.8570000000000002</v>
      </c>
      <c r="Z122" s="19">
        <f>K122</f>
        <v>-2.8570000000000002</v>
      </c>
      <c r="AA122" s="19">
        <f>O122</f>
        <v>-2.8570000000000002</v>
      </c>
      <c r="AB122" s="19">
        <f>S122</f>
        <v>-2.8570000000000002</v>
      </c>
      <c r="AC122" s="19">
        <f>W122</f>
        <v>-2.8570000000000002</v>
      </c>
    </row>
    <row r="123" spans="2:29" outlineLevel="2" x14ac:dyDescent="0.25">
      <c r="B123" s="2" t="s">
        <v>269</v>
      </c>
      <c r="C123" s="6" t="s">
        <v>46</v>
      </c>
      <c r="D123" s="19">
        <f>SUM(D124:D125)</f>
        <v>112.667</v>
      </c>
      <c r="E123" s="19">
        <f t="shared" ref="E123:W123" si="76">SUM(E124:E125)</f>
        <v>116.268</v>
      </c>
      <c r="F123" s="19">
        <f t="shared" si="76"/>
        <v>119.11499999999999</v>
      </c>
      <c r="G123" s="19">
        <f t="shared" si="76"/>
        <v>317.279</v>
      </c>
      <c r="H123" s="19">
        <f t="shared" si="76"/>
        <v>315.83199999999999</v>
      </c>
      <c r="I123" s="19">
        <f t="shared" si="76"/>
        <v>323.238</v>
      </c>
      <c r="J123" s="19">
        <f t="shared" si="76"/>
        <v>331.61399999999998</v>
      </c>
      <c r="K123" s="19">
        <f t="shared" si="76"/>
        <v>593.91</v>
      </c>
      <c r="L123" s="19">
        <f t="shared" si="76"/>
        <v>600.91700000000003</v>
      </c>
      <c r="M123" s="19">
        <f t="shared" si="76"/>
        <v>613.23400000000004</v>
      </c>
      <c r="N123" s="19">
        <f t="shared" si="76"/>
        <v>626.73</v>
      </c>
      <c r="O123" s="19">
        <f t="shared" si="76"/>
        <v>961.15899999999999</v>
      </c>
      <c r="P123" s="19">
        <f t="shared" si="76"/>
        <v>972.08299999999997</v>
      </c>
      <c r="Q123" s="19">
        <f t="shared" si="76"/>
        <v>984.654</v>
      </c>
      <c r="R123" s="19">
        <f t="shared" si="76"/>
        <v>997.21100000000001</v>
      </c>
      <c r="S123" s="19">
        <f t="shared" si="76"/>
        <v>1571.2429999999999</v>
      </c>
      <c r="T123" s="19">
        <f t="shared" si="76"/>
        <v>1583.337</v>
      </c>
      <c r="U123" s="19">
        <f t="shared" si="76"/>
        <v>1587.9069999999999</v>
      </c>
      <c r="V123" s="19">
        <f t="shared" si="76"/>
        <v>1593.6189999999999</v>
      </c>
      <c r="W123" s="19">
        <f t="shared" si="76"/>
        <v>1427.4480000000001</v>
      </c>
      <c r="Y123" s="19">
        <f t="shared" ref="Y123:AC123" si="77">SUM(Y124:Y125)</f>
        <v>317.279</v>
      </c>
      <c r="Z123" s="19">
        <f t="shared" si="77"/>
        <v>593.91</v>
      </c>
      <c r="AA123" s="19">
        <f t="shared" si="77"/>
        <v>961.15899999999999</v>
      </c>
      <c r="AB123" s="19">
        <f t="shared" si="77"/>
        <v>1571.2429999999999</v>
      </c>
      <c r="AC123" s="19">
        <f t="shared" si="77"/>
        <v>1427.4480000000001</v>
      </c>
    </row>
    <row r="124" spans="2:29" outlineLevel="2" x14ac:dyDescent="0.25">
      <c r="B124" s="18" t="s">
        <v>270</v>
      </c>
      <c r="C124" s="6" t="s">
        <v>46</v>
      </c>
      <c r="D124" s="19">
        <v>62.223999999999997</v>
      </c>
      <c r="E124" s="19">
        <v>65.825000000000003</v>
      </c>
      <c r="F124" s="19">
        <v>68.671999999999997</v>
      </c>
      <c r="G124" s="19">
        <v>28.670999999999999</v>
      </c>
      <c r="H124" s="19">
        <v>32.948999999999998</v>
      </c>
      <c r="I124" s="19">
        <v>40.353000000000002</v>
      </c>
      <c r="J124" s="19">
        <v>48.731000000000002</v>
      </c>
      <c r="K124" s="19">
        <v>56.295999999999999</v>
      </c>
      <c r="L124" s="19">
        <v>63.302999999999997</v>
      </c>
      <c r="M124" s="19">
        <v>75.62</v>
      </c>
      <c r="N124" s="19">
        <v>89.116</v>
      </c>
      <c r="O124" s="19">
        <v>100.563</v>
      </c>
      <c r="P124" s="19">
        <v>972.08299999999997</v>
      </c>
      <c r="Q124" s="19">
        <v>984.654</v>
      </c>
      <c r="R124" s="19">
        <v>997.21100000000001</v>
      </c>
      <c r="S124" s="19">
        <v>1571.2429999999999</v>
      </c>
      <c r="T124" s="19">
        <v>1583.337</v>
      </c>
      <c r="U124" s="19">
        <v>1587.9069999999999</v>
      </c>
      <c r="V124" s="19">
        <v>1593.6189999999999</v>
      </c>
      <c r="W124" s="19">
        <v>1427.4480000000001</v>
      </c>
      <c r="Y124" s="19">
        <f>G124</f>
        <v>28.670999999999999</v>
      </c>
      <c r="Z124" s="19">
        <f>K124</f>
        <v>56.295999999999999</v>
      </c>
      <c r="AA124" s="19">
        <f>O124</f>
        <v>100.563</v>
      </c>
      <c r="AB124" s="19">
        <f>S124</f>
        <v>1571.2429999999999</v>
      </c>
      <c r="AC124" s="19">
        <f>W124</f>
        <v>1427.4480000000001</v>
      </c>
    </row>
    <row r="125" spans="2:29" outlineLevel="2" x14ac:dyDescent="0.25">
      <c r="B125" s="18" t="s">
        <v>271</v>
      </c>
      <c r="C125" s="6" t="s">
        <v>46</v>
      </c>
      <c r="D125" s="19">
        <v>50.442999999999998</v>
      </c>
      <c r="E125" s="19">
        <v>50.442999999999998</v>
      </c>
      <c r="F125" s="19">
        <v>50.442999999999998</v>
      </c>
      <c r="G125" s="19">
        <v>288.608</v>
      </c>
      <c r="H125" s="19">
        <v>282.88299999999998</v>
      </c>
      <c r="I125" s="19">
        <v>282.88499999999999</v>
      </c>
      <c r="J125" s="19">
        <v>282.88299999999998</v>
      </c>
      <c r="K125" s="19">
        <f>593.91-56.296</f>
        <v>537.61399999999992</v>
      </c>
      <c r="L125" s="19">
        <v>537.61400000000003</v>
      </c>
      <c r="M125" s="19">
        <v>537.61400000000003</v>
      </c>
      <c r="N125" s="19">
        <f>626.73-N124</f>
        <v>537.61400000000003</v>
      </c>
      <c r="O125" s="19">
        <v>860.596</v>
      </c>
      <c r="P125" s="19">
        <v>0</v>
      </c>
      <c r="Q125" s="19">
        <v>0</v>
      </c>
      <c r="R125" s="19">
        <v>0</v>
      </c>
      <c r="S125" s="19">
        <v>0</v>
      </c>
      <c r="T125" s="19">
        <v>0</v>
      </c>
      <c r="U125" s="19">
        <v>0</v>
      </c>
      <c r="V125" s="19">
        <v>0</v>
      </c>
      <c r="W125" s="19">
        <v>0</v>
      </c>
      <c r="Y125" s="19">
        <f>G125</f>
        <v>288.608</v>
      </c>
      <c r="Z125" s="19">
        <f>K125</f>
        <v>537.61399999999992</v>
      </c>
      <c r="AA125" s="19">
        <f>O125</f>
        <v>860.596</v>
      </c>
      <c r="AB125" s="19">
        <f>S125</f>
        <v>0</v>
      </c>
      <c r="AC125" s="19">
        <f t="shared" ref="AC125:AC127" si="78">W125</f>
        <v>0</v>
      </c>
    </row>
    <row r="126" spans="2:29" outlineLevel="2" x14ac:dyDescent="0.25">
      <c r="B126" s="2" t="s">
        <v>272</v>
      </c>
      <c r="C126" s="6" t="s">
        <v>46</v>
      </c>
      <c r="D126" s="19">
        <v>59.372</v>
      </c>
      <c r="E126" s="19">
        <v>84.619</v>
      </c>
      <c r="F126" s="19">
        <v>128.72</v>
      </c>
      <c r="G126" s="19">
        <v>0</v>
      </c>
      <c r="H126" s="19">
        <v>60.262</v>
      </c>
      <c r="I126" s="19">
        <v>111.535</v>
      </c>
      <c r="J126" s="19">
        <v>205.68700000000001</v>
      </c>
      <c r="K126" s="19">
        <v>0</v>
      </c>
      <c r="L126" s="19">
        <v>102.842</v>
      </c>
      <c r="M126" s="45">
        <v>192.488</v>
      </c>
      <c r="N126" s="45">
        <v>292.18</v>
      </c>
      <c r="O126" s="45">
        <v>0</v>
      </c>
      <c r="P126" s="45">
        <v>160.404</v>
      </c>
      <c r="Q126" s="45">
        <v>383.99</v>
      </c>
      <c r="R126" s="45">
        <v>581.17999999999995</v>
      </c>
      <c r="S126" s="45">
        <v>0</v>
      </c>
      <c r="T126" s="45">
        <v>-28.013999999999999</v>
      </c>
      <c r="U126" s="45">
        <v>-75.908000000000001</v>
      </c>
      <c r="V126" s="45">
        <v>-166.59700000000001</v>
      </c>
      <c r="W126" s="45">
        <v>0</v>
      </c>
      <c r="Y126" s="19">
        <f>G126</f>
        <v>0</v>
      </c>
      <c r="Z126" s="19">
        <f>K126</f>
        <v>0</v>
      </c>
      <c r="AA126" s="19">
        <f>O126</f>
        <v>0</v>
      </c>
      <c r="AB126" s="19">
        <f>S126</f>
        <v>0</v>
      </c>
      <c r="AC126" s="19">
        <f t="shared" si="78"/>
        <v>0</v>
      </c>
    </row>
    <row r="127" spans="2:29" outlineLevel="2" x14ac:dyDescent="0.25">
      <c r="B127" s="2" t="s">
        <v>429</v>
      </c>
      <c r="C127" s="6" t="s">
        <v>46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45">
        <v>0</v>
      </c>
      <c r="N127" s="45">
        <v>0</v>
      </c>
      <c r="O127" s="45">
        <v>0</v>
      </c>
      <c r="P127" s="45">
        <v>1.4790000000000001</v>
      </c>
      <c r="Q127" s="45">
        <v>0.71099999999999997</v>
      </c>
      <c r="R127" s="45">
        <v>0.23300000000000001</v>
      </c>
      <c r="S127" s="45">
        <v>0.53800000000000003</v>
      </c>
      <c r="T127" s="45">
        <v>0.89900000000000002</v>
      </c>
      <c r="U127" s="45">
        <v>0.79900000000000004</v>
      </c>
      <c r="V127" s="45">
        <v>0.98399999999999999</v>
      </c>
      <c r="W127" s="45">
        <v>1.1599999999999999</v>
      </c>
      <c r="Y127" s="19">
        <f>G127</f>
        <v>0</v>
      </c>
      <c r="Z127" s="19">
        <f>K127</f>
        <v>0</v>
      </c>
      <c r="AA127" s="19">
        <f>O127</f>
        <v>0</v>
      </c>
      <c r="AB127" s="19">
        <f>S127</f>
        <v>0.53800000000000003</v>
      </c>
      <c r="AC127" s="19">
        <f t="shared" si="78"/>
        <v>1.1599999999999999</v>
      </c>
    </row>
    <row r="128" spans="2:29" x14ac:dyDescent="0.25"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Y128" s="27"/>
      <c r="Z128" s="27"/>
      <c r="AA128" s="27"/>
      <c r="AB128" s="27"/>
      <c r="AC128" s="27"/>
    </row>
    <row r="129" spans="2:29" ht="15.75" x14ac:dyDescent="0.25">
      <c r="B129" s="33" t="s">
        <v>366</v>
      </c>
    </row>
    <row r="130" spans="2:29" outlineLevel="1" x14ac:dyDescent="0.25">
      <c r="B130" s="32" t="s">
        <v>6</v>
      </c>
      <c r="C130" s="17" t="s">
        <v>42</v>
      </c>
      <c r="D130" s="17" t="s">
        <v>37</v>
      </c>
      <c r="E130" s="17" t="s">
        <v>38</v>
      </c>
      <c r="F130" s="17" t="s">
        <v>39</v>
      </c>
      <c r="G130" s="17" t="s">
        <v>40</v>
      </c>
      <c r="H130" s="17" t="s">
        <v>41</v>
      </c>
      <c r="I130" s="17" t="s">
        <v>376</v>
      </c>
      <c r="J130" s="17" t="s">
        <v>384</v>
      </c>
      <c r="K130" s="17" t="s">
        <v>398</v>
      </c>
      <c r="L130" s="17" t="s">
        <v>406</v>
      </c>
      <c r="M130" s="17" t="s">
        <v>421</v>
      </c>
      <c r="N130" s="17" t="s">
        <v>423</v>
      </c>
      <c r="O130" s="17" t="s">
        <v>426</v>
      </c>
      <c r="P130" s="17" t="s">
        <v>430</v>
      </c>
      <c r="Q130" s="17" t="s">
        <v>432</v>
      </c>
      <c r="R130" s="17" t="s">
        <v>560</v>
      </c>
      <c r="S130" s="17" t="s">
        <v>572</v>
      </c>
      <c r="T130" s="17" t="s">
        <v>575</v>
      </c>
      <c r="U130" s="17" t="s">
        <v>590</v>
      </c>
      <c r="V130" s="17" t="s">
        <v>594</v>
      </c>
      <c r="W130" s="17" t="s">
        <v>603</v>
      </c>
      <c r="Y130" s="17">
        <v>2017</v>
      </c>
      <c r="Z130" s="17">
        <v>2018</v>
      </c>
      <c r="AA130" s="17">
        <v>2019</v>
      </c>
      <c r="AB130" s="17">
        <v>2020</v>
      </c>
      <c r="AC130" s="17">
        <v>2021</v>
      </c>
    </row>
    <row r="131" spans="2:29" outlineLevel="1" x14ac:dyDescent="0.25">
      <c r="B131" s="3" t="s">
        <v>272</v>
      </c>
      <c r="C131" s="3" t="s">
        <v>46</v>
      </c>
      <c r="D131" s="14">
        <f t="shared" ref="D131:W131" si="79">D72</f>
        <v>59.371999999999879</v>
      </c>
      <c r="E131" s="14">
        <f t="shared" si="79"/>
        <v>25.249999999999819</v>
      </c>
      <c r="F131" s="14">
        <f t="shared" si="79"/>
        <v>35.821999999999882</v>
      </c>
      <c r="G131" s="14">
        <f t="shared" si="79"/>
        <v>117.71099999999994</v>
      </c>
      <c r="H131" s="14">
        <f t="shared" si="79"/>
        <v>60.26199999999983</v>
      </c>
      <c r="I131" s="14">
        <f t="shared" si="79"/>
        <v>51.272999999999783</v>
      </c>
      <c r="J131" s="14">
        <f t="shared" si="79"/>
        <v>94.151999999999774</v>
      </c>
      <c r="K131" s="14">
        <f t="shared" si="79"/>
        <v>128.38599999999997</v>
      </c>
      <c r="L131" s="14">
        <f t="shared" si="79"/>
        <v>102.84199999999989</v>
      </c>
      <c r="M131" s="14">
        <f t="shared" si="79"/>
        <v>89.6460000000002</v>
      </c>
      <c r="N131" s="14">
        <f t="shared" si="79"/>
        <v>99.69199999999968</v>
      </c>
      <c r="O131" s="14">
        <f t="shared" si="79"/>
        <v>131.40300000000005</v>
      </c>
      <c r="P131" s="14">
        <f t="shared" si="79"/>
        <v>160.40400000000008</v>
      </c>
      <c r="Q131" s="14">
        <f t="shared" si="79"/>
        <v>223.39099999999996</v>
      </c>
      <c r="R131" s="14">
        <f t="shared" si="79"/>
        <v>196.78499999999971</v>
      </c>
      <c r="S131" s="14">
        <f t="shared" si="79"/>
        <v>155.16500000000013</v>
      </c>
      <c r="T131" s="14">
        <f t="shared" si="79"/>
        <v>-27.900000000000347</v>
      </c>
      <c r="U131" s="14">
        <f t="shared" si="79"/>
        <v>-47.980000000000004</v>
      </c>
      <c r="V131" s="14">
        <f t="shared" si="79"/>
        <v>-90.729999999999478</v>
      </c>
      <c r="W131" s="14">
        <f t="shared" si="79"/>
        <v>-4.8969999999999274</v>
      </c>
      <c r="Y131" s="14">
        <f t="shared" ref="Y131:AC131" si="80">Y72</f>
        <v>238.15499999999867</v>
      </c>
      <c r="Z131" s="14">
        <f t="shared" si="80"/>
        <v>334.07300000000004</v>
      </c>
      <c r="AA131" s="14">
        <f t="shared" si="80"/>
        <v>423.58300000000065</v>
      </c>
      <c r="AB131" s="14">
        <f t="shared" si="80"/>
        <v>735.74499999999716</v>
      </c>
      <c r="AC131" s="14">
        <f t="shared" si="80"/>
        <v>-171.5069999999983</v>
      </c>
    </row>
    <row r="132" spans="2:29" outlineLevel="2" x14ac:dyDescent="0.25">
      <c r="B132" s="2" t="s">
        <v>73</v>
      </c>
      <c r="C132" s="20" t="s">
        <v>46</v>
      </c>
      <c r="D132" s="19">
        <v>23.803999999999998</v>
      </c>
      <c r="E132" s="19">
        <v>32.436</v>
      </c>
      <c r="F132" s="19">
        <v>24.219000000000001</v>
      </c>
      <c r="G132" s="19">
        <v>33.700000000000003</v>
      </c>
      <c r="H132" s="19">
        <v>29.34</v>
      </c>
      <c r="I132" s="19">
        <v>30.032</v>
      </c>
      <c r="J132" s="19">
        <v>36.680999999999997</v>
      </c>
      <c r="K132" s="19">
        <v>31.123000000000001</v>
      </c>
      <c r="L132" s="19">
        <f>(18873+22166)/1000</f>
        <v>41.039000000000001</v>
      </c>
      <c r="M132" s="19">
        <f>83.922-L132</f>
        <v>42.882999999999996</v>
      </c>
      <c r="N132" s="19">
        <f>61.119+78.977-SUM(L132:M132)</f>
        <v>56.174000000000007</v>
      </c>
      <c r="O132" s="19">
        <f t="shared" ref="O132:O153" si="81">AA132-SUM(L132:N132)</f>
        <v>55.841000000000008</v>
      </c>
      <c r="P132" s="19">
        <f>24.396+30.475</f>
        <v>54.871000000000002</v>
      </c>
      <c r="Q132" s="19">
        <f>65.627+65.134-P132</f>
        <v>75.889999999999986</v>
      </c>
      <c r="R132" s="19">
        <f>203.009-SUM(P132:Q132)</f>
        <v>72.24799999999999</v>
      </c>
      <c r="S132" s="19">
        <f t="shared" ref="S132:S153" si="82">AB132-SUM(P132:R132)</f>
        <v>81.291000000000025</v>
      </c>
      <c r="T132" s="19">
        <f>35.541+37.674</f>
        <v>73.215000000000003</v>
      </c>
      <c r="U132" s="19">
        <f>74.35+69.601-T132</f>
        <v>70.73599999999999</v>
      </c>
      <c r="V132" s="58">
        <f>225.183-SUM(T132:U132)</f>
        <v>81.231999999999999</v>
      </c>
      <c r="W132" s="58">
        <f>AC132-SUM(T132:V132)</f>
        <v>84.992000000000019</v>
      </c>
      <c r="X132" s="36"/>
      <c r="Y132" s="19">
        <f>SUM(D132:G132)</f>
        <v>114.15900000000001</v>
      </c>
      <c r="Z132" s="19">
        <f>SUM(H132:K132)</f>
        <v>127.176</v>
      </c>
      <c r="AA132" s="19">
        <f>84.676+111.261</f>
        <v>195.93700000000001</v>
      </c>
      <c r="AB132" s="19">
        <f>132.329+151.971</f>
        <v>284.3</v>
      </c>
      <c r="AC132" s="19">
        <v>310.17500000000001</v>
      </c>
    </row>
    <row r="133" spans="2:29" outlineLevel="2" x14ac:dyDescent="0.25">
      <c r="B133" s="2" t="s">
        <v>409</v>
      </c>
      <c r="C133" s="20" t="s">
        <v>46</v>
      </c>
      <c r="D133" s="19">
        <v>0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11.726000000000001</v>
      </c>
      <c r="M133" s="19">
        <f>21.529-L133</f>
        <v>9.802999999999999</v>
      </c>
      <c r="N133" s="19">
        <f>34.166-SUM(L133:M133)</f>
        <v>12.636999999999997</v>
      </c>
      <c r="O133" s="19">
        <f t="shared" si="81"/>
        <v>15.620000000000005</v>
      </c>
      <c r="P133" s="19">
        <v>14.446</v>
      </c>
      <c r="Q133" s="19">
        <f>28.895-P133</f>
        <v>14.449</v>
      </c>
      <c r="R133" s="19">
        <f>44.694-SUM(P133:Q133)</f>
        <v>15.799000000000003</v>
      </c>
      <c r="S133" s="19">
        <f t="shared" si="82"/>
        <v>14.888999999999996</v>
      </c>
      <c r="T133" s="19">
        <v>16.338000000000001</v>
      </c>
      <c r="U133" s="19">
        <f>35.745-T133</f>
        <v>19.406999999999996</v>
      </c>
      <c r="V133" s="58">
        <f>57.261-SUM(T133:U133)</f>
        <v>21.516000000000005</v>
      </c>
      <c r="W133" s="58">
        <f t="shared" ref="W133:W173" si="83">AC133-SUM(T133:V133)</f>
        <v>25.895000000000003</v>
      </c>
      <c r="X133" s="36"/>
      <c r="Y133" s="19">
        <v>0</v>
      </c>
      <c r="Z133" s="19">
        <v>0</v>
      </c>
      <c r="AA133" s="19">
        <v>49.786000000000001</v>
      </c>
      <c r="AB133" s="19">
        <v>59.582999999999998</v>
      </c>
      <c r="AC133" s="19">
        <v>83.156000000000006</v>
      </c>
    </row>
    <row r="134" spans="2:29" outlineLevel="2" x14ac:dyDescent="0.25">
      <c r="B134" s="2" t="s">
        <v>273</v>
      </c>
      <c r="C134" s="20" t="s">
        <v>46</v>
      </c>
      <c r="D134" s="19">
        <v>0</v>
      </c>
      <c r="E134" s="19">
        <v>0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f t="shared" ref="N134" si="84">-SUM(L134:M134)</f>
        <v>0</v>
      </c>
      <c r="O134" s="19">
        <f t="shared" si="81"/>
        <v>0</v>
      </c>
      <c r="P134" s="19">
        <v>0</v>
      </c>
      <c r="Q134" s="19">
        <v>0</v>
      </c>
      <c r="R134" s="19">
        <v>0</v>
      </c>
      <c r="S134" s="19">
        <f t="shared" si="82"/>
        <v>0</v>
      </c>
      <c r="T134" s="19">
        <v>0</v>
      </c>
      <c r="U134" s="19">
        <v>0</v>
      </c>
      <c r="V134" s="58">
        <v>0</v>
      </c>
      <c r="W134" s="58">
        <f t="shared" si="83"/>
        <v>0</v>
      </c>
      <c r="X134" s="36"/>
      <c r="Y134" s="19">
        <f t="shared" ref="Y134:Y153" si="85">SUM(D134:G134)</f>
        <v>0</v>
      </c>
      <c r="Z134" s="19">
        <f t="shared" ref="Z134:Z153" si="86">SUM(H134:K134)</f>
        <v>0</v>
      </c>
      <c r="AA134" s="19">
        <v>0</v>
      </c>
      <c r="AB134" s="19">
        <v>0</v>
      </c>
      <c r="AC134" s="19">
        <v>0</v>
      </c>
    </row>
    <row r="135" spans="2:29" outlineLevel="2" x14ac:dyDescent="0.25">
      <c r="B135" s="2" t="s">
        <v>275</v>
      </c>
      <c r="C135" s="20" t="s">
        <v>46</v>
      </c>
      <c r="D135" s="19">
        <v>-5.7889999999999997</v>
      </c>
      <c r="E135" s="19">
        <v>8.44</v>
      </c>
      <c r="F135" s="19">
        <v>2.3340000000000001</v>
      </c>
      <c r="G135" s="19">
        <v>-6.194</v>
      </c>
      <c r="H135" s="19">
        <v>0.28699999999999998</v>
      </c>
      <c r="I135" s="19">
        <v>6.2640000000000002</v>
      </c>
      <c r="J135" s="19">
        <v>6.06</v>
      </c>
      <c r="K135" s="19">
        <v>1.478</v>
      </c>
      <c r="L135" s="19">
        <v>5.6630000000000003</v>
      </c>
      <c r="M135" s="19">
        <f>16.145-L135</f>
        <v>10.481999999999999</v>
      </c>
      <c r="N135" s="19">
        <f>-8.632+29.873-SUM(L135:M135)</f>
        <v>5.0960000000000001</v>
      </c>
      <c r="O135" s="19">
        <f t="shared" si="81"/>
        <v>-1.7180000000000035</v>
      </c>
      <c r="P135" s="19">
        <f>-6.78+14.947</f>
        <v>8.166999999999998</v>
      </c>
      <c r="Q135" s="19">
        <f>-9.652+25.574-P135</f>
        <v>7.7550000000000043</v>
      </c>
      <c r="R135" s="19">
        <f>22.653-SUM(P135:Q135)</f>
        <v>6.7309999999999963</v>
      </c>
      <c r="S135" s="19">
        <f t="shared" si="82"/>
        <v>2.8939999999999984</v>
      </c>
      <c r="T135" s="19">
        <f>-7.612+23.127</f>
        <v>15.514999999999999</v>
      </c>
      <c r="U135" s="19">
        <f>-17.486+43.367-T135</f>
        <v>10.365999999999998</v>
      </c>
      <c r="V135" s="58">
        <f>-30.141+62.652-SUM(T135:U135)</f>
        <v>6.6300000000000061</v>
      </c>
      <c r="W135" s="58">
        <f t="shared" si="83"/>
        <v>18.573</v>
      </c>
      <c r="X135" s="36"/>
      <c r="Y135" s="19">
        <f t="shared" si="85"/>
        <v>-1.2090000000000005</v>
      </c>
      <c r="Z135" s="19">
        <f t="shared" si="86"/>
        <v>14.089</v>
      </c>
      <c r="AA135" s="19">
        <f>-10.118+29.641</f>
        <v>19.522999999999996</v>
      </c>
      <c r="AB135" s="19">
        <f>-23.329+48.876</f>
        <v>25.546999999999997</v>
      </c>
      <c r="AC135" s="19">
        <v>51.084000000000003</v>
      </c>
    </row>
    <row r="136" spans="2:29" outlineLevel="2" x14ac:dyDescent="0.25">
      <c r="B136" s="2" t="s">
        <v>274</v>
      </c>
      <c r="C136" s="20" t="s">
        <v>46</v>
      </c>
      <c r="D136" s="19">
        <v>-8.0000000000000002E-3</v>
      </c>
      <c r="E136" s="19">
        <v>-3.9E-2</v>
      </c>
      <c r="F136" s="19">
        <v>0.72299999999999998</v>
      </c>
      <c r="G136" s="19">
        <v>-2.3E-2</v>
      </c>
      <c r="H136" s="19">
        <v>0.42499999999999999</v>
      </c>
      <c r="I136" s="19">
        <v>-0.40100000000000002</v>
      </c>
      <c r="J136" s="19">
        <v>-3.0000000000000001E-3</v>
      </c>
      <c r="K136" s="19">
        <v>-1E-3</v>
      </c>
      <c r="L136" s="19">
        <v>0.318</v>
      </c>
      <c r="M136" s="19">
        <f>0.302-L136</f>
        <v>-1.6000000000000014E-2</v>
      </c>
      <c r="N136" s="19">
        <f>0.276-SUM(L136:M136)</f>
        <v>-2.5999999999999968E-2</v>
      </c>
      <c r="O136" s="19">
        <f t="shared" si="81"/>
        <v>-0.79300000000000004</v>
      </c>
      <c r="P136" s="19">
        <v>5.3999999999999999E-2</v>
      </c>
      <c r="Q136" s="19">
        <f>0.079-P136</f>
        <v>2.5000000000000001E-2</v>
      </c>
      <c r="R136" s="19">
        <f>0.73-SUM(P136:Q136)</f>
        <v>0.65100000000000002</v>
      </c>
      <c r="S136" s="19">
        <f t="shared" si="82"/>
        <v>-0.33599999999999997</v>
      </c>
      <c r="T136" s="19">
        <v>6.4130000000000003</v>
      </c>
      <c r="U136" s="19">
        <f>19.645-T136</f>
        <v>13.231999999999999</v>
      </c>
      <c r="V136" s="58">
        <f>29.727-SUM(T136:U136)</f>
        <v>10.082000000000001</v>
      </c>
      <c r="W136" s="58">
        <f t="shared" si="83"/>
        <v>-22.489000000000001</v>
      </c>
      <c r="X136" s="36"/>
      <c r="Y136" s="19">
        <f t="shared" si="85"/>
        <v>0.65299999999999991</v>
      </c>
      <c r="Z136" s="19">
        <f t="shared" si="86"/>
        <v>1.9999999999999966E-2</v>
      </c>
      <c r="AA136" s="19">
        <v>-0.51700000000000002</v>
      </c>
      <c r="AB136" s="19">
        <v>0.39400000000000002</v>
      </c>
      <c r="AC136" s="19">
        <v>7.2380000000000004</v>
      </c>
    </row>
    <row r="137" spans="2:29" outlineLevel="2" x14ac:dyDescent="0.25">
      <c r="B137" s="2" t="s">
        <v>276</v>
      </c>
      <c r="C137" s="20" t="s">
        <v>46</v>
      </c>
      <c r="D137" s="19">
        <v>-18.335000000000001</v>
      </c>
      <c r="E137" s="19">
        <v>-10.182</v>
      </c>
      <c r="F137" s="19">
        <v>-10.486000000000001</v>
      </c>
      <c r="G137" s="19">
        <v>-10.009</v>
      </c>
      <c r="H137" s="19">
        <v>-16.637</v>
      </c>
      <c r="I137" s="19">
        <v>-17.721</v>
      </c>
      <c r="J137" s="19">
        <v>-19.805</v>
      </c>
      <c r="K137" s="19">
        <v>-19.463000000000001</v>
      </c>
      <c r="L137" s="19">
        <v>-18.774999999999999</v>
      </c>
      <c r="M137" s="19">
        <f>-48.007-L137</f>
        <v>-29.231999999999999</v>
      </c>
      <c r="N137" s="19">
        <f>-65.603-SUM(L137:M137)</f>
        <v>-17.595999999999997</v>
      </c>
      <c r="O137" s="19">
        <f t="shared" si="81"/>
        <v>-21.172000000000011</v>
      </c>
      <c r="P137" s="19">
        <v>-18.134</v>
      </c>
      <c r="Q137" s="19">
        <f>-32.703-P137</f>
        <v>-14.569000000000003</v>
      </c>
      <c r="R137" s="19">
        <f>-42.339-SUM(P137:Q137)</f>
        <v>-9.6359999999999957</v>
      </c>
      <c r="S137" s="19">
        <f t="shared" si="82"/>
        <v>-14.993000000000002</v>
      </c>
      <c r="T137" s="19">
        <v>-17.32</v>
      </c>
      <c r="U137" s="19">
        <f>-48.308-T137</f>
        <v>-30.988</v>
      </c>
      <c r="V137" s="58">
        <f>-82.381-SUM(T137:U137)</f>
        <v>-34.073</v>
      </c>
      <c r="W137" s="58">
        <f t="shared" si="83"/>
        <v>-27.709999999999994</v>
      </c>
      <c r="X137" s="36"/>
      <c r="Y137" s="19">
        <f t="shared" si="85"/>
        <v>-49.012</v>
      </c>
      <c r="Z137" s="19">
        <f t="shared" si="86"/>
        <v>-73.626000000000005</v>
      </c>
      <c r="AA137" s="19">
        <v>-86.775000000000006</v>
      </c>
      <c r="AB137" s="19">
        <v>-57.332000000000001</v>
      </c>
      <c r="AC137" s="19">
        <v>-110.09099999999999</v>
      </c>
    </row>
    <row r="138" spans="2:29" outlineLevel="2" x14ac:dyDescent="0.25">
      <c r="B138" s="2" t="s">
        <v>277</v>
      </c>
      <c r="C138" s="20" t="s">
        <v>46</v>
      </c>
      <c r="D138" s="19">
        <v>4.694</v>
      </c>
      <c r="E138" s="19">
        <v>-8.3130000000000006</v>
      </c>
      <c r="F138" s="19">
        <v>5.46</v>
      </c>
      <c r="G138" s="19">
        <v>-6.1390000000000002</v>
      </c>
      <c r="H138" s="19">
        <v>-2E-3</v>
      </c>
      <c r="I138" s="19">
        <v>0.21099999999999999</v>
      </c>
      <c r="J138" s="19">
        <v>-0.48199999999999998</v>
      </c>
      <c r="K138" s="19">
        <v>4.7E-2</v>
      </c>
      <c r="L138" s="19">
        <v>-0.02</v>
      </c>
      <c r="M138" s="19">
        <f>-0.068-L138</f>
        <v>-4.8000000000000001E-2</v>
      </c>
      <c r="N138" s="19">
        <f>-0.296-SUM(L138:M138)</f>
        <v>-0.22799999999999998</v>
      </c>
      <c r="O138" s="19">
        <f t="shared" si="81"/>
        <v>-0.36100000000000004</v>
      </c>
      <c r="P138" s="19">
        <v>0.29399999999999998</v>
      </c>
      <c r="Q138" s="19">
        <f>0.377-P138</f>
        <v>8.3000000000000018E-2</v>
      </c>
      <c r="R138" s="19">
        <f>0.458-SUM(P138:Q138)</f>
        <v>8.1000000000000016E-2</v>
      </c>
      <c r="S138" s="19">
        <f t="shared" si="82"/>
        <v>1.4999999999999958E-2</v>
      </c>
      <c r="T138" s="19">
        <v>-4.0000000000000001E-3</v>
      </c>
      <c r="U138" s="19">
        <f>-2.498-T138</f>
        <v>-2.4940000000000002</v>
      </c>
      <c r="V138" s="58">
        <f>-0.982-SUM(T138:U138)</f>
        <v>1.5160000000000002</v>
      </c>
      <c r="W138" s="58">
        <f t="shared" si="83"/>
        <v>0.44699999999999995</v>
      </c>
      <c r="X138" s="36"/>
      <c r="Y138" s="19">
        <f t="shared" si="85"/>
        <v>-4.2980000000000009</v>
      </c>
      <c r="Z138" s="19">
        <f t="shared" si="86"/>
        <v>-0.22600000000000003</v>
      </c>
      <c r="AA138" s="19">
        <v>-0.65700000000000003</v>
      </c>
      <c r="AB138" s="19">
        <v>0.47299999999999998</v>
      </c>
      <c r="AC138" s="19">
        <v>-0.53500000000000003</v>
      </c>
    </row>
    <row r="139" spans="2:29" outlineLevel="2" x14ac:dyDescent="0.25">
      <c r="B139" s="2" t="s">
        <v>278</v>
      </c>
      <c r="C139" s="20" t="s">
        <v>46</v>
      </c>
      <c r="D139" s="19">
        <v>47.359000000000002</v>
      </c>
      <c r="E139" s="19">
        <v>24.602</v>
      </c>
      <c r="F139" s="19">
        <v>51.86</v>
      </c>
      <c r="G139" s="19">
        <v>39.320999999999998</v>
      </c>
      <c r="H139" s="19">
        <v>63.296999999999997</v>
      </c>
      <c r="I139" s="19">
        <v>43.451999999999998</v>
      </c>
      <c r="J139" s="19">
        <v>56.040999999999997</v>
      </c>
      <c r="K139" s="19">
        <v>41.612000000000002</v>
      </c>
      <c r="L139" s="19">
        <v>81.009</v>
      </c>
      <c r="M139" s="19">
        <f>146.078-L139</f>
        <v>65.069000000000003</v>
      </c>
      <c r="N139" s="19">
        <f>205.344-SUM(L139:M139)</f>
        <v>59.265999999999991</v>
      </c>
      <c r="O139" s="19">
        <f t="shared" si="81"/>
        <v>90.25</v>
      </c>
      <c r="P139" s="19">
        <v>120.63500000000001</v>
      </c>
      <c r="Q139" s="19">
        <f>288.05-P139</f>
        <v>167.41500000000002</v>
      </c>
      <c r="R139" s="19">
        <f>408.85-SUM(P139:Q139)</f>
        <v>120.80000000000001</v>
      </c>
      <c r="S139" s="19">
        <f t="shared" si="82"/>
        <v>100.572</v>
      </c>
      <c r="T139" s="19">
        <v>25.36</v>
      </c>
      <c r="U139" s="19">
        <f>33.824-T139</f>
        <v>8.4639999999999986</v>
      </c>
      <c r="V139" s="58">
        <f>55.04-SUM(T139:U139)</f>
        <v>21.216000000000001</v>
      </c>
      <c r="W139" s="58">
        <f t="shared" si="83"/>
        <v>24.470999999999997</v>
      </c>
      <c r="X139" s="36"/>
      <c r="Y139" s="19">
        <f t="shared" si="85"/>
        <v>163.142</v>
      </c>
      <c r="Z139" s="19">
        <f t="shared" si="86"/>
        <v>204.40199999999999</v>
      </c>
      <c r="AA139" s="19">
        <v>295.59399999999999</v>
      </c>
      <c r="AB139" s="19">
        <v>509.42200000000003</v>
      </c>
      <c r="AC139" s="19">
        <v>79.510999999999996</v>
      </c>
    </row>
    <row r="140" spans="2:29" outlineLevel="2" x14ac:dyDescent="0.25">
      <c r="B140" s="2" t="s">
        <v>279</v>
      </c>
      <c r="C140" s="20" t="s">
        <v>46</v>
      </c>
      <c r="D140" s="19">
        <v>6.2240000000000002</v>
      </c>
      <c r="E140" s="19">
        <v>13.723000000000001</v>
      </c>
      <c r="F140" s="19">
        <v>6.6609999999999996</v>
      </c>
      <c r="G140" s="19">
        <v>6.6369999999999996</v>
      </c>
      <c r="H140" s="19">
        <v>8.1020000000000003</v>
      </c>
      <c r="I140" s="19">
        <v>11.744999999999999</v>
      </c>
      <c r="J140" s="19">
        <v>-4.1100000000000003</v>
      </c>
      <c r="K140" s="19">
        <v>13.244</v>
      </c>
      <c r="L140" s="19">
        <v>-1.0609999999999999</v>
      </c>
      <c r="M140" s="19">
        <f>5.392-L140</f>
        <v>6.4530000000000003</v>
      </c>
      <c r="N140" s="19">
        <f>11.827-SUM(L140:M140)</f>
        <v>6.4349999999999996</v>
      </c>
      <c r="O140" s="19">
        <f t="shared" si="81"/>
        <v>8.4820000000000011</v>
      </c>
      <c r="P140" s="19">
        <v>13.525</v>
      </c>
      <c r="Q140" s="19">
        <f>20.355-P140</f>
        <v>6.83</v>
      </c>
      <c r="R140" s="19">
        <f>28.44-SUM(P140:Q140)</f>
        <v>8.0850000000000009</v>
      </c>
      <c r="S140" s="19">
        <f t="shared" si="82"/>
        <v>8.4409999999999989</v>
      </c>
      <c r="T140" s="19">
        <v>54.966999999999999</v>
      </c>
      <c r="U140" s="19">
        <f>72.9-T140</f>
        <v>17.933000000000007</v>
      </c>
      <c r="V140" s="58">
        <f>107.93-SUM(T140:U140)</f>
        <v>35.03</v>
      </c>
      <c r="W140" s="58">
        <f t="shared" si="83"/>
        <v>-11.381</v>
      </c>
      <c r="X140" s="36"/>
      <c r="Y140" s="19">
        <f t="shared" si="85"/>
        <v>33.245000000000005</v>
      </c>
      <c r="Z140" s="19">
        <f t="shared" si="86"/>
        <v>28.981000000000002</v>
      </c>
      <c r="AA140" s="19">
        <v>20.309000000000001</v>
      </c>
      <c r="AB140" s="19">
        <v>36.881</v>
      </c>
      <c r="AC140" s="19">
        <v>96.549000000000007</v>
      </c>
    </row>
    <row r="141" spans="2:29" outlineLevel="2" x14ac:dyDescent="0.25">
      <c r="B141" s="2" t="s">
        <v>266</v>
      </c>
      <c r="C141" s="20" t="s">
        <v>46</v>
      </c>
      <c r="D141" s="19">
        <v>20.57</v>
      </c>
      <c r="E141" s="19">
        <v>20.763999999999999</v>
      </c>
      <c r="F141" s="19">
        <v>2.794</v>
      </c>
      <c r="G141" s="19">
        <v>-35.411999999999999</v>
      </c>
      <c r="H141" s="19">
        <v>7.5220000000000002</v>
      </c>
      <c r="I141" s="19">
        <v>20.271000000000001</v>
      </c>
      <c r="J141" s="19">
        <v>15.631</v>
      </c>
      <c r="K141" s="19">
        <v>30.48</v>
      </c>
      <c r="L141" s="19">
        <v>10.269</v>
      </c>
      <c r="M141" s="19">
        <f>64.571-L141</f>
        <v>54.302</v>
      </c>
      <c r="N141" s="19">
        <f>74.6-SUM(L141:M141)</f>
        <v>10.028999999999996</v>
      </c>
      <c r="O141" s="19">
        <f t="shared" si="81"/>
        <v>8.7259999999999991</v>
      </c>
      <c r="P141" s="19">
        <v>5.9749999999999996</v>
      </c>
      <c r="Q141" s="19">
        <f>10.624-P141</f>
        <v>4.6490000000000009</v>
      </c>
      <c r="R141" s="19">
        <f>23.578-SUM(P141:Q141)</f>
        <v>12.953999999999999</v>
      </c>
      <c r="S141" s="19">
        <f t="shared" si="82"/>
        <v>6.208000000000002</v>
      </c>
      <c r="T141" s="19">
        <v>45.174999999999997</v>
      </c>
      <c r="U141" s="19">
        <f>49.095-T141</f>
        <v>3.9200000000000017</v>
      </c>
      <c r="V141" s="58">
        <f>59.795-SUM(T141:U141)</f>
        <v>10.700000000000003</v>
      </c>
      <c r="W141" s="58">
        <f t="shared" si="83"/>
        <v>23.792999999999992</v>
      </c>
      <c r="X141" s="36"/>
      <c r="Y141" s="19">
        <f t="shared" si="85"/>
        <v>8.7160000000000011</v>
      </c>
      <c r="Z141" s="19">
        <f t="shared" si="86"/>
        <v>73.903999999999996</v>
      </c>
      <c r="AA141" s="19">
        <v>83.325999999999993</v>
      </c>
      <c r="AB141" s="19">
        <v>29.786000000000001</v>
      </c>
      <c r="AC141" s="19">
        <v>83.587999999999994</v>
      </c>
    </row>
    <row r="142" spans="2:29" outlineLevel="2" x14ac:dyDescent="0.25">
      <c r="B142" s="2" t="s">
        <v>280</v>
      </c>
      <c r="C142" s="20" t="s">
        <v>46</v>
      </c>
      <c r="D142" s="19">
        <v>-0.66400000000000003</v>
      </c>
      <c r="E142" s="19">
        <v>-8.8999999999999996E-2</v>
      </c>
      <c r="F142" s="19">
        <v>2.5950000000000002</v>
      </c>
      <c r="G142" s="19">
        <v>2.09</v>
      </c>
      <c r="H142" s="19">
        <v>-3.242</v>
      </c>
      <c r="I142" s="19">
        <v>-10.340999999999999</v>
      </c>
      <c r="J142" s="19">
        <v>10.448</v>
      </c>
      <c r="K142" s="19">
        <v>1.94</v>
      </c>
      <c r="L142" s="19">
        <v>1.6879999999999999</v>
      </c>
      <c r="M142" s="19">
        <f>1.888-L142</f>
        <v>0.19999999999999996</v>
      </c>
      <c r="N142" s="19">
        <f>3.54-SUM(L142:M142)</f>
        <v>1.6520000000000001</v>
      </c>
      <c r="O142" s="19">
        <f t="shared" si="81"/>
        <v>-17.649000000000001</v>
      </c>
      <c r="P142" s="19">
        <v>3.2890000000000001</v>
      </c>
      <c r="Q142" s="19">
        <f>14.138-P142</f>
        <v>10.849</v>
      </c>
      <c r="R142" s="19">
        <f>15.594-SUM(P142:Q142)</f>
        <v>1.4559999999999995</v>
      </c>
      <c r="S142" s="19">
        <f t="shared" si="82"/>
        <v>-0.3620000000000001</v>
      </c>
      <c r="T142" s="19">
        <v>-5.181</v>
      </c>
      <c r="U142" s="19">
        <f>-0.921-T142</f>
        <v>4.26</v>
      </c>
      <c r="V142" s="58">
        <f>0.921-SUM(T142:U142)</f>
        <v>1.8420000000000003</v>
      </c>
      <c r="W142" s="58">
        <f t="shared" si="83"/>
        <v>-4.0869999999999997</v>
      </c>
      <c r="X142" s="36"/>
      <c r="Y142" s="19">
        <f t="shared" si="85"/>
        <v>3.9319999999999999</v>
      </c>
      <c r="Z142" s="19">
        <f t="shared" si="86"/>
        <v>-1.1949999999999981</v>
      </c>
      <c r="AA142" s="19">
        <v>-14.109</v>
      </c>
      <c r="AB142" s="19">
        <v>15.231999999999999</v>
      </c>
      <c r="AC142" s="19">
        <v>-3.1659999999999999</v>
      </c>
    </row>
    <row r="143" spans="2:29" outlineLevel="2" x14ac:dyDescent="0.25">
      <c r="B143" s="2" t="s">
        <v>281</v>
      </c>
      <c r="C143" s="20" t="s">
        <v>46</v>
      </c>
      <c r="D143" s="19">
        <v>9.3610000000000007</v>
      </c>
      <c r="E143" s="19">
        <v>9.5939999999999994</v>
      </c>
      <c r="F143" s="19">
        <v>12.125</v>
      </c>
      <c r="G143" s="19">
        <v>15.734999999999999</v>
      </c>
      <c r="H143" s="19">
        <v>9.4</v>
      </c>
      <c r="I143" s="19">
        <v>13.234</v>
      </c>
      <c r="J143" s="19">
        <v>7.3019999999999996</v>
      </c>
      <c r="K143" s="19">
        <v>17.675000000000001</v>
      </c>
      <c r="L143" s="19">
        <v>18.385000000000002</v>
      </c>
      <c r="M143" s="19">
        <f>34.859-L143</f>
        <v>16.474</v>
      </c>
      <c r="N143" s="19">
        <f>48.519-SUM(L143:M143)</f>
        <v>13.659999999999997</v>
      </c>
      <c r="O143" s="19">
        <f t="shared" si="81"/>
        <v>32.835000000000001</v>
      </c>
      <c r="P143" s="19">
        <v>18.896000000000001</v>
      </c>
      <c r="Q143" s="19">
        <f>41.087-P143</f>
        <v>22.191000000000003</v>
      </c>
      <c r="R143" s="19">
        <f>67.613-SUM(P143:Q143)</f>
        <v>26.525999999999996</v>
      </c>
      <c r="S143" s="19">
        <f t="shared" si="82"/>
        <v>28.247</v>
      </c>
      <c r="T143" s="19">
        <v>27.449000000000002</v>
      </c>
      <c r="U143" s="19">
        <f>55.344-T143</f>
        <v>27.895</v>
      </c>
      <c r="V143" s="58">
        <f>83.068-SUM(T143:U143)</f>
        <v>27.723999999999997</v>
      </c>
      <c r="W143" s="58">
        <f t="shared" si="83"/>
        <v>25.897999999999996</v>
      </c>
      <c r="X143" s="36"/>
      <c r="Y143" s="19">
        <f t="shared" si="85"/>
        <v>46.814999999999998</v>
      </c>
      <c r="Z143" s="19">
        <f t="shared" si="86"/>
        <v>47.611000000000004</v>
      </c>
      <c r="AA143" s="19">
        <v>81.353999999999999</v>
      </c>
      <c r="AB143" s="19">
        <v>95.86</v>
      </c>
      <c r="AC143" s="19">
        <v>108.96599999999999</v>
      </c>
    </row>
    <row r="144" spans="2:29" outlineLevel="2" x14ac:dyDescent="0.25">
      <c r="B144" s="2" t="s">
        <v>282</v>
      </c>
      <c r="C144" s="20" t="s">
        <v>46</v>
      </c>
      <c r="D144" s="19">
        <v>0</v>
      </c>
      <c r="E144" s="19">
        <v>0</v>
      </c>
      <c r="F144" s="19">
        <v>0</v>
      </c>
      <c r="G144" s="19">
        <v>0</v>
      </c>
      <c r="H144" s="19">
        <v>2.9910000000000001</v>
      </c>
      <c r="I144" s="19">
        <v>15.494</v>
      </c>
      <c r="J144" s="19">
        <v>-8.9979999999999993</v>
      </c>
      <c r="K144" s="19">
        <v>1.7290000000000001</v>
      </c>
      <c r="L144" s="19">
        <v>0.96299999999999997</v>
      </c>
      <c r="M144" s="19">
        <f>4.855-L144</f>
        <v>3.8920000000000003</v>
      </c>
      <c r="N144" s="19">
        <f>6.988-SUM(L144:M144)</f>
        <v>2.133</v>
      </c>
      <c r="O144" s="19">
        <f t="shared" si="81"/>
        <v>2.5209999999999999</v>
      </c>
      <c r="P144" s="19">
        <v>2.5390000000000001</v>
      </c>
      <c r="Q144" s="19">
        <f>6.192-P144</f>
        <v>3.653</v>
      </c>
      <c r="R144" s="19">
        <f>7.684-SUM(P144:Q144)</f>
        <v>1.492</v>
      </c>
      <c r="S144" s="19">
        <f t="shared" si="82"/>
        <v>0.34100000000000019</v>
      </c>
      <c r="T144" s="19">
        <v>3.24</v>
      </c>
      <c r="U144" s="19">
        <f>-2.134-T144</f>
        <v>-5.3740000000000006</v>
      </c>
      <c r="V144" s="58">
        <f>-1.445-SUM(T144:U144)</f>
        <v>0.68900000000000028</v>
      </c>
      <c r="W144" s="58">
        <f t="shared" si="83"/>
        <v>0.13200000000000012</v>
      </c>
      <c r="X144" s="36"/>
      <c r="Y144" s="19">
        <f t="shared" si="85"/>
        <v>0</v>
      </c>
      <c r="Z144" s="19">
        <f t="shared" si="86"/>
        <v>11.216000000000001</v>
      </c>
      <c r="AA144" s="19">
        <v>9.5090000000000003</v>
      </c>
      <c r="AB144" s="19">
        <v>8.0250000000000004</v>
      </c>
      <c r="AC144" s="19">
        <v>-1.3129999999999999</v>
      </c>
    </row>
    <row r="145" spans="2:29" outlineLevel="2" x14ac:dyDescent="0.25">
      <c r="B145" s="2" t="s">
        <v>283</v>
      </c>
      <c r="C145" s="20" t="s">
        <v>46</v>
      </c>
      <c r="D145" s="19">
        <v>13.36</v>
      </c>
      <c r="E145" s="19">
        <v>17.289000000000001</v>
      </c>
      <c r="F145" s="19">
        <v>22.189</v>
      </c>
      <c r="G145" s="19">
        <v>25.286999999999999</v>
      </c>
      <c r="H145" s="19">
        <v>29.324000000000002</v>
      </c>
      <c r="I145" s="19">
        <v>33.607999999999997</v>
      </c>
      <c r="J145" s="19">
        <v>38.817999999999998</v>
      </c>
      <c r="K145" s="19">
        <v>43.966999999999999</v>
      </c>
      <c r="L145" s="19">
        <v>49.435000000000002</v>
      </c>
      <c r="M145" s="19">
        <f>101.896-L145</f>
        <v>52.460999999999999</v>
      </c>
      <c r="N145" s="19">
        <f>161.944-SUM(L145:M145)</f>
        <v>60.047999999999988</v>
      </c>
      <c r="O145" s="19">
        <f t="shared" si="81"/>
        <v>69.106999999999999</v>
      </c>
      <c r="P145" s="19">
        <v>70.004000000000005</v>
      </c>
      <c r="Q145" s="19">
        <f>140.566-P145</f>
        <v>70.561999999999998</v>
      </c>
      <c r="R145" s="19">
        <f>216.019-SUM(P145:Q145)</f>
        <v>75.453000000000003</v>
      </c>
      <c r="S145" s="19">
        <f t="shared" si="82"/>
        <v>78.048999999999978</v>
      </c>
      <c r="T145" s="19">
        <v>82.358999999999995</v>
      </c>
      <c r="U145" s="19">
        <f>167.636-T145</f>
        <v>85.277000000000001</v>
      </c>
      <c r="V145" s="58">
        <f>264.585-SUM(T145:U145)</f>
        <v>96.948999999999984</v>
      </c>
      <c r="W145" s="58">
        <f t="shared" si="83"/>
        <v>95.628000000000043</v>
      </c>
      <c r="X145" s="36"/>
      <c r="Y145" s="19">
        <f t="shared" si="85"/>
        <v>78.125</v>
      </c>
      <c r="Z145" s="19">
        <f t="shared" si="86"/>
        <v>145.71699999999998</v>
      </c>
      <c r="AA145" s="19">
        <v>231.05099999999999</v>
      </c>
      <c r="AB145" s="19">
        <v>294.06799999999998</v>
      </c>
      <c r="AC145" s="19">
        <v>360.21300000000002</v>
      </c>
    </row>
    <row r="146" spans="2:29" outlineLevel="2" x14ac:dyDescent="0.25">
      <c r="B146" s="2" t="s">
        <v>284</v>
      </c>
      <c r="C146" s="20" t="s">
        <v>46</v>
      </c>
      <c r="D146" s="19">
        <v>9.3620000000000001</v>
      </c>
      <c r="E146" s="19">
        <v>9.6579999999999995</v>
      </c>
      <c r="F146" s="19">
        <v>28.728000000000002</v>
      </c>
      <c r="G146" s="19">
        <v>11.093999999999999</v>
      </c>
      <c r="H146" s="19">
        <v>11.476000000000001</v>
      </c>
      <c r="I146" s="19">
        <v>7.6340000000000003</v>
      </c>
      <c r="J146" s="19">
        <v>8.3629999999999995</v>
      </c>
      <c r="K146" s="19">
        <v>11.956</v>
      </c>
      <c r="L146" s="19">
        <v>11.098000000000001</v>
      </c>
      <c r="M146" s="19">
        <f>22.968-L146</f>
        <v>11.87</v>
      </c>
      <c r="N146" s="19">
        <f>34.69-SUM(L146:M146)</f>
        <v>11.721999999999998</v>
      </c>
      <c r="O146" s="19">
        <f t="shared" si="81"/>
        <v>10.210000000000001</v>
      </c>
      <c r="P146" s="19">
        <v>8.4429999999999996</v>
      </c>
      <c r="Q146" s="19">
        <f>14.707-P146</f>
        <v>6.2640000000000011</v>
      </c>
      <c r="R146" s="19">
        <f>14.704-SUM(P146:Q146)</f>
        <v>-3.0000000000001137E-3</v>
      </c>
      <c r="S146" s="19">
        <f t="shared" si="82"/>
        <v>0</v>
      </c>
      <c r="T146" s="19">
        <v>0</v>
      </c>
      <c r="U146" s="19">
        <v>0</v>
      </c>
      <c r="V146" s="58">
        <f>0-SUM(T146:U146)</f>
        <v>0</v>
      </c>
      <c r="W146" s="58">
        <f t="shared" si="83"/>
        <v>0</v>
      </c>
      <c r="X146" s="36"/>
      <c r="Y146" s="19">
        <f t="shared" si="85"/>
        <v>58.842000000000006</v>
      </c>
      <c r="Z146" s="19">
        <f t="shared" si="86"/>
        <v>39.429000000000002</v>
      </c>
      <c r="AA146" s="19">
        <v>44.9</v>
      </c>
      <c r="AB146" s="19">
        <v>14.704000000000001</v>
      </c>
      <c r="AC146" s="19">
        <v>0</v>
      </c>
    </row>
    <row r="147" spans="2:29" outlineLevel="2" x14ac:dyDescent="0.25">
      <c r="B147" s="2" t="s">
        <v>285</v>
      </c>
      <c r="C147" s="20" t="s">
        <v>46</v>
      </c>
      <c r="D147" s="19">
        <v>25.727</v>
      </c>
      <c r="E147" s="19">
        <v>20.748000000000001</v>
      </c>
      <c r="F147" s="19">
        <v>18.382999999999999</v>
      </c>
      <c r="G147" s="19">
        <v>14.904999999999999</v>
      </c>
      <c r="H147" s="19">
        <v>27.331</v>
      </c>
      <c r="I147" s="19">
        <v>12.522</v>
      </c>
      <c r="J147" s="19">
        <v>12.878</v>
      </c>
      <c r="K147" s="19">
        <v>12.54</v>
      </c>
      <c r="L147" s="19">
        <v>24.219000000000001</v>
      </c>
      <c r="M147" s="19">
        <f>52.58-L147</f>
        <v>28.360999999999997</v>
      </c>
      <c r="N147" s="19">
        <f>89.726-SUM(L147:M147)</f>
        <v>37.146000000000001</v>
      </c>
      <c r="O147" s="19">
        <f t="shared" si="81"/>
        <v>37.197000000000003</v>
      </c>
      <c r="P147" s="19">
        <v>25.5</v>
      </c>
      <c r="Q147" s="19">
        <f>36.504-P147</f>
        <v>11.003999999999998</v>
      </c>
      <c r="R147" s="19">
        <f>45.628-SUM(P147:Q147)</f>
        <v>9.1240000000000023</v>
      </c>
      <c r="S147" s="19">
        <f t="shared" si="82"/>
        <v>20.221999999999994</v>
      </c>
      <c r="T147" s="19">
        <v>24.593</v>
      </c>
      <c r="U147" s="19">
        <f>55.694-T147</f>
        <v>31.101000000000003</v>
      </c>
      <c r="V147" s="58">
        <f>97.623-SUM(T147:U147)</f>
        <v>41.929000000000002</v>
      </c>
      <c r="W147" s="58">
        <f t="shared" si="83"/>
        <v>78.904999999999987</v>
      </c>
      <c r="X147" s="36"/>
      <c r="Y147" s="19">
        <f t="shared" si="85"/>
        <v>79.763000000000005</v>
      </c>
      <c r="Z147" s="19">
        <f t="shared" si="86"/>
        <v>65.271000000000001</v>
      </c>
      <c r="AA147" s="19">
        <v>126.923</v>
      </c>
      <c r="AB147" s="19">
        <v>65.849999999999994</v>
      </c>
      <c r="AC147" s="19">
        <v>176.52799999999999</v>
      </c>
    </row>
    <row r="148" spans="2:29" outlineLevel="2" x14ac:dyDescent="0.25">
      <c r="B148" s="2" t="s">
        <v>286</v>
      </c>
      <c r="C148" s="20" t="s">
        <v>46</v>
      </c>
      <c r="D148" s="19">
        <v>0</v>
      </c>
      <c r="E148" s="19">
        <v>0.73499999999999999</v>
      </c>
      <c r="F148" s="19">
        <v>6.0010000000000003</v>
      </c>
      <c r="G148" s="19">
        <v>6.5819999999999999</v>
      </c>
      <c r="H148" s="19">
        <v>11.856</v>
      </c>
      <c r="I148" s="19">
        <v>8.8640000000000008</v>
      </c>
      <c r="J148" s="19">
        <v>6.3390000000000004</v>
      </c>
      <c r="K148" s="19">
        <v>7.4429999999999996</v>
      </c>
      <c r="L148" s="19">
        <v>5.3239999999999998</v>
      </c>
      <c r="M148" s="19">
        <f>10.615-L148</f>
        <v>5.2910000000000004</v>
      </c>
      <c r="N148" s="19">
        <f>14.774-SUM(L148:M148)</f>
        <v>4.1589999999999989</v>
      </c>
      <c r="O148" s="19">
        <f t="shared" si="81"/>
        <v>3.4320000000000004</v>
      </c>
      <c r="P148" s="19">
        <v>4.7370000000000001</v>
      </c>
      <c r="Q148" s="19">
        <f>14.189-P148</f>
        <v>9.452</v>
      </c>
      <c r="R148" s="19">
        <f>28.538-SUM(P148:Q148)</f>
        <v>14.349</v>
      </c>
      <c r="S148" s="19">
        <f t="shared" si="82"/>
        <v>11.370999999999999</v>
      </c>
      <c r="T148" s="19">
        <v>14.321</v>
      </c>
      <c r="U148" s="19">
        <f>32.938-T148</f>
        <v>18.617000000000004</v>
      </c>
      <c r="V148" s="58">
        <f>58.564-SUM(T148:U148)</f>
        <v>25.625999999999998</v>
      </c>
      <c r="W148" s="58">
        <f t="shared" si="83"/>
        <v>36.777999999999999</v>
      </c>
      <c r="X148" s="36"/>
      <c r="Y148" s="19">
        <f t="shared" si="85"/>
        <v>13.318000000000001</v>
      </c>
      <c r="Z148" s="19">
        <f t="shared" si="86"/>
        <v>34.501999999999995</v>
      </c>
      <c r="AA148" s="19">
        <v>18.206</v>
      </c>
      <c r="AB148" s="19">
        <v>39.908999999999999</v>
      </c>
      <c r="AC148" s="19">
        <v>95.341999999999999</v>
      </c>
    </row>
    <row r="149" spans="2:29" outlineLevel="2" x14ac:dyDescent="0.25">
      <c r="B149" s="2" t="s">
        <v>411</v>
      </c>
      <c r="C149" s="20" t="s">
        <v>46</v>
      </c>
      <c r="D149" s="19">
        <v>0</v>
      </c>
      <c r="E149" s="19">
        <v>0</v>
      </c>
      <c r="F149" s="19">
        <v>0</v>
      </c>
      <c r="G149" s="19">
        <v>0</v>
      </c>
      <c r="H149" s="19">
        <v>0</v>
      </c>
      <c r="I149" s="19">
        <v>0</v>
      </c>
      <c r="J149" s="19">
        <v>0</v>
      </c>
      <c r="K149" s="44">
        <v>0</v>
      </c>
      <c r="L149" s="19">
        <v>9.907</v>
      </c>
      <c r="M149" s="19">
        <f>16.939-L149</f>
        <v>7.032</v>
      </c>
      <c r="N149" s="19">
        <f>26.245-SUM(L149:M149)</f>
        <v>9.3060000000000009</v>
      </c>
      <c r="O149" s="19">
        <f t="shared" si="81"/>
        <v>12.376999999999999</v>
      </c>
      <c r="P149" s="19">
        <v>11.18</v>
      </c>
      <c r="Q149" s="19">
        <f>22.732-P149</f>
        <v>11.552</v>
      </c>
      <c r="R149" s="19">
        <f>33.122-SUM(P149:Q149)</f>
        <v>10.39</v>
      </c>
      <c r="S149" s="19">
        <f t="shared" si="82"/>
        <v>10.837000000000003</v>
      </c>
      <c r="T149" s="19">
        <v>12.337</v>
      </c>
      <c r="U149" s="19">
        <f>28.34-T149</f>
        <v>16.003</v>
      </c>
      <c r="V149" s="58">
        <f>42.713-SUM(T149:U149)</f>
        <v>14.373000000000001</v>
      </c>
      <c r="W149" s="58">
        <f t="shared" si="83"/>
        <v>18.106000000000002</v>
      </c>
      <c r="X149" s="36"/>
      <c r="Y149" s="19">
        <f t="shared" si="85"/>
        <v>0</v>
      </c>
      <c r="Z149" s="19">
        <f t="shared" si="86"/>
        <v>0</v>
      </c>
      <c r="AA149" s="19">
        <v>38.622</v>
      </c>
      <c r="AB149" s="19">
        <v>43.959000000000003</v>
      </c>
      <c r="AC149" s="19">
        <v>60.819000000000003</v>
      </c>
    </row>
    <row r="150" spans="2:29" outlineLevel="2" x14ac:dyDescent="0.25">
      <c r="B150" s="2" t="s">
        <v>287</v>
      </c>
      <c r="C150" s="20" t="s">
        <v>46</v>
      </c>
      <c r="D150" s="19">
        <v>3.8149999999999999</v>
      </c>
      <c r="E150" s="19">
        <v>3.601</v>
      </c>
      <c r="F150" s="19">
        <v>2.84</v>
      </c>
      <c r="G150" s="19">
        <v>3.206</v>
      </c>
      <c r="H150" s="19">
        <v>4.2789999999999999</v>
      </c>
      <c r="I150" s="19">
        <v>7.4039999999999999</v>
      </c>
      <c r="J150" s="19">
        <v>8.3770000000000007</v>
      </c>
      <c r="K150" s="19">
        <v>7.5650000000000004</v>
      </c>
      <c r="L150" s="19">
        <v>7.0069999999999997</v>
      </c>
      <c r="M150" s="19">
        <f>19.324-L150</f>
        <v>12.317000000000002</v>
      </c>
      <c r="N150" s="19">
        <f>32.82-SUM(L150:M150)</f>
        <v>13.495999999999999</v>
      </c>
      <c r="O150" s="19">
        <f t="shared" si="81"/>
        <v>11.447000000000003</v>
      </c>
      <c r="P150" s="19">
        <v>10.923999999999999</v>
      </c>
      <c r="Q150" s="19">
        <f>23.495-P150</f>
        <v>12.571000000000002</v>
      </c>
      <c r="R150" s="19">
        <f>36.052-SUM(P150:Q150)</f>
        <v>12.556999999999999</v>
      </c>
      <c r="S150" s="19">
        <f t="shared" si="82"/>
        <v>12.689</v>
      </c>
      <c r="T150" s="19">
        <v>12.093999999999999</v>
      </c>
      <c r="U150" s="19">
        <f>16.664-T150</f>
        <v>4.5700000000000021</v>
      </c>
      <c r="V150" s="58">
        <f>22.376-SUM(T150:U150)</f>
        <v>5.7119999999999997</v>
      </c>
      <c r="W150" s="58">
        <f t="shared" si="83"/>
        <v>5.4249999999999972</v>
      </c>
      <c r="X150" s="36"/>
      <c r="Y150" s="19">
        <f t="shared" si="85"/>
        <v>13.462</v>
      </c>
      <c r="Z150" s="19">
        <f t="shared" si="86"/>
        <v>27.625000000000004</v>
      </c>
      <c r="AA150" s="19">
        <v>44.267000000000003</v>
      </c>
      <c r="AB150" s="19">
        <v>48.741</v>
      </c>
      <c r="AC150" s="19">
        <v>27.800999999999998</v>
      </c>
    </row>
    <row r="151" spans="2:29" outlineLevel="2" x14ac:dyDescent="0.25">
      <c r="B151" s="2" t="s">
        <v>289</v>
      </c>
      <c r="C151" s="20" t="s">
        <v>46</v>
      </c>
      <c r="D151" s="19">
        <v>0</v>
      </c>
      <c r="E151" s="19">
        <v>0</v>
      </c>
      <c r="F151" s="19">
        <v>0</v>
      </c>
      <c r="G151" s="19">
        <v>2.6720000000000002</v>
      </c>
      <c r="H151" s="19">
        <v>0</v>
      </c>
      <c r="I151" s="19">
        <v>0</v>
      </c>
      <c r="J151" s="19">
        <v>0</v>
      </c>
      <c r="K151" s="19">
        <v>14.025</v>
      </c>
      <c r="L151" s="19">
        <v>1.732</v>
      </c>
      <c r="M151" s="19">
        <f>1.795-L151</f>
        <v>6.2999999999999945E-2</v>
      </c>
      <c r="N151" s="19">
        <f>-SUM(L151:M151)</f>
        <v>-1.7949999999999999</v>
      </c>
      <c r="O151" s="19">
        <f t="shared" si="81"/>
        <v>12.411</v>
      </c>
      <c r="P151" s="19">
        <v>7.0629999999999997</v>
      </c>
      <c r="Q151" s="19">
        <f>8.578-P151</f>
        <v>1.5149999999999997</v>
      </c>
      <c r="R151" s="19">
        <f>10.43-SUM(P151:Q151)</f>
        <v>1.8520000000000003</v>
      </c>
      <c r="S151" s="19">
        <f t="shared" si="82"/>
        <v>2.8529999999999998</v>
      </c>
      <c r="T151" s="19">
        <v>1.391</v>
      </c>
      <c r="U151" s="19">
        <f>2.695-T151</f>
        <v>1.3039999999999998</v>
      </c>
      <c r="V151" s="58">
        <f>5.449-SUM(T151:U151)</f>
        <v>2.754</v>
      </c>
      <c r="W151" s="58">
        <f t="shared" si="83"/>
        <v>6.8870000000000005</v>
      </c>
      <c r="X151" s="36"/>
      <c r="Y151" s="19">
        <f t="shared" si="85"/>
        <v>2.6720000000000002</v>
      </c>
      <c r="Z151" s="19">
        <f t="shared" si="86"/>
        <v>14.025</v>
      </c>
      <c r="AA151" s="19">
        <v>12.411</v>
      </c>
      <c r="AB151" s="19">
        <v>13.282999999999999</v>
      </c>
      <c r="AC151" s="19">
        <v>12.336</v>
      </c>
    </row>
    <row r="152" spans="2:29" outlineLevel="2" x14ac:dyDescent="0.25">
      <c r="B152" s="2" t="s">
        <v>288</v>
      </c>
      <c r="C152" s="20" t="s">
        <v>46</v>
      </c>
      <c r="D152" s="19">
        <v>4.8000000000000001E-2</v>
      </c>
      <c r="E152" s="19">
        <v>-4.5999999999999999E-2</v>
      </c>
      <c r="F152" s="19">
        <v>-1.143</v>
      </c>
      <c r="G152" s="19">
        <v>-2.5750000000000002</v>
      </c>
      <c r="H152" s="19">
        <v>0.14300000000027424</v>
      </c>
      <c r="I152" s="19">
        <v>0.10199999999999999</v>
      </c>
      <c r="J152" s="19">
        <v>7.0750000000000002</v>
      </c>
      <c r="K152" s="19">
        <v>58.412999999999997</v>
      </c>
      <c r="L152" s="19">
        <v>2.4E-2</v>
      </c>
      <c r="M152" s="19">
        <f>0.659-L152</f>
        <v>0.63500000000000001</v>
      </c>
      <c r="N152" s="19">
        <f>8.029+0.461-SUM(L152:M152)</f>
        <v>7.8310000000000004</v>
      </c>
      <c r="O152" s="19">
        <f t="shared" si="81"/>
        <v>-8.6560000000000006</v>
      </c>
      <c r="P152" s="19">
        <v>4.657</v>
      </c>
      <c r="Q152" s="19">
        <f>-0.056-4.195-P152</f>
        <v>-8.9080000000000013</v>
      </c>
      <c r="R152" s="19">
        <f>-6.306-SUM(P152:Q152)</f>
        <v>-2.0549999999999988</v>
      </c>
      <c r="S152" s="19">
        <f t="shared" si="82"/>
        <v>6.4240000000000004</v>
      </c>
      <c r="T152" s="19">
        <v>8.8999999999999996E-2</v>
      </c>
      <c r="U152" s="19">
        <f>0.07+7.161-T152</f>
        <v>7.1419999999999995</v>
      </c>
      <c r="V152" s="58">
        <f>6.878-SUM(T152:U152)</f>
        <v>-0.35299999999999976</v>
      </c>
      <c r="W152" s="58">
        <f t="shared" si="83"/>
        <v>-8.6910000000000007</v>
      </c>
      <c r="X152" s="36"/>
      <c r="Y152" s="19">
        <f t="shared" si="85"/>
        <v>-3.7160000000000002</v>
      </c>
      <c r="Z152" s="19">
        <f t="shared" si="86"/>
        <v>65.733000000000274</v>
      </c>
      <c r="AA152" s="19">
        <v>-0.16600000000000001</v>
      </c>
      <c r="AB152" s="19">
        <v>0.11799999999999999</v>
      </c>
      <c r="AC152" s="19">
        <v>-1.8129999999999999</v>
      </c>
    </row>
    <row r="153" spans="2:29" outlineLevel="2" x14ac:dyDescent="0.25">
      <c r="B153" s="2" t="s">
        <v>417</v>
      </c>
      <c r="C153" s="20" t="s">
        <v>46</v>
      </c>
      <c r="D153" s="19">
        <v>0</v>
      </c>
      <c r="E153" s="19">
        <v>0</v>
      </c>
      <c r="F153" s="19">
        <v>0</v>
      </c>
      <c r="G153" s="19">
        <v>0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19">
        <v>-0.48299999999999998</v>
      </c>
      <c r="N153" s="19">
        <f>-0.232-SUM(L153:M153)</f>
        <v>0.251</v>
      </c>
      <c r="O153" s="19">
        <f t="shared" si="81"/>
        <v>-7.9850000000000003</v>
      </c>
      <c r="P153" s="19">
        <f>-0.532</f>
        <v>-0.53200000000000003</v>
      </c>
      <c r="Q153" s="19">
        <f>-0.584-P153</f>
        <v>-5.1999999999999935E-2</v>
      </c>
      <c r="R153" s="19">
        <f>-2.742-SUM(P153:Q153)</f>
        <v>-2.1579999999999999</v>
      </c>
      <c r="S153" s="19">
        <f t="shared" si="82"/>
        <v>-5.0339999999999998</v>
      </c>
      <c r="T153" s="19">
        <f>-1.176-1.214</f>
        <v>-2.3899999999999997</v>
      </c>
      <c r="U153" s="19">
        <f>-1.992-T153</f>
        <v>0.39799999999999969</v>
      </c>
      <c r="V153" s="58">
        <f>0.415-2.666-SUM(T153:U153)</f>
        <v>-0.2589999999999999</v>
      </c>
      <c r="W153" s="58">
        <f t="shared" si="83"/>
        <v>6.8140000000000001</v>
      </c>
      <c r="X153" s="36"/>
      <c r="Y153" s="19">
        <f t="shared" si="85"/>
        <v>0</v>
      </c>
      <c r="Z153" s="19">
        <f t="shared" si="86"/>
        <v>0</v>
      </c>
      <c r="AA153" s="19">
        <v>-8.2170000000000005</v>
      </c>
      <c r="AB153" s="19">
        <f>-4.133-3.643</f>
        <v>-7.7759999999999998</v>
      </c>
      <c r="AC153" s="19">
        <v>4.5629999999999997</v>
      </c>
    </row>
    <row r="154" spans="2:29" ht="9.9499999999999993" customHeight="1" outlineLevel="2" x14ac:dyDescent="0.25">
      <c r="B154" s="1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58"/>
      <c r="W154" s="58"/>
      <c r="X154" s="59"/>
      <c r="Y154" s="19"/>
      <c r="Z154" s="19"/>
      <c r="AA154" s="19"/>
      <c r="AB154" s="19"/>
      <c r="AC154" s="19"/>
    </row>
    <row r="155" spans="2:29" outlineLevel="2" x14ac:dyDescent="0.25">
      <c r="B155" s="2" t="s">
        <v>290</v>
      </c>
      <c r="C155" s="20" t="s">
        <v>46</v>
      </c>
      <c r="D155" s="19">
        <v>-6.5949999999999998</v>
      </c>
      <c r="E155" s="19">
        <v>1.4630000000000001</v>
      </c>
      <c r="F155" s="19">
        <v>-0.15</v>
      </c>
      <c r="G155" s="19">
        <v>-93.126999999999995</v>
      </c>
      <c r="H155" s="19">
        <v>-19.364000000000001</v>
      </c>
      <c r="I155" s="19">
        <v>41.295000000000002</v>
      </c>
      <c r="J155" s="19">
        <v>-110.52500000000001</v>
      </c>
      <c r="K155" s="19">
        <v>-31.233000000000001</v>
      </c>
      <c r="L155" s="19">
        <v>-35.418999999999997</v>
      </c>
      <c r="M155" s="19">
        <f>-84.767-L155</f>
        <v>-49.347999999999999</v>
      </c>
      <c r="N155" s="19">
        <f>-136.402-SUM(L155:M155)</f>
        <v>-51.634999999999991</v>
      </c>
      <c r="O155" s="19">
        <f>AA155-SUM(L155:N155)</f>
        <v>-77.047000000000025</v>
      </c>
      <c r="P155" s="19">
        <v>-84.111000000000004</v>
      </c>
      <c r="Q155" s="19">
        <f>-237.617-P155</f>
        <v>-153.50599999999997</v>
      </c>
      <c r="R155" s="19">
        <f>-334.293-SUM(P155:Q155)</f>
        <v>-96.676000000000045</v>
      </c>
      <c r="S155" s="19">
        <f>AB155-SUM(P155:R155)</f>
        <v>-54.183999999999969</v>
      </c>
      <c r="T155" s="19">
        <v>-75.683000000000007</v>
      </c>
      <c r="U155" s="19">
        <f>-93.35-T155</f>
        <v>-17.666999999999987</v>
      </c>
      <c r="V155" s="58">
        <f>-103.214-SUM(T155:U155)</f>
        <v>-9.8640000000000043</v>
      </c>
      <c r="W155" s="58">
        <f t="shared" si="83"/>
        <v>-10.909000000000006</v>
      </c>
      <c r="X155" s="36"/>
      <c r="Y155" s="19">
        <f>SUM(D155:G155)</f>
        <v>-98.408999999999992</v>
      </c>
      <c r="Z155" s="19">
        <f>SUM(H155:K155)</f>
        <v>-119.82700000000001</v>
      </c>
      <c r="AA155" s="19">
        <v>-213.44900000000001</v>
      </c>
      <c r="AB155" s="19">
        <v>-388.47699999999998</v>
      </c>
      <c r="AC155" s="19">
        <v>-114.123</v>
      </c>
    </row>
    <row r="156" spans="2:29" outlineLevel="1" x14ac:dyDescent="0.25">
      <c r="B156" s="5" t="s">
        <v>291</v>
      </c>
      <c r="C156" s="13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36"/>
      <c r="Y156" s="14"/>
      <c r="Z156" s="14"/>
      <c r="AA156" s="14"/>
      <c r="AB156" s="14"/>
      <c r="AC156" s="14"/>
    </row>
    <row r="157" spans="2:29" outlineLevel="2" x14ac:dyDescent="0.25">
      <c r="B157" s="2" t="s">
        <v>59</v>
      </c>
      <c r="C157" s="20" t="s">
        <v>46</v>
      </c>
      <c r="D157" s="19">
        <v>-22.896000000000001</v>
      </c>
      <c r="E157" s="19">
        <v>-32.697000000000003</v>
      </c>
      <c r="F157" s="19">
        <v>-25.167000000000002</v>
      </c>
      <c r="G157" s="19">
        <v>-36.688000000000002</v>
      </c>
      <c r="H157" s="19">
        <v>-2.7519999999999998</v>
      </c>
      <c r="I157" s="19">
        <v>-59.883000000000003</v>
      </c>
      <c r="J157" s="19">
        <v>-19.411000000000001</v>
      </c>
      <c r="K157" s="19">
        <v>-18.172000000000001</v>
      </c>
      <c r="L157" s="19">
        <v>-47.1</v>
      </c>
      <c r="M157" s="19">
        <f>-142.051-L157</f>
        <v>-94.950999999999993</v>
      </c>
      <c r="N157" s="19">
        <f>-147.533-SUM(L157:M157)</f>
        <v>-5.4819999999999993</v>
      </c>
      <c r="O157" s="19">
        <f t="shared" ref="O157:O163" si="87">AA157-SUM(L157:N157)</f>
        <v>-51.523000000000025</v>
      </c>
      <c r="P157" s="19">
        <v>-32.881</v>
      </c>
      <c r="Q157" s="19">
        <f>-9.242-P157</f>
        <v>23.638999999999999</v>
      </c>
      <c r="R157" s="19">
        <f>-109.701-SUM(P157:Q157)</f>
        <v>-100.45899999999999</v>
      </c>
      <c r="S157" s="19">
        <f t="shared" ref="S157:S163" si="88">AB157-SUM(P157:R157)</f>
        <v>-74.212000000000018</v>
      </c>
      <c r="T157" s="19">
        <v>18.645</v>
      </c>
      <c r="U157" s="19">
        <f>-74.394-T157</f>
        <v>-93.039000000000001</v>
      </c>
      <c r="V157" s="58">
        <f>-50.575-SUM(T157:U157)</f>
        <v>23.819000000000003</v>
      </c>
      <c r="W157" s="58">
        <f t="shared" si="83"/>
        <v>-26.234999999999999</v>
      </c>
      <c r="X157" s="36"/>
      <c r="Y157" s="19">
        <f t="shared" ref="Y157:Y163" si="89">SUM(D157:G157)</f>
        <v>-117.44800000000001</v>
      </c>
      <c r="Z157" s="19">
        <f t="shared" ref="Z157:Z163" si="90">SUM(H157:K157)</f>
        <v>-100.218</v>
      </c>
      <c r="AA157" s="19">
        <v>-199.05600000000001</v>
      </c>
      <c r="AB157" s="19">
        <v>-183.91300000000001</v>
      </c>
      <c r="AC157" s="19">
        <v>-76.81</v>
      </c>
    </row>
    <row r="158" spans="2:29" outlineLevel="2" x14ac:dyDescent="0.25">
      <c r="B158" s="2" t="s">
        <v>247</v>
      </c>
      <c r="C158" s="20" t="s">
        <v>46</v>
      </c>
      <c r="D158" s="19">
        <v>3.7839999999999998</v>
      </c>
      <c r="E158" s="19">
        <v>-4.1120000000000001</v>
      </c>
      <c r="F158" s="19">
        <v>1.0980000000000001</v>
      </c>
      <c r="G158" s="19">
        <v>-6.4000000000000001E-2</v>
      </c>
      <c r="H158" s="19">
        <v>3.0449999999999999</v>
      </c>
      <c r="I158" s="19">
        <v>-2.78</v>
      </c>
      <c r="J158" s="19">
        <v>-1.0269999999999999</v>
      </c>
      <c r="K158" s="19">
        <v>-5.5350000000000001</v>
      </c>
      <c r="L158" s="19">
        <v>5.7590000000000003</v>
      </c>
      <c r="M158" s="19">
        <f>-7.048-L158</f>
        <v>-12.807</v>
      </c>
      <c r="N158" s="19">
        <f>-2.547-SUM(L158:M158)</f>
        <v>4.5009999999999994</v>
      </c>
      <c r="O158" s="19">
        <f t="shared" si="87"/>
        <v>0.26600000000000046</v>
      </c>
      <c r="P158" s="19">
        <v>-23.434000000000001</v>
      </c>
      <c r="Q158" s="19">
        <f>-59.259-P158</f>
        <v>-35.825000000000003</v>
      </c>
      <c r="R158" s="19">
        <f>-35.012-SUM(P158:Q158)</f>
        <v>24.247</v>
      </c>
      <c r="S158" s="19">
        <f t="shared" si="88"/>
        <v>-10.179000000000002</v>
      </c>
      <c r="T158" s="19">
        <v>-16.533000000000001</v>
      </c>
      <c r="U158" s="19">
        <f>-68.943-T158</f>
        <v>-52.41</v>
      </c>
      <c r="V158" s="58">
        <f>-48.536-SUM(T158:U158)</f>
        <v>20.406999999999996</v>
      </c>
      <c r="W158" s="58">
        <f t="shared" si="83"/>
        <v>21.288</v>
      </c>
      <c r="X158" s="36"/>
      <c r="Y158" s="19">
        <f t="shared" si="89"/>
        <v>0.70599999999999974</v>
      </c>
      <c r="Z158" s="19">
        <f t="shared" si="90"/>
        <v>-6.2969999999999997</v>
      </c>
      <c r="AA158" s="19">
        <v>-2.2810000000000001</v>
      </c>
      <c r="AB158" s="19">
        <v>-45.191000000000003</v>
      </c>
      <c r="AC158" s="19">
        <v>-27.248000000000001</v>
      </c>
    </row>
    <row r="159" spans="2:29" outlineLevel="2" x14ac:dyDescent="0.25">
      <c r="B159" s="2" t="s">
        <v>249</v>
      </c>
      <c r="C159" s="20" t="s">
        <v>46</v>
      </c>
      <c r="D159" s="19">
        <v>-26.271000000000001</v>
      </c>
      <c r="E159" s="19">
        <v>-9.4269999999999996</v>
      </c>
      <c r="F159" s="19">
        <v>-17.623000000000001</v>
      </c>
      <c r="G159" s="19">
        <v>49.149000000000001</v>
      </c>
      <c r="H159" s="19">
        <v>-33.78</v>
      </c>
      <c r="I159" s="19">
        <v>-30.306000000000001</v>
      </c>
      <c r="J159" s="19">
        <v>26.86</v>
      </c>
      <c r="K159" s="19">
        <v>-8.5860000000000003</v>
      </c>
      <c r="L159" s="19">
        <v>-8.3390000000000004</v>
      </c>
      <c r="M159" s="19">
        <f>1.998-L159</f>
        <v>10.337</v>
      </c>
      <c r="N159" s="19">
        <f>-46.91-SUM(L159:M159)</f>
        <v>-48.907999999999994</v>
      </c>
      <c r="O159" s="19">
        <f t="shared" si="87"/>
        <v>-12.227000000000004</v>
      </c>
      <c r="P159" s="19">
        <v>23.725999999999999</v>
      </c>
      <c r="Q159" s="19">
        <f>6.1-P159</f>
        <v>-17.625999999999998</v>
      </c>
      <c r="R159" s="19">
        <f>15.715-SUM(P159:Q159)</f>
        <v>9.6149999999999984</v>
      </c>
      <c r="S159" s="19">
        <f t="shared" si="88"/>
        <v>-7.6319999999999997</v>
      </c>
      <c r="T159" s="19">
        <v>-10.468999999999999</v>
      </c>
      <c r="U159" s="19">
        <f>-36.548-T159</f>
        <v>-26.079000000000001</v>
      </c>
      <c r="V159" s="58">
        <f>-10.418-SUM(T159:U159)</f>
        <v>26.130000000000003</v>
      </c>
      <c r="W159" s="58">
        <f t="shared" si="83"/>
        <v>-16.673000000000002</v>
      </c>
      <c r="X159" s="36"/>
      <c r="Y159" s="19">
        <f t="shared" si="89"/>
        <v>-4.171999999999997</v>
      </c>
      <c r="Z159" s="19">
        <f t="shared" si="90"/>
        <v>-45.811999999999998</v>
      </c>
      <c r="AA159" s="19">
        <v>-59.137</v>
      </c>
      <c r="AB159" s="19">
        <v>8.0830000000000002</v>
      </c>
      <c r="AC159" s="19">
        <v>-27.091000000000001</v>
      </c>
    </row>
    <row r="160" spans="2:29" outlineLevel="2" x14ac:dyDescent="0.25">
      <c r="B160" s="2" t="s">
        <v>248</v>
      </c>
      <c r="C160" s="20" t="s">
        <v>46</v>
      </c>
      <c r="D160" s="19">
        <v>-52.441000000000003</v>
      </c>
      <c r="E160" s="19">
        <v>-53.005000000000003</v>
      </c>
      <c r="F160" s="19">
        <v>-52.869</v>
      </c>
      <c r="G160" s="19">
        <v>-45.000999999999998</v>
      </c>
      <c r="H160" s="19">
        <v>-39.484999999999999</v>
      </c>
      <c r="I160" s="19">
        <v>-37.265999999999998</v>
      </c>
      <c r="J160" s="19">
        <v>-48.023000000000003</v>
      </c>
      <c r="K160" s="19">
        <v>-54.408000000000001</v>
      </c>
      <c r="L160" s="19">
        <v>-55.406999999999996</v>
      </c>
      <c r="M160" s="19">
        <f>-119.025-L160</f>
        <v>-63.618000000000009</v>
      </c>
      <c r="N160" s="19">
        <f>-223.932-SUM(L160:M160)</f>
        <v>-104.90699999999998</v>
      </c>
      <c r="O160" s="19">
        <f t="shared" si="87"/>
        <v>-110.62899999999999</v>
      </c>
      <c r="P160" s="19">
        <v>-94.325999999999993</v>
      </c>
      <c r="Q160" s="19">
        <f>-204.544-P160</f>
        <v>-110.21800000000002</v>
      </c>
      <c r="R160" s="19">
        <f>-310.445-SUM(P160:Q160)</f>
        <v>-105.90099999999998</v>
      </c>
      <c r="S160" s="19">
        <f t="shared" si="88"/>
        <v>-92.357000000000028</v>
      </c>
      <c r="T160" s="19">
        <v>-76.094999999999999</v>
      </c>
      <c r="U160" s="19">
        <f>-171.083-T160</f>
        <v>-94.988</v>
      </c>
      <c r="V160" s="58">
        <f>-266.647-SUM(T160:U160)</f>
        <v>-95.563999999999993</v>
      </c>
      <c r="W160" s="58">
        <f t="shared" si="83"/>
        <v>-103.66300000000001</v>
      </c>
      <c r="X160" s="36"/>
      <c r="Y160" s="19">
        <f t="shared" si="89"/>
        <v>-203.316</v>
      </c>
      <c r="Z160" s="19">
        <f t="shared" si="90"/>
        <v>-179.18200000000002</v>
      </c>
      <c r="AA160" s="19">
        <v>-334.56099999999998</v>
      </c>
      <c r="AB160" s="19">
        <v>-402.80200000000002</v>
      </c>
      <c r="AC160" s="19">
        <v>-370.31</v>
      </c>
    </row>
    <row r="161" spans="2:31" outlineLevel="2" x14ac:dyDescent="0.25">
      <c r="B161" s="2" t="s">
        <v>252</v>
      </c>
      <c r="C161" s="20" t="s">
        <v>46</v>
      </c>
      <c r="D161" s="19">
        <v>-0.79100000000000004</v>
      </c>
      <c r="E161" s="19">
        <v>0.79</v>
      </c>
      <c r="F161" s="19">
        <v>5.7249999999999996</v>
      </c>
      <c r="G161" s="19">
        <v>18.719000000000001</v>
      </c>
      <c r="H161" s="19">
        <v>4.9000000000000004</v>
      </c>
      <c r="I161" s="19">
        <v>-34.853000000000002</v>
      </c>
      <c r="J161" s="19">
        <v>37.691000000000003</v>
      </c>
      <c r="K161" s="19">
        <v>34.652000000000001</v>
      </c>
      <c r="L161" s="19">
        <v>-6.9059999999999997</v>
      </c>
      <c r="M161" s="19">
        <f>-26.444-L161</f>
        <v>-19.538</v>
      </c>
      <c r="N161" s="19">
        <f>-47.082-SUM(L161:M161)</f>
        <v>-20.638000000000002</v>
      </c>
      <c r="O161" s="19">
        <f t="shared" si="87"/>
        <v>29.518000000000001</v>
      </c>
      <c r="P161" s="19">
        <v>-62.197000000000003</v>
      </c>
      <c r="Q161" s="19">
        <f>-2.38-P161</f>
        <v>59.817</v>
      </c>
      <c r="R161" s="19">
        <f>-1.467-SUM(P161:Q161)</f>
        <v>0.91300000000000248</v>
      </c>
      <c r="S161" s="19">
        <f t="shared" si="88"/>
        <v>-2.0640000000000001</v>
      </c>
      <c r="T161" s="19">
        <v>-0.48099999999999998</v>
      </c>
      <c r="U161" s="19">
        <f>0-T161</f>
        <v>0.48099999999999998</v>
      </c>
      <c r="V161" s="58">
        <f>0-SUM(T161:U161)</f>
        <v>0</v>
      </c>
      <c r="W161" s="58">
        <f t="shared" si="83"/>
        <v>0</v>
      </c>
      <c r="X161" s="36"/>
      <c r="Y161" s="19">
        <f t="shared" si="89"/>
        <v>24.443000000000001</v>
      </c>
      <c r="Z161" s="19">
        <f t="shared" si="90"/>
        <v>42.39</v>
      </c>
      <c r="AA161" s="19">
        <v>-17.564</v>
      </c>
      <c r="AB161" s="19">
        <v>-3.5310000000000001</v>
      </c>
      <c r="AC161" s="19">
        <v>0</v>
      </c>
    </row>
    <row r="162" spans="2:31" outlineLevel="2" x14ac:dyDescent="0.25">
      <c r="B162" s="2" t="s">
        <v>253</v>
      </c>
      <c r="C162" s="20" t="s">
        <v>46</v>
      </c>
      <c r="D162" s="19">
        <v>3.5939999999999999</v>
      </c>
      <c r="E162" s="19">
        <v>-7.7210000000000001</v>
      </c>
      <c r="F162" s="19">
        <v>-12.706</v>
      </c>
      <c r="G162" s="19">
        <v>13.855</v>
      </c>
      <c r="H162" s="19">
        <v>-4.5510000000000002</v>
      </c>
      <c r="I162" s="19">
        <v>-10.076000000000001</v>
      </c>
      <c r="J162" s="19">
        <v>-6.2240000000000002</v>
      </c>
      <c r="K162" s="19">
        <v>6.4329999999999998</v>
      </c>
      <c r="L162" s="19">
        <v>-44.908000000000001</v>
      </c>
      <c r="M162" s="19">
        <f>-52.71-L162</f>
        <v>-7.8019999999999996</v>
      </c>
      <c r="N162" s="19">
        <f>-81.881-SUM(L162:M162)</f>
        <v>-29.170999999999999</v>
      </c>
      <c r="O162" s="19">
        <f t="shared" si="87"/>
        <v>-133.01900000000001</v>
      </c>
      <c r="P162" s="19">
        <v>-112.32599999999999</v>
      </c>
      <c r="Q162" s="19">
        <f>-137.28-P162</f>
        <v>-24.954000000000008</v>
      </c>
      <c r="R162" s="19">
        <f>-199.337-SUM(P162:Q162)</f>
        <v>-62.056999999999988</v>
      </c>
      <c r="S162" s="19">
        <f t="shared" si="88"/>
        <v>-33.259000000000015</v>
      </c>
      <c r="T162" s="19">
        <v>-14.901999999999999</v>
      </c>
      <c r="U162" s="19">
        <f>-30.33-T162</f>
        <v>-15.427999999999999</v>
      </c>
      <c r="V162" s="58">
        <f>-93.564-SUM(T162:U162)</f>
        <v>-63.233999999999995</v>
      </c>
      <c r="W162" s="58">
        <f t="shared" si="83"/>
        <v>-51.991000000000014</v>
      </c>
      <c r="X162" s="36"/>
      <c r="Y162" s="19">
        <f t="shared" si="89"/>
        <v>-2.977999999999998</v>
      </c>
      <c r="Z162" s="19">
        <f t="shared" si="90"/>
        <v>-14.417999999999999</v>
      </c>
      <c r="AA162" s="19">
        <v>-214.9</v>
      </c>
      <c r="AB162" s="19">
        <v>-232.596</v>
      </c>
      <c r="AC162" s="19">
        <v>-145.55500000000001</v>
      </c>
    </row>
    <row r="163" spans="2:31" outlineLevel="2" x14ac:dyDescent="0.25">
      <c r="B163" s="2" t="s">
        <v>60</v>
      </c>
      <c r="C163" s="20" t="s">
        <v>46</v>
      </c>
      <c r="D163" s="19">
        <v>-21.399000000000001</v>
      </c>
      <c r="E163" s="19">
        <v>-38.651000000000003</v>
      </c>
      <c r="F163" s="19">
        <v>-10.393000000000001</v>
      </c>
      <c r="G163" s="19">
        <v>-6.9169999999999998</v>
      </c>
      <c r="H163" s="19">
        <v>-32.353999999999999</v>
      </c>
      <c r="I163" s="19">
        <v>-52.418999999999997</v>
      </c>
      <c r="J163" s="19">
        <v>11.888999999999999</v>
      </c>
      <c r="K163" s="19">
        <v>-96.472999999999999</v>
      </c>
      <c r="L163" s="19">
        <v>20.146000000000001</v>
      </c>
      <c r="M163" s="19">
        <f>-68.198-L163</f>
        <v>-88.343999999999994</v>
      </c>
      <c r="N163" s="19">
        <f>-139.837-SUM(L163:M163)</f>
        <v>-71.638999999999996</v>
      </c>
      <c r="O163" s="19">
        <f t="shared" si="87"/>
        <v>-65.118000000000023</v>
      </c>
      <c r="P163" s="19">
        <v>-110.78</v>
      </c>
      <c r="Q163" s="19">
        <f>-136.774-P163</f>
        <v>-25.994</v>
      </c>
      <c r="R163" s="19">
        <f>-155.898-SUM(P163:Q163)</f>
        <v>-19.123999999999995</v>
      </c>
      <c r="S163" s="19">
        <f t="shared" si="88"/>
        <v>-64.193000000000012</v>
      </c>
      <c r="T163" s="19">
        <v>-134.30799999999999</v>
      </c>
      <c r="U163" s="19">
        <f>-213.98-T163</f>
        <v>-79.671999999999997</v>
      </c>
      <c r="V163" s="58">
        <f>-189.566-SUM(T163:U163)</f>
        <v>24.413999999999987</v>
      </c>
      <c r="W163" s="58">
        <f t="shared" si="83"/>
        <v>-34.048000000000002</v>
      </c>
      <c r="X163" s="36"/>
      <c r="Y163" s="19">
        <f t="shared" si="89"/>
        <v>-77.360000000000014</v>
      </c>
      <c r="Z163" s="19">
        <f t="shared" si="90"/>
        <v>-169.357</v>
      </c>
      <c r="AA163" s="19">
        <v>-204.95500000000001</v>
      </c>
      <c r="AB163" s="19">
        <v>-220.09100000000001</v>
      </c>
      <c r="AC163" s="19">
        <v>-223.614</v>
      </c>
    </row>
    <row r="164" spans="2:31" outlineLevel="1" x14ac:dyDescent="0.25">
      <c r="B164" s="5" t="s">
        <v>292</v>
      </c>
      <c r="C164" s="13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36"/>
      <c r="Y164" s="14"/>
      <c r="Z164" s="14"/>
      <c r="AA164" s="14"/>
      <c r="AB164" s="14"/>
      <c r="AC164" s="14"/>
    </row>
    <row r="165" spans="2:31" outlineLevel="2" x14ac:dyDescent="0.25">
      <c r="B165" s="2" t="s">
        <v>65</v>
      </c>
      <c r="C165" s="20" t="s">
        <v>46</v>
      </c>
      <c r="D165" s="19">
        <v>-3.6040000000000001</v>
      </c>
      <c r="E165" s="19">
        <v>6.2080000000000002</v>
      </c>
      <c r="F165" s="19">
        <v>-12.244</v>
      </c>
      <c r="G165" s="19">
        <v>12.85</v>
      </c>
      <c r="H165" s="19">
        <v>-8.7780000000000005</v>
      </c>
      <c r="I165" s="19">
        <v>5.6059999999999999</v>
      </c>
      <c r="J165" s="19">
        <v>6.2610000000000001</v>
      </c>
      <c r="K165" s="19">
        <v>-62.618000000000002</v>
      </c>
      <c r="L165" s="19">
        <v>-55.656999999999996</v>
      </c>
      <c r="M165" s="19">
        <f>-59.502-L165</f>
        <v>-3.845000000000006</v>
      </c>
      <c r="N165" s="19">
        <f>-128.798-SUM(L165:M165)</f>
        <v>-69.295999999999992</v>
      </c>
      <c r="O165" s="19">
        <f t="shared" ref="O165:O173" si="91">AA165-SUM(L165:N165)</f>
        <v>-26.414999999999992</v>
      </c>
      <c r="P165" s="19">
        <v>-40.863</v>
      </c>
      <c r="Q165" s="19">
        <f>-41.162-P165</f>
        <v>-0.29899999999999949</v>
      </c>
      <c r="R165" s="19">
        <f>-79.446-SUM(P165:Q165)</f>
        <v>-38.283999999999999</v>
      </c>
      <c r="S165" s="19">
        <f t="shared" ref="S165:S173" si="92">AB165-SUM(P165:R165)</f>
        <v>12.599999999999994</v>
      </c>
      <c r="T165" s="19">
        <v>-42.506999999999998</v>
      </c>
      <c r="U165" s="19">
        <f>-237.042-T165</f>
        <v>-194.535</v>
      </c>
      <c r="V165" s="58">
        <f>-85.468-SUM(T165:U165)</f>
        <v>151.57400000000001</v>
      </c>
      <c r="W165" s="58">
        <f t="shared" si="83"/>
        <v>-96.039000000000016</v>
      </c>
      <c r="X165" s="36"/>
      <c r="Y165" s="19">
        <f t="shared" ref="Y165:Y173" si="93">SUM(D165:G165)</f>
        <v>3.2099999999999991</v>
      </c>
      <c r="Z165" s="19">
        <f t="shared" ref="Z165:Z173" si="94">SUM(H165:K165)</f>
        <v>-59.529000000000003</v>
      </c>
      <c r="AA165" s="19">
        <v>-155.21299999999999</v>
      </c>
      <c r="AB165" s="19">
        <v>-66.846000000000004</v>
      </c>
      <c r="AC165" s="19">
        <v>-181.50700000000001</v>
      </c>
    </row>
    <row r="166" spans="2:31" outlineLevel="2" x14ac:dyDescent="0.25">
      <c r="B166" s="2" t="s">
        <v>293</v>
      </c>
      <c r="C166" s="20" t="s">
        <v>46</v>
      </c>
      <c r="D166" s="19">
        <v>-11.739000000000001</v>
      </c>
      <c r="E166" s="19">
        <v>18.638999999999999</v>
      </c>
      <c r="F166" s="19">
        <v>19.03</v>
      </c>
      <c r="G166" s="19">
        <v>-22.052</v>
      </c>
      <c r="H166" s="19">
        <v>-29.041</v>
      </c>
      <c r="I166" s="19">
        <v>24.859000000000002</v>
      </c>
      <c r="J166" s="19">
        <v>9.766</v>
      </c>
      <c r="K166" s="19">
        <v>-15.776999999999999</v>
      </c>
      <c r="L166" s="19">
        <v>-8.4149999999999991</v>
      </c>
      <c r="M166" s="19">
        <f>13.658-L166</f>
        <v>22.073</v>
      </c>
      <c r="N166" s="19">
        <f>43.462-SUM(L166:M166)</f>
        <v>29.804000000000002</v>
      </c>
      <c r="O166" s="19">
        <f t="shared" si="91"/>
        <v>-66.413000000000011</v>
      </c>
      <c r="P166" s="19">
        <v>-6.6529999999999996</v>
      </c>
      <c r="Q166" s="19">
        <f>42.737-P166</f>
        <v>49.39</v>
      </c>
      <c r="R166" s="19">
        <f>92.053-SUM(P166:Q166)</f>
        <v>49.315999999999995</v>
      </c>
      <c r="S166" s="19">
        <f t="shared" si="92"/>
        <v>-64.38</v>
      </c>
      <c r="T166" s="19">
        <v>-19.425000000000001</v>
      </c>
      <c r="U166" s="19">
        <f>25.844-T166</f>
        <v>45.269000000000005</v>
      </c>
      <c r="V166" s="58">
        <f>57.78-SUM(T166:U166)</f>
        <v>31.935999999999996</v>
      </c>
      <c r="W166" s="58">
        <f t="shared" si="83"/>
        <v>-91.93</v>
      </c>
      <c r="X166" s="36"/>
      <c r="Y166" s="19">
        <f t="shared" si="93"/>
        <v>3.8780000000000001</v>
      </c>
      <c r="Z166" s="19">
        <f t="shared" si="94"/>
        <v>-10.192999999999998</v>
      </c>
      <c r="AA166" s="19">
        <v>-22.951000000000001</v>
      </c>
      <c r="AB166" s="19">
        <v>27.672999999999998</v>
      </c>
      <c r="AC166" s="19">
        <v>-34.15</v>
      </c>
    </row>
    <row r="167" spans="2:31" outlineLevel="2" x14ac:dyDescent="0.25">
      <c r="B167" s="2" t="s">
        <v>257</v>
      </c>
      <c r="C167" s="20" t="s">
        <v>46</v>
      </c>
      <c r="D167" s="19">
        <v>20.277000000000001</v>
      </c>
      <c r="E167" s="19">
        <v>6.84</v>
      </c>
      <c r="F167" s="19">
        <v>20.631</v>
      </c>
      <c r="G167" s="19">
        <v>15.138</v>
      </c>
      <c r="H167" s="19">
        <v>5.109</v>
      </c>
      <c r="I167" s="19">
        <v>5.8330000000000002</v>
      </c>
      <c r="J167" s="19">
        <v>13.246</v>
      </c>
      <c r="K167" s="19">
        <v>7.883</v>
      </c>
      <c r="L167" s="19">
        <v>87.578999999999994</v>
      </c>
      <c r="M167" s="19">
        <f>35.324-L167</f>
        <v>-52.254999999999995</v>
      </c>
      <c r="N167" s="19">
        <f>59.022-SUM(L167:M167)</f>
        <v>23.698</v>
      </c>
      <c r="O167" s="19">
        <f t="shared" si="91"/>
        <v>19.186</v>
      </c>
      <c r="P167" s="19">
        <v>41.689</v>
      </c>
      <c r="Q167" s="19">
        <f>170.807-P167</f>
        <v>129.11799999999999</v>
      </c>
      <c r="R167" s="19">
        <f>148.193-SUM(P167:Q167)</f>
        <v>-22.613999999999976</v>
      </c>
      <c r="S167" s="19">
        <f t="shared" si="92"/>
        <v>-44.688000000000017</v>
      </c>
      <c r="T167" s="19">
        <v>44.667000000000002</v>
      </c>
      <c r="U167" s="19">
        <f>32.369-T167</f>
        <v>-12.298000000000002</v>
      </c>
      <c r="V167" s="58">
        <f>52.373-SUM(T167:U167)</f>
        <v>20.003999999999998</v>
      </c>
      <c r="W167" s="58">
        <f t="shared" si="83"/>
        <v>23.353000000000002</v>
      </c>
      <c r="X167" s="36"/>
      <c r="Y167" s="19">
        <f t="shared" si="93"/>
        <v>62.886000000000003</v>
      </c>
      <c r="Z167" s="19">
        <f t="shared" si="94"/>
        <v>32.071000000000005</v>
      </c>
      <c r="AA167" s="19">
        <v>78.207999999999998</v>
      </c>
      <c r="AB167" s="19">
        <v>103.505</v>
      </c>
      <c r="AC167" s="19">
        <v>75.725999999999999</v>
      </c>
    </row>
    <row r="168" spans="2:31" outlineLevel="2" x14ac:dyDescent="0.25">
      <c r="B168" s="2" t="s">
        <v>294</v>
      </c>
      <c r="C168" s="20" t="s">
        <v>46</v>
      </c>
      <c r="D168" s="19">
        <v>-7.4749999999999996</v>
      </c>
      <c r="E168" s="19">
        <v>57.435000000000002</v>
      </c>
      <c r="F168" s="19">
        <v>22.544</v>
      </c>
      <c r="G168" s="19">
        <v>-42.475000000000001</v>
      </c>
      <c r="H168" s="19">
        <v>58.454999999999998</v>
      </c>
      <c r="I168" s="19">
        <v>-9.9719999999999995</v>
      </c>
      <c r="J168" s="19">
        <v>18.617000000000001</v>
      </c>
      <c r="K168" s="19">
        <v>-37.438000000000002</v>
      </c>
      <c r="L168" s="19">
        <v>60.109000000000002</v>
      </c>
      <c r="M168" s="19">
        <f>125.82-L168</f>
        <v>65.710999999999984</v>
      </c>
      <c r="N168" s="19">
        <f>179.982-SUM(L168:M168)</f>
        <v>54.162000000000006</v>
      </c>
      <c r="O168" s="19">
        <f t="shared" si="91"/>
        <v>93.962999999999994</v>
      </c>
      <c r="P168" s="19">
        <v>181.89500000000001</v>
      </c>
      <c r="Q168" s="19">
        <f>67.009+23.307-P168</f>
        <v>-91.579000000000008</v>
      </c>
      <c r="R168" s="19">
        <f>175.018+24.265-SUM(P168:Q168)</f>
        <v>108.96700000000001</v>
      </c>
      <c r="S168" s="19">
        <f t="shared" si="92"/>
        <v>-35.326999999999998</v>
      </c>
      <c r="T168" s="19">
        <f>23.152+1.47</f>
        <v>24.622</v>
      </c>
      <c r="U168" s="19">
        <f>38.866+6.996-T168</f>
        <v>21.240000000000002</v>
      </c>
      <c r="V168" s="58">
        <f>63.822+16.245-SUM(T168:U168)</f>
        <v>34.205000000000005</v>
      </c>
      <c r="W168" s="58">
        <f t="shared" si="83"/>
        <v>44.86099999999999</v>
      </c>
      <c r="X168" s="36"/>
      <c r="Y168" s="19">
        <f t="shared" si="93"/>
        <v>30.029000000000003</v>
      </c>
      <c r="Z168" s="19">
        <f t="shared" si="94"/>
        <v>29.661999999999992</v>
      </c>
      <c r="AA168" s="19">
        <v>273.94499999999999</v>
      </c>
      <c r="AB168" s="19">
        <f>136.394+27.562</f>
        <v>163.95600000000002</v>
      </c>
      <c r="AC168" s="19">
        <v>124.928</v>
      </c>
    </row>
    <row r="169" spans="2:31" outlineLevel="2" x14ac:dyDescent="0.25">
      <c r="B169" s="2" t="s">
        <v>418</v>
      </c>
      <c r="C169" s="20" t="s">
        <v>46</v>
      </c>
      <c r="D169" s="19">
        <v>0</v>
      </c>
      <c r="E169" s="19">
        <v>0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  <c r="M169" s="19">
        <v>-23.475999999999999</v>
      </c>
      <c r="N169" s="19">
        <f>0-SUM(L169:M169)</f>
        <v>23.475999999999999</v>
      </c>
      <c r="O169" s="19">
        <f t="shared" si="91"/>
        <v>-5.4790000000000001</v>
      </c>
      <c r="P169" s="19">
        <v>0</v>
      </c>
      <c r="Q169" s="19">
        <v>-60.064999999999998</v>
      </c>
      <c r="R169" s="19">
        <f>-66.283-SUM(P169:Q169)</f>
        <v>-6.2180000000000035</v>
      </c>
      <c r="S169" s="19">
        <f t="shared" si="92"/>
        <v>1.8389999999999986</v>
      </c>
      <c r="T169" s="19">
        <v>15.686999999999999</v>
      </c>
      <c r="U169" s="19">
        <f>32.033-T169</f>
        <v>16.346000000000004</v>
      </c>
      <c r="V169" s="58">
        <f>0-SUM(T169:U169)</f>
        <v>-32.033000000000001</v>
      </c>
      <c r="W169" s="58">
        <f t="shared" si="83"/>
        <v>-66.475999999999999</v>
      </c>
      <c r="X169" s="36"/>
      <c r="Y169" s="19">
        <f t="shared" si="93"/>
        <v>0</v>
      </c>
      <c r="Z169" s="19">
        <f t="shared" si="94"/>
        <v>0</v>
      </c>
      <c r="AA169" s="19">
        <v>-5.4790000000000001</v>
      </c>
      <c r="AB169" s="19">
        <v>-64.444000000000003</v>
      </c>
      <c r="AC169" s="19">
        <v>-66.475999999999999</v>
      </c>
    </row>
    <row r="170" spans="2:31" outlineLevel="2" x14ac:dyDescent="0.25">
      <c r="B170" s="2" t="s">
        <v>265</v>
      </c>
      <c r="C170" s="20" t="s">
        <v>46</v>
      </c>
      <c r="D170" s="19">
        <v>1.131</v>
      </c>
      <c r="E170" s="19">
        <v>-2.6949999999999998</v>
      </c>
      <c r="F170" s="19">
        <v>-6.0330000000000004</v>
      </c>
      <c r="G170" s="19">
        <v>-8.93</v>
      </c>
      <c r="H170" s="19">
        <v>6.0000000000000001E-3</v>
      </c>
      <c r="I170" s="19">
        <v>-6.0000000000000001E-3</v>
      </c>
      <c r="J170" s="19">
        <v>-2.8330000000000002</v>
      </c>
      <c r="K170" s="19">
        <v>4.548</v>
      </c>
      <c r="L170" s="19">
        <v>3.1429999999999998</v>
      </c>
      <c r="M170" s="19">
        <f>32.585-L170</f>
        <v>29.442</v>
      </c>
      <c r="N170" s="19">
        <f>36.088-SUM(L170:M170)</f>
        <v>3.5030000000000001</v>
      </c>
      <c r="O170" s="19">
        <f t="shared" si="91"/>
        <v>5.0949999999999989</v>
      </c>
      <c r="P170" s="19">
        <v>0</v>
      </c>
      <c r="Q170" s="19">
        <f>-0.104-P170</f>
        <v>-0.104</v>
      </c>
      <c r="R170" s="19">
        <f>-1.428-SUM(P170:Q170)</f>
        <v>-1.3239999999999998</v>
      </c>
      <c r="S170" s="19">
        <f t="shared" si="92"/>
        <v>1.4279999999999999</v>
      </c>
      <c r="T170" s="19">
        <v>5.8410000000000002</v>
      </c>
      <c r="U170" s="19">
        <f>0-T170</f>
        <v>-5.8410000000000002</v>
      </c>
      <c r="V170" s="58">
        <f>0-SUM(T170:U170)</f>
        <v>0</v>
      </c>
      <c r="W170" s="58">
        <f t="shared" si="83"/>
        <v>0</v>
      </c>
      <c r="X170" s="36"/>
      <c r="Y170" s="19">
        <f t="shared" si="93"/>
        <v>-16.527000000000001</v>
      </c>
      <c r="Z170" s="19">
        <f t="shared" si="94"/>
        <v>1.7149999999999999</v>
      </c>
      <c r="AA170" s="19">
        <v>41.183</v>
      </c>
      <c r="AB170" s="19">
        <v>0</v>
      </c>
      <c r="AC170" s="19">
        <v>0</v>
      </c>
    </row>
    <row r="171" spans="2:31" outlineLevel="2" x14ac:dyDescent="0.25">
      <c r="B171" s="2" t="s">
        <v>266</v>
      </c>
      <c r="C171" s="20" t="s">
        <v>46</v>
      </c>
      <c r="D171" s="19">
        <v>-9.4610000000000003</v>
      </c>
      <c r="E171" s="19">
        <v>-9.0820000000000007</v>
      </c>
      <c r="F171" s="19">
        <v>-13.621</v>
      </c>
      <c r="G171" s="19">
        <v>3.77</v>
      </c>
      <c r="H171" s="19">
        <v>-4.2880000000000003</v>
      </c>
      <c r="I171" s="19">
        <v>8.5210000000000008</v>
      </c>
      <c r="J171" s="19">
        <v>-15.034000000000001</v>
      </c>
      <c r="K171" s="19">
        <v>-51.902000000000001</v>
      </c>
      <c r="L171" s="19">
        <v>-14.662000000000001</v>
      </c>
      <c r="M171" s="19">
        <f>-29.251-L171</f>
        <v>-14.589</v>
      </c>
      <c r="N171" s="19">
        <f>-42.418-SUM(L171:M171)</f>
        <v>-13.166999999999998</v>
      </c>
      <c r="O171" s="19">
        <f t="shared" si="91"/>
        <v>-17.063000000000002</v>
      </c>
      <c r="P171" s="19">
        <v>-14.831</v>
      </c>
      <c r="Q171" s="19">
        <f>-26.006-P171</f>
        <v>-11.175000000000001</v>
      </c>
      <c r="R171" s="19">
        <f>-43.137-SUM(P171:Q171)</f>
        <v>-17.131</v>
      </c>
      <c r="S171" s="19">
        <f t="shared" si="92"/>
        <v>-17.545999999999999</v>
      </c>
      <c r="T171" s="19">
        <v>-36.179000000000002</v>
      </c>
      <c r="U171" s="19">
        <f>-28.562-T171</f>
        <v>7.6170000000000009</v>
      </c>
      <c r="V171" s="58">
        <f>-46.483-SUM(T171:U171)</f>
        <v>-17.920999999999996</v>
      </c>
      <c r="W171" s="58">
        <f t="shared" si="83"/>
        <v>73.293999999998135</v>
      </c>
      <c r="X171" s="36"/>
      <c r="Y171" s="19">
        <f t="shared" si="93"/>
        <v>-28.394000000000002</v>
      </c>
      <c r="Z171" s="19">
        <f t="shared" si="94"/>
        <v>-62.703000000000003</v>
      </c>
      <c r="AA171" s="19">
        <v>-59.481000000000002</v>
      </c>
      <c r="AB171" s="19">
        <v>-60.683</v>
      </c>
      <c r="AC171" s="19">
        <v>26.810999999998131</v>
      </c>
    </row>
    <row r="172" spans="2:31" outlineLevel="2" x14ac:dyDescent="0.25">
      <c r="B172" s="2" t="s">
        <v>295</v>
      </c>
      <c r="C172" s="20" t="s">
        <v>46</v>
      </c>
      <c r="D172" s="19">
        <v>-9.7989999999999995</v>
      </c>
      <c r="E172" s="19">
        <v>14.522</v>
      </c>
      <c r="F172" s="19">
        <v>-15.999000000000001</v>
      </c>
      <c r="G172" s="19">
        <v>-7.81</v>
      </c>
      <c r="H172" s="19">
        <v>-8.6020000000000003</v>
      </c>
      <c r="I172" s="19">
        <v>49.206000000000003</v>
      </c>
      <c r="J172" s="19">
        <v>-40.807000000000002</v>
      </c>
      <c r="K172" s="19">
        <v>-65.656999999999996</v>
      </c>
      <c r="L172" s="19">
        <v>-27.706</v>
      </c>
      <c r="M172" s="19">
        <f>8.803-L172</f>
        <v>36.509</v>
      </c>
      <c r="N172" s="19">
        <f>23.255-SUM(L172:M172)</f>
        <v>14.451999999999998</v>
      </c>
      <c r="O172" s="19">
        <f t="shared" si="91"/>
        <v>-25.805</v>
      </c>
      <c r="P172" s="19">
        <v>3.7519999999999998</v>
      </c>
      <c r="Q172" s="19">
        <f>-2.513-P172</f>
        <v>-6.2649999999999997</v>
      </c>
      <c r="R172" s="19">
        <f>187.256-SUM(P172:Q172)</f>
        <v>189.76900000000001</v>
      </c>
      <c r="S172" s="19">
        <f t="shared" si="92"/>
        <v>-38.419000000000011</v>
      </c>
      <c r="T172" s="19">
        <v>9.548</v>
      </c>
      <c r="U172" s="19">
        <f>-10.803-T172</f>
        <v>-20.350999999999999</v>
      </c>
      <c r="V172" s="58">
        <f>-116.382-SUM(T172:U172)</f>
        <v>-105.57900000000001</v>
      </c>
      <c r="W172" s="58">
        <f t="shared" si="83"/>
        <v>-14.257000000000005</v>
      </c>
      <c r="X172" s="36"/>
      <c r="Y172" s="19">
        <f t="shared" si="93"/>
        <v>-19.085999999999999</v>
      </c>
      <c r="Z172" s="19">
        <f t="shared" si="94"/>
        <v>-65.86</v>
      </c>
      <c r="AA172" s="19">
        <v>-2.5499999999999998</v>
      </c>
      <c r="AB172" s="19">
        <v>148.83699999999999</v>
      </c>
      <c r="AC172" s="19">
        <v>-130.63900000000001</v>
      </c>
    </row>
    <row r="173" spans="2:31" outlineLevel="2" x14ac:dyDescent="0.25">
      <c r="B173" s="2" t="s">
        <v>264</v>
      </c>
      <c r="C173" s="20" t="s">
        <v>46</v>
      </c>
      <c r="D173" s="19">
        <v>-5.4349999999999996</v>
      </c>
      <c r="E173" s="19">
        <v>-5.7439999999999998</v>
      </c>
      <c r="F173" s="19">
        <v>-26.026</v>
      </c>
      <c r="G173" s="19">
        <v>-6.7960000000000003</v>
      </c>
      <c r="H173" s="19">
        <v>-9.7129999999999992</v>
      </c>
      <c r="I173" s="19">
        <v>-18.606999999999999</v>
      </c>
      <c r="J173" s="19">
        <v>-12.832000000000001</v>
      </c>
      <c r="K173" s="19">
        <v>-11.081</v>
      </c>
      <c r="L173" s="19">
        <v>-10.872999999999999</v>
      </c>
      <c r="M173" s="19">
        <f>-40.383-L173</f>
        <v>-29.510000000000005</v>
      </c>
      <c r="N173" s="19">
        <f>-77.66-SUM(L173:M173)</f>
        <v>-37.276999999999994</v>
      </c>
      <c r="O173" s="19">
        <f t="shared" si="91"/>
        <v>-71.032000000000011</v>
      </c>
      <c r="P173" s="19">
        <v>-43.161000000000001</v>
      </c>
      <c r="Q173" s="19">
        <f>-55.033-P173</f>
        <v>-11.872</v>
      </c>
      <c r="R173" s="19">
        <f>-66.231-SUM(P173:Q173)</f>
        <v>-11.197999999999993</v>
      </c>
      <c r="S173" s="19">
        <f t="shared" si="92"/>
        <v>5.4839999999999947</v>
      </c>
      <c r="T173" s="19">
        <v>-3.5230000000000001</v>
      </c>
      <c r="U173" s="19">
        <f>-6.719-T173</f>
        <v>-3.1960000000000002</v>
      </c>
      <c r="V173" s="58">
        <f>-20.614-SUM(T173:U173)</f>
        <v>-13.895</v>
      </c>
      <c r="W173" s="58">
        <f t="shared" si="83"/>
        <v>-1.5619999999999976</v>
      </c>
      <c r="X173" s="36"/>
      <c r="Y173" s="19">
        <f t="shared" si="93"/>
        <v>-44.000999999999998</v>
      </c>
      <c r="Z173" s="19">
        <f t="shared" si="94"/>
        <v>-52.233000000000004</v>
      </c>
      <c r="AA173" s="19">
        <v>-148.69200000000001</v>
      </c>
      <c r="AB173" s="19">
        <v>-60.747</v>
      </c>
      <c r="AC173" s="19">
        <v>-22.175999999999998</v>
      </c>
    </row>
    <row r="174" spans="2:31" outlineLevel="1" x14ac:dyDescent="0.25">
      <c r="B174" s="3" t="s">
        <v>296</v>
      </c>
      <c r="C174" s="3" t="s">
        <v>46</v>
      </c>
      <c r="D174" s="14">
        <f t="shared" ref="D174:W174" si="95">SUM(D131:D173)</f>
        <v>49.779999999999852</v>
      </c>
      <c r="E174" s="14">
        <f t="shared" si="95"/>
        <v>110.93399999999981</v>
      </c>
      <c r="F174" s="14">
        <f t="shared" si="95"/>
        <v>87.301999999999893</v>
      </c>
      <c r="G174" s="14">
        <f t="shared" si="95"/>
        <v>62.208999999999925</v>
      </c>
      <c r="H174" s="14">
        <f t="shared" si="95"/>
        <v>124.9610000000001</v>
      </c>
      <c r="I174" s="14">
        <f t="shared" si="95"/>
        <v>112.79899999999978</v>
      </c>
      <c r="J174" s="14">
        <f t="shared" si="95"/>
        <v>142.3809999999998</v>
      </c>
      <c r="K174" s="14">
        <f t="shared" si="95"/>
        <v>-1.2050000000000942</v>
      </c>
      <c r="L174" s="14">
        <f t="shared" si="95"/>
        <v>224.13599999999994</v>
      </c>
      <c r="M174" s="14">
        <f t="shared" si="95"/>
        <v>91.444000000000131</v>
      </c>
      <c r="N174" s="14">
        <f t="shared" si="95"/>
        <v>92.563999999999538</v>
      </c>
      <c r="O174" s="14">
        <f t="shared" si="95"/>
        <v>-70.217000000000013</v>
      </c>
      <c r="P174" s="14">
        <f t="shared" si="95"/>
        <v>152.43600000000021</v>
      </c>
      <c r="Q174" s="14">
        <f t="shared" si="95"/>
        <v>349.05300000000005</v>
      </c>
      <c r="R174" s="14">
        <f t="shared" si="95"/>
        <v>475.32199999999989</v>
      </c>
      <c r="S174" s="14">
        <f t="shared" si="95"/>
        <v>2.6939999999999671</v>
      </c>
      <c r="T174" s="14">
        <f t="shared" si="95"/>
        <v>50.965999999999745</v>
      </c>
      <c r="U174" s="14">
        <f t="shared" si="95"/>
        <v>-270.76200000000006</v>
      </c>
      <c r="V174" s="14">
        <f t="shared" si="95"/>
        <v>274.50400000000053</v>
      </c>
      <c r="W174" s="14">
        <f t="shared" si="95"/>
        <v>22.501999999998283</v>
      </c>
      <c r="X174" s="36"/>
      <c r="Y174" s="14">
        <f>SUM(Y131:Y173)</f>
        <v>310.2249999999986</v>
      </c>
      <c r="Z174" s="14">
        <f>SUM(Z131:Z173)</f>
        <v>378.93600000000021</v>
      </c>
      <c r="AA174" s="14">
        <f>SUM(AA131:AA173)</f>
        <v>337.92700000000076</v>
      </c>
      <c r="AB174" s="14">
        <f>SUM(AB131:AB173)</f>
        <v>979.50499999999772</v>
      </c>
      <c r="AC174" s="14">
        <f>SUM(AC131:AC173)</f>
        <v>77.209999999999994</v>
      </c>
      <c r="AE174" s="27"/>
    </row>
    <row r="175" spans="2:31" ht="9.9499999999999993" customHeight="1" outlineLevel="1" x14ac:dyDescent="0.25">
      <c r="B175" s="1"/>
      <c r="X175" s="36"/>
    </row>
    <row r="176" spans="2:31" outlineLevel="2" x14ac:dyDescent="0.25">
      <c r="B176" s="1" t="s">
        <v>58</v>
      </c>
      <c r="C176" s="20" t="s">
        <v>46</v>
      </c>
      <c r="D176" s="19">
        <v>-492.92200000000003</v>
      </c>
      <c r="E176" s="19">
        <v>-722.49199999999996</v>
      </c>
      <c r="F176" s="19">
        <v>-467.07</v>
      </c>
      <c r="G176" s="19">
        <v>-1151.2059999999999</v>
      </c>
      <c r="H176" s="19">
        <v>-1547.4690000000001</v>
      </c>
      <c r="I176" s="19">
        <v>-1299.6980000000001</v>
      </c>
      <c r="J176" s="19">
        <v>-1351.596</v>
      </c>
      <c r="K176" s="19">
        <v>-2877.52</v>
      </c>
      <c r="L176" s="19">
        <v>-2298.1</v>
      </c>
      <c r="M176" s="19">
        <f>-1887.596-L176</f>
        <v>410.50399999999991</v>
      </c>
      <c r="N176" s="19">
        <f>-5922.428-SUM(L176:M176)</f>
        <v>-4034.8319999999999</v>
      </c>
      <c r="O176" s="19">
        <f>AA176-SUM(L176:N176)</f>
        <v>-5762.0509999999995</v>
      </c>
      <c r="P176" s="19">
        <v>-6359.3249999999998</v>
      </c>
      <c r="Q176" s="19">
        <f>-8505.57-P176</f>
        <v>-2146.2449999999999</v>
      </c>
      <c r="R176" s="19">
        <f>-10727.398-SUM(P176:Q176)</f>
        <v>-2221.8279999999995</v>
      </c>
      <c r="S176" s="19">
        <f>AB176-SUM(P176:R176)</f>
        <v>-4314.3610000000008</v>
      </c>
      <c r="T176" s="19">
        <v>-3691.7170000000001</v>
      </c>
      <c r="U176" s="19">
        <f>-8703.107-T176</f>
        <v>-5011.3899999999994</v>
      </c>
      <c r="V176" s="58">
        <f>-10498.231-SUM(T176:U176)</f>
        <v>-1795.1239999999998</v>
      </c>
      <c r="W176" s="58">
        <f t="shared" ref="W176:W180" si="96">AC176-SUM(T176:V176)</f>
        <v>-2576.0650000000005</v>
      </c>
      <c r="X176" s="36"/>
      <c r="Y176" s="19">
        <f>SUM(D176:G176)</f>
        <v>-2833.6899999999996</v>
      </c>
      <c r="Z176" s="19">
        <f>SUM(H176:K176)</f>
        <v>-7076.2830000000013</v>
      </c>
      <c r="AA176" s="19">
        <v>-11684.478999999999</v>
      </c>
      <c r="AB176" s="19">
        <v>-15041.759</v>
      </c>
      <c r="AC176" s="19">
        <v>-13074.296</v>
      </c>
    </row>
    <row r="177" spans="2:29" outlineLevel="2" x14ac:dyDescent="0.25">
      <c r="B177" s="1" t="s">
        <v>297</v>
      </c>
      <c r="C177" s="20" t="s">
        <v>46</v>
      </c>
      <c r="D177" s="19">
        <v>499.61900000000003</v>
      </c>
      <c r="E177" s="19">
        <v>780.29100000000005</v>
      </c>
      <c r="F177" s="19">
        <v>402.28</v>
      </c>
      <c r="G177" s="19">
        <v>602.73500000000001</v>
      </c>
      <c r="H177" s="19">
        <v>1912.1579999999999</v>
      </c>
      <c r="I177" s="19">
        <v>1137.9839999999999</v>
      </c>
      <c r="J177" s="19">
        <v>1275.972</v>
      </c>
      <c r="K177" s="19">
        <v>2884.866</v>
      </c>
      <c r="L177" s="19">
        <v>2349.5360000000001</v>
      </c>
      <c r="M177" s="19">
        <f>2213.632-L177</f>
        <v>-135.904</v>
      </c>
      <c r="N177" s="19">
        <f>5813.494-SUM(L177:M177)</f>
        <v>3599.8619999999996</v>
      </c>
      <c r="O177" s="19">
        <f>AA177-SUM(L177:N177)</f>
        <v>6077.3560000000007</v>
      </c>
      <c r="P177" s="19">
        <v>6466.1880000000001</v>
      </c>
      <c r="Q177" s="19">
        <f>8154.455-P177</f>
        <v>1688.2669999999998</v>
      </c>
      <c r="R177" s="19">
        <f>10438.986-SUM(P177:Q177)</f>
        <v>2284.5310000000009</v>
      </c>
      <c r="S177" s="19">
        <f>AB177-SUM(P177:R177)</f>
        <v>4966.744999999999</v>
      </c>
      <c r="T177" s="19">
        <v>3740.2719999999999</v>
      </c>
      <c r="U177" s="19">
        <f>8112.838-T177</f>
        <v>4372.5659999999998</v>
      </c>
      <c r="V177" s="58">
        <f>10370.911-SUM(T177:U177)</f>
        <v>2258.0730000000003</v>
      </c>
      <c r="W177" s="58">
        <f t="shared" si="96"/>
        <v>2741.0429999999997</v>
      </c>
      <c r="X177" s="36"/>
      <c r="Y177" s="19">
        <f>SUM(D177:G177)</f>
        <v>2284.9250000000002</v>
      </c>
      <c r="Z177" s="19">
        <f>SUM(H177:K177)</f>
        <v>7210.98</v>
      </c>
      <c r="AA177" s="19">
        <v>11890.85</v>
      </c>
      <c r="AB177" s="19">
        <v>15405.731</v>
      </c>
      <c r="AC177" s="19">
        <v>13111.954</v>
      </c>
    </row>
    <row r="178" spans="2:29" outlineLevel="2" x14ac:dyDescent="0.25">
      <c r="B178" s="1" t="s">
        <v>298</v>
      </c>
      <c r="C178" s="20" t="s">
        <v>46</v>
      </c>
      <c r="D178" s="19">
        <v>-32.771000000000001</v>
      </c>
      <c r="E178" s="19">
        <v>-162.077</v>
      </c>
      <c r="F178" s="19">
        <v>-149.90199999999999</v>
      </c>
      <c r="G178" s="19">
        <v>0</v>
      </c>
      <c r="H178" s="19">
        <v>-48.975999999999999</v>
      </c>
      <c r="I178" s="19">
        <v>-16.657</v>
      </c>
      <c r="J178" s="19">
        <v>-0.16900000000000001</v>
      </c>
      <c r="K178" s="19">
        <v>-123.506</v>
      </c>
      <c r="L178" s="19">
        <v>-946.649</v>
      </c>
      <c r="M178" s="19">
        <f>-1215.835-L178</f>
        <v>-269.18600000000004</v>
      </c>
      <c r="N178" s="19">
        <f>-1296.024-SUM(L178:M178)</f>
        <v>-80.188999999999851</v>
      </c>
      <c r="O178" s="19">
        <f>AA178-SUM(L178:N178)</f>
        <v>-229.11900000000014</v>
      </c>
      <c r="P178" s="19">
        <v>-2496.1880000000001</v>
      </c>
      <c r="Q178" s="19">
        <f>-2631.212-P178</f>
        <v>-135.02399999999989</v>
      </c>
      <c r="R178" s="19">
        <f>-2877.029-SUM(P178:Q178)</f>
        <v>-245.81700000000001</v>
      </c>
      <c r="S178" s="19">
        <f>AB178-SUM(P178:R178)</f>
        <v>-48.73700000000008</v>
      </c>
      <c r="T178" s="19">
        <v>-374.51600000000002</v>
      </c>
      <c r="U178" s="19">
        <f>-1391.055-T178</f>
        <v>-1016.539</v>
      </c>
      <c r="V178" s="58">
        <f>-1657.597-5-SUM(T178:U178)</f>
        <v>-271.54199999999992</v>
      </c>
      <c r="W178" s="58">
        <f t="shared" si="96"/>
        <v>-124.12900000000013</v>
      </c>
      <c r="X178" s="36"/>
      <c r="Y178" s="19">
        <f>SUM(D178:G178)</f>
        <v>-344.75</v>
      </c>
      <c r="Z178" s="19">
        <f>SUM(H178:K178)</f>
        <v>-189.30799999999999</v>
      </c>
      <c r="AA178" s="19">
        <v>-1525.143</v>
      </c>
      <c r="AB178" s="19">
        <v>-2925.7660000000001</v>
      </c>
      <c r="AC178" s="19">
        <v>-1786.7260000000001</v>
      </c>
    </row>
    <row r="179" spans="2:29" outlineLevel="2" x14ac:dyDescent="0.25">
      <c r="B179" s="1" t="s">
        <v>299</v>
      </c>
      <c r="C179" s="20" t="s">
        <v>46</v>
      </c>
      <c r="D179" s="19">
        <v>-24.658000000000001</v>
      </c>
      <c r="E179" s="19">
        <v>-23.446999999999999</v>
      </c>
      <c r="F179" s="19">
        <v>-37.255000000000003</v>
      </c>
      <c r="G179" s="19">
        <v>-44.845999999999997</v>
      </c>
      <c r="H179" s="19">
        <v>-33.195</v>
      </c>
      <c r="I179" s="19">
        <v>-62.960999999999999</v>
      </c>
      <c r="J179" s="19">
        <v>-69.481999999999999</v>
      </c>
      <c r="K179" s="19">
        <v>13.003</v>
      </c>
      <c r="L179" s="19">
        <v>-43.686999999999998</v>
      </c>
      <c r="M179" s="19">
        <f>-86.655-L179</f>
        <v>-42.968000000000004</v>
      </c>
      <c r="N179" s="19">
        <f>-130.756-SUM(L179:M179)</f>
        <v>-44.100999999999999</v>
      </c>
      <c r="O179" s="19">
        <f>AA179-SUM(L179:N179)</f>
        <v>-54.681000000000012</v>
      </c>
      <c r="P179" s="19">
        <v>-33.893999999999998</v>
      </c>
      <c r="Q179" s="19">
        <f>-124.69-P179</f>
        <v>-90.795999999999992</v>
      </c>
      <c r="R179" s="19">
        <f>-165.029-SUM(P179:Q179)</f>
        <v>-40.338999999999999</v>
      </c>
      <c r="S179" s="19">
        <f>AB179-SUM(P179:R179)</f>
        <v>-47.903999999999996</v>
      </c>
      <c r="T179" s="19">
        <v>-44.122</v>
      </c>
      <c r="U179" s="19">
        <f>-28.285-T179</f>
        <v>15.837</v>
      </c>
      <c r="V179" s="58">
        <f>-267.602-SUM(T179:U179)</f>
        <v>-239.31699999999998</v>
      </c>
      <c r="W179" s="58">
        <f t="shared" si="96"/>
        <v>29.681999999999988</v>
      </c>
      <c r="X179" s="36"/>
      <c r="Y179" s="19">
        <f>SUM(D179:G179)</f>
        <v>-130.20600000000002</v>
      </c>
      <c r="Z179" s="19">
        <f>SUM(H179:K179)</f>
        <v>-152.63499999999999</v>
      </c>
      <c r="AA179" s="19">
        <v>-185.43700000000001</v>
      </c>
      <c r="AB179" s="19">
        <v>-212.93299999999999</v>
      </c>
      <c r="AC179" s="19">
        <f>(-5000-(232920))/1000</f>
        <v>-237.92</v>
      </c>
    </row>
    <row r="180" spans="2:29" outlineLevel="2" x14ac:dyDescent="0.25">
      <c r="B180" s="1" t="s">
        <v>75</v>
      </c>
      <c r="C180" s="20" t="s">
        <v>46</v>
      </c>
      <c r="D180" s="19">
        <v>-4.2750000000000004</v>
      </c>
      <c r="E180" s="19">
        <v>0.873</v>
      </c>
      <c r="F180" s="19">
        <v>-4.6449999999999996</v>
      </c>
      <c r="G180" s="19">
        <v>-14.986000000000001</v>
      </c>
      <c r="H180" s="19">
        <v>-1.9E-2</v>
      </c>
      <c r="I180" s="19">
        <v>0.67200000000000004</v>
      </c>
      <c r="J180" s="19">
        <v>-6.976</v>
      </c>
      <c r="K180" s="19">
        <v>5.0590000000000002</v>
      </c>
      <c r="L180" s="19">
        <v>-1.35</v>
      </c>
      <c r="M180" s="19">
        <f>-4.67-L180</f>
        <v>-3.32</v>
      </c>
      <c r="N180" s="19">
        <f>-0.851-SUM(L180:M180)</f>
        <v>3.819</v>
      </c>
      <c r="O180" s="19">
        <f>AA180-SUM(L180:N180)</f>
        <v>-0.52300000000000013</v>
      </c>
      <c r="P180" s="19">
        <v>-2.6629999999999998</v>
      </c>
      <c r="Q180" s="19">
        <f>-0.013-P180</f>
        <v>2.65</v>
      </c>
      <c r="R180" s="19">
        <f>-1.817-SUM(P180:Q180)</f>
        <v>-1.804</v>
      </c>
      <c r="S180" s="19">
        <f>AB180-SUM(P180:R180)</f>
        <v>-0.46699999999999986</v>
      </c>
      <c r="T180" s="19">
        <v>0</v>
      </c>
      <c r="U180" s="19">
        <v>-0.70699999999999996</v>
      </c>
      <c r="V180" s="58">
        <f>-1.366-SUM(T180:U180)</f>
        <v>-0.65900000000000014</v>
      </c>
      <c r="W180" s="58">
        <f t="shared" si="96"/>
        <v>-2.0419999999999998</v>
      </c>
      <c r="X180" s="36"/>
      <c r="Y180" s="19">
        <f>SUM(D180:G180)</f>
        <v>-23.033000000000001</v>
      </c>
      <c r="Z180" s="19">
        <f>SUM(H180:K180)</f>
        <v>-1.2640000000000002</v>
      </c>
      <c r="AA180" s="19">
        <v>-1.3740000000000001</v>
      </c>
      <c r="AB180" s="19">
        <v>-2.2839999999999998</v>
      </c>
      <c r="AC180" s="19">
        <v>-3.4079999999999999</v>
      </c>
    </row>
    <row r="181" spans="2:29" outlineLevel="1" x14ac:dyDescent="0.25">
      <c r="B181" s="3" t="s">
        <v>300</v>
      </c>
      <c r="C181" s="13" t="s">
        <v>46</v>
      </c>
      <c r="D181" s="14">
        <f t="shared" ref="D181:W181" si="97">SUM(D176:D180)</f>
        <v>-55.006999999999998</v>
      </c>
      <c r="E181" s="14">
        <f t="shared" si="97"/>
        <v>-126.8519999999999</v>
      </c>
      <c r="F181" s="14">
        <f t="shared" si="97"/>
        <v>-256.59199999999998</v>
      </c>
      <c r="G181" s="14">
        <f t="shared" si="97"/>
        <v>-608.30299999999988</v>
      </c>
      <c r="H181" s="14">
        <f t="shared" si="97"/>
        <v>282.49899999999985</v>
      </c>
      <c r="I181" s="14">
        <f t="shared" si="97"/>
        <v>-240.66000000000017</v>
      </c>
      <c r="J181" s="14">
        <f t="shared" si="97"/>
        <v>-152.25100000000003</v>
      </c>
      <c r="K181" s="14">
        <f t="shared" si="97"/>
        <v>-98.097999999999999</v>
      </c>
      <c r="L181" s="14">
        <f t="shared" si="97"/>
        <v>-940.24999999999989</v>
      </c>
      <c r="M181" s="14">
        <f t="shared" si="97"/>
        <v>-40.87400000000013</v>
      </c>
      <c r="N181" s="14">
        <f t="shared" si="97"/>
        <v>-555.44100000000014</v>
      </c>
      <c r="O181" s="14">
        <f t="shared" si="97"/>
        <v>30.982000000001047</v>
      </c>
      <c r="P181" s="14">
        <f t="shared" si="97"/>
        <v>-2425.8819999999996</v>
      </c>
      <c r="Q181" s="14">
        <f t="shared" si="97"/>
        <v>-681.14800000000002</v>
      </c>
      <c r="R181" s="14">
        <f t="shared" si="97"/>
        <v>-225.25699999999867</v>
      </c>
      <c r="S181" s="14">
        <f t="shared" si="97"/>
        <v>555.27599999999813</v>
      </c>
      <c r="T181" s="14">
        <f t="shared" si="97"/>
        <v>-370.0830000000002</v>
      </c>
      <c r="U181" s="14">
        <f t="shared" si="97"/>
        <v>-1640.2329999999997</v>
      </c>
      <c r="V181" s="14">
        <f t="shared" si="97"/>
        <v>-48.56899999999937</v>
      </c>
      <c r="W181" s="14">
        <f t="shared" si="97"/>
        <v>68.48899999999901</v>
      </c>
      <c r="X181" s="36"/>
      <c r="Y181" s="14">
        <f t="shared" ref="Y181:AC181" si="98">SUM(Y176:Y180)</f>
        <v>-1046.7539999999995</v>
      </c>
      <c r="Z181" s="14">
        <f t="shared" si="98"/>
        <v>-208.5100000000017</v>
      </c>
      <c r="AA181" s="14">
        <f t="shared" si="98"/>
        <v>-1505.5829999999989</v>
      </c>
      <c r="AB181" s="14">
        <f t="shared" si="98"/>
        <v>-2777.0110000000004</v>
      </c>
      <c r="AC181" s="14">
        <f t="shared" si="98"/>
        <v>-1990.3960000000006</v>
      </c>
    </row>
    <row r="182" spans="2:29" ht="9.9499999999999993" customHeight="1" outlineLevel="1" x14ac:dyDescent="0.25">
      <c r="B182" s="1"/>
      <c r="X182" s="36"/>
    </row>
    <row r="183" spans="2:29" outlineLevel="2" x14ac:dyDescent="0.25">
      <c r="B183" s="1" t="s">
        <v>303</v>
      </c>
      <c r="C183" s="20" t="s">
        <v>46</v>
      </c>
      <c r="D183" s="19">
        <v>0.55100000000000005</v>
      </c>
      <c r="E183" s="19">
        <v>0</v>
      </c>
      <c r="F183" s="19">
        <v>0</v>
      </c>
      <c r="G183" s="19">
        <v>1E-3</v>
      </c>
      <c r="H183" s="19">
        <v>0</v>
      </c>
      <c r="I183" s="19">
        <v>331.48899999999998</v>
      </c>
      <c r="J183" s="19">
        <v>2E-3</v>
      </c>
      <c r="K183" s="19">
        <v>304.976</v>
      </c>
      <c r="L183" s="19">
        <v>0</v>
      </c>
      <c r="M183" s="19">
        <v>0</v>
      </c>
      <c r="N183" s="19">
        <f t="shared" ref="N183:N190" si="99">-SUM(L183:M183)</f>
        <v>0</v>
      </c>
      <c r="O183" s="19">
        <f t="shared" ref="O183:O190" si="100">AA183-SUM(L183:N183)</f>
        <v>3663.0819999999999</v>
      </c>
      <c r="P183" s="19">
        <v>0</v>
      </c>
      <c r="Q183" s="19">
        <v>0.22500000000000001</v>
      </c>
      <c r="R183" s="19">
        <f>78.727-SUM(P183:Q183)</f>
        <v>78.50200000000001</v>
      </c>
      <c r="S183" s="19">
        <f t="shared" ref="S183:S190" si="101">AB183-SUM(P183:R183)</f>
        <v>41.718999999999994</v>
      </c>
      <c r="T183" s="19">
        <v>0</v>
      </c>
      <c r="U183" s="19">
        <v>162.15600000000001</v>
      </c>
      <c r="V183" s="58">
        <f>162.156-SUM(T183:U183)</f>
        <v>0</v>
      </c>
      <c r="W183" s="58">
        <f t="shared" ref="W183:W190" si="102">AC183-SUM(T183:V183)</f>
        <v>0</v>
      </c>
      <c r="X183" s="36"/>
      <c r="Y183" s="19">
        <f t="shared" ref="Y183:Y188" si="103">SUM(D183:G183)</f>
        <v>0.55200000000000005</v>
      </c>
      <c r="Z183" s="19">
        <f t="shared" ref="Z183:Z188" si="104">SUM(H183:K183)</f>
        <v>636.46699999999998</v>
      </c>
      <c r="AA183" s="19">
        <f>3760.083-97.001</f>
        <v>3663.0819999999999</v>
      </c>
      <c r="AB183" s="19">
        <v>120.446</v>
      </c>
      <c r="AC183" s="19">
        <v>162.15600000000001</v>
      </c>
    </row>
    <row r="184" spans="2:29" outlineLevel="2" x14ac:dyDescent="0.25">
      <c r="B184" s="1" t="s">
        <v>304</v>
      </c>
      <c r="C184" s="20" t="s">
        <v>46</v>
      </c>
      <c r="D184" s="19">
        <v>0</v>
      </c>
      <c r="E184" s="19">
        <v>0</v>
      </c>
      <c r="F184" s="19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  <c r="M184" s="19">
        <v>-79.341999999999999</v>
      </c>
      <c r="N184" s="19">
        <f>-79.342-SUM(L184:M184)</f>
        <v>0</v>
      </c>
      <c r="O184" s="19">
        <f t="shared" si="100"/>
        <v>0</v>
      </c>
      <c r="P184" s="19">
        <v>0</v>
      </c>
      <c r="Q184" s="19">
        <v>0</v>
      </c>
      <c r="R184" s="19">
        <f>-100.569-SUM(P184:Q184)</f>
        <v>-100.569</v>
      </c>
      <c r="S184" s="19">
        <f t="shared" si="101"/>
        <v>0</v>
      </c>
      <c r="T184" s="19">
        <v>0</v>
      </c>
      <c r="U184" s="19"/>
      <c r="V184" s="58">
        <f>-173.392-SUM(T184:U184)</f>
        <v>-173.392</v>
      </c>
      <c r="W184" s="58">
        <f t="shared" si="102"/>
        <v>0</v>
      </c>
      <c r="X184" s="36"/>
      <c r="Y184" s="19">
        <f t="shared" si="103"/>
        <v>0</v>
      </c>
      <c r="Z184" s="19">
        <f t="shared" si="104"/>
        <v>0</v>
      </c>
      <c r="AA184" s="19">
        <v>-79.341999999999999</v>
      </c>
      <c r="AB184" s="19">
        <v>-100.569</v>
      </c>
      <c r="AC184" s="19">
        <v>-173.392</v>
      </c>
    </row>
    <row r="185" spans="2:29" outlineLevel="2" x14ac:dyDescent="0.25">
      <c r="B185" s="1" t="s">
        <v>307</v>
      </c>
      <c r="C185" s="20" t="s">
        <v>46</v>
      </c>
      <c r="D185" s="19">
        <v>0</v>
      </c>
      <c r="E185" s="19">
        <v>0</v>
      </c>
      <c r="F185" s="19">
        <v>0</v>
      </c>
      <c r="G185" s="19">
        <v>299.00400000000002</v>
      </c>
      <c r="H185" s="19">
        <v>348.65600000000001</v>
      </c>
      <c r="I185" s="19">
        <v>0</v>
      </c>
      <c r="J185" s="19">
        <v>1E-3</v>
      </c>
      <c r="K185" s="19">
        <v>0</v>
      </c>
      <c r="L185" s="19">
        <v>887.16499999999996</v>
      </c>
      <c r="M185" s="19">
        <v>0</v>
      </c>
      <c r="N185" s="19">
        <f>1682.72-SUM(L185:M185)</f>
        <v>795.55500000000006</v>
      </c>
      <c r="O185" s="19">
        <f t="shared" si="100"/>
        <v>0</v>
      </c>
      <c r="P185" s="19">
        <v>0</v>
      </c>
      <c r="Q185" s="19">
        <v>0</v>
      </c>
      <c r="R185" s="19">
        <f>750-SUM(P185:Q185)</f>
        <v>750</v>
      </c>
      <c r="S185" s="19">
        <f t="shared" si="101"/>
        <v>687.96299999999997</v>
      </c>
      <c r="T185" s="19">
        <v>0</v>
      </c>
      <c r="U185" s="19"/>
      <c r="V185" s="58">
        <f>0-SUM(T185:U185)</f>
        <v>0</v>
      </c>
      <c r="W185" s="58">
        <f t="shared" si="102"/>
        <v>1193.3589999999999</v>
      </c>
      <c r="X185" s="36"/>
      <c r="Y185" s="19">
        <f t="shared" si="103"/>
        <v>299.00400000000002</v>
      </c>
      <c r="Z185" s="19">
        <f t="shared" si="104"/>
        <v>348.65699999999998</v>
      </c>
      <c r="AA185" s="19">
        <v>1682.72</v>
      </c>
      <c r="AB185" s="19">
        <v>1437.963</v>
      </c>
      <c r="AC185" s="19">
        <v>1193.3589999999999</v>
      </c>
    </row>
    <row r="186" spans="2:29" outlineLevel="2" x14ac:dyDescent="0.25">
      <c r="B186" s="1" t="s">
        <v>305</v>
      </c>
      <c r="C186" s="20" t="s">
        <v>46</v>
      </c>
      <c r="D186" s="19">
        <v>0</v>
      </c>
      <c r="E186" s="19">
        <v>-120.374</v>
      </c>
      <c r="F186" s="19">
        <v>0</v>
      </c>
      <c r="G186" s="19">
        <v>-63.012999999999998</v>
      </c>
      <c r="H186" s="19">
        <f>-546.19-19.041</f>
        <v>-565.23100000000011</v>
      </c>
      <c r="I186" s="19">
        <v>-11.214</v>
      </c>
      <c r="J186" s="19">
        <v>-12.954000000000001</v>
      </c>
      <c r="K186" s="19">
        <v>-12.066000000000001</v>
      </c>
      <c r="L186" s="19">
        <f>-12.908-60</f>
        <v>-72.908000000000001</v>
      </c>
      <c r="M186" s="19">
        <v>-11.805999999999997</v>
      </c>
      <c r="N186" s="19">
        <f>-64.84-120-SUM(L186:M186)</f>
        <v>-100.126</v>
      </c>
      <c r="O186" s="19">
        <f t="shared" si="100"/>
        <v>-360.774</v>
      </c>
      <c r="P186" s="19">
        <f>-960-64.253</f>
        <v>-1024.2529999999999</v>
      </c>
      <c r="Q186" s="19">
        <f>-960-64.255-P186</f>
        <v>-2.00000000018008E-3</v>
      </c>
      <c r="R186" s="19">
        <f>-1106.247-SUM(P186:Q186)</f>
        <v>-81.991999999999962</v>
      </c>
      <c r="S186" s="19">
        <f t="shared" si="101"/>
        <v>0</v>
      </c>
      <c r="T186" s="19">
        <f>-31.279-60</f>
        <v>-91.278999999999996</v>
      </c>
      <c r="U186" s="19">
        <f>-45.675-60-T186</f>
        <v>-14.396000000000001</v>
      </c>
      <c r="V186" s="58">
        <f>-60-88.815-SUM(T186:U186)</f>
        <v>-43.14</v>
      </c>
      <c r="W186" s="58">
        <f t="shared" si="102"/>
        <v>-26.106999999999999</v>
      </c>
      <c r="X186" s="36"/>
      <c r="Y186" s="19">
        <f t="shared" si="103"/>
        <v>-183.387</v>
      </c>
      <c r="Z186" s="19">
        <f t="shared" si="104"/>
        <v>-601.46500000000015</v>
      </c>
      <c r="AA186" s="19">
        <f>-470-75.614</f>
        <v>-545.61400000000003</v>
      </c>
      <c r="AB186" s="19">
        <f>-86.247-1020</f>
        <v>-1106.2470000000001</v>
      </c>
      <c r="AC186" s="19">
        <v>-174.922</v>
      </c>
    </row>
    <row r="187" spans="2:29" outlineLevel="2" x14ac:dyDescent="0.25">
      <c r="B187" s="1" t="s">
        <v>308</v>
      </c>
      <c r="C187" s="20" t="s">
        <v>46</v>
      </c>
      <c r="D187" s="19">
        <v>0</v>
      </c>
      <c r="E187" s="19">
        <v>150</v>
      </c>
      <c r="F187" s="19">
        <v>150</v>
      </c>
      <c r="G187" s="19">
        <v>331.83800000000002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0</v>
      </c>
      <c r="N187" s="19">
        <f t="shared" si="99"/>
        <v>0</v>
      </c>
      <c r="O187" s="19">
        <f t="shared" si="100"/>
        <v>29.850999999999999</v>
      </c>
      <c r="P187" s="19">
        <v>360</v>
      </c>
      <c r="Q187" s="19">
        <f>880-P187</f>
        <v>520</v>
      </c>
      <c r="R187" s="19">
        <f>1174.419-SUM(P187:Q187)</f>
        <v>294.4190000000001</v>
      </c>
      <c r="S187" s="19">
        <f t="shared" si="101"/>
        <v>-0.24000000000000909</v>
      </c>
      <c r="T187" s="19">
        <v>0</v>
      </c>
      <c r="U187" s="19">
        <v>303.99</v>
      </c>
      <c r="V187" s="58">
        <f>508.909-SUM(T187:U187)</f>
        <v>204.91899999999998</v>
      </c>
      <c r="W187" s="58">
        <f t="shared" si="102"/>
        <v>-0.17599999999998772</v>
      </c>
      <c r="X187" s="36"/>
      <c r="Y187" s="19">
        <f t="shared" si="103"/>
        <v>631.83799999999997</v>
      </c>
      <c r="Z187" s="19">
        <f t="shared" si="104"/>
        <v>0</v>
      </c>
      <c r="AA187" s="19">
        <v>29.850999999999999</v>
      </c>
      <c r="AB187" s="19">
        <v>1174.1790000000001</v>
      </c>
      <c r="AC187" s="19">
        <v>508.733</v>
      </c>
    </row>
    <row r="188" spans="2:29" outlineLevel="2" x14ac:dyDescent="0.25">
      <c r="B188" s="1" t="s">
        <v>410</v>
      </c>
      <c r="C188" s="20" t="s">
        <v>46</v>
      </c>
      <c r="D188" s="19">
        <v>-0.38300000000000001</v>
      </c>
      <c r="E188" s="19">
        <v>-0.95899999999999996</v>
      </c>
      <c r="F188" s="19">
        <v>-1.2090000000000001</v>
      </c>
      <c r="G188" s="19">
        <v>-8.9090000000000007</v>
      </c>
      <c r="H188" s="19">
        <v>-183.13800000000001</v>
      </c>
      <c r="I188" s="19">
        <v>-164.721</v>
      </c>
      <c r="J188" s="19">
        <v>-5.9610000000000003</v>
      </c>
      <c r="K188" s="19">
        <v>-91.251000000000005</v>
      </c>
      <c r="L188" s="19">
        <f>-21.214-5.769</f>
        <v>-26.982999999999997</v>
      </c>
      <c r="M188" s="19">
        <v>-73.406000000000006</v>
      </c>
      <c r="N188" s="19">
        <f>-94.942-14.257-SUM(L188:M188)</f>
        <v>-8.8099999999999881</v>
      </c>
      <c r="O188" s="19">
        <f t="shared" si="100"/>
        <v>-27.658000000000001</v>
      </c>
      <c r="P188" s="19">
        <f>-74.992-4.895</f>
        <v>-79.887</v>
      </c>
      <c r="Q188" s="19">
        <f>-150.38-6.338-P188</f>
        <v>-76.830999999999989</v>
      </c>
      <c r="R188" s="19">
        <f>-256.261-SUM(P188:Q188)</f>
        <v>-99.543000000000035</v>
      </c>
      <c r="S188" s="19">
        <f t="shared" si="101"/>
        <v>-93.012</v>
      </c>
      <c r="T188" s="19">
        <f>-115.208-6.7</f>
        <v>-121.908</v>
      </c>
      <c r="U188" s="19">
        <f>-137.19-23.158-T188</f>
        <v>-38.440000000000012</v>
      </c>
      <c r="V188" s="58">
        <f>-34.182-288.975-SUM(T188:U188)</f>
        <v>-162.80900000000003</v>
      </c>
      <c r="W188" s="58">
        <f t="shared" si="102"/>
        <v>-53.72199999999998</v>
      </c>
      <c r="X188" s="36"/>
      <c r="Y188" s="19">
        <f t="shared" si="103"/>
        <v>-11.46</v>
      </c>
      <c r="Z188" s="19">
        <f t="shared" si="104"/>
        <v>-445.07100000000003</v>
      </c>
      <c r="AA188" s="19">
        <f>-122.6-14.257</f>
        <v>-136.857</v>
      </c>
      <c r="AB188" s="19">
        <f>-324.826-24.447</f>
        <v>-349.27300000000002</v>
      </c>
      <c r="AC188" s="19">
        <v>-376.87900000000002</v>
      </c>
    </row>
    <row r="189" spans="2:29" outlineLevel="2" x14ac:dyDescent="0.25">
      <c r="B189" s="1" t="s">
        <v>419</v>
      </c>
      <c r="C189" s="20" t="s">
        <v>46</v>
      </c>
      <c r="D189" s="19">
        <v>0</v>
      </c>
      <c r="E189" s="19">
        <v>0</v>
      </c>
      <c r="F189" s="19">
        <v>0</v>
      </c>
      <c r="G189" s="19">
        <v>0</v>
      </c>
      <c r="H189" s="19">
        <v>0</v>
      </c>
      <c r="I189" s="19">
        <v>0</v>
      </c>
      <c r="J189" s="19">
        <v>0</v>
      </c>
      <c r="K189" s="19">
        <v>0</v>
      </c>
      <c r="L189" s="19">
        <f>-6.904-9.907</f>
        <v>-16.811</v>
      </c>
      <c r="M189" s="19">
        <v>-13.484999999999999</v>
      </c>
      <c r="N189" s="19">
        <f>-20.493-26.245-SUM(L189:M189)</f>
        <v>-16.442</v>
      </c>
      <c r="O189" s="19">
        <f t="shared" si="100"/>
        <v>-21.841000000000008</v>
      </c>
      <c r="P189" s="19">
        <f>-9.21-11.192</f>
        <v>-20.402000000000001</v>
      </c>
      <c r="Q189" s="19">
        <f>-18.282-22.732-P189</f>
        <v>-20.611999999999995</v>
      </c>
      <c r="R189" s="19">
        <f>-63.056-SUM(P189:Q189)</f>
        <v>-22.042000000000002</v>
      </c>
      <c r="S189" s="19">
        <f t="shared" si="101"/>
        <v>-21.503</v>
      </c>
      <c r="T189" s="19">
        <f>-11.809-12.337</f>
        <v>-24.146000000000001</v>
      </c>
      <c r="U189" s="19">
        <f>-53.918-T189</f>
        <v>-29.771999999999998</v>
      </c>
      <c r="V189" s="58">
        <f>-84.601-SUM(T189:U189)</f>
        <v>-30.683</v>
      </c>
      <c r="W189" s="58">
        <f t="shared" si="102"/>
        <v>-37.183999999999997</v>
      </c>
      <c r="X189" s="36"/>
      <c r="Y189" s="19">
        <v>0</v>
      </c>
      <c r="Z189" s="19">
        <v>0</v>
      </c>
      <c r="AA189" s="19">
        <f>-29.957-38.622</f>
        <v>-68.579000000000008</v>
      </c>
      <c r="AB189" s="19">
        <f>-40.6-43.959</f>
        <v>-84.558999999999997</v>
      </c>
      <c r="AC189" s="19">
        <v>-121.785</v>
      </c>
    </row>
    <row r="190" spans="2:29" outlineLevel="2" x14ac:dyDescent="0.25">
      <c r="B190" s="1" t="s">
        <v>306</v>
      </c>
      <c r="C190" s="20" t="s">
        <v>46</v>
      </c>
      <c r="D190" s="19">
        <v>-0.47599999999999998</v>
      </c>
      <c r="E190" s="19">
        <v>0</v>
      </c>
      <c r="F190" s="19">
        <v>-2.38</v>
      </c>
      <c r="G190" s="19">
        <v>-1E-3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  <c r="M190" s="19">
        <v>0</v>
      </c>
      <c r="N190" s="19">
        <f t="shared" si="99"/>
        <v>0</v>
      </c>
      <c r="O190" s="19">
        <f t="shared" si="100"/>
        <v>0</v>
      </c>
      <c r="P190" s="19">
        <v>-245.12200000000001</v>
      </c>
      <c r="Q190" s="19">
        <f>-245.122-P190</f>
        <v>0</v>
      </c>
      <c r="R190" s="19">
        <f>-245.122-SUM(P190:Q190)</f>
        <v>0</v>
      </c>
      <c r="S190" s="19">
        <f t="shared" si="101"/>
        <v>0</v>
      </c>
      <c r="T190" s="19">
        <v>0</v>
      </c>
      <c r="U190" s="19">
        <v>0</v>
      </c>
      <c r="V190" s="58">
        <f>0-SUM(T190:U190)</f>
        <v>0</v>
      </c>
      <c r="W190" s="58">
        <f t="shared" si="102"/>
        <v>0</v>
      </c>
      <c r="X190" s="36"/>
      <c r="Y190" s="19">
        <f>SUM(D190:G190)</f>
        <v>-2.8569999999999998</v>
      </c>
      <c r="Z190" s="19">
        <f>SUM(H190:K190)</f>
        <v>0</v>
      </c>
      <c r="AA190" s="19">
        <v>0</v>
      </c>
      <c r="AB190" s="19">
        <v>-245.12200000000001</v>
      </c>
      <c r="AC190" s="19">
        <v>0</v>
      </c>
    </row>
    <row r="191" spans="2:29" outlineLevel="1" x14ac:dyDescent="0.25">
      <c r="B191" s="3" t="s">
        <v>301</v>
      </c>
      <c r="C191" s="13" t="s">
        <v>46</v>
      </c>
      <c r="D191" s="14">
        <f t="shared" ref="D191:W191" si="105">SUM(D183:D190)</f>
        <v>-0.30799999999999994</v>
      </c>
      <c r="E191" s="14">
        <f t="shared" si="105"/>
        <v>28.667000000000005</v>
      </c>
      <c r="F191" s="14">
        <f t="shared" si="105"/>
        <v>146.411</v>
      </c>
      <c r="G191" s="14">
        <f t="shared" si="105"/>
        <v>558.92000000000007</v>
      </c>
      <c r="H191" s="14">
        <f t="shared" si="105"/>
        <v>-399.71300000000008</v>
      </c>
      <c r="I191" s="14">
        <f t="shared" si="105"/>
        <v>155.55399999999997</v>
      </c>
      <c r="J191" s="14">
        <f t="shared" si="105"/>
        <v>-18.911999999999999</v>
      </c>
      <c r="K191" s="14">
        <f t="shared" si="105"/>
        <v>201.65900000000002</v>
      </c>
      <c r="L191" s="14">
        <f t="shared" si="105"/>
        <v>770.46299999999997</v>
      </c>
      <c r="M191" s="14">
        <f t="shared" si="105"/>
        <v>-178.03899999999999</v>
      </c>
      <c r="N191" s="14">
        <f t="shared" si="105"/>
        <v>670.17700000000013</v>
      </c>
      <c r="O191" s="14">
        <f t="shared" si="105"/>
        <v>3282.6600000000003</v>
      </c>
      <c r="P191" s="14">
        <f t="shared" si="105"/>
        <v>-1009.664</v>
      </c>
      <c r="Q191" s="14">
        <f t="shared" si="105"/>
        <v>422.77999999999986</v>
      </c>
      <c r="R191" s="14">
        <f t="shared" si="105"/>
        <v>818.77500000000009</v>
      </c>
      <c r="S191" s="14">
        <f t="shared" si="105"/>
        <v>614.92700000000002</v>
      </c>
      <c r="T191" s="14">
        <f t="shared" si="105"/>
        <v>-237.33300000000003</v>
      </c>
      <c r="U191" s="14">
        <f t="shared" si="105"/>
        <v>383.53800000000001</v>
      </c>
      <c r="V191" s="14">
        <f t="shared" si="105"/>
        <v>-205.10500000000002</v>
      </c>
      <c r="W191" s="14">
        <f t="shared" si="105"/>
        <v>1076.17</v>
      </c>
      <c r="X191" s="36"/>
      <c r="Y191" s="14">
        <f>SUM(Y183:Y190)</f>
        <v>733.69</v>
      </c>
      <c r="Z191" s="14">
        <f>SUM(Z183:Z190)</f>
        <v>-61.412000000000148</v>
      </c>
      <c r="AA191" s="14">
        <f>SUM(AA183:AA190)</f>
        <v>4545.2609999999995</v>
      </c>
      <c r="AB191" s="14">
        <f>SUM(AB183:AB190)</f>
        <v>846.81799999999976</v>
      </c>
      <c r="AC191" s="14">
        <f>SUM(AC183:AC190)</f>
        <v>1017.2699999999999</v>
      </c>
    </row>
    <row r="192" spans="2:29" outlineLevel="1" x14ac:dyDescent="0.25">
      <c r="B192" s="3" t="s">
        <v>302</v>
      </c>
      <c r="C192" s="13" t="s">
        <v>46</v>
      </c>
      <c r="D192" s="14">
        <f t="shared" ref="D192:W192" si="106">+D191+D181+D174</f>
        <v>-5.5350000000001458</v>
      </c>
      <c r="E192" s="14">
        <f t="shared" si="106"/>
        <v>12.74899999999991</v>
      </c>
      <c r="F192" s="14">
        <f t="shared" si="106"/>
        <v>-22.87900000000009</v>
      </c>
      <c r="G192" s="14">
        <f t="shared" si="106"/>
        <v>12.826000000000114</v>
      </c>
      <c r="H192" s="14">
        <f t="shared" si="106"/>
        <v>7.746999999999872</v>
      </c>
      <c r="I192" s="14">
        <f t="shared" si="106"/>
        <v>27.692999999999586</v>
      </c>
      <c r="J192" s="14">
        <f t="shared" si="106"/>
        <v>-28.782000000000238</v>
      </c>
      <c r="K192" s="14">
        <f t="shared" si="106"/>
        <v>102.35599999999992</v>
      </c>
      <c r="L192" s="14">
        <f t="shared" si="106"/>
        <v>54.349000000000018</v>
      </c>
      <c r="M192" s="14">
        <f t="shared" si="106"/>
        <v>-127.46899999999999</v>
      </c>
      <c r="N192" s="14">
        <f t="shared" si="106"/>
        <v>207.29999999999953</v>
      </c>
      <c r="O192" s="14">
        <f t="shared" si="106"/>
        <v>3243.4250000000011</v>
      </c>
      <c r="P192" s="14">
        <f t="shared" si="106"/>
        <v>-3283.1099999999992</v>
      </c>
      <c r="Q192" s="14">
        <f t="shared" si="106"/>
        <v>90.684999999999889</v>
      </c>
      <c r="R192" s="14">
        <f t="shared" si="106"/>
        <v>1068.8400000000013</v>
      </c>
      <c r="S192" s="14">
        <f t="shared" si="106"/>
        <v>1172.8969999999981</v>
      </c>
      <c r="T192" s="14">
        <f t="shared" si="106"/>
        <v>-556.45000000000039</v>
      </c>
      <c r="U192" s="14">
        <f t="shared" si="106"/>
        <v>-1527.4569999999999</v>
      </c>
      <c r="V192" s="14">
        <f t="shared" si="106"/>
        <v>20.830000000001149</v>
      </c>
      <c r="W192" s="14">
        <f t="shared" si="106"/>
        <v>1167.1609999999976</v>
      </c>
      <c r="X192" s="36"/>
      <c r="Y192" s="14">
        <f>+Y191+Y181+Y174</f>
        <v>-2.8390000000007944</v>
      </c>
      <c r="Z192" s="14">
        <f>+Z191+Z181+Z174</f>
        <v>109.01399999999836</v>
      </c>
      <c r="AA192" s="14">
        <f>+AA191+AA181+AA174</f>
        <v>3377.6050000000014</v>
      </c>
      <c r="AB192" s="14">
        <f>+AB191+AB181+AB174</f>
        <v>-950.68800000000294</v>
      </c>
      <c r="AC192" s="14">
        <f>+AC191+AC181+AC174</f>
        <v>-895.91600000000074</v>
      </c>
    </row>
    <row r="193" spans="2:29" ht="9.9499999999999993" customHeight="1" outlineLevel="1" x14ac:dyDescent="0.25">
      <c r="B193" s="1"/>
      <c r="X193" s="36"/>
    </row>
    <row r="194" spans="2:29" outlineLevel="1" x14ac:dyDescent="0.25">
      <c r="B194" s="1" t="s">
        <v>309</v>
      </c>
      <c r="C194" s="20" t="s">
        <v>46</v>
      </c>
      <c r="D194" s="19">
        <v>30.651</v>
      </c>
      <c r="E194" s="28">
        <f t="shared" ref="E194:W194" si="107">D79</f>
        <v>25.116</v>
      </c>
      <c r="F194" s="28">
        <f t="shared" si="107"/>
        <v>37.863999999999997</v>
      </c>
      <c r="G194" s="28">
        <f t="shared" si="107"/>
        <v>23.271999999999998</v>
      </c>
      <c r="H194" s="28">
        <f t="shared" si="107"/>
        <v>27.821999999999999</v>
      </c>
      <c r="I194" s="28">
        <f t="shared" si="107"/>
        <v>35.569000000000003</v>
      </c>
      <c r="J194" s="28">
        <f t="shared" si="107"/>
        <v>63.26</v>
      </c>
      <c r="K194" s="28">
        <f t="shared" si="107"/>
        <v>34.478999999999999</v>
      </c>
      <c r="L194" s="28">
        <f t="shared" si="107"/>
        <v>136.834</v>
      </c>
      <c r="M194" s="28">
        <f t="shared" si="107"/>
        <v>191.18299999999999</v>
      </c>
      <c r="N194" s="28">
        <f t="shared" si="107"/>
        <v>63.713999999999999</v>
      </c>
      <c r="O194" s="28">
        <f t="shared" si="107"/>
        <v>271.01400000000001</v>
      </c>
      <c r="P194" s="28">
        <f t="shared" si="107"/>
        <v>3514.4389999999999</v>
      </c>
      <c r="Q194" s="28">
        <f t="shared" si="107"/>
        <v>231.34</v>
      </c>
      <c r="R194" s="28">
        <f t="shared" si="107"/>
        <v>322.01400000000001</v>
      </c>
      <c r="S194" s="28">
        <f t="shared" si="107"/>
        <v>1390.854</v>
      </c>
      <c r="T194" s="28">
        <f t="shared" si="107"/>
        <v>2563.7510000000002</v>
      </c>
      <c r="U194" s="28">
        <f t="shared" si="107"/>
        <v>2007.3009999999999</v>
      </c>
      <c r="V194" s="28">
        <f t="shared" si="107"/>
        <v>479.84399999999999</v>
      </c>
      <c r="W194" s="28">
        <f t="shared" si="107"/>
        <v>500.67399999999998</v>
      </c>
      <c r="X194" s="36"/>
      <c r="Y194" s="28">
        <f>D194</f>
        <v>30.651</v>
      </c>
      <c r="Z194" s="28">
        <f>Y79</f>
        <v>27.821999999999999</v>
      </c>
      <c r="AA194" s="28">
        <f>Z79</f>
        <v>136.834</v>
      </c>
      <c r="AB194" s="28">
        <f>AA79</f>
        <v>3514.4389999999999</v>
      </c>
      <c r="AC194" s="28">
        <f>AB79</f>
        <v>2563.7510000000002</v>
      </c>
    </row>
    <row r="195" spans="2:29" outlineLevel="1" x14ac:dyDescent="0.25">
      <c r="B195" s="1" t="s">
        <v>310</v>
      </c>
      <c r="C195" s="20" t="s">
        <v>46</v>
      </c>
      <c r="D195" s="19">
        <f t="shared" ref="D195:W195" si="108">D79</f>
        <v>25.116</v>
      </c>
      <c r="E195" s="19">
        <f t="shared" si="108"/>
        <v>37.863999999999997</v>
      </c>
      <c r="F195" s="19">
        <f t="shared" si="108"/>
        <v>23.271999999999998</v>
      </c>
      <c r="G195" s="19">
        <f t="shared" si="108"/>
        <v>27.821999999999999</v>
      </c>
      <c r="H195" s="19">
        <f t="shared" si="108"/>
        <v>35.569000000000003</v>
      </c>
      <c r="I195" s="19">
        <f t="shared" si="108"/>
        <v>63.26</v>
      </c>
      <c r="J195" s="19">
        <f t="shared" si="108"/>
        <v>34.478999999999999</v>
      </c>
      <c r="K195" s="19">
        <f t="shared" si="108"/>
        <v>136.834</v>
      </c>
      <c r="L195" s="19">
        <f t="shared" si="108"/>
        <v>191.18299999999999</v>
      </c>
      <c r="M195" s="19">
        <f t="shared" si="108"/>
        <v>63.713999999999999</v>
      </c>
      <c r="N195" s="19">
        <f t="shared" si="108"/>
        <v>271.01400000000001</v>
      </c>
      <c r="O195" s="19">
        <f t="shared" si="108"/>
        <v>3514.4389999999999</v>
      </c>
      <c r="P195" s="19">
        <f t="shared" si="108"/>
        <v>231.34</v>
      </c>
      <c r="Q195" s="19">
        <f t="shared" si="108"/>
        <v>322.01400000000001</v>
      </c>
      <c r="R195" s="19">
        <f t="shared" si="108"/>
        <v>1390.854</v>
      </c>
      <c r="S195" s="19">
        <f t="shared" si="108"/>
        <v>2563.7510000000002</v>
      </c>
      <c r="T195" s="19">
        <f t="shared" si="108"/>
        <v>2007.3009999999999</v>
      </c>
      <c r="U195" s="19">
        <f t="shared" si="108"/>
        <v>479.84399999999999</v>
      </c>
      <c r="V195" s="19">
        <f t="shared" si="108"/>
        <v>500.67399999999998</v>
      </c>
      <c r="W195" s="19">
        <f t="shared" si="108"/>
        <v>1667.835</v>
      </c>
      <c r="X195" s="36"/>
      <c r="Y195" s="19">
        <f>Y79</f>
        <v>27.821999999999999</v>
      </c>
      <c r="Z195" s="19">
        <f>Z79</f>
        <v>136.834</v>
      </c>
      <c r="AA195" s="19">
        <f>AA79</f>
        <v>3514.4389999999999</v>
      </c>
      <c r="AB195" s="19">
        <f>AB79</f>
        <v>2563.7510000000002</v>
      </c>
      <c r="AC195" s="19">
        <f>AC79</f>
        <v>1667.835</v>
      </c>
    </row>
    <row r="196" spans="2:29" outlineLevel="1" x14ac:dyDescent="0.25">
      <c r="B196" s="3" t="s">
        <v>302</v>
      </c>
      <c r="C196" s="13" t="s">
        <v>46</v>
      </c>
      <c r="D196" s="14">
        <f t="shared" ref="D196:W196" si="109">D195-D194</f>
        <v>-5.5350000000000001</v>
      </c>
      <c r="E196" s="14">
        <f t="shared" si="109"/>
        <v>12.747999999999998</v>
      </c>
      <c r="F196" s="14">
        <f t="shared" si="109"/>
        <v>-14.591999999999999</v>
      </c>
      <c r="G196" s="14">
        <f t="shared" si="109"/>
        <v>4.5500000000000007</v>
      </c>
      <c r="H196" s="14">
        <f t="shared" si="109"/>
        <v>7.7470000000000034</v>
      </c>
      <c r="I196" s="14">
        <f t="shared" si="109"/>
        <v>27.690999999999995</v>
      </c>
      <c r="J196" s="14">
        <f t="shared" si="109"/>
        <v>-28.780999999999999</v>
      </c>
      <c r="K196" s="14">
        <f t="shared" si="109"/>
        <v>102.355</v>
      </c>
      <c r="L196" s="14">
        <f t="shared" si="109"/>
        <v>54.34899999999999</v>
      </c>
      <c r="M196" s="14">
        <f t="shared" si="109"/>
        <v>-127.46899999999999</v>
      </c>
      <c r="N196" s="14">
        <f t="shared" si="109"/>
        <v>207.3</v>
      </c>
      <c r="O196" s="14">
        <f t="shared" si="109"/>
        <v>3243.4249999999997</v>
      </c>
      <c r="P196" s="14">
        <f t="shared" si="109"/>
        <v>-3283.0989999999997</v>
      </c>
      <c r="Q196" s="14">
        <f t="shared" si="109"/>
        <v>90.674000000000007</v>
      </c>
      <c r="R196" s="14">
        <f t="shared" si="109"/>
        <v>1068.8400000000001</v>
      </c>
      <c r="S196" s="14">
        <f t="shared" si="109"/>
        <v>1172.8970000000002</v>
      </c>
      <c r="T196" s="14">
        <f t="shared" si="109"/>
        <v>-556.45000000000027</v>
      </c>
      <c r="U196" s="14">
        <f t="shared" si="109"/>
        <v>-1527.4569999999999</v>
      </c>
      <c r="V196" s="14">
        <f t="shared" si="109"/>
        <v>20.829999999999984</v>
      </c>
      <c r="W196" s="14">
        <f t="shared" si="109"/>
        <v>1167.1610000000001</v>
      </c>
      <c r="X196" s="36"/>
      <c r="Y196" s="14">
        <f>Y195-Y194</f>
        <v>-2.8290000000000006</v>
      </c>
      <c r="Z196" s="14">
        <f>Z195-Z194</f>
        <v>109.012</v>
      </c>
      <c r="AA196" s="14">
        <f>AA195-AA194</f>
        <v>3377.605</v>
      </c>
      <c r="AB196" s="14">
        <f>AB195-AB194</f>
        <v>-950.68799999999965</v>
      </c>
      <c r="AC196" s="14">
        <f>AC195-AC194</f>
        <v>-895.91600000000017</v>
      </c>
    </row>
    <row r="197" spans="2:29" x14ac:dyDescent="0.25"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Y197" s="27"/>
      <c r="Z197" s="27"/>
      <c r="AA197" s="27"/>
      <c r="AB197" s="27"/>
      <c r="AC197" s="27"/>
    </row>
    <row r="198" spans="2:29" ht="15.75" x14ac:dyDescent="0.25">
      <c r="B198" s="33" t="s">
        <v>52</v>
      </c>
    </row>
    <row r="199" spans="2:29" outlineLevel="1" x14ac:dyDescent="0.25">
      <c r="B199" s="32" t="s">
        <v>6</v>
      </c>
      <c r="C199" s="17" t="s">
        <v>42</v>
      </c>
      <c r="D199" s="17" t="s">
        <v>37</v>
      </c>
      <c r="E199" s="17" t="s">
        <v>38</v>
      </c>
      <c r="F199" s="17" t="s">
        <v>39</v>
      </c>
      <c r="G199" s="17" t="s">
        <v>40</v>
      </c>
      <c r="H199" s="17" t="s">
        <v>41</v>
      </c>
      <c r="I199" s="17" t="s">
        <v>376</v>
      </c>
      <c r="J199" s="17" t="s">
        <v>384</v>
      </c>
      <c r="K199" s="17" t="s">
        <v>398</v>
      </c>
      <c r="L199" s="17" t="s">
        <v>406</v>
      </c>
      <c r="M199" s="17" t="s">
        <v>421</v>
      </c>
      <c r="N199" s="17" t="s">
        <v>423</v>
      </c>
      <c r="O199" s="17" t="s">
        <v>426</v>
      </c>
      <c r="P199" s="17" t="s">
        <v>430</v>
      </c>
      <c r="Q199" s="17" t="s">
        <v>432</v>
      </c>
      <c r="R199" s="17" t="s">
        <v>560</v>
      </c>
      <c r="S199" s="17" t="s">
        <v>572</v>
      </c>
      <c r="T199" s="17" t="s">
        <v>575</v>
      </c>
      <c r="U199" s="17" t="s">
        <v>590</v>
      </c>
      <c r="V199" s="17" t="s">
        <v>594</v>
      </c>
      <c r="W199" s="17" t="s">
        <v>603</v>
      </c>
      <c r="Y199" s="17">
        <v>2017</v>
      </c>
      <c r="Z199" s="17">
        <v>2018</v>
      </c>
      <c r="AA199" s="17">
        <v>2019</v>
      </c>
      <c r="AB199" s="17">
        <v>2020</v>
      </c>
      <c r="AC199" s="17">
        <v>2021</v>
      </c>
    </row>
    <row r="200" spans="2:29" outlineLevel="1" x14ac:dyDescent="0.25">
      <c r="B200" s="9" t="s">
        <v>311</v>
      </c>
      <c r="C200" s="3" t="s">
        <v>46</v>
      </c>
      <c r="D200" s="4">
        <f t="shared" ref="D200:W200" si="110">D72</f>
        <v>59.371999999999879</v>
      </c>
      <c r="E200" s="4">
        <f t="shared" si="110"/>
        <v>25.249999999999819</v>
      </c>
      <c r="F200" s="4">
        <f t="shared" si="110"/>
        <v>35.821999999999882</v>
      </c>
      <c r="G200" s="4">
        <f t="shared" si="110"/>
        <v>117.71099999999994</v>
      </c>
      <c r="H200" s="4">
        <f t="shared" si="110"/>
        <v>60.26199999999983</v>
      </c>
      <c r="I200" s="4">
        <f t="shared" si="110"/>
        <v>51.272999999999783</v>
      </c>
      <c r="J200" s="4">
        <f t="shared" si="110"/>
        <v>94.151999999999774</v>
      </c>
      <c r="K200" s="4">
        <f t="shared" si="110"/>
        <v>128.38599999999997</v>
      </c>
      <c r="L200" s="4">
        <f t="shared" si="110"/>
        <v>102.84199999999989</v>
      </c>
      <c r="M200" s="4">
        <f t="shared" si="110"/>
        <v>89.6460000000002</v>
      </c>
      <c r="N200" s="4">
        <f t="shared" si="110"/>
        <v>99.69199999999968</v>
      </c>
      <c r="O200" s="4">
        <f t="shared" si="110"/>
        <v>131.40300000000005</v>
      </c>
      <c r="P200" s="4">
        <f t="shared" si="110"/>
        <v>160.40400000000008</v>
      </c>
      <c r="Q200" s="4">
        <f t="shared" si="110"/>
        <v>223.39099999999996</v>
      </c>
      <c r="R200" s="4">
        <f t="shared" si="110"/>
        <v>196.78499999999971</v>
      </c>
      <c r="S200" s="4">
        <f t="shared" si="110"/>
        <v>155.16500000000013</v>
      </c>
      <c r="T200" s="14">
        <f t="shared" si="110"/>
        <v>-27.900000000000347</v>
      </c>
      <c r="U200" s="14">
        <f t="shared" si="110"/>
        <v>-47.980000000000004</v>
      </c>
      <c r="V200" s="14">
        <f t="shared" si="110"/>
        <v>-90.729999999999478</v>
      </c>
      <c r="W200" s="14">
        <f t="shared" si="110"/>
        <v>-4.8969999999999274</v>
      </c>
      <c r="Y200" s="4">
        <f>Y72</f>
        <v>238.15499999999867</v>
      </c>
      <c r="Z200" s="4">
        <f>Z72</f>
        <v>334.07300000000004</v>
      </c>
      <c r="AA200" s="4">
        <f>AA72</f>
        <v>423.58300000000065</v>
      </c>
      <c r="AB200" s="4">
        <f>AB72</f>
        <v>735.74499999999716</v>
      </c>
      <c r="AC200" s="14">
        <f>AC72</f>
        <v>-171.5069999999983</v>
      </c>
    </row>
    <row r="201" spans="2:29" outlineLevel="1" x14ac:dyDescent="0.25">
      <c r="B201" s="1" t="s">
        <v>312</v>
      </c>
      <c r="C201" s="6" t="s">
        <v>46</v>
      </c>
      <c r="D201" s="19">
        <f t="shared" ref="D201:R201" si="111">-SUM(D70:D71)</f>
        <v>47.359000000000002</v>
      </c>
      <c r="E201" s="19">
        <f t="shared" si="111"/>
        <v>24.602</v>
      </c>
      <c r="F201" s="19">
        <f t="shared" si="111"/>
        <v>47.597000000000001</v>
      </c>
      <c r="G201" s="19">
        <f t="shared" si="111"/>
        <v>43.583999999999996</v>
      </c>
      <c r="H201" s="19">
        <f t="shared" si="111"/>
        <v>63.296999999999997</v>
      </c>
      <c r="I201" s="19">
        <f t="shared" si="111"/>
        <v>43.451999999999998</v>
      </c>
      <c r="J201" s="19">
        <f t="shared" si="111"/>
        <v>56.040999999999997</v>
      </c>
      <c r="K201" s="19">
        <f t="shared" si="111"/>
        <v>41.611999999999995</v>
      </c>
      <c r="L201" s="19">
        <f t="shared" si="111"/>
        <v>81.009</v>
      </c>
      <c r="M201" s="19">
        <f t="shared" si="111"/>
        <v>65.069000000000003</v>
      </c>
      <c r="N201" s="19">
        <f t="shared" si="111"/>
        <v>59.265999999999998</v>
      </c>
      <c r="O201" s="19">
        <f t="shared" si="111"/>
        <v>90.25</v>
      </c>
      <c r="P201" s="19">
        <f t="shared" si="111"/>
        <v>120.63500000000002</v>
      </c>
      <c r="Q201" s="19">
        <f t="shared" si="111"/>
        <v>167.41500000000002</v>
      </c>
      <c r="R201" s="19">
        <f t="shared" si="111"/>
        <v>120.8</v>
      </c>
      <c r="S201" s="19">
        <f t="shared" ref="S201:T201" si="112">-SUM(S70:S71)</f>
        <v>100.572</v>
      </c>
      <c r="T201" s="19">
        <f t="shared" si="112"/>
        <v>25.36</v>
      </c>
      <c r="U201" s="19">
        <f t="shared" ref="U201:W201" si="113">-SUM(U70:U71)</f>
        <v>8.4640000000000004</v>
      </c>
      <c r="V201" s="19">
        <f t="shared" si="113"/>
        <v>21.216000000000001</v>
      </c>
      <c r="W201" s="19">
        <f t="shared" si="113"/>
        <v>17.548999999999999</v>
      </c>
      <c r="Y201" s="19">
        <f>-SUM(Y70:Y71)</f>
        <v>163.142</v>
      </c>
      <c r="Z201" s="19">
        <f>-SUM(Z70:Z71)</f>
        <v>204.40199999999999</v>
      </c>
      <c r="AA201" s="19">
        <f>-SUM(AA70:AA71)</f>
        <v>295.59400000000005</v>
      </c>
      <c r="AB201" s="19">
        <f>-SUM(AB70:AB71)</f>
        <v>509.42200000000003</v>
      </c>
      <c r="AC201" s="19">
        <f>-SUM(AC70:AC71)</f>
        <v>72.588999999999999</v>
      </c>
    </row>
    <row r="202" spans="2:29" outlineLevel="1" x14ac:dyDescent="0.25">
      <c r="B202" s="1" t="s">
        <v>367</v>
      </c>
      <c r="C202" s="6" t="s">
        <v>46</v>
      </c>
      <c r="D202" s="19">
        <f t="shared" ref="D202:W202" si="114">-SUM(D67:D68)</f>
        <v>23.465999999999998</v>
      </c>
      <c r="E202" s="19">
        <f t="shared" si="114"/>
        <v>11.852999999999998</v>
      </c>
      <c r="F202" s="19">
        <f t="shared" si="114"/>
        <v>51.28</v>
      </c>
      <c r="G202" s="19">
        <f t="shared" si="114"/>
        <v>14.015999999999998</v>
      </c>
      <c r="H202" s="19">
        <f t="shared" si="114"/>
        <v>33.328000000000003</v>
      </c>
      <c r="I202" s="19">
        <f t="shared" si="114"/>
        <v>11.216999999999999</v>
      </c>
      <c r="J202" s="19">
        <f t="shared" si="114"/>
        <v>10.628</v>
      </c>
      <c r="K202" s="19">
        <f t="shared" si="114"/>
        <v>23.811</v>
      </c>
      <c r="L202" s="19">
        <f t="shared" si="114"/>
        <v>35.32</v>
      </c>
      <c r="M202" s="19">
        <f t="shared" si="114"/>
        <v>36.606000000000002</v>
      </c>
      <c r="N202" s="19">
        <f t="shared" si="114"/>
        <v>50.609999999999992</v>
      </c>
      <c r="O202" s="19">
        <f t="shared" si="114"/>
        <v>65.010999999999996</v>
      </c>
      <c r="P202" s="19">
        <f t="shared" si="114"/>
        <v>32.762999999999998</v>
      </c>
      <c r="Q202" s="19">
        <f t="shared" si="114"/>
        <v>29.231999999999999</v>
      </c>
      <c r="R202" s="19">
        <f t="shared" si="114"/>
        <v>31.894999999999996</v>
      </c>
      <c r="S202" s="19">
        <f t="shared" si="114"/>
        <v>42.146999999999998</v>
      </c>
      <c r="T202" s="19">
        <f t="shared" si="114"/>
        <v>49.939000000000007</v>
      </c>
      <c r="U202" s="19">
        <f t="shared" si="114"/>
        <v>68.790000000000006</v>
      </c>
      <c r="V202" s="19">
        <f t="shared" si="114"/>
        <v>92.535999999999987</v>
      </c>
      <c r="W202" s="19">
        <f t="shared" si="114"/>
        <v>136.75300000000001</v>
      </c>
      <c r="Y202" s="19">
        <f>-SUM(Y67:Y68)</f>
        <v>100.61499999999998</v>
      </c>
      <c r="Z202" s="19">
        <f>-SUM(Z67:Z68)</f>
        <v>78.983999999999995</v>
      </c>
      <c r="AA202" s="19">
        <f>-SUM(AA67:AA68)</f>
        <v>187.54700000000003</v>
      </c>
      <c r="AB202" s="19">
        <f>-SUM(AB67:AB68)</f>
        <v>136.03700000000003</v>
      </c>
      <c r="AC202" s="19">
        <f>-SUM(AC67:AC68)</f>
        <v>348.01800000000003</v>
      </c>
    </row>
    <row r="203" spans="2:29" outlineLevel="1" x14ac:dyDescent="0.25">
      <c r="B203" s="1" t="s">
        <v>313</v>
      </c>
      <c r="C203" s="6" t="s">
        <v>46</v>
      </c>
      <c r="D203" s="19">
        <f t="shared" ref="D203:K203" si="115">-D47-D59</f>
        <v>23.804000000000002</v>
      </c>
      <c r="E203" s="19">
        <f t="shared" si="115"/>
        <v>32.435999999999993</v>
      </c>
      <c r="F203" s="19">
        <f t="shared" si="115"/>
        <v>23.812000000000005</v>
      </c>
      <c r="G203" s="19">
        <f t="shared" si="115"/>
        <v>34.106999999999999</v>
      </c>
      <c r="H203" s="19">
        <f t="shared" si="115"/>
        <v>29.339999999999996</v>
      </c>
      <c r="I203" s="19">
        <f t="shared" si="115"/>
        <v>30.192999999999998</v>
      </c>
      <c r="J203" s="19">
        <f t="shared" si="115"/>
        <v>36.316000000000003</v>
      </c>
      <c r="K203" s="19">
        <f t="shared" si="115"/>
        <v>31.488</v>
      </c>
      <c r="L203" s="19">
        <f t="shared" ref="L203:W203" si="116">-L47-L59-L61</f>
        <v>52.766000000000005</v>
      </c>
      <c r="M203" s="19">
        <f t="shared" si="116"/>
        <v>52.684999999999995</v>
      </c>
      <c r="N203" s="19">
        <f t="shared" si="116"/>
        <v>68.811000000000007</v>
      </c>
      <c r="O203" s="19">
        <f t="shared" si="116"/>
        <v>71.460999999999999</v>
      </c>
      <c r="P203" s="19">
        <f t="shared" si="116"/>
        <v>69.317000000000007</v>
      </c>
      <c r="Q203" s="19">
        <f t="shared" si="116"/>
        <v>90.338999999999999</v>
      </c>
      <c r="R203" s="19">
        <f t="shared" si="116"/>
        <v>88.046999999999997</v>
      </c>
      <c r="S203" s="19">
        <f t="shared" si="116"/>
        <v>96.179999999999993</v>
      </c>
      <c r="T203" s="19">
        <f t="shared" si="116"/>
        <v>89.552999999999997</v>
      </c>
      <c r="U203" s="19">
        <f t="shared" si="116"/>
        <v>89.589000000000013</v>
      </c>
      <c r="V203" s="19">
        <f t="shared" si="116"/>
        <v>103.30199999999999</v>
      </c>
      <c r="W203" s="19">
        <f t="shared" si="116"/>
        <v>110.887</v>
      </c>
      <c r="Y203" s="19">
        <f>-Y47-Y59</f>
        <v>114.15900000000001</v>
      </c>
      <c r="Z203" s="19">
        <f>-Z47-Z59</f>
        <v>127.337</v>
      </c>
      <c r="AA203" s="19">
        <f>-AA47-AA59-AA61</f>
        <v>245.72300000000001</v>
      </c>
      <c r="AB203" s="19">
        <f>-AB47-AB59-AB61</f>
        <v>343.88300000000004</v>
      </c>
      <c r="AC203" s="19">
        <f>-AC47-AC59-AC61</f>
        <v>393.33100000000002</v>
      </c>
    </row>
    <row r="204" spans="2:29" outlineLevel="1" x14ac:dyDescent="0.25">
      <c r="B204" s="9" t="s">
        <v>8</v>
      </c>
      <c r="C204" s="3" t="s">
        <v>46</v>
      </c>
      <c r="D204" s="4">
        <f t="shared" ref="D204:I204" si="117">SUM(D200:D203)</f>
        <v>154.00099999999989</v>
      </c>
      <c r="E204" s="4">
        <f t="shared" si="117"/>
        <v>94.140999999999806</v>
      </c>
      <c r="F204" s="4">
        <f t="shared" si="117"/>
        <v>158.51099999999991</v>
      </c>
      <c r="G204" s="4">
        <f t="shared" si="117"/>
        <v>209.41799999999992</v>
      </c>
      <c r="H204" s="4">
        <f t="shared" si="117"/>
        <v>186.22699999999983</v>
      </c>
      <c r="I204" s="4">
        <f t="shared" si="117"/>
        <v>136.13499999999976</v>
      </c>
      <c r="J204" s="4">
        <f t="shared" ref="J204:W204" si="118">SUM(J200:J203)</f>
        <v>197.13699999999974</v>
      </c>
      <c r="K204" s="4">
        <f t="shared" si="118"/>
        <v>225.29699999999997</v>
      </c>
      <c r="L204" s="4">
        <f t="shared" si="118"/>
        <v>271.9369999999999</v>
      </c>
      <c r="M204" s="4">
        <f t="shared" si="118"/>
        <v>244.0060000000002</v>
      </c>
      <c r="N204" s="4">
        <f t="shared" si="118"/>
        <v>278.37899999999968</v>
      </c>
      <c r="O204" s="4">
        <f t="shared" si="118"/>
        <v>358.12500000000006</v>
      </c>
      <c r="P204" s="4">
        <f t="shared" si="118"/>
        <v>383.11900000000009</v>
      </c>
      <c r="Q204" s="4">
        <f t="shared" si="118"/>
        <v>510.37700000000001</v>
      </c>
      <c r="R204" s="4">
        <f t="shared" si="118"/>
        <v>437.5269999999997</v>
      </c>
      <c r="S204" s="4">
        <f t="shared" si="118"/>
        <v>394.06400000000014</v>
      </c>
      <c r="T204" s="4">
        <f t="shared" si="118"/>
        <v>136.95199999999966</v>
      </c>
      <c r="U204" s="4">
        <f t="shared" si="118"/>
        <v>118.86300000000001</v>
      </c>
      <c r="V204" s="4">
        <f t="shared" si="118"/>
        <v>126.32400000000051</v>
      </c>
      <c r="W204" s="4">
        <f t="shared" si="118"/>
        <v>260.29200000000009</v>
      </c>
      <c r="Y204" s="4">
        <f t="shared" ref="Y204:AC204" si="119">SUM(Y200:Y203)</f>
        <v>616.07099999999866</v>
      </c>
      <c r="Z204" s="4">
        <f t="shared" si="119"/>
        <v>744.79600000000005</v>
      </c>
      <c r="AA204" s="4">
        <f t="shared" si="119"/>
        <v>1152.4470000000008</v>
      </c>
      <c r="AB204" s="4">
        <f t="shared" si="119"/>
        <v>1725.0869999999973</v>
      </c>
      <c r="AC204" s="4">
        <f t="shared" si="119"/>
        <v>642.43100000000175</v>
      </c>
    </row>
    <row r="205" spans="2:29" outlineLevel="1" x14ac:dyDescent="0.25">
      <c r="B205" s="1" t="s">
        <v>314</v>
      </c>
      <c r="C205" s="6" t="s">
        <v>46</v>
      </c>
      <c r="D205" s="19">
        <f t="shared" ref="D205:W205" si="120">-D60</f>
        <v>3.8149999999999999</v>
      </c>
      <c r="E205" s="19">
        <f t="shared" si="120"/>
        <v>3.6010000000000004</v>
      </c>
      <c r="F205" s="19">
        <f t="shared" si="120"/>
        <v>2.84</v>
      </c>
      <c r="G205" s="19">
        <f t="shared" si="120"/>
        <v>3.206</v>
      </c>
      <c r="H205" s="19">
        <f t="shared" si="120"/>
        <v>4.2789999999999999</v>
      </c>
      <c r="I205" s="19">
        <f t="shared" si="120"/>
        <v>7.4039999999999999</v>
      </c>
      <c r="J205" s="19">
        <f t="shared" si="120"/>
        <v>8.3759999999999994</v>
      </c>
      <c r="K205" s="19">
        <f t="shared" si="120"/>
        <v>7.5650000000000004</v>
      </c>
      <c r="L205" s="19">
        <f t="shared" si="120"/>
        <v>7.0069999999999997</v>
      </c>
      <c r="M205" s="19">
        <f t="shared" si="120"/>
        <v>12.317</v>
      </c>
      <c r="N205" s="19">
        <f t="shared" si="120"/>
        <v>13.496</v>
      </c>
      <c r="O205" s="19">
        <f t="shared" si="120"/>
        <v>11.446999999999999</v>
      </c>
      <c r="P205" s="19">
        <f t="shared" si="120"/>
        <v>10.923999999999999</v>
      </c>
      <c r="Q205" s="19">
        <f t="shared" si="120"/>
        <v>12.571</v>
      </c>
      <c r="R205" s="19">
        <f t="shared" si="120"/>
        <v>12.557</v>
      </c>
      <c r="S205" s="19">
        <f t="shared" si="120"/>
        <v>12.689</v>
      </c>
      <c r="T205" s="19">
        <f t="shared" si="120"/>
        <v>12.093999999999999</v>
      </c>
      <c r="U205" s="19">
        <f t="shared" si="120"/>
        <v>4.57</v>
      </c>
      <c r="V205" s="19">
        <f t="shared" si="120"/>
        <v>5.7119999999999997</v>
      </c>
      <c r="W205" s="19">
        <f t="shared" si="120"/>
        <v>5.4249999999999998</v>
      </c>
      <c r="Y205" s="19">
        <f>-Y60</f>
        <v>13.462</v>
      </c>
      <c r="Z205" s="19">
        <f>-Z60</f>
        <v>27.623999999999999</v>
      </c>
      <c r="AA205" s="19">
        <f>-AA60</f>
        <v>44.266999999999996</v>
      </c>
      <c r="AB205" s="19">
        <f>-AB60</f>
        <v>48.741</v>
      </c>
      <c r="AC205" s="19">
        <f>-AC60</f>
        <v>27.801000000000002</v>
      </c>
    </row>
    <row r="206" spans="2:29" outlineLevel="1" x14ac:dyDescent="0.25">
      <c r="B206" s="1" t="s">
        <v>328</v>
      </c>
      <c r="C206" s="6" t="s">
        <v>46</v>
      </c>
      <c r="D206" s="19">
        <f t="shared" ref="D206:J206" si="121">D151</f>
        <v>0</v>
      </c>
      <c r="E206" s="19">
        <f t="shared" si="121"/>
        <v>0</v>
      </c>
      <c r="F206" s="19">
        <f t="shared" si="121"/>
        <v>0</v>
      </c>
      <c r="G206" s="19">
        <f t="shared" si="121"/>
        <v>2.6720000000000002</v>
      </c>
      <c r="H206" s="19">
        <f t="shared" si="121"/>
        <v>0</v>
      </c>
      <c r="I206" s="19">
        <f t="shared" si="121"/>
        <v>0</v>
      </c>
      <c r="J206" s="19">
        <f t="shared" si="121"/>
        <v>0</v>
      </c>
      <c r="K206" s="19">
        <v>0</v>
      </c>
      <c r="L206" s="19">
        <v>0</v>
      </c>
      <c r="M206" s="19">
        <v>0</v>
      </c>
      <c r="N206" s="19">
        <v>0</v>
      </c>
      <c r="O206" s="19">
        <v>0</v>
      </c>
      <c r="P206" s="19">
        <v>0</v>
      </c>
      <c r="Q206" s="19">
        <v>0</v>
      </c>
      <c r="R206" s="19">
        <v>0</v>
      </c>
      <c r="S206" s="19">
        <v>0</v>
      </c>
      <c r="T206" s="19">
        <v>0</v>
      </c>
      <c r="U206" s="19">
        <v>0</v>
      </c>
      <c r="V206" s="19">
        <v>0</v>
      </c>
      <c r="W206" s="19">
        <v>0</v>
      </c>
      <c r="Y206" s="19">
        <f>Y151</f>
        <v>2.6720000000000002</v>
      </c>
      <c r="Z206" s="19">
        <v>0</v>
      </c>
      <c r="AA206" s="19">
        <v>0</v>
      </c>
      <c r="AB206" s="19">
        <v>0</v>
      </c>
      <c r="AC206" s="19">
        <v>0</v>
      </c>
    </row>
    <row r="207" spans="2:29" outlineLevel="1" x14ac:dyDescent="0.25">
      <c r="B207" s="1" t="s">
        <v>315</v>
      </c>
      <c r="C207" s="6" t="s">
        <v>46</v>
      </c>
      <c r="D207" s="19">
        <v>11.569748650000001</v>
      </c>
      <c r="E207" s="19">
        <v>10.75934202</v>
      </c>
      <c r="F207" s="19">
        <v>9.3357791199999998</v>
      </c>
      <c r="G207" s="19">
        <v>8.4641815500000011</v>
      </c>
      <c r="H207" s="19">
        <v>4.9546623900000002</v>
      </c>
      <c r="I207" s="19">
        <v>5.3514121800000005</v>
      </c>
      <c r="J207" s="19">
        <v>5.5236062199999996</v>
      </c>
      <c r="K207" s="19">
        <v>5.4983212699999999</v>
      </c>
      <c r="L207" s="19">
        <v>6.4819795100000004</v>
      </c>
      <c r="M207" s="19">
        <v>7.3927340776470913</v>
      </c>
      <c r="N207" s="19">
        <v>9.6489742199999995</v>
      </c>
      <c r="O207" s="19">
        <v>9.1592846399999992</v>
      </c>
      <c r="P207" s="19">
        <v>7.7060604799999997</v>
      </c>
      <c r="Q207" s="19">
        <v>9.1752813700000004</v>
      </c>
      <c r="R207" s="19">
        <v>5.7542764900000005</v>
      </c>
      <c r="S207" s="19">
        <v>8.1327593300000007</v>
      </c>
      <c r="T207" s="19">
        <v>0</v>
      </c>
      <c r="U207" s="19">
        <v>0</v>
      </c>
      <c r="V207" s="19">
        <v>0</v>
      </c>
      <c r="W207" s="19">
        <v>0</v>
      </c>
      <c r="Y207" s="19">
        <f>SUM(D207:G207)</f>
        <v>40.129051339999997</v>
      </c>
      <c r="Z207" s="19">
        <f>SUM(H207:K207)</f>
        <v>21.328002059999999</v>
      </c>
      <c r="AA207" s="19">
        <f>SUM(L207:O207)</f>
        <v>32.682972447647089</v>
      </c>
      <c r="AB207" s="19">
        <f>SUM(P207:S207)</f>
        <v>30.76837767</v>
      </c>
      <c r="AC207" s="19">
        <f>SUM(T207:W207)</f>
        <v>0</v>
      </c>
    </row>
    <row r="208" spans="2:29" outlineLevel="1" x14ac:dyDescent="0.25">
      <c r="B208" s="1" t="s">
        <v>329</v>
      </c>
      <c r="C208" s="6" t="s">
        <v>46</v>
      </c>
      <c r="D208" s="19">
        <f t="shared" ref="D208:W208" si="122">SUM(D209:D211)</f>
        <v>2.3567584300000006</v>
      </c>
      <c r="E208" s="19">
        <f t="shared" si="122"/>
        <v>12.939547380000004</v>
      </c>
      <c r="F208" s="19">
        <f t="shared" si="122"/>
        <v>8.2589469246238032</v>
      </c>
      <c r="G208" s="19">
        <f t="shared" si="122"/>
        <v>15.005070531103591</v>
      </c>
      <c r="H208" s="19">
        <f t="shared" si="122"/>
        <v>17.493074140000001</v>
      </c>
      <c r="I208" s="19">
        <f t="shared" si="122"/>
        <v>32.40829944758778</v>
      </c>
      <c r="J208" s="19">
        <f t="shared" si="122"/>
        <v>1.732343727587772</v>
      </c>
      <c r="K208" s="19">
        <f t="shared" si="122"/>
        <v>39.133857989999996</v>
      </c>
      <c r="L208" s="19">
        <f t="shared" si="122"/>
        <v>5.4158438899999997</v>
      </c>
      <c r="M208" s="19">
        <f t="shared" si="122"/>
        <v>6.8913997799999995</v>
      </c>
      <c r="N208" s="19">
        <f t="shared" si="122"/>
        <v>18.119638259999999</v>
      </c>
      <c r="O208" s="19">
        <f t="shared" si="122"/>
        <v>16.571763920000002</v>
      </c>
      <c r="P208" s="19">
        <f t="shared" si="122"/>
        <v>6.7365678999999998</v>
      </c>
      <c r="Q208" s="19">
        <f t="shared" si="122"/>
        <v>4.1805400399999995</v>
      </c>
      <c r="R208" s="19">
        <f t="shared" si="122"/>
        <v>2.5847911199999998</v>
      </c>
      <c r="S208" s="19">
        <f t="shared" si="122"/>
        <v>4.6137810000000004</v>
      </c>
      <c r="T208" s="19">
        <f t="shared" si="122"/>
        <v>40.280850409999999</v>
      </c>
      <c r="U208" s="19">
        <f t="shared" si="122"/>
        <v>8.1630711399999996</v>
      </c>
      <c r="V208" s="19">
        <f t="shared" si="122"/>
        <v>0</v>
      </c>
      <c r="W208" s="19">
        <f t="shared" si="122"/>
        <v>0</v>
      </c>
      <c r="Y208" s="19">
        <f t="shared" ref="Y208:AC208" si="123">SUM(Y209:Y211)</f>
        <v>38.560323265727405</v>
      </c>
      <c r="Z208" s="19">
        <f t="shared" si="123"/>
        <v>90.767575305175555</v>
      </c>
      <c r="AA208" s="19">
        <f t="shared" si="123"/>
        <v>46.998645850000003</v>
      </c>
      <c r="AB208" s="19">
        <f t="shared" si="123"/>
        <v>18.115680059999999</v>
      </c>
      <c r="AC208" s="19">
        <f t="shared" si="123"/>
        <v>48.443921549999999</v>
      </c>
    </row>
    <row r="209" spans="2:29" outlineLevel="1" x14ac:dyDescent="0.25">
      <c r="B209" s="26" t="s">
        <v>330</v>
      </c>
      <c r="C209" s="6" t="s">
        <v>46</v>
      </c>
      <c r="D209" s="19">
        <v>0.85176966000000021</v>
      </c>
      <c r="E209" s="19">
        <v>6.3542757400000003</v>
      </c>
      <c r="F209" s="19">
        <v>0.60153981000000012</v>
      </c>
      <c r="G209" s="19">
        <v>11.325629559999999</v>
      </c>
      <c r="H209" s="19">
        <v>4.9880152300000002</v>
      </c>
      <c r="I209" s="19">
        <v>29.232572400000002</v>
      </c>
      <c r="J209" s="19">
        <v>0</v>
      </c>
      <c r="K209" s="19">
        <v>30.561</v>
      </c>
      <c r="L209" s="19">
        <v>0</v>
      </c>
      <c r="M209" s="19">
        <v>0</v>
      </c>
      <c r="N209" s="19">
        <v>0</v>
      </c>
      <c r="O209" s="19">
        <v>0</v>
      </c>
      <c r="P209" s="19">
        <v>0</v>
      </c>
      <c r="Q209" s="19">
        <v>0</v>
      </c>
      <c r="R209" s="19">
        <v>0</v>
      </c>
      <c r="S209" s="19">
        <v>0</v>
      </c>
      <c r="T209" s="19">
        <v>0</v>
      </c>
      <c r="U209" s="19">
        <v>0</v>
      </c>
      <c r="V209" s="19">
        <v>0</v>
      </c>
      <c r="W209" s="19">
        <v>0</v>
      </c>
      <c r="Y209" s="19">
        <f>SUM(D209:G209)</f>
        <v>19.133214770000002</v>
      </c>
      <c r="Z209" s="19">
        <f>SUM(H209:K209)</f>
        <v>64.781587630000004</v>
      </c>
      <c r="AA209" s="19">
        <f>SUM(L209:O209)</f>
        <v>0</v>
      </c>
      <c r="AB209" s="19">
        <f>SUM(P209:S209)</f>
        <v>0</v>
      </c>
      <c r="AC209" s="19">
        <f>SUM(T209:W209)</f>
        <v>0</v>
      </c>
    </row>
    <row r="210" spans="2:29" outlineLevel="1" x14ac:dyDescent="0.25">
      <c r="B210" s="26" t="s">
        <v>346</v>
      </c>
      <c r="C210" s="6" t="s">
        <v>46</v>
      </c>
      <c r="D210" s="19">
        <v>0.88333974000000004</v>
      </c>
      <c r="E210" s="19">
        <v>2.93523383</v>
      </c>
      <c r="F210" s="19">
        <v>3.3463860000000003</v>
      </c>
      <c r="G210" s="19">
        <v>0.29964919999999995</v>
      </c>
      <c r="H210" s="19">
        <v>0.671667349999999</v>
      </c>
      <c r="I210" s="19">
        <v>2.2662260199999982</v>
      </c>
      <c r="J210" s="19">
        <v>2.0628427</v>
      </c>
      <c r="K210" s="19">
        <v>7.4068579899999998</v>
      </c>
      <c r="L210" s="19">
        <v>5.4158438899999997</v>
      </c>
      <c r="M210" s="19">
        <v>6.8913997799999995</v>
      </c>
      <c r="N210" s="19">
        <v>18.119638259999999</v>
      </c>
      <c r="O210" s="19">
        <v>16.571763920000002</v>
      </c>
      <c r="P210" s="19">
        <v>6.7365678999999998</v>
      </c>
      <c r="Q210" s="19">
        <v>4.1805400399999995</v>
      </c>
      <c r="R210" s="19">
        <v>2.5847911199999998</v>
      </c>
      <c r="S210" s="19">
        <v>4.6137810000000004</v>
      </c>
      <c r="T210" s="19">
        <v>40.280850409999999</v>
      </c>
      <c r="U210" s="19">
        <v>8.1630711399999996</v>
      </c>
      <c r="V210" s="19">
        <v>0</v>
      </c>
      <c r="W210" s="19">
        <v>0</v>
      </c>
      <c r="Y210" s="19">
        <f>SUM(D210:G210)</f>
        <v>7.4646087700000008</v>
      </c>
      <c r="Z210" s="19">
        <f>SUM(H210:K210)</f>
        <v>12.407594059999997</v>
      </c>
      <c r="AA210" s="19">
        <f>SUM(L210:O210)</f>
        <v>46.998645850000003</v>
      </c>
      <c r="AB210" s="19">
        <f>SUM(P210:S210)</f>
        <v>18.115680059999999</v>
      </c>
      <c r="AC210" s="19">
        <f t="shared" ref="AC210:AC211" si="124">SUM(T210:W210)</f>
        <v>48.443921549999999</v>
      </c>
    </row>
    <row r="211" spans="2:29" outlineLevel="1" x14ac:dyDescent="0.25">
      <c r="B211" s="26" t="s">
        <v>338</v>
      </c>
      <c r="C211" s="6" t="s">
        <v>46</v>
      </c>
      <c r="D211" s="19">
        <v>0.62164903000000049</v>
      </c>
      <c r="E211" s="19">
        <v>3.6500378100000046</v>
      </c>
      <c r="F211" s="19">
        <v>4.3110211146238022</v>
      </c>
      <c r="G211" s="19">
        <v>3.3797917711035916</v>
      </c>
      <c r="H211" s="19">
        <f>3.17739156+8.656</f>
        <v>11.833391560000001</v>
      </c>
      <c r="I211" s="19">
        <v>0.9095010275877794</v>
      </c>
      <c r="J211" s="19">
        <v>-0.33049897241222798</v>
      </c>
      <c r="K211" s="19">
        <v>1.1659999999999999</v>
      </c>
      <c r="L211" s="19">
        <v>0</v>
      </c>
      <c r="M211" s="19">
        <v>0</v>
      </c>
      <c r="N211" s="19">
        <v>0</v>
      </c>
      <c r="O211" s="19">
        <v>0</v>
      </c>
      <c r="P211" s="19">
        <v>0</v>
      </c>
      <c r="Q211" s="19">
        <v>0</v>
      </c>
      <c r="R211" s="19">
        <v>0</v>
      </c>
      <c r="S211" s="19">
        <v>0</v>
      </c>
      <c r="T211" s="19">
        <v>0</v>
      </c>
      <c r="U211" s="19">
        <v>0</v>
      </c>
      <c r="V211" s="19">
        <v>0</v>
      </c>
      <c r="W211" s="19">
        <v>0</v>
      </c>
      <c r="Y211" s="19">
        <f>SUM(D211:G211)</f>
        <v>11.962499725727398</v>
      </c>
      <c r="Z211" s="19">
        <f>SUM(H211:K211)</f>
        <v>13.578393615175553</v>
      </c>
      <c r="AA211" s="19">
        <f>SUM(L211:O211)</f>
        <v>0</v>
      </c>
      <c r="AB211" s="19">
        <f>SUM(P211:S211)</f>
        <v>0</v>
      </c>
      <c r="AC211" s="19">
        <f t="shared" si="124"/>
        <v>0</v>
      </c>
    </row>
    <row r="212" spans="2:29" outlineLevel="1" x14ac:dyDescent="0.25">
      <c r="B212" s="3" t="s">
        <v>52</v>
      </c>
      <c r="C212" s="3" t="s">
        <v>46</v>
      </c>
      <c r="D212" s="4">
        <f t="shared" ref="D212:W212" si="125">SUM(D204:D208)</f>
        <v>171.74250707999991</v>
      </c>
      <c r="E212" s="4">
        <f t="shared" si="125"/>
        <v>121.44088939999982</v>
      </c>
      <c r="F212" s="4">
        <f t="shared" si="125"/>
        <v>178.94572604462374</v>
      </c>
      <c r="G212" s="4">
        <f t="shared" si="125"/>
        <v>238.76525208110351</v>
      </c>
      <c r="H212" s="4">
        <f t="shared" si="125"/>
        <v>212.95373652999984</v>
      </c>
      <c r="I212" s="4">
        <f t="shared" si="125"/>
        <v>181.29871162758755</v>
      </c>
      <c r="J212" s="4">
        <f t="shared" si="125"/>
        <v>212.76894994758752</v>
      </c>
      <c r="K212" s="4">
        <f t="shared" si="125"/>
        <v>277.49417925999995</v>
      </c>
      <c r="L212" s="4">
        <f t="shared" si="125"/>
        <v>290.8418233999999</v>
      </c>
      <c r="M212" s="4">
        <f t="shared" si="125"/>
        <v>270.60713385764728</v>
      </c>
      <c r="N212" s="4">
        <f t="shared" si="125"/>
        <v>319.64361247999966</v>
      </c>
      <c r="O212" s="4">
        <f t="shared" si="125"/>
        <v>395.30304856000009</v>
      </c>
      <c r="P212" s="4">
        <f t="shared" si="125"/>
        <v>408.48562838000009</v>
      </c>
      <c r="Q212" s="4">
        <f t="shared" si="125"/>
        <v>536.30382140999995</v>
      </c>
      <c r="R212" s="4">
        <f t="shared" si="125"/>
        <v>458.42306760999969</v>
      </c>
      <c r="S212" s="4">
        <f t="shared" si="125"/>
        <v>419.49954033000017</v>
      </c>
      <c r="T212" s="4">
        <f t="shared" si="125"/>
        <v>189.32685040999965</v>
      </c>
      <c r="U212" s="4">
        <f t="shared" si="125"/>
        <v>131.59607114000002</v>
      </c>
      <c r="V212" s="4">
        <f t="shared" si="125"/>
        <v>132.03600000000051</v>
      </c>
      <c r="W212" s="4">
        <f t="shared" si="125"/>
        <v>265.7170000000001</v>
      </c>
      <c r="Y212" s="4">
        <f t="shared" ref="Y212:AC212" si="126">SUM(Y204:Y208)</f>
        <v>710.89437460572617</v>
      </c>
      <c r="Z212" s="4">
        <f t="shared" si="126"/>
        <v>884.51557736517566</v>
      </c>
      <c r="AA212" s="4">
        <f t="shared" si="126"/>
        <v>1276.3956182976478</v>
      </c>
      <c r="AB212" s="4">
        <f t="shared" si="126"/>
        <v>1822.7120577299972</v>
      </c>
      <c r="AC212" s="4">
        <f t="shared" si="126"/>
        <v>718.67592155000182</v>
      </c>
    </row>
    <row r="213" spans="2:29" outlineLevel="1" x14ac:dyDescent="0.25">
      <c r="B213" s="8" t="s">
        <v>368</v>
      </c>
      <c r="C213" s="9" t="s">
        <v>14</v>
      </c>
      <c r="D213" s="11">
        <f t="shared" ref="D213:W213" si="127">D212/D44</f>
        <v>0.14093288682533894</v>
      </c>
      <c r="E213" s="11">
        <f t="shared" si="127"/>
        <v>9.2091230164206797E-2</v>
      </c>
      <c r="F213" s="11">
        <f t="shared" si="127"/>
        <v>0.13070365901900435</v>
      </c>
      <c r="G213" s="11">
        <f t="shared" si="127"/>
        <v>0.17072782401971201</v>
      </c>
      <c r="H213" s="11">
        <f t="shared" si="127"/>
        <v>0.14803442411135709</v>
      </c>
      <c r="I213" s="11">
        <f t="shared" si="127"/>
        <v>0.11980869569339038</v>
      </c>
      <c r="J213" s="11">
        <f t="shared" si="127"/>
        <v>0.13655412995174823</v>
      </c>
      <c r="K213" s="11">
        <f t="shared" si="127"/>
        <v>0.17073297311099228</v>
      </c>
      <c r="L213" s="11">
        <f t="shared" si="127"/>
        <v>0.15304620952002071</v>
      </c>
      <c r="M213" s="11">
        <f t="shared" si="127"/>
        <v>0.13291606216223451</v>
      </c>
      <c r="N213" s="11">
        <f t="shared" si="127"/>
        <v>0.14698866671510424</v>
      </c>
      <c r="O213" s="11">
        <f t="shared" si="127"/>
        <v>0.17175536652521112</v>
      </c>
      <c r="P213" s="11">
        <f t="shared" si="127"/>
        <v>0.15959923685828892</v>
      </c>
      <c r="Q213" s="11">
        <f t="shared" si="127"/>
        <v>0.20594767952803256</v>
      </c>
      <c r="R213" s="11">
        <f t="shared" si="127"/>
        <v>0.1698737119243936</v>
      </c>
      <c r="S213" s="11">
        <f t="shared" si="127"/>
        <v>0.14922792352051653</v>
      </c>
      <c r="T213" s="11">
        <f t="shared" si="127"/>
        <v>6.5207478960396345E-2</v>
      </c>
      <c r="U213" s="11">
        <f t="shared" si="127"/>
        <v>4.1171209183831499E-2</v>
      </c>
      <c r="V213" s="11">
        <f t="shared" si="127"/>
        <v>4.0996578650518568E-2</v>
      </c>
      <c r="W213" s="11">
        <f t="shared" si="127"/>
        <v>8.1409990882174182E-2</v>
      </c>
      <c r="Y213" s="11">
        <f>Y212/Y44</f>
        <v>0.13400653970014764</v>
      </c>
      <c r="Z213" s="11">
        <f>Z212/Z44</f>
        <v>0.14417021881461989</v>
      </c>
      <c r="AA213" s="11">
        <f>AA212/AA44</f>
        <v>0.1517271766603773</v>
      </c>
      <c r="AB213" s="11">
        <f>AB212/AB44</f>
        <v>0.17077356792034057</v>
      </c>
      <c r="AC213" s="11">
        <f>AC212/AC44</f>
        <v>5.7108654269374642E-2</v>
      </c>
    </row>
    <row r="215" spans="2:29" ht="15.75" x14ac:dyDescent="0.25">
      <c r="B215" s="33" t="s">
        <v>333</v>
      </c>
    </row>
    <row r="216" spans="2:29" outlineLevel="1" x14ac:dyDescent="0.25">
      <c r="B216" s="32" t="s">
        <v>6</v>
      </c>
      <c r="C216" s="17" t="s">
        <v>42</v>
      </c>
      <c r="D216" s="17" t="s">
        <v>37</v>
      </c>
      <c r="E216" s="17" t="s">
        <v>38</v>
      </c>
      <c r="F216" s="17" t="s">
        <v>39</v>
      </c>
      <c r="G216" s="17" t="s">
        <v>40</v>
      </c>
      <c r="H216" s="17" t="s">
        <v>41</v>
      </c>
      <c r="I216" s="17" t="s">
        <v>376</v>
      </c>
      <c r="J216" s="17" t="s">
        <v>384</v>
      </c>
      <c r="K216" s="17" t="s">
        <v>398</v>
      </c>
      <c r="L216" s="17" t="s">
        <v>406</v>
      </c>
      <c r="M216" s="17" t="s">
        <v>421</v>
      </c>
      <c r="N216" s="17" t="s">
        <v>423</v>
      </c>
      <c r="O216" s="17" t="s">
        <v>426</v>
      </c>
      <c r="P216" s="17" t="s">
        <v>430</v>
      </c>
      <c r="Q216" s="17" t="s">
        <v>432</v>
      </c>
      <c r="R216" s="17" t="s">
        <v>560</v>
      </c>
      <c r="S216" s="17" t="s">
        <v>572</v>
      </c>
      <c r="T216" s="17" t="s">
        <v>575</v>
      </c>
      <c r="U216" s="17" t="s">
        <v>590</v>
      </c>
      <c r="V216" s="17" t="s">
        <v>594</v>
      </c>
      <c r="W216" s="17" t="s">
        <v>603</v>
      </c>
      <c r="Y216" s="17">
        <v>2017</v>
      </c>
      <c r="Z216" s="17">
        <v>2018</v>
      </c>
      <c r="AA216" s="17">
        <v>2019</v>
      </c>
      <c r="AB216" s="17">
        <v>2020</v>
      </c>
      <c r="AC216" s="17">
        <v>2021</v>
      </c>
    </row>
    <row r="217" spans="2:29" outlineLevel="1" x14ac:dyDescent="0.25">
      <c r="B217" s="9" t="s">
        <v>311</v>
      </c>
      <c r="C217" s="3" t="s">
        <v>46</v>
      </c>
      <c r="D217" s="4">
        <f t="shared" ref="D217:W217" si="128">D72</f>
        <v>59.371999999999879</v>
      </c>
      <c r="E217" s="4">
        <f t="shared" si="128"/>
        <v>25.249999999999819</v>
      </c>
      <c r="F217" s="4">
        <f t="shared" si="128"/>
        <v>35.821999999999882</v>
      </c>
      <c r="G217" s="4">
        <f t="shared" si="128"/>
        <v>117.71099999999994</v>
      </c>
      <c r="H217" s="4">
        <f t="shared" si="128"/>
        <v>60.26199999999983</v>
      </c>
      <c r="I217" s="4">
        <f t="shared" si="128"/>
        <v>51.272999999999783</v>
      </c>
      <c r="J217" s="4">
        <f t="shared" si="128"/>
        <v>94.151999999999774</v>
      </c>
      <c r="K217" s="4">
        <f t="shared" si="128"/>
        <v>128.38599999999997</v>
      </c>
      <c r="L217" s="4">
        <f t="shared" si="128"/>
        <v>102.84199999999989</v>
      </c>
      <c r="M217" s="4">
        <f t="shared" si="128"/>
        <v>89.6460000000002</v>
      </c>
      <c r="N217" s="4">
        <f t="shared" si="128"/>
        <v>99.69199999999968</v>
      </c>
      <c r="O217" s="4">
        <f t="shared" si="128"/>
        <v>131.40300000000005</v>
      </c>
      <c r="P217" s="4">
        <f t="shared" si="128"/>
        <v>160.40400000000008</v>
      </c>
      <c r="Q217" s="4">
        <f t="shared" si="128"/>
        <v>223.39099999999996</v>
      </c>
      <c r="R217" s="4">
        <f t="shared" si="128"/>
        <v>196.78499999999971</v>
      </c>
      <c r="S217" s="4">
        <f t="shared" si="128"/>
        <v>155.16500000000013</v>
      </c>
      <c r="T217" s="14">
        <f t="shared" si="128"/>
        <v>-27.900000000000347</v>
      </c>
      <c r="U217" s="14">
        <f t="shared" si="128"/>
        <v>-47.980000000000004</v>
      </c>
      <c r="V217" s="14">
        <f t="shared" si="128"/>
        <v>-90.729999999999478</v>
      </c>
      <c r="W217" s="14">
        <f t="shared" si="128"/>
        <v>-4.8969999999999274</v>
      </c>
      <c r="Y217" s="4">
        <f>Y72</f>
        <v>238.15499999999867</v>
      </c>
      <c r="Z217" s="4">
        <f>Z72</f>
        <v>334.07300000000004</v>
      </c>
      <c r="AA217" s="4">
        <f>AA72</f>
        <v>423.58300000000065</v>
      </c>
      <c r="AB217" s="4">
        <f>AB72</f>
        <v>735.74499999999716</v>
      </c>
      <c r="AC217" s="14">
        <f>AC72</f>
        <v>-171.5069999999983</v>
      </c>
    </row>
    <row r="218" spans="2:29" outlineLevel="1" x14ac:dyDescent="0.25">
      <c r="B218" s="1" t="s">
        <v>332</v>
      </c>
      <c r="C218" s="6" t="s">
        <v>46</v>
      </c>
      <c r="D218" s="19">
        <f t="shared" ref="D218:W218" si="129">D209</f>
        <v>0.85176966000000021</v>
      </c>
      <c r="E218" s="19">
        <f t="shared" si="129"/>
        <v>6.3542757400000003</v>
      </c>
      <c r="F218" s="19">
        <f t="shared" si="129"/>
        <v>0.60153981000000012</v>
      </c>
      <c r="G218" s="19">
        <f t="shared" si="129"/>
        <v>11.325629559999999</v>
      </c>
      <c r="H218" s="19">
        <f t="shared" si="129"/>
        <v>4.9880152300000002</v>
      </c>
      <c r="I218" s="19">
        <f t="shared" si="129"/>
        <v>29.232572400000002</v>
      </c>
      <c r="J218" s="19">
        <f t="shared" si="129"/>
        <v>0</v>
      </c>
      <c r="K218" s="19">
        <f t="shared" si="129"/>
        <v>30.561</v>
      </c>
      <c r="L218" s="19">
        <f t="shared" si="129"/>
        <v>0</v>
      </c>
      <c r="M218" s="19">
        <f t="shared" si="129"/>
        <v>0</v>
      </c>
      <c r="N218" s="19">
        <f t="shared" si="129"/>
        <v>0</v>
      </c>
      <c r="O218" s="19">
        <f t="shared" si="129"/>
        <v>0</v>
      </c>
      <c r="P218" s="19">
        <f t="shared" si="129"/>
        <v>0</v>
      </c>
      <c r="Q218" s="19">
        <f t="shared" si="129"/>
        <v>0</v>
      </c>
      <c r="R218" s="19">
        <f t="shared" si="129"/>
        <v>0</v>
      </c>
      <c r="S218" s="19">
        <f t="shared" si="129"/>
        <v>0</v>
      </c>
      <c r="T218" s="19">
        <f t="shared" si="129"/>
        <v>0</v>
      </c>
      <c r="U218" s="19">
        <f t="shared" si="129"/>
        <v>0</v>
      </c>
      <c r="V218" s="19">
        <f t="shared" si="129"/>
        <v>0</v>
      </c>
      <c r="W218" s="19">
        <f t="shared" si="129"/>
        <v>0</v>
      </c>
      <c r="Y218" s="19">
        <f t="shared" ref="Y218:AC218" si="130">Y209</f>
        <v>19.133214770000002</v>
      </c>
      <c r="Z218" s="19">
        <f t="shared" si="130"/>
        <v>64.781587630000004</v>
      </c>
      <c r="AA218" s="19">
        <f t="shared" si="130"/>
        <v>0</v>
      </c>
      <c r="AB218" s="19">
        <f t="shared" si="130"/>
        <v>0</v>
      </c>
      <c r="AC218" s="19">
        <f t="shared" si="130"/>
        <v>0</v>
      </c>
    </row>
    <row r="219" spans="2:29" outlineLevel="1" x14ac:dyDescent="0.25">
      <c r="B219" s="1" t="s">
        <v>337</v>
      </c>
      <c r="C219" s="6" t="s">
        <v>46</v>
      </c>
      <c r="D219" s="19">
        <f t="shared" ref="D219:W219" si="131">D211</f>
        <v>0.62164903000000049</v>
      </c>
      <c r="E219" s="19">
        <f t="shared" si="131"/>
        <v>3.6500378100000046</v>
      </c>
      <c r="F219" s="19">
        <f t="shared" si="131"/>
        <v>4.3110211146238022</v>
      </c>
      <c r="G219" s="19">
        <f t="shared" si="131"/>
        <v>3.3797917711035916</v>
      </c>
      <c r="H219" s="19">
        <f t="shared" si="131"/>
        <v>11.833391560000001</v>
      </c>
      <c r="I219" s="19">
        <f t="shared" si="131"/>
        <v>0.9095010275877794</v>
      </c>
      <c r="J219" s="19">
        <f t="shared" si="131"/>
        <v>-0.33049897241222798</v>
      </c>
      <c r="K219" s="19">
        <f t="shared" si="131"/>
        <v>1.1659999999999999</v>
      </c>
      <c r="L219" s="19">
        <f t="shared" si="131"/>
        <v>0</v>
      </c>
      <c r="M219" s="19">
        <f t="shared" si="131"/>
        <v>0</v>
      </c>
      <c r="N219" s="19">
        <f t="shared" si="131"/>
        <v>0</v>
      </c>
      <c r="O219" s="19">
        <f t="shared" si="131"/>
        <v>0</v>
      </c>
      <c r="P219" s="19">
        <f t="shared" si="131"/>
        <v>0</v>
      </c>
      <c r="Q219" s="19">
        <f t="shared" si="131"/>
        <v>0</v>
      </c>
      <c r="R219" s="19">
        <f t="shared" si="131"/>
        <v>0</v>
      </c>
      <c r="S219" s="19">
        <f t="shared" si="131"/>
        <v>0</v>
      </c>
      <c r="T219" s="19">
        <f t="shared" si="131"/>
        <v>0</v>
      </c>
      <c r="U219" s="19">
        <f t="shared" si="131"/>
        <v>0</v>
      </c>
      <c r="V219" s="19">
        <f t="shared" si="131"/>
        <v>0</v>
      </c>
      <c r="W219" s="19">
        <f t="shared" si="131"/>
        <v>0</v>
      </c>
      <c r="Y219" s="19">
        <f t="shared" ref="Y219:AC219" si="132">Y211</f>
        <v>11.962499725727398</v>
      </c>
      <c r="Z219" s="19">
        <f t="shared" si="132"/>
        <v>13.578393615175553</v>
      </c>
      <c r="AA219" s="19">
        <f t="shared" si="132"/>
        <v>0</v>
      </c>
      <c r="AB219" s="19">
        <f t="shared" si="132"/>
        <v>0</v>
      </c>
      <c r="AC219" s="19">
        <f t="shared" si="132"/>
        <v>0</v>
      </c>
    </row>
    <row r="220" spans="2:29" outlineLevel="1" x14ac:dyDescent="0.25">
      <c r="B220" s="1" t="s">
        <v>331</v>
      </c>
      <c r="C220" s="6" t="s">
        <v>46</v>
      </c>
      <c r="D220" s="19">
        <v>-0.28960168440000006</v>
      </c>
      <c r="E220" s="19">
        <v>-2.2247320470000003</v>
      </c>
      <c r="F220" s="19">
        <v>-0.93709741240000022</v>
      </c>
      <c r="G220" s="19">
        <v>-3.8507140503999997</v>
      </c>
      <c r="H220" s="19">
        <v>-1.6959251782000002</v>
      </c>
      <c r="I220" s="19">
        <v>-9.939074616000001</v>
      </c>
      <c r="J220" s="19">
        <v>0.86</v>
      </c>
      <c r="K220" s="19">
        <v>-10.390739999999999</v>
      </c>
      <c r="L220" s="19">
        <v>0</v>
      </c>
      <c r="M220" s="19">
        <v>0</v>
      </c>
      <c r="N220" s="19">
        <v>0</v>
      </c>
      <c r="O220" s="19">
        <v>0</v>
      </c>
      <c r="P220" s="19">
        <v>0</v>
      </c>
      <c r="Q220" s="19">
        <v>0</v>
      </c>
      <c r="R220" s="19">
        <v>0</v>
      </c>
      <c r="S220" s="19">
        <v>0</v>
      </c>
      <c r="T220" s="19">
        <v>0</v>
      </c>
      <c r="U220" s="19">
        <v>0</v>
      </c>
      <c r="V220" s="19">
        <v>0</v>
      </c>
      <c r="W220" s="19">
        <v>0</v>
      </c>
      <c r="Y220" s="19">
        <f>SUM(D220:G220)</f>
        <v>-7.3021451942000004</v>
      </c>
      <c r="Z220" s="19">
        <f>SUM(H220:K220)</f>
        <v>-21.1657397942</v>
      </c>
      <c r="AA220" s="19">
        <f>SUM(L220:O220)</f>
        <v>0</v>
      </c>
      <c r="AB220" s="19">
        <f>SUM(P220:S220)</f>
        <v>0</v>
      </c>
      <c r="AC220" s="19">
        <f>SUM(T220:W220)</f>
        <v>0</v>
      </c>
    </row>
    <row r="221" spans="2:29" outlineLevel="1" x14ac:dyDescent="0.25">
      <c r="B221" s="1" t="s">
        <v>336</v>
      </c>
      <c r="C221" s="6" t="s">
        <v>46</v>
      </c>
      <c r="D221" s="19">
        <f t="shared" ref="D221:W221" si="133">D205</f>
        <v>3.8149999999999999</v>
      </c>
      <c r="E221" s="19">
        <f t="shared" si="133"/>
        <v>3.6010000000000004</v>
      </c>
      <c r="F221" s="19">
        <f t="shared" si="133"/>
        <v>2.84</v>
      </c>
      <c r="G221" s="19">
        <f t="shared" si="133"/>
        <v>3.206</v>
      </c>
      <c r="H221" s="19">
        <f t="shared" si="133"/>
        <v>4.2789999999999999</v>
      </c>
      <c r="I221" s="19">
        <f t="shared" si="133"/>
        <v>7.4039999999999999</v>
      </c>
      <c r="J221" s="19">
        <f t="shared" si="133"/>
        <v>8.3759999999999994</v>
      </c>
      <c r="K221" s="19">
        <f t="shared" si="133"/>
        <v>7.5650000000000004</v>
      </c>
      <c r="L221" s="19">
        <f t="shared" si="133"/>
        <v>7.0069999999999997</v>
      </c>
      <c r="M221" s="19">
        <f t="shared" si="133"/>
        <v>12.317</v>
      </c>
      <c r="N221" s="19">
        <f t="shared" si="133"/>
        <v>13.496</v>
      </c>
      <c r="O221" s="19">
        <f t="shared" si="133"/>
        <v>11.446999999999999</v>
      </c>
      <c r="P221" s="19">
        <f t="shared" si="133"/>
        <v>10.923999999999999</v>
      </c>
      <c r="Q221" s="19">
        <f t="shared" si="133"/>
        <v>12.571</v>
      </c>
      <c r="R221" s="19">
        <f t="shared" si="133"/>
        <v>12.557</v>
      </c>
      <c r="S221" s="19">
        <f t="shared" si="133"/>
        <v>12.689</v>
      </c>
      <c r="T221" s="19">
        <f t="shared" si="133"/>
        <v>12.093999999999999</v>
      </c>
      <c r="U221" s="19">
        <f t="shared" si="133"/>
        <v>4.57</v>
      </c>
      <c r="V221" s="19">
        <f t="shared" si="133"/>
        <v>5.7119999999999997</v>
      </c>
      <c r="W221" s="19">
        <f t="shared" si="133"/>
        <v>5.4249999999999998</v>
      </c>
      <c r="Y221" s="19">
        <f t="shared" ref="Y221:Z221" si="134">Y205</f>
        <v>13.462</v>
      </c>
      <c r="Z221" s="19">
        <f t="shared" si="134"/>
        <v>27.623999999999999</v>
      </c>
      <c r="AA221" s="19">
        <f>SUM(L221:O221)</f>
        <v>44.266999999999996</v>
      </c>
      <c r="AB221" s="19">
        <f>SUM(P221:S221)</f>
        <v>48.741</v>
      </c>
      <c r="AC221" s="19">
        <f>SUM(T221:W221)</f>
        <v>27.801000000000002</v>
      </c>
    </row>
    <row r="222" spans="2:29" outlineLevel="1" x14ac:dyDescent="0.25">
      <c r="B222" s="1" t="s">
        <v>339</v>
      </c>
      <c r="C222" s="6" t="s">
        <v>46</v>
      </c>
      <c r="D222" s="19">
        <v>0</v>
      </c>
      <c r="E222" s="19">
        <v>0</v>
      </c>
      <c r="F222" s="19">
        <v>0</v>
      </c>
      <c r="G222" s="19">
        <v>0</v>
      </c>
      <c r="H222" s="19">
        <v>10.7523353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  <c r="Q222" s="19">
        <v>0</v>
      </c>
      <c r="R222" s="19">
        <v>0</v>
      </c>
      <c r="S222" s="19">
        <v>0</v>
      </c>
      <c r="T222" s="19">
        <v>0</v>
      </c>
      <c r="U222" s="19">
        <v>0</v>
      </c>
      <c r="V222" s="19">
        <v>0</v>
      </c>
      <c r="W222" s="19">
        <v>0</v>
      </c>
      <c r="Y222" s="19">
        <f>SUM(D222:G222)</f>
        <v>0</v>
      </c>
      <c r="Z222" s="19">
        <f>SUM(H222:K222)</f>
        <v>10.7523353</v>
      </c>
      <c r="AA222" s="19">
        <f>SUM(L222:O222)</f>
        <v>0</v>
      </c>
      <c r="AB222" s="19">
        <f>SUM(P222:S222)</f>
        <v>0</v>
      </c>
      <c r="AC222" s="19">
        <f t="shared" ref="AC222:AC224" si="135">SUM(T222:W222)</f>
        <v>0</v>
      </c>
    </row>
    <row r="223" spans="2:29" outlineLevel="1" x14ac:dyDescent="0.25">
      <c r="B223" s="1" t="s">
        <v>335</v>
      </c>
      <c r="C223" s="6" t="s">
        <v>46</v>
      </c>
      <c r="D223" s="19">
        <v>17.375499999999999</v>
      </c>
      <c r="E223" s="19">
        <v>17.375499999999999</v>
      </c>
      <c r="F223" s="19">
        <v>17.375499999999999</v>
      </c>
      <c r="G223" s="19">
        <v>17.375499999999999</v>
      </c>
      <c r="H223" s="19">
        <v>16.187000000000001</v>
      </c>
      <c r="I223" s="19">
        <v>16.187498972412222</v>
      </c>
      <c r="J223" s="19">
        <v>16.187498972412222</v>
      </c>
      <c r="K223" s="19">
        <v>16.187997944824499</v>
      </c>
      <c r="L223" s="19">
        <v>16.148391839999999</v>
      </c>
      <c r="M223" s="19">
        <v>16.128838260000002</v>
      </c>
      <c r="N223" s="19">
        <v>33.533000000000001</v>
      </c>
      <c r="O223" s="19">
        <v>25.913</v>
      </c>
      <c r="P223" s="19">
        <v>29.353999999999999</v>
      </c>
      <c r="Q223" s="19">
        <v>32.356999999999999</v>
      </c>
      <c r="R223" s="19">
        <v>37.624000000000002</v>
      </c>
      <c r="S223" s="19">
        <v>31.312999999999999</v>
      </c>
      <c r="T223" s="19">
        <v>34.618000000000002</v>
      </c>
      <c r="U223" s="19">
        <v>34.982999999999997</v>
      </c>
      <c r="V223" s="19">
        <v>30.161999999999999</v>
      </c>
      <c r="W223" s="19">
        <v>33.710999999999999</v>
      </c>
      <c r="Y223" s="19">
        <f>SUM(D223:G223)</f>
        <v>69.501999999999995</v>
      </c>
      <c r="Z223" s="19">
        <f>SUM(H223:K223)</f>
        <v>64.749995889648943</v>
      </c>
      <c r="AA223" s="19">
        <f>SUM(L223:O223)</f>
        <v>91.723230099999995</v>
      </c>
      <c r="AB223" s="19">
        <f>SUM(P223:S223)</f>
        <v>130.648</v>
      </c>
      <c r="AC223" s="19">
        <f t="shared" si="135"/>
        <v>133.47399999999999</v>
      </c>
    </row>
    <row r="224" spans="2:29" outlineLevel="1" x14ac:dyDescent="0.25">
      <c r="B224" s="1" t="s">
        <v>334</v>
      </c>
      <c r="C224" s="6" t="s">
        <v>46</v>
      </c>
      <c r="D224" s="19">
        <f t="shared" ref="D224:N224" si="136">-D71</f>
        <v>14.525</v>
      </c>
      <c r="E224" s="19">
        <f t="shared" si="136"/>
        <v>15.148</v>
      </c>
      <c r="F224" s="19">
        <f t="shared" si="136"/>
        <v>13.35</v>
      </c>
      <c r="G224" s="19">
        <f t="shared" si="136"/>
        <v>8.2289999999999992</v>
      </c>
      <c r="H224" s="19">
        <f t="shared" si="136"/>
        <v>31.015000000000001</v>
      </c>
      <c r="I224" s="19">
        <f t="shared" si="136"/>
        <v>10.387</v>
      </c>
      <c r="J224" s="19">
        <f t="shared" si="136"/>
        <v>7.968</v>
      </c>
      <c r="K224" s="19">
        <f t="shared" si="136"/>
        <v>23.712</v>
      </c>
      <c r="L224" s="19">
        <f t="shared" si="136"/>
        <v>21.55</v>
      </c>
      <c r="M224" s="19">
        <f t="shared" si="136"/>
        <v>12.651</v>
      </c>
      <c r="N224" s="19">
        <f t="shared" si="136"/>
        <v>9.0009999999999994</v>
      </c>
      <c r="O224" s="19">
        <v>29.568000000000001</v>
      </c>
      <c r="P224" s="19">
        <v>7.2690000000000001</v>
      </c>
      <c r="Q224" s="19">
        <v>35.543999999999997</v>
      </c>
      <c r="R224" s="19">
        <v>18.558</v>
      </c>
      <c r="S224" s="19">
        <v>33.502000000000002</v>
      </c>
      <c r="T224" s="19">
        <v>9.109</v>
      </c>
      <c r="U224" s="19">
        <v>-1.4359999999999999</v>
      </c>
      <c r="V224" s="19">
        <v>18.295000000000002</v>
      </c>
      <c r="W224" s="19">
        <v>14.362</v>
      </c>
      <c r="Y224" s="19">
        <f>-Y71</f>
        <v>51.252000000000002</v>
      </c>
      <c r="Z224" s="19">
        <f>-Z71</f>
        <v>73.082000000000008</v>
      </c>
      <c r="AA224" s="19">
        <f>SUM(L224:O224)</f>
        <v>72.77</v>
      </c>
      <c r="AB224" s="19">
        <f>SUM(P224:S224)</f>
        <v>94.87299999999999</v>
      </c>
      <c r="AC224" s="19">
        <f t="shared" si="135"/>
        <v>40.330000000000005</v>
      </c>
    </row>
    <row r="225" spans="2:29" outlineLevel="1" x14ac:dyDescent="0.25">
      <c r="B225" s="3" t="s">
        <v>333</v>
      </c>
      <c r="C225" s="3" t="s">
        <v>46</v>
      </c>
      <c r="D225" s="14">
        <f t="shared" ref="D225:W225" si="137">SUM(D217:D224)</f>
        <v>96.271317005599897</v>
      </c>
      <c r="E225" s="14">
        <f t="shared" si="137"/>
        <v>69.154081502999816</v>
      </c>
      <c r="F225" s="14">
        <f t="shared" si="137"/>
        <v>73.362963512223672</v>
      </c>
      <c r="G225" s="14">
        <f t="shared" si="137"/>
        <v>157.37620728070351</v>
      </c>
      <c r="H225" s="14">
        <f t="shared" si="137"/>
        <v>137.62081691179981</v>
      </c>
      <c r="I225" s="14">
        <f t="shared" si="137"/>
        <v>105.45449778399978</v>
      </c>
      <c r="J225" s="14">
        <f t="shared" si="137"/>
        <v>127.21299999999978</v>
      </c>
      <c r="K225" s="14">
        <f t="shared" si="137"/>
        <v>197.18725794482447</v>
      </c>
      <c r="L225" s="14">
        <f t="shared" si="137"/>
        <v>147.5473918399999</v>
      </c>
      <c r="M225" s="14">
        <f t="shared" si="137"/>
        <v>130.74283826000021</v>
      </c>
      <c r="N225" s="14">
        <f t="shared" si="137"/>
        <v>155.72199999999967</v>
      </c>
      <c r="O225" s="14">
        <f t="shared" si="137"/>
        <v>198.33100000000007</v>
      </c>
      <c r="P225" s="14">
        <f t="shared" si="137"/>
        <v>207.95100000000008</v>
      </c>
      <c r="Q225" s="14">
        <f t="shared" si="137"/>
        <v>303.86299999999994</v>
      </c>
      <c r="R225" s="14">
        <f t="shared" si="137"/>
        <v>265.52399999999972</v>
      </c>
      <c r="S225" s="14">
        <f t="shared" si="137"/>
        <v>232.66900000000012</v>
      </c>
      <c r="T225" s="14">
        <f t="shared" si="137"/>
        <v>27.920999999999658</v>
      </c>
      <c r="U225" s="14">
        <f t="shared" si="137"/>
        <v>-9.8630000000000067</v>
      </c>
      <c r="V225" s="14">
        <f t="shared" si="137"/>
        <v>-36.560999999999474</v>
      </c>
      <c r="W225" s="14">
        <f t="shared" si="137"/>
        <v>48.60100000000007</v>
      </c>
      <c r="Y225" s="4">
        <f t="shared" ref="Y225:AC225" si="138">SUM(Y217:Y224)</f>
        <v>396.16456930152606</v>
      </c>
      <c r="Z225" s="4">
        <f t="shared" si="138"/>
        <v>567.47557264062459</v>
      </c>
      <c r="AA225" s="4">
        <f t="shared" si="138"/>
        <v>632.3432301000006</v>
      </c>
      <c r="AB225" s="4">
        <f t="shared" si="138"/>
        <v>1010.0069999999971</v>
      </c>
      <c r="AC225" s="14">
        <f t="shared" si="138"/>
        <v>30.098000000001683</v>
      </c>
    </row>
    <row r="226" spans="2:29" outlineLevel="1" x14ac:dyDescent="0.25">
      <c r="B226" s="8" t="s">
        <v>369</v>
      </c>
      <c r="C226" s="9" t="s">
        <v>14</v>
      </c>
      <c r="D226" s="11">
        <f t="shared" ref="D226:W226" si="139">+D225/D44</f>
        <v>7.9000795171555754E-2</v>
      </c>
      <c r="E226" s="11">
        <f t="shared" si="139"/>
        <v>5.2441022689735682E-2</v>
      </c>
      <c r="F226" s="11">
        <f t="shared" si="139"/>
        <v>5.3585005797423611E-2</v>
      </c>
      <c r="G226" s="11">
        <f t="shared" si="139"/>
        <v>0.11253102026915963</v>
      </c>
      <c r="H226" s="11">
        <f t="shared" si="139"/>
        <v>9.5666874454690798E-2</v>
      </c>
      <c r="I226" s="11">
        <f t="shared" si="139"/>
        <v>6.968811703667957E-2</v>
      </c>
      <c r="J226" s="11">
        <f t="shared" si="139"/>
        <v>8.1644716194872041E-2</v>
      </c>
      <c r="K226" s="11">
        <f t="shared" si="139"/>
        <v>0.1213227855744682</v>
      </c>
      <c r="L226" s="11">
        <f t="shared" si="139"/>
        <v>7.7642096936726981E-2</v>
      </c>
      <c r="M226" s="11">
        <f t="shared" si="139"/>
        <v>6.4217905011235782E-2</v>
      </c>
      <c r="N226" s="11">
        <f t="shared" si="139"/>
        <v>7.1609030384242767E-2</v>
      </c>
      <c r="O226" s="11">
        <f t="shared" si="139"/>
        <v>8.6172908917349966E-2</v>
      </c>
      <c r="P226" s="11">
        <f t="shared" si="139"/>
        <v>8.1248442045661479E-2</v>
      </c>
      <c r="Q226" s="11">
        <f t="shared" si="139"/>
        <v>0.11668736497140253</v>
      </c>
      <c r="R226" s="11">
        <f t="shared" si="139"/>
        <v>9.8392839872067414E-2</v>
      </c>
      <c r="S226" s="11">
        <f t="shared" si="139"/>
        <v>8.276698398830655E-2</v>
      </c>
      <c r="T226" s="11">
        <f t="shared" si="139"/>
        <v>9.6164807902864823E-3</v>
      </c>
      <c r="U226" s="11">
        <f t="shared" si="139"/>
        <v>-3.0857428543449926E-3</v>
      </c>
      <c r="V226" s="11">
        <f t="shared" si="139"/>
        <v>-1.1352024539077086E-2</v>
      </c>
      <c r="W226" s="11">
        <f t="shared" si="139"/>
        <v>1.4890304221651426E-2</v>
      </c>
      <c r="Y226" s="11">
        <f>+Y225/Y44</f>
        <v>7.467866532681551E-2</v>
      </c>
      <c r="Z226" s="11">
        <f>+Z225/Z44</f>
        <v>9.2494784233487518E-2</v>
      </c>
      <c r="AA226" s="11">
        <f>+AA225/AA44</f>
        <v>7.5167645209671133E-2</v>
      </c>
      <c r="AB226" s="11">
        <f>+AB225/AB44</f>
        <v>9.4629592361027318E-2</v>
      </c>
      <c r="AC226" s="11">
        <f>+AC225/AC44</f>
        <v>2.3916987123940325E-3</v>
      </c>
    </row>
    <row r="228" spans="2:29" ht="15.75" x14ac:dyDescent="0.25">
      <c r="B228" s="42" t="s">
        <v>340</v>
      </c>
    </row>
    <row r="229" spans="2:29" outlineLevel="1" x14ac:dyDescent="0.25">
      <c r="B229" s="32" t="s">
        <v>6</v>
      </c>
      <c r="C229" s="17" t="s">
        <v>42</v>
      </c>
      <c r="D229" s="17" t="s">
        <v>37</v>
      </c>
      <c r="E229" s="17" t="s">
        <v>38</v>
      </c>
      <c r="F229" s="17" t="s">
        <v>39</v>
      </c>
      <c r="G229" s="17" t="s">
        <v>40</v>
      </c>
      <c r="H229" s="17" t="s">
        <v>41</v>
      </c>
      <c r="I229" s="17" t="s">
        <v>376</v>
      </c>
      <c r="J229" s="17" t="s">
        <v>384</v>
      </c>
      <c r="K229" s="17" t="s">
        <v>398</v>
      </c>
      <c r="L229" s="17" t="s">
        <v>406</v>
      </c>
      <c r="M229" s="17" t="s">
        <v>421</v>
      </c>
      <c r="N229" s="17" t="s">
        <v>423</v>
      </c>
      <c r="O229" s="17" t="s">
        <v>426</v>
      </c>
      <c r="P229" s="17" t="s">
        <v>430</v>
      </c>
      <c r="Q229" s="17" t="s">
        <v>432</v>
      </c>
      <c r="R229" s="17" t="s">
        <v>560</v>
      </c>
      <c r="S229" s="17" t="s">
        <v>572</v>
      </c>
      <c r="T229" s="17" t="s">
        <v>575</v>
      </c>
      <c r="U229" s="17" t="s">
        <v>590</v>
      </c>
      <c r="V229" s="17" t="s">
        <v>594</v>
      </c>
      <c r="W229" s="17" t="s">
        <v>603</v>
      </c>
      <c r="Y229" s="17">
        <v>2017</v>
      </c>
      <c r="Z229" s="17">
        <v>2018</v>
      </c>
      <c r="AA229" s="17">
        <v>2019</v>
      </c>
      <c r="AB229" s="17">
        <v>2020</v>
      </c>
      <c r="AC229" s="17">
        <v>2021</v>
      </c>
    </row>
    <row r="230" spans="2:29" outlineLevel="1" x14ac:dyDescent="0.25">
      <c r="B230" s="1" t="s">
        <v>371</v>
      </c>
      <c r="C230" s="6" t="s">
        <v>46</v>
      </c>
      <c r="D230" s="19">
        <f t="shared" ref="D230:W230" si="140">D115+D107</f>
        <v>224.66300000000001</v>
      </c>
      <c r="E230" s="19">
        <f t="shared" si="140"/>
        <v>228.577</v>
      </c>
      <c r="F230" s="19">
        <f t="shared" si="140"/>
        <v>231.279</v>
      </c>
      <c r="G230" s="19">
        <f t="shared" si="140"/>
        <v>235.577</v>
      </c>
      <c r="H230" s="19">
        <f t="shared" si="140"/>
        <v>237.34100000000001</v>
      </c>
      <c r="I230" s="19">
        <f t="shared" si="140"/>
        <v>226.36699999999999</v>
      </c>
      <c r="J230" s="19">
        <f t="shared" si="140"/>
        <v>221.898</v>
      </c>
      <c r="K230" s="19">
        <f t="shared" si="140"/>
        <v>222.773</v>
      </c>
      <c r="L230" s="19">
        <f t="shared" si="140"/>
        <v>222.99799999999999</v>
      </c>
      <c r="M230" s="19">
        <f t="shared" si="140"/>
        <v>205.358</v>
      </c>
      <c r="N230" s="19">
        <f t="shared" si="140"/>
        <v>179.803</v>
      </c>
      <c r="O230" s="19">
        <f t="shared" si="140"/>
        <v>118.98099999999999</v>
      </c>
      <c r="P230" s="19">
        <f t="shared" si="140"/>
        <v>84.262</v>
      </c>
      <c r="Q230" s="19">
        <f t="shared" si="140"/>
        <v>78.655000000000001</v>
      </c>
      <c r="R230" s="19">
        <f t="shared" si="140"/>
        <v>67.453999999999994</v>
      </c>
      <c r="S230" s="19">
        <f t="shared" si="140"/>
        <v>72.938000000000002</v>
      </c>
      <c r="T230" s="19">
        <f t="shared" si="140"/>
        <v>69.415000000000006</v>
      </c>
      <c r="U230" s="19">
        <f t="shared" si="140"/>
        <v>66.218999999999994</v>
      </c>
      <c r="V230" s="19">
        <f t="shared" si="140"/>
        <v>52.323999999999998</v>
      </c>
      <c r="W230" s="19">
        <f t="shared" si="140"/>
        <v>50.762</v>
      </c>
      <c r="Y230" s="19">
        <f>Y115</f>
        <v>235.577</v>
      </c>
      <c r="Z230" s="19">
        <f>Z115</f>
        <v>222.773</v>
      </c>
      <c r="AA230" s="19">
        <f>AA115+AA107</f>
        <v>118.98099999999999</v>
      </c>
      <c r="AB230" s="19">
        <f>AB115+AB107</f>
        <v>72.938000000000002</v>
      </c>
      <c r="AC230" s="19">
        <f>AC115+AC107</f>
        <v>50.762</v>
      </c>
    </row>
    <row r="231" spans="2:29" outlineLevel="1" x14ac:dyDescent="0.25">
      <c r="B231" s="1" t="s">
        <v>344</v>
      </c>
      <c r="C231" s="6" t="s">
        <v>46</v>
      </c>
      <c r="D231" s="19">
        <f t="shared" ref="D231:W231" si="141">+D104+D113</f>
        <v>675.95299999999997</v>
      </c>
      <c r="E231" s="19">
        <f t="shared" si="141"/>
        <v>576.327</v>
      </c>
      <c r="F231" s="19">
        <f t="shared" si="141"/>
        <v>594.71</v>
      </c>
      <c r="G231" s="19">
        <f t="shared" si="141"/>
        <v>845.60599999999999</v>
      </c>
      <c r="H231" s="19">
        <f t="shared" si="141"/>
        <v>656.36199999999997</v>
      </c>
      <c r="I231" s="19">
        <f t="shared" si="141"/>
        <v>657.66899999999998</v>
      </c>
      <c r="J231" s="19">
        <f t="shared" si="141"/>
        <v>657.59399999999994</v>
      </c>
      <c r="K231" s="19">
        <f t="shared" si="141"/>
        <v>658.06799999999998</v>
      </c>
      <c r="L231" s="19">
        <f t="shared" si="141"/>
        <v>1496.5440000000001</v>
      </c>
      <c r="M231" s="19">
        <f t="shared" si="141"/>
        <v>1513.0989999999999</v>
      </c>
      <c r="N231" s="19">
        <f t="shared" si="141"/>
        <v>2245.674</v>
      </c>
      <c r="O231" s="19">
        <f t="shared" si="141"/>
        <v>1922.097</v>
      </c>
      <c r="P231" s="19">
        <f t="shared" si="141"/>
        <v>923.34400000000005</v>
      </c>
      <c r="Q231" s="19">
        <f t="shared" si="141"/>
        <v>934.346</v>
      </c>
      <c r="R231" s="19">
        <f t="shared" si="141"/>
        <v>1611.4779999999998</v>
      </c>
      <c r="S231" s="19">
        <f t="shared" si="141"/>
        <v>2319.663</v>
      </c>
      <c r="T231" s="19">
        <f t="shared" si="141"/>
        <v>2252.9769999999999</v>
      </c>
      <c r="U231" s="19">
        <f t="shared" si="141"/>
        <v>2269.6819999999998</v>
      </c>
      <c r="V231" s="19">
        <f t="shared" si="141"/>
        <v>2268.471</v>
      </c>
      <c r="W231" s="19">
        <f t="shared" si="141"/>
        <v>3514.6280000000002</v>
      </c>
      <c r="Y231" s="19">
        <f>+Y104+Y113</f>
        <v>845.60599999999999</v>
      </c>
      <c r="Z231" s="19">
        <f>+Z104+Z113</f>
        <v>658.06799999999998</v>
      </c>
      <c r="AA231" s="19">
        <f>+AA104+AA113</f>
        <v>1922.097</v>
      </c>
      <c r="AB231" s="19">
        <f>+AB104+AB113</f>
        <v>2319.663</v>
      </c>
      <c r="AC231" s="19">
        <f>+AC104+AC113</f>
        <v>3514.6280000000002</v>
      </c>
    </row>
    <row r="232" spans="2:29" outlineLevel="1" x14ac:dyDescent="0.25">
      <c r="B232" s="1" t="s">
        <v>345</v>
      </c>
      <c r="C232" s="6" t="s">
        <v>46</v>
      </c>
      <c r="D232" s="19">
        <f t="shared" ref="D232:W232" si="142">+D103+D112</f>
        <v>2.5209999999999999</v>
      </c>
      <c r="E232" s="19">
        <f t="shared" si="142"/>
        <v>157.23000000000002</v>
      </c>
      <c r="F232" s="19">
        <f t="shared" si="142"/>
        <v>312.06800000000004</v>
      </c>
      <c r="G232" s="19">
        <f t="shared" si="142"/>
        <v>641.59500000000003</v>
      </c>
      <c r="H232" s="19">
        <f t="shared" si="142"/>
        <v>488.976</v>
      </c>
      <c r="I232" s="19">
        <f t="shared" si="142"/>
        <v>333.21699999999998</v>
      </c>
      <c r="J232" s="19">
        <f t="shared" si="142"/>
        <v>332.70100000000002</v>
      </c>
      <c r="K232" s="19">
        <f t="shared" si="142"/>
        <v>279.245</v>
      </c>
      <c r="L232" s="19">
        <f t="shared" si="142"/>
        <v>269.93299999999999</v>
      </c>
      <c r="M232" s="19">
        <f t="shared" si="142"/>
        <v>204.28300000000002</v>
      </c>
      <c r="N232" s="19">
        <f t="shared" si="142"/>
        <v>199.672</v>
      </c>
      <c r="O232" s="19">
        <f t="shared" si="142"/>
        <v>255.84199999999998</v>
      </c>
      <c r="P232" s="19">
        <f t="shared" si="142"/>
        <v>543.35</v>
      </c>
      <c r="Q232" s="19">
        <f t="shared" si="142"/>
        <v>1001.532</v>
      </c>
      <c r="R232" s="19">
        <f t="shared" si="142"/>
        <v>1237.4580000000001</v>
      </c>
      <c r="S232" s="19">
        <f t="shared" si="142"/>
        <v>1168.74</v>
      </c>
      <c r="T232" s="19">
        <f t="shared" si="142"/>
        <v>1136.5509999999999</v>
      </c>
      <c r="U232" s="19">
        <f t="shared" si="142"/>
        <v>1439.3240000000001</v>
      </c>
      <c r="V232" s="19">
        <f t="shared" si="142"/>
        <v>1511.0719999999999</v>
      </c>
      <c r="W232" s="19">
        <f t="shared" si="142"/>
        <v>1492.115</v>
      </c>
      <c r="Y232" s="19">
        <f>+Y103+Y112</f>
        <v>641.59500000000003</v>
      </c>
      <c r="Z232" s="19">
        <f>+Z103+Z112</f>
        <v>279.245</v>
      </c>
      <c r="AA232" s="19">
        <f>+AA103+AA112</f>
        <v>255.84199999999998</v>
      </c>
      <c r="AB232" s="19">
        <f>+AB103+AB112</f>
        <v>1168.74</v>
      </c>
      <c r="AC232" s="19">
        <f>+AC103+AC112</f>
        <v>1492.115</v>
      </c>
    </row>
    <row r="233" spans="2:29" outlineLevel="1" x14ac:dyDescent="0.25">
      <c r="B233" s="9" t="s">
        <v>341</v>
      </c>
      <c r="C233" s="3" t="s">
        <v>46</v>
      </c>
      <c r="D233" s="4">
        <f t="shared" ref="D233:W233" si="143">SUM(D230:D232)</f>
        <v>903.13699999999994</v>
      </c>
      <c r="E233" s="4">
        <f t="shared" si="143"/>
        <v>962.13400000000001</v>
      </c>
      <c r="F233" s="4">
        <f t="shared" si="143"/>
        <v>1138.057</v>
      </c>
      <c r="G233" s="4">
        <f t="shared" si="143"/>
        <v>1722.778</v>
      </c>
      <c r="H233" s="4">
        <f t="shared" si="143"/>
        <v>1382.6790000000001</v>
      </c>
      <c r="I233" s="4">
        <f t="shared" si="143"/>
        <v>1217.2529999999999</v>
      </c>
      <c r="J233" s="4">
        <f t="shared" si="143"/>
        <v>1212.193</v>
      </c>
      <c r="K233" s="4">
        <f t="shared" si="143"/>
        <v>1160.086</v>
      </c>
      <c r="L233" s="4">
        <f t="shared" si="143"/>
        <v>1989.4750000000001</v>
      </c>
      <c r="M233" s="4">
        <f t="shared" si="143"/>
        <v>1922.7399999999998</v>
      </c>
      <c r="N233" s="4">
        <f t="shared" si="143"/>
        <v>2625.1489999999999</v>
      </c>
      <c r="O233" s="4">
        <f t="shared" si="143"/>
        <v>2296.92</v>
      </c>
      <c r="P233" s="4">
        <f t="shared" si="143"/>
        <v>1550.9560000000001</v>
      </c>
      <c r="Q233" s="4">
        <f t="shared" si="143"/>
        <v>2014.5329999999999</v>
      </c>
      <c r="R233" s="4">
        <f t="shared" si="143"/>
        <v>2916.39</v>
      </c>
      <c r="S233" s="4">
        <f t="shared" si="143"/>
        <v>3561.3410000000003</v>
      </c>
      <c r="T233" s="4">
        <f t="shared" si="143"/>
        <v>3458.9429999999998</v>
      </c>
      <c r="U233" s="4">
        <f t="shared" si="143"/>
        <v>3775.2249999999999</v>
      </c>
      <c r="V233" s="4">
        <f t="shared" si="143"/>
        <v>3831.8670000000002</v>
      </c>
      <c r="W233" s="4">
        <f t="shared" si="143"/>
        <v>5057.5050000000001</v>
      </c>
      <c r="Y233" s="4">
        <f t="shared" ref="Y233:AC233" si="144">SUM(Y230:Y232)</f>
        <v>1722.778</v>
      </c>
      <c r="Z233" s="4">
        <f t="shared" si="144"/>
        <v>1160.086</v>
      </c>
      <c r="AA233" s="4">
        <f t="shared" si="144"/>
        <v>2296.92</v>
      </c>
      <c r="AB233" s="4">
        <f t="shared" si="144"/>
        <v>3561.3410000000003</v>
      </c>
      <c r="AC233" s="4">
        <f t="shared" si="144"/>
        <v>5057.5050000000001</v>
      </c>
    </row>
    <row r="234" spans="2:29" outlineLevel="1" x14ac:dyDescent="0.25">
      <c r="B234" s="1" t="s">
        <v>57</v>
      </c>
      <c r="C234" s="6" t="s">
        <v>46</v>
      </c>
      <c r="D234" s="19">
        <f t="shared" ref="D234:W235" si="145">-D79</f>
        <v>-25.116</v>
      </c>
      <c r="E234" s="19">
        <f t="shared" si="145"/>
        <v>-37.863999999999997</v>
      </c>
      <c r="F234" s="19">
        <f t="shared" si="145"/>
        <v>-23.271999999999998</v>
      </c>
      <c r="G234" s="19">
        <f t="shared" si="145"/>
        <v>-27.821999999999999</v>
      </c>
      <c r="H234" s="19">
        <f t="shared" si="145"/>
        <v>-35.569000000000003</v>
      </c>
      <c r="I234" s="19">
        <f t="shared" si="145"/>
        <v>-63.26</v>
      </c>
      <c r="J234" s="19">
        <f t="shared" si="145"/>
        <v>-34.478999999999999</v>
      </c>
      <c r="K234" s="19">
        <f t="shared" si="145"/>
        <v>-136.834</v>
      </c>
      <c r="L234" s="19">
        <f t="shared" si="145"/>
        <v>-191.18299999999999</v>
      </c>
      <c r="M234" s="19">
        <f t="shared" si="145"/>
        <v>-63.713999999999999</v>
      </c>
      <c r="N234" s="19">
        <f t="shared" si="145"/>
        <v>-271.01400000000001</v>
      </c>
      <c r="O234" s="19">
        <f t="shared" si="145"/>
        <v>-3514.4389999999999</v>
      </c>
      <c r="P234" s="19">
        <f t="shared" si="145"/>
        <v>-231.34</v>
      </c>
      <c r="Q234" s="19">
        <f t="shared" si="145"/>
        <v>-322.01400000000001</v>
      </c>
      <c r="R234" s="19">
        <f t="shared" si="145"/>
        <v>-1390.854</v>
      </c>
      <c r="S234" s="19">
        <f t="shared" si="145"/>
        <v>-2563.7510000000002</v>
      </c>
      <c r="T234" s="19">
        <f t="shared" si="145"/>
        <v>-2007.3009999999999</v>
      </c>
      <c r="U234" s="19">
        <f t="shared" si="145"/>
        <v>-479.84399999999999</v>
      </c>
      <c r="V234" s="19">
        <f t="shared" si="145"/>
        <v>-500.67399999999998</v>
      </c>
      <c r="W234" s="19">
        <f t="shared" si="145"/>
        <v>-1667.835</v>
      </c>
      <c r="Y234" s="19">
        <f t="shared" ref="Y234:AC235" si="146">-Y79</f>
        <v>-27.821999999999999</v>
      </c>
      <c r="Z234" s="19">
        <f t="shared" si="146"/>
        <v>-136.834</v>
      </c>
      <c r="AA234" s="19">
        <f t="shared" si="146"/>
        <v>-3514.4389999999999</v>
      </c>
      <c r="AB234" s="19">
        <f t="shared" si="146"/>
        <v>-2563.7510000000002</v>
      </c>
      <c r="AC234" s="19">
        <f t="shared" si="146"/>
        <v>-1667.835</v>
      </c>
    </row>
    <row r="235" spans="2:29" outlineLevel="1" x14ac:dyDescent="0.25">
      <c r="B235" s="1" t="s">
        <v>58</v>
      </c>
      <c r="C235" s="6" t="s">
        <v>46</v>
      </c>
      <c r="D235" s="19">
        <f t="shared" si="145"/>
        <v>-642.976</v>
      </c>
      <c r="E235" s="19">
        <f t="shared" si="145"/>
        <v>-612.56899999999996</v>
      </c>
      <c r="F235" s="19">
        <f t="shared" si="145"/>
        <v>-665.995</v>
      </c>
      <c r="G235" s="19">
        <f t="shared" si="145"/>
        <v>-1230.2329999999999</v>
      </c>
      <c r="H235" s="19">
        <f t="shared" si="145"/>
        <v>-897.39099999999996</v>
      </c>
      <c r="I235" s="19">
        <f t="shared" si="145"/>
        <v>-1076.28</v>
      </c>
      <c r="J235" s="19">
        <f t="shared" si="145"/>
        <v>-1171.4069999999999</v>
      </c>
      <c r="K235" s="19">
        <f t="shared" si="145"/>
        <v>-1234.0640000000001</v>
      </c>
      <c r="L235" s="19">
        <f t="shared" si="145"/>
        <v>-1294.5029999999999</v>
      </c>
      <c r="M235" s="19">
        <f t="shared" si="145"/>
        <v>-1065.5450000000001</v>
      </c>
      <c r="N235" s="19">
        <f t="shared" si="145"/>
        <v>-1531.2729999999999</v>
      </c>
      <c r="O235" s="19">
        <f t="shared" si="145"/>
        <v>-1285.126</v>
      </c>
      <c r="P235" s="19">
        <f t="shared" si="145"/>
        <v>-1177.1990000000001</v>
      </c>
      <c r="Q235" s="19">
        <f t="shared" si="145"/>
        <v>-1665.298</v>
      </c>
      <c r="R235" s="19">
        <f t="shared" si="145"/>
        <v>-1629.462</v>
      </c>
      <c r="S235" s="19">
        <f t="shared" si="145"/>
        <v>-1001.019</v>
      </c>
      <c r="T235" s="19">
        <f t="shared" si="145"/>
        <v>-1028.624</v>
      </c>
      <c r="U235" s="19">
        <f t="shared" si="145"/>
        <v>-1721.6690000000001</v>
      </c>
      <c r="V235" s="19">
        <f t="shared" si="145"/>
        <v>-1332.3150000000001</v>
      </c>
      <c r="W235" s="19">
        <f>-W80-W87</f>
        <v>-1465.856</v>
      </c>
      <c r="Y235" s="19">
        <f t="shared" si="146"/>
        <v>-1230.2329999999999</v>
      </c>
      <c r="Z235" s="19">
        <f t="shared" si="146"/>
        <v>-1234.0640000000001</v>
      </c>
      <c r="AA235" s="19">
        <f t="shared" si="146"/>
        <v>-1285.126</v>
      </c>
      <c r="AB235" s="19">
        <f t="shared" si="146"/>
        <v>-1001.019</v>
      </c>
      <c r="AC235" s="19">
        <f>-AC80-AC87</f>
        <v>-1465.856</v>
      </c>
    </row>
    <row r="236" spans="2:29" outlineLevel="1" x14ac:dyDescent="0.25">
      <c r="B236" s="3" t="s">
        <v>340</v>
      </c>
      <c r="C236" s="3" t="s">
        <v>46</v>
      </c>
      <c r="D236" s="14">
        <f t="shared" ref="D236:W236" si="147">SUM(D233:D235)</f>
        <v>235.04499999999996</v>
      </c>
      <c r="E236" s="14">
        <f t="shared" si="147"/>
        <v>311.70100000000002</v>
      </c>
      <c r="F236" s="14">
        <f t="shared" si="147"/>
        <v>448.79000000000008</v>
      </c>
      <c r="G236" s="14">
        <f t="shared" si="147"/>
        <v>464.72300000000018</v>
      </c>
      <c r="H236" s="14">
        <f t="shared" si="147"/>
        <v>449.71900000000016</v>
      </c>
      <c r="I236" s="14">
        <f t="shared" si="147"/>
        <v>77.712999999999965</v>
      </c>
      <c r="J236" s="14">
        <f t="shared" si="147"/>
        <v>6.3070000000000164</v>
      </c>
      <c r="K236" s="14">
        <f t="shared" si="147"/>
        <v>-210.81200000000013</v>
      </c>
      <c r="L236" s="14">
        <f t="shared" si="147"/>
        <v>503.78900000000021</v>
      </c>
      <c r="M236" s="14">
        <f t="shared" si="147"/>
        <v>793.48099999999977</v>
      </c>
      <c r="N236" s="14">
        <f t="shared" si="147"/>
        <v>822.86199999999985</v>
      </c>
      <c r="O236" s="14">
        <f t="shared" si="147"/>
        <v>-2502.6449999999995</v>
      </c>
      <c r="P236" s="14">
        <f t="shared" si="147"/>
        <v>142.41700000000014</v>
      </c>
      <c r="Q236" s="14">
        <f t="shared" si="147"/>
        <v>27.220999999999776</v>
      </c>
      <c r="R236" s="14">
        <f t="shared" si="147"/>
        <v>-103.92600000000016</v>
      </c>
      <c r="S236" s="14">
        <f t="shared" si="147"/>
        <v>-3.4289999999998599</v>
      </c>
      <c r="T236" s="14">
        <f t="shared" si="147"/>
        <v>423.0179999999998</v>
      </c>
      <c r="U236" s="14">
        <f t="shared" si="147"/>
        <v>1573.7119999999998</v>
      </c>
      <c r="V236" s="14">
        <f t="shared" si="147"/>
        <v>1998.8780000000002</v>
      </c>
      <c r="W236" s="14">
        <f t="shared" si="147"/>
        <v>1923.8140000000001</v>
      </c>
      <c r="Y236" s="14">
        <f t="shared" ref="Y236:AC236" si="148">SUM(Y233:Y235)</f>
        <v>464.72300000000018</v>
      </c>
      <c r="Z236" s="14">
        <f t="shared" si="148"/>
        <v>-210.81200000000013</v>
      </c>
      <c r="AA236" s="14">
        <f t="shared" si="148"/>
        <v>-2502.6449999999995</v>
      </c>
      <c r="AB236" s="14">
        <f t="shared" si="148"/>
        <v>-3.4289999999998599</v>
      </c>
      <c r="AC236" s="14">
        <f t="shared" si="148"/>
        <v>1923.8140000000001</v>
      </c>
    </row>
    <row r="237" spans="2:29" outlineLevel="1" x14ac:dyDescent="0.25">
      <c r="B237" s="3" t="s">
        <v>342</v>
      </c>
      <c r="C237" s="3" t="s">
        <v>46</v>
      </c>
      <c r="D237" s="4">
        <v>554.21596373340185</v>
      </c>
      <c r="E237" s="4">
        <v>579.03313825340183</v>
      </c>
      <c r="F237" s="4">
        <v>635.11087165389301</v>
      </c>
      <c r="G237" s="4">
        <f t="shared" ref="G237:W237" si="149">SUM(D212:G212)</f>
        <v>710.89437460572697</v>
      </c>
      <c r="H237" s="4">
        <f t="shared" si="149"/>
        <v>752.10560405572687</v>
      </c>
      <c r="I237" s="4">
        <f t="shared" si="149"/>
        <v>811.96342628331456</v>
      </c>
      <c r="J237" s="4">
        <f t="shared" si="149"/>
        <v>845.78665018627839</v>
      </c>
      <c r="K237" s="4">
        <f t="shared" si="149"/>
        <v>884.51557736517498</v>
      </c>
      <c r="L237" s="4">
        <f t="shared" si="149"/>
        <v>962.4036642351748</v>
      </c>
      <c r="M237" s="4">
        <f t="shared" si="149"/>
        <v>1051.7120864652347</v>
      </c>
      <c r="N237" s="4">
        <f t="shared" si="149"/>
        <v>1158.5867489976467</v>
      </c>
      <c r="O237" s="4">
        <f t="shared" si="149"/>
        <v>1276.3956182976469</v>
      </c>
      <c r="P237" s="4">
        <f t="shared" si="149"/>
        <v>1394.0394232776471</v>
      </c>
      <c r="Q237" s="4">
        <f t="shared" si="149"/>
        <v>1659.7361108299999</v>
      </c>
      <c r="R237" s="4">
        <f t="shared" si="149"/>
        <v>1798.5155659599998</v>
      </c>
      <c r="S237" s="4">
        <f t="shared" si="149"/>
        <v>1822.71205773</v>
      </c>
      <c r="T237" s="4">
        <f t="shared" si="149"/>
        <v>1603.5532797599994</v>
      </c>
      <c r="U237" s="4">
        <f t="shared" si="149"/>
        <v>1198.8455294899995</v>
      </c>
      <c r="V237" s="4">
        <f t="shared" si="149"/>
        <v>872.45846188000041</v>
      </c>
      <c r="W237" s="4">
        <f t="shared" si="149"/>
        <v>718.67592155000034</v>
      </c>
      <c r="Y237" s="4">
        <f>Y212</f>
        <v>710.89437460572617</v>
      </c>
      <c r="Z237" s="4">
        <f t="shared" ref="Z237:AC237" si="150">Z212</f>
        <v>884.51557736517566</v>
      </c>
      <c r="AA237" s="4">
        <f t="shared" si="150"/>
        <v>1276.3956182976478</v>
      </c>
      <c r="AB237" s="4">
        <f t="shared" si="150"/>
        <v>1822.7120577299972</v>
      </c>
      <c r="AC237" s="4">
        <f t="shared" si="150"/>
        <v>718.67592155000182</v>
      </c>
    </row>
    <row r="238" spans="2:29" outlineLevel="1" x14ac:dyDescent="0.25">
      <c r="B238" s="8" t="s">
        <v>343</v>
      </c>
      <c r="C238" s="9" t="s">
        <v>12</v>
      </c>
      <c r="D238" s="29">
        <f>D236/D237</f>
        <v>0.42410362634928572</v>
      </c>
      <c r="E238" s="29">
        <f t="shared" ref="E238:W238" si="151">E236/E237</f>
        <v>0.53831288644414432</v>
      </c>
      <c r="F238" s="29">
        <f t="shared" si="151"/>
        <v>0.70663252674498467</v>
      </c>
      <c r="G238" s="29">
        <f t="shared" si="151"/>
        <v>0.65371596203408244</v>
      </c>
      <c r="H238" s="29">
        <f t="shared" si="151"/>
        <v>0.59794661491004986</v>
      </c>
      <c r="I238" s="29">
        <f t="shared" si="151"/>
        <v>9.570997594771459E-2</v>
      </c>
      <c r="J238" s="29">
        <f t="shared" si="151"/>
        <v>7.4569632880951064E-3</v>
      </c>
      <c r="K238" s="29">
        <f t="shared" si="151"/>
        <v>-0.23833610780261674</v>
      </c>
      <c r="L238" s="29">
        <f t="shared" si="151"/>
        <v>0.52346953645522842</v>
      </c>
      <c r="M238" s="29">
        <f t="shared" si="151"/>
        <v>0.75446598951511523</v>
      </c>
      <c r="N238" s="29">
        <f t="shared" si="151"/>
        <v>0.71022907927429713</v>
      </c>
      <c r="O238" s="29">
        <f t="shared" si="151"/>
        <v>-1.9607126224217415</v>
      </c>
      <c r="P238" s="29">
        <f t="shared" si="151"/>
        <v>0.1021613862720978</v>
      </c>
      <c r="Q238" s="29">
        <f t="shared" si="151"/>
        <v>1.6400799996083182E-2</v>
      </c>
      <c r="R238" s="29">
        <f t="shared" si="151"/>
        <v>-5.7784320562456311E-2</v>
      </c>
      <c r="S238" s="29">
        <f t="shared" si="151"/>
        <v>-1.881262586406723E-3</v>
      </c>
      <c r="T238" s="29">
        <f t="shared" si="151"/>
        <v>0.26380040210657174</v>
      </c>
      <c r="U238" s="29">
        <f t="shared" si="151"/>
        <v>1.3126895511463199</v>
      </c>
      <c r="V238" s="29">
        <f t="shared" si="151"/>
        <v>2.2910867248542197</v>
      </c>
      <c r="W238" s="29">
        <f t="shared" si="151"/>
        <v>2.6768866777264848</v>
      </c>
      <c r="X238" s="60"/>
      <c r="Y238" s="29">
        <f t="shared" ref="Y238:AC238" si="152">Y236/Y237</f>
        <v>0.65371596203408311</v>
      </c>
      <c r="Z238" s="29">
        <f t="shared" si="152"/>
        <v>-0.23833610780261655</v>
      </c>
      <c r="AA238" s="29">
        <f t="shared" si="152"/>
        <v>-1.9607126224217402</v>
      </c>
      <c r="AB238" s="29">
        <f t="shared" si="152"/>
        <v>-1.8812625864067258E-3</v>
      </c>
      <c r="AC238" s="29">
        <f t="shared" si="152"/>
        <v>2.676886677726479</v>
      </c>
    </row>
    <row r="240" spans="2:29" ht="15.75" x14ac:dyDescent="0.25">
      <c r="B240" s="33" t="s">
        <v>347</v>
      </c>
    </row>
    <row r="241" spans="2:29" outlineLevel="1" x14ac:dyDescent="0.25">
      <c r="B241" s="32" t="s">
        <v>6</v>
      </c>
      <c r="C241" s="17" t="s">
        <v>42</v>
      </c>
      <c r="D241" s="17" t="s">
        <v>37</v>
      </c>
      <c r="E241" s="17" t="s">
        <v>38</v>
      </c>
      <c r="F241" s="17" t="s">
        <v>39</v>
      </c>
      <c r="G241" s="17" t="s">
        <v>40</v>
      </c>
      <c r="H241" s="17" t="s">
        <v>41</v>
      </c>
      <c r="I241" s="17" t="s">
        <v>376</v>
      </c>
      <c r="J241" s="17" t="s">
        <v>384</v>
      </c>
      <c r="K241" s="17" t="s">
        <v>398</v>
      </c>
      <c r="L241" s="17" t="s">
        <v>406</v>
      </c>
      <c r="M241" s="17" t="s">
        <v>421</v>
      </c>
      <c r="N241" s="17" t="s">
        <v>423</v>
      </c>
      <c r="O241" s="17" t="s">
        <v>426</v>
      </c>
      <c r="P241" s="17" t="s">
        <v>430</v>
      </c>
      <c r="Q241" s="17" t="s">
        <v>432</v>
      </c>
      <c r="R241" s="17" t="s">
        <v>560</v>
      </c>
      <c r="S241" s="17" t="s">
        <v>572</v>
      </c>
      <c r="T241" s="17" t="s">
        <v>575</v>
      </c>
      <c r="U241" s="17" t="s">
        <v>590</v>
      </c>
      <c r="V241" s="17" t="s">
        <v>594</v>
      </c>
      <c r="W241" s="17" t="s">
        <v>603</v>
      </c>
      <c r="Y241" s="17">
        <v>2017</v>
      </c>
      <c r="Z241" s="17">
        <v>2018</v>
      </c>
      <c r="AA241" s="17">
        <v>2019</v>
      </c>
      <c r="AB241" s="17">
        <v>2020</v>
      </c>
      <c r="AC241" s="17">
        <v>2021</v>
      </c>
    </row>
    <row r="242" spans="2:29" outlineLevel="1" x14ac:dyDescent="0.25">
      <c r="B242" s="2" t="s">
        <v>351</v>
      </c>
      <c r="C242" s="6" t="s">
        <v>46</v>
      </c>
      <c r="D242" s="19">
        <v>-853.38304400599998</v>
      </c>
      <c r="E242" s="19">
        <v>-904.31992192400014</v>
      </c>
      <c r="F242" s="19">
        <v>-951.69108343799985</v>
      </c>
      <c r="G242" s="19">
        <v>-993.495443368</v>
      </c>
      <c r="H242" s="19">
        <v>-1023.4136710640001</v>
      </c>
      <c r="I242" s="19">
        <v>-1060.2874503583998</v>
      </c>
      <c r="J242" s="19">
        <v>-1114.6476019030003</v>
      </c>
      <c r="K242" s="19">
        <v>-1163.8283607643002</v>
      </c>
      <c r="L242" s="19">
        <v>-1220.5127613558</v>
      </c>
      <c r="M242" s="19">
        <v>-1268.5621506547</v>
      </c>
      <c r="N242" s="19">
        <v>-1316.0937428166001</v>
      </c>
      <c r="O242" s="19">
        <v>-1379.9628588812</v>
      </c>
      <c r="P242" s="19">
        <v>-1710.4586899278931</v>
      </c>
      <c r="Q242" s="19">
        <v>-1747.0013013243999</v>
      </c>
      <c r="R242" s="19">
        <v>-1805.2747333224997</v>
      </c>
      <c r="S242" s="19">
        <v>-1869.7905966585997</v>
      </c>
      <c r="T242" s="19">
        <v>-1940.9307090371003</v>
      </c>
      <c r="U242" s="19">
        <v>-2040.9686600721</v>
      </c>
      <c r="V242" s="19">
        <v>-2124.0812475267003</v>
      </c>
      <c r="W242" s="19">
        <v>-2210.9754775350016</v>
      </c>
      <c r="Y242" s="19">
        <f>G242</f>
        <v>-993.495443368</v>
      </c>
      <c r="Z242" s="19">
        <f>K242</f>
        <v>-1163.8283607643002</v>
      </c>
      <c r="AA242" s="19">
        <f>O242</f>
        <v>-1379.9628588812</v>
      </c>
      <c r="AB242" s="19">
        <f>S242</f>
        <v>-1869.7905966585997</v>
      </c>
      <c r="AC242" s="19">
        <f>W242</f>
        <v>-2210.9754775350016</v>
      </c>
    </row>
    <row r="243" spans="2:29" outlineLevel="1" x14ac:dyDescent="0.25">
      <c r="B243" s="30" t="s">
        <v>350</v>
      </c>
      <c r="C243" s="21" t="s">
        <v>14</v>
      </c>
      <c r="D243" s="31">
        <v>0.57604999999999995</v>
      </c>
      <c r="E243" s="31">
        <v>0.59449999999999992</v>
      </c>
      <c r="F243" s="31">
        <v>0.61294999999999988</v>
      </c>
      <c r="G243" s="31">
        <v>0.63139999999999985</v>
      </c>
      <c r="H243" s="31">
        <v>0.64984999999999982</v>
      </c>
      <c r="I243" s="31">
        <v>0.66829999999999989</v>
      </c>
      <c r="J243" s="31">
        <v>0.68674999999999986</v>
      </c>
      <c r="K243" s="31">
        <v>0.70519999999999983</v>
      </c>
      <c r="L243" s="31">
        <v>0.72364999999999979</v>
      </c>
      <c r="M243" s="31">
        <v>0.74209999999999976</v>
      </c>
      <c r="N243" s="31">
        <v>0.76054999999999973</v>
      </c>
      <c r="O243" s="31">
        <v>0.77899999999999969</v>
      </c>
      <c r="P243" s="31">
        <v>0.75</v>
      </c>
      <c r="Q243" s="31">
        <v>0.75</v>
      </c>
      <c r="R243" s="31">
        <v>0.75</v>
      </c>
      <c r="S243" s="31">
        <v>0.75</v>
      </c>
      <c r="T243" s="31">
        <v>0.75</v>
      </c>
      <c r="U243" s="31">
        <v>0.75</v>
      </c>
      <c r="V243" s="31">
        <v>0.75</v>
      </c>
      <c r="W243" s="31">
        <v>0.75</v>
      </c>
      <c r="Y243" s="31">
        <f>G243</f>
        <v>0.63139999999999985</v>
      </c>
      <c r="Z243" s="31">
        <f>K243</f>
        <v>0.70519999999999983</v>
      </c>
      <c r="AA243" s="31">
        <f>O243</f>
        <v>0.77899999999999969</v>
      </c>
      <c r="AB243" s="31">
        <f>P243</f>
        <v>0.75</v>
      </c>
      <c r="AC243" s="31">
        <f>Q243</f>
        <v>0.75</v>
      </c>
    </row>
    <row r="244" spans="2:29" outlineLevel="1" x14ac:dyDescent="0.25">
      <c r="B244" s="1" t="s">
        <v>349</v>
      </c>
      <c r="C244" s="6" t="s">
        <v>46</v>
      </c>
      <c r="D244" s="19">
        <f>D242*D243</f>
        <v>-491.59130249965625</v>
      </c>
      <c r="E244" s="19">
        <f t="shared" ref="E244:W244" si="153">E242*E243</f>
        <v>-537.61819358381797</v>
      </c>
      <c r="F244" s="19">
        <f t="shared" si="153"/>
        <v>-583.33904959332187</v>
      </c>
      <c r="G244" s="19">
        <f t="shared" si="153"/>
        <v>-627.29302294255501</v>
      </c>
      <c r="H244" s="19">
        <f t="shared" si="153"/>
        <v>-665.06537414094032</v>
      </c>
      <c r="I244" s="19">
        <f t="shared" si="153"/>
        <v>-708.59010307451854</v>
      </c>
      <c r="J244" s="19">
        <f t="shared" si="153"/>
        <v>-765.48424060688535</v>
      </c>
      <c r="K244" s="19">
        <f t="shared" si="153"/>
        <v>-820.73176001098432</v>
      </c>
      <c r="L244" s="19">
        <f t="shared" si="153"/>
        <v>-883.22405975512436</v>
      </c>
      <c r="M244" s="19">
        <f t="shared" si="153"/>
        <v>-941.39997200085259</v>
      </c>
      <c r="N244" s="19">
        <f t="shared" si="153"/>
        <v>-1000.9550960991648</v>
      </c>
      <c r="O244" s="19">
        <f t="shared" si="153"/>
        <v>-1074.9910670684544</v>
      </c>
      <c r="P244" s="19">
        <f t="shared" si="153"/>
        <v>-1282.8440174459199</v>
      </c>
      <c r="Q244" s="19">
        <f t="shared" si="153"/>
        <v>-1310.2509759933</v>
      </c>
      <c r="R244" s="19">
        <f t="shared" si="153"/>
        <v>-1353.9560499918748</v>
      </c>
      <c r="S244" s="19">
        <f t="shared" si="153"/>
        <v>-1402.3429474939499</v>
      </c>
      <c r="T244" s="19">
        <f t="shared" si="153"/>
        <v>-1455.6980317778252</v>
      </c>
      <c r="U244" s="19">
        <f t="shared" si="153"/>
        <v>-1530.726495054075</v>
      </c>
      <c r="V244" s="19">
        <f t="shared" si="153"/>
        <v>-1593.0609356450252</v>
      </c>
      <c r="W244" s="19">
        <f t="shared" si="153"/>
        <v>-1658.2316081512513</v>
      </c>
      <c r="Y244" s="19">
        <f t="shared" ref="Y244:AC244" si="154">Y242*Y243</f>
        <v>-627.29302294255501</v>
      </c>
      <c r="Z244" s="19">
        <f t="shared" si="154"/>
        <v>-820.73176001098432</v>
      </c>
      <c r="AA244" s="19">
        <f t="shared" si="154"/>
        <v>-1074.9910670684544</v>
      </c>
      <c r="AB244" s="19">
        <f t="shared" si="154"/>
        <v>-1402.3429474939499</v>
      </c>
      <c r="AC244" s="19">
        <f t="shared" si="154"/>
        <v>-1658.2316081512513</v>
      </c>
    </row>
    <row r="245" spans="2:29" outlineLevel="1" x14ac:dyDescent="0.25">
      <c r="B245" s="1" t="s">
        <v>348</v>
      </c>
      <c r="C245" s="6" t="s">
        <v>46</v>
      </c>
      <c r="D245" s="19">
        <v>802.60094276350003</v>
      </c>
      <c r="E245" s="19">
        <v>766.11231814669986</v>
      </c>
      <c r="F245" s="19">
        <v>820.63915763900013</v>
      </c>
      <c r="G245" s="19">
        <v>817.90468010399979</v>
      </c>
      <c r="H245" s="19">
        <v>787.92632913359989</v>
      </c>
      <c r="I245" s="19">
        <v>1202.7827705239997</v>
      </c>
      <c r="J245" s="19">
        <v>1310.1049318232001</v>
      </c>
      <c r="K245" s="19">
        <v>1263.5958340347997</v>
      </c>
      <c r="L245" s="19">
        <v>1245.4430979963004</v>
      </c>
      <c r="M245" s="19">
        <v>1194.6788528482</v>
      </c>
      <c r="N245" s="19">
        <v>1126.0675928806002</v>
      </c>
      <c r="O245" s="19">
        <v>1620.1235433999998</v>
      </c>
      <c r="P245" s="19">
        <v>1384.3705410800001</v>
      </c>
      <c r="Q245" s="19">
        <v>1561.0340722500002</v>
      </c>
      <c r="R245" s="19">
        <v>1395.2663367799839</v>
      </c>
      <c r="S245" s="19">
        <v>2375.1019882000005</v>
      </c>
      <c r="T245" s="19">
        <v>2115.0185937799993</v>
      </c>
      <c r="U245" s="19">
        <v>2324.6742211300016</v>
      </c>
      <c r="V245" s="19">
        <v>2151.2359925500009</v>
      </c>
      <c r="W245" s="19">
        <v>2209.7525082699999</v>
      </c>
      <c r="Y245" s="19">
        <f>G245</f>
        <v>817.90468010399979</v>
      </c>
      <c r="Z245" s="19">
        <f>K245</f>
        <v>1263.5958340347997</v>
      </c>
      <c r="AA245" s="19">
        <f>O245</f>
        <v>1620.1235433999998</v>
      </c>
      <c r="AB245" s="19">
        <f>S245</f>
        <v>2375.1019882000005</v>
      </c>
      <c r="AC245" s="19">
        <f>W245</f>
        <v>2209.7525082699999</v>
      </c>
    </row>
    <row r="246" spans="2:29" outlineLevel="1" x14ac:dyDescent="0.25">
      <c r="B246" s="3" t="s">
        <v>352</v>
      </c>
      <c r="C246" s="3" t="s">
        <v>46</v>
      </c>
      <c r="D246" s="4">
        <f>SUM(D244:D245)</f>
        <v>311.00964026384378</v>
      </c>
      <c r="E246" s="4">
        <f t="shared" ref="E246:W246" si="155">SUM(E244:E245)</f>
        <v>228.49412456288189</v>
      </c>
      <c r="F246" s="4">
        <f t="shared" si="155"/>
        <v>237.30010804567826</v>
      </c>
      <c r="G246" s="4">
        <f t="shared" si="155"/>
        <v>190.61165716144478</v>
      </c>
      <c r="H246" s="4">
        <f t="shared" si="155"/>
        <v>122.86095499265957</v>
      </c>
      <c r="I246" s="4">
        <f t="shared" si="155"/>
        <v>494.19266744948118</v>
      </c>
      <c r="J246" s="4">
        <f t="shared" si="155"/>
        <v>544.62069121631475</v>
      </c>
      <c r="K246" s="4">
        <f t="shared" si="155"/>
        <v>442.86407402381542</v>
      </c>
      <c r="L246" s="4">
        <f t="shared" si="155"/>
        <v>362.21903824117601</v>
      </c>
      <c r="M246" s="4">
        <f t="shared" si="155"/>
        <v>253.27888084734741</v>
      </c>
      <c r="N246" s="4">
        <f t="shared" si="155"/>
        <v>125.11249678143531</v>
      </c>
      <c r="O246" s="4">
        <f t="shared" si="155"/>
        <v>545.13247633154538</v>
      </c>
      <c r="P246" s="4">
        <f t="shared" si="155"/>
        <v>101.52652363408015</v>
      </c>
      <c r="Q246" s="4">
        <f t="shared" si="155"/>
        <v>250.78309625670022</v>
      </c>
      <c r="R246" s="4">
        <f t="shared" si="155"/>
        <v>41.310286788109124</v>
      </c>
      <c r="S246" s="4">
        <f t="shared" si="155"/>
        <v>972.75904070605065</v>
      </c>
      <c r="T246" s="4">
        <f t="shared" si="155"/>
        <v>659.32056200217403</v>
      </c>
      <c r="U246" s="4">
        <f t="shared" si="155"/>
        <v>793.94772607592654</v>
      </c>
      <c r="V246" s="4">
        <f t="shared" si="155"/>
        <v>558.17505690497569</v>
      </c>
      <c r="W246" s="4">
        <f t="shared" si="155"/>
        <v>551.52090011874861</v>
      </c>
      <c r="Y246" s="4">
        <f t="shared" ref="Y246:AC246" si="156">SUM(Y244:Y245)</f>
        <v>190.61165716144478</v>
      </c>
      <c r="Z246" s="4">
        <f t="shared" si="156"/>
        <v>442.86407402381542</v>
      </c>
      <c r="AA246" s="4">
        <f t="shared" si="156"/>
        <v>545.13247633154538</v>
      </c>
      <c r="AB246" s="4">
        <f t="shared" si="156"/>
        <v>972.75904070605065</v>
      </c>
      <c r="AC246" s="4">
        <f t="shared" si="156"/>
        <v>551.52090011874861</v>
      </c>
    </row>
    <row r="247" spans="2:29" ht="9.9499999999999993" customHeight="1" outlineLevel="1" x14ac:dyDescent="0.25">
      <c r="B247" s="1"/>
    </row>
    <row r="248" spans="2:29" outlineLevel="1" x14ac:dyDescent="0.25">
      <c r="B248" s="1" t="s">
        <v>353</v>
      </c>
      <c r="C248" s="6" t="s">
        <v>46</v>
      </c>
      <c r="D248" s="19">
        <v>-577.48599999999999</v>
      </c>
      <c r="E248" s="19">
        <v>-648.84500000000003</v>
      </c>
      <c r="F248" s="19">
        <v>-670.827</v>
      </c>
      <c r="G248" s="19">
        <v>-640.46031637999988</v>
      </c>
      <c r="H248" s="19">
        <v>-701.80770245999986</v>
      </c>
      <c r="I248" s="19">
        <v>-712.51458119000006</v>
      </c>
      <c r="J248" s="19">
        <v>-734.68141932000003</v>
      </c>
      <c r="K248" s="19">
        <v>-699.31387775999985</v>
      </c>
      <c r="L248" s="19">
        <v>-902.63900000000001</v>
      </c>
      <c r="M248" s="19">
        <v>-953.49716154000009</v>
      </c>
      <c r="N248" s="19">
        <v>-1002.671554</v>
      </c>
      <c r="O248" s="19">
        <v>-1158.2211063299999</v>
      </c>
      <c r="P248" s="19">
        <v>-1499.501</v>
      </c>
      <c r="Q248" s="19">
        <v>-1428.0840000000001</v>
      </c>
      <c r="R248" s="19">
        <f>-1696.611+123.072</f>
        <v>-1573.5390000000002</v>
      </c>
      <c r="S248" s="19">
        <v>-1569.412</v>
      </c>
      <c r="T248" s="19">
        <v>-1662.1110000000001</v>
      </c>
      <c r="U248" s="19">
        <v>-1860.386</v>
      </c>
      <c r="V248" s="19">
        <v>-1929.5650000000001</v>
      </c>
      <c r="W248" s="19">
        <v>-2002.875</v>
      </c>
      <c r="Y248" s="19">
        <f>G248</f>
        <v>-640.46031637999988</v>
      </c>
      <c r="Z248" s="19">
        <f>K248</f>
        <v>-699.31387775999985</v>
      </c>
      <c r="AA248" s="19">
        <f>O248</f>
        <v>-1158.2211063299999</v>
      </c>
      <c r="AB248" s="19">
        <f>S248</f>
        <v>-1569.412</v>
      </c>
      <c r="AC248" s="19">
        <f>W248</f>
        <v>-2002.875</v>
      </c>
    </row>
    <row r="249" spans="2:29" outlineLevel="1" x14ac:dyDescent="0.25">
      <c r="B249" s="1" t="s">
        <v>354</v>
      </c>
      <c r="C249" s="6" t="s">
        <v>46</v>
      </c>
      <c r="D249" s="19">
        <v>815.04013226749987</v>
      </c>
      <c r="E249" s="19">
        <v>832.38790103999997</v>
      </c>
      <c r="F249" s="19">
        <v>872.14196324999989</v>
      </c>
      <c r="G249" s="19">
        <v>1411.7479250399999</v>
      </c>
      <c r="H249" s="19">
        <v>1134.3746673100002</v>
      </c>
      <c r="I249" s="19">
        <v>1314.8457115600004</v>
      </c>
      <c r="J249" s="19">
        <v>1409.56999701</v>
      </c>
      <c r="K249" s="19">
        <v>1232.7409779299999</v>
      </c>
      <c r="L249" s="19">
        <v>1489.62856143</v>
      </c>
      <c r="M249" s="19">
        <v>1269.9475540399999</v>
      </c>
      <c r="N249" s="19">
        <v>1972.4414444500001</v>
      </c>
      <c r="O249" s="19">
        <v>1795.9672691200001</v>
      </c>
      <c r="P249" s="19">
        <f>1408.539+375.384+149</f>
        <v>1932.923</v>
      </c>
      <c r="Q249" s="19">
        <f>SUM(Q79:Q80)+396.866+165</f>
        <v>2549.1779999999999</v>
      </c>
      <c r="R249" s="19">
        <f>SUM(R79:R80)+462.291+165</f>
        <v>3647.607</v>
      </c>
      <c r="S249" s="19">
        <f>SUM(S79:S80)+474.808+165</f>
        <v>4204.5780000000004</v>
      </c>
      <c r="T249" s="19">
        <f>SUM(T79:T80)+483.032+165</f>
        <v>3683.9570000000003</v>
      </c>
      <c r="U249" s="19">
        <f>SUM(U79:U80)+498.554+165</f>
        <v>2865.067</v>
      </c>
      <c r="V249" s="19">
        <f>SUM(V79:V80)+562.513+165</f>
        <v>2560.502</v>
      </c>
      <c r="W249" s="19">
        <f>SUM(W79:W80)+610.129+189</f>
        <v>3690.13</v>
      </c>
      <c r="Y249" s="19">
        <f>G249</f>
        <v>1411.7479250399999</v>
      </c>
      <c r="Z249" s="19">
        <f>K249</f>
        <v>1232.7409779299999</v>
      </c>
      <c r="AA249" s="19">
        <f>O249</f>
        <v>1795.9672691200001</v>
      </c>
      <c r="AB249" s="19">
        <f t="shared" ref="AB249:AB250" si="157">S249</f>
        <v>4204.5780000000004</v>
      </c>
      <c r="AC249" s="19">
        <f t="shared" ref="AC249:AC250" si="158">W249</f>
        <v>3690.13</v>
      </c>
    </row>
    <row r="250" spans="2:29" outlineLevel="1" x14ac:dyDescent="0.25">
      <c r="B250" s="2" t="s">
        <v>355</v>
      </c>
      <c r="C250" s="6" t="s">
        <v>46</v>
      </c>
      <c r="D250" s="19">
        <v>232.43405768999997</v>
      </c>
      <c r="E250" s="19">
        <v>235.29226641123299</v>
      </c>
      <c r="F250" s="19">
        <v>227.74188066397201</v>
      </c>
      <c r="G250" s="19">
        <v>231.77400318571401</v>
      </c>
      <c r="H250" s="19">
        <v>237.20457872</v>
      </c>
      <c r="I250" s="19">
        <v>250.9</v>
      </c>
      <c r="J250" s="19">
        <v>252.2</v>
      </c>
      <c r="K250" s="19">
        <v>256.60000000000002</v>
      </c>
      <c r="L250" s="19">
        <v>390.8</v>
      </c>
      <c r="M250" s="19">
        <v>407.87</v>
      </c>
      <c r="N250" s="19">
        <v>455.2</v>
      </c>
      <c r="O250" s="19">
        <v>488.2</v>
      </c>
      <c r="P250" s="19">
        <v>597.70000000000005</v>
      </c>
      <c r="Q250" s="19">
        <v>663.8</v>
      </c>
      <c r="R250" s="19">
        <v>600.20000000000005</v>
      </c>
      <c r="S250" s="19">
        <v>616.6</v>
      </c>
      <c r="T250" s="19">
        <v>616.29999999999995</v>
      </c>
      <c r="U250" s="19">
        <v>720.9</v>
      </c>
      <c r="V250" s="19">
        <v>785.2</v>
      </c>
      <c r="W250" s="19">
        <v>803.2</v>
      </c>
      <c r="Y250" s="19">
        <f>G250</f>
        <v>231.77400318571401</v>
      </c>
      <c r="Z250" s="19">
        <f>K250</f>
        <v>256.60000000000002</v>
      </c>
      <c r="AA250" s="19">
        <f>O250</f>
        <v>488.2</v>
      </c>
      <c r="AB250" s="19">
        <f t="shared" si="157"/>
        <v>616.6</v>
      </c>
      <c r="AC250" s="19">
        <f t="shared" si="158"/>
        <v>803.2</v>
      </c>
    </row>
    <row r="252" spans="2:29" ht="15.75" x14ac:dyDescent="0.25">
      <c r="B252" s="33" t="s">
        <v>388</v>
      </c>
    </row>
    <row r="253" spans="2:29" outlineLevel="1" x14ac:dyDescent="0.25">
      <c r="B253" s="32" t="s">
        <v>6</v>
      </c>
      <c r="C253" s="17" t="s">
        <v>42</v>
      </c>
      <c r="D253" s="17" t="s">
        <v>37</v>
      </c>
      <c r="E253" s="17" t="s">
        <v>38</v>
      </c>
      <c r="F253" s="17" t="s">
        <v>39</v>
      </c>
      <c r="G253" s="17" t="s">
        <v>40</v>
      </c>
      <c r="H253" s="17" t="s">
        <v>41</v>
      </c>
      <c r="I253" s="17" t="s">
        <v>376</v>
      </c>
      <c r="J253" s="17" t="s">
        <v>384</v>
      </c>
      <c r="K253" s="17" t="s">
        <v>398</v>
      </c>
      <c r="L253" s="17" t="s">
        <v>406</v>
      </c>
      <c r="M253" s="17" t="s">
        <v>421</v>
      </c>
      <c r="N253" s="17" t="s">
        <v>423</v>
      </c>
      <c r="O253" s="17" t="s">
        <v>426</v>
      </c>
      <c r="P253" s="17" t="s">
        <v>430</v>
      </c>
      <c r="Q253" s="17" t="s">
        <v>432</v>
      </c>
      <c r="R253" s="17" t="s">
        <v>560</v>
      </c>
      <c r="S253" s="17" t="s">
        <v>572</v>
      </c>
      <c r="T253" s="17" t="s">
        <v>575</v>
      </c>
      <c r="U253" s="17" t="s">
        <v>590</v>
      </c>
      <c r="V253" s="17" t="s">
        <v>594</v>
      </c>
      <c r="W253" s="17" t="s">
        <v>603</v>
      </c>
      <c r="Y253" s="17">
        <v>2017</v>
      </c>
      <c r="Z253" s="17">
        <v>2018</v>
      </c>
      <c r="AA253" s="17">
        <v>2019</v>
      </c>
      <c r="AB253" s="17">
        <v>2020</v>
      </c>
      <c r="AC253" s="17">
        <v>2021</v>
      </c>
    </row>
    <row r="254" spans="2:29" outlineLevel="1" x14ac:dyDescent="0.25">
      <c r="B254" s="43" t="s">
        <v>51</v>
      </c>
      <c r="C254" s="6" t="s">
        <v>46</v>
      </c>
      <c r="D254" s="19">
        <v>68.659000000000006</v>
      </c>
      <c r="E254" s="19">
        <v>86.552999999999997</v>
      </c>
      <c r="F254" s="19">
        <v>89.64</v>
      </c>
      <c r="G254" s="19">
        <v>53.410000000000004</v>
      </c>
      <c r="H254" s="19">
        <v>66.649000000000001</v>
      </c>
      <c r="I254" s="19">
        <v>78.622</v>
      </c>
      <c r="J254" s="19">
        <v>66.5</v>
      </c>
      <c r="K254" s="19">
        <v>78.248000000000005</v>
      </c>
      <c r="L254" s="19">
        <v>80.72</v>
      </c>
      <c r="M254" s="19">
        <v>94.528999999999996</v>
      </c>
      <c r="N254" s="19">
        <v>99.388999999999996</v>
      </c>
      <c r="O254" s="19">
        <v>100.206</v>
      </c>
      <c r="P254" s="19">
        <v>105.023</v>
      </c>
      <c r="Q254" s="19">
        <v>127.58</v>
      </c>
      <c r="R254" s="19">
        <v>126.004</v>
      </c>
      <c r="S254" s="19">
        <v>113.22</v>
      </c>
      <c r="T254" s="19">
        <v>113.274</v>
      </c>
      <c r="U254" s="19">
        <v>120.748</v>
      </c>
      <c r="V254" s="19">
        <v>129.863</v>
      </c>
      <c r="W254" s="19">
        <v>148.81399999999999</v>
      </c>
      <c r="Y254" s="19">
        <f t="shared" ref="Y254:Y260" si="159">SUM(D254:G254)</f>
        <v>298.262</v>
      </c>
      <c r="Z254" s="19">
        <f t="shared" ref="Z254:Z260" si="160">SUM(H254:K254)</f>
        <v>290.01900000000001</v>
      </c>
      <c r="AA254" s="19">
        <f t="shared" ref="AA254:AA260" si="161">SUM(L254:O254)</f>
        <v>374.84399999999999</v>
      </c>
      <c r="AB254" s="19">
        <f>SUM(P254:S254)</f>
        <v>471.827</v>
      </c>
      <c r="AC254" s="19">
        <f>SUM(T254:W254)</f>
        <v>512.69899999999996</v>
      </c>
    </row>
    <row r="255" spans="2:29" outlineLevel="1" x14ac:dyDescent="0.25">
      <c r="B255" s="43" t="s">
        <v>244</v>
      </c>
      <c r="C255" s="6" t="s">
        <v>46</v>
      </c>
      <c r="D255" s="19">
        <v>28.491581310000001</v>
      </c>
      <c r="E255" s="19">
        <v>37.851686449999995</v>
      </c>
      <c r="F255" s="19">
        <v>30.424439075376199</v>
      </c>
      <c r="G255" s="19">
        <v>41.319578668896398</v>
      </c>
      <c r="H255" s="19">
        <v>31.162984769999994</v>
      </c>
      <c r="I255" s="19">
        <v>28.584427599999998</v>
      </c>
      <c r="J255" s="19">
        <v>34.420999999999999</v>
      </c>
      <c r="K255" s="19">
        <v>35.051000000000009</v>
      </c>
      <c r="L255" s="19">
        <v>43.094446560000002</v>
      </c>
      <c r="M255" s="19">
        <v>43.022149889999994</v>
      </c>
      <c r="N255" s="19">
        <v>50.997</v>
      </c>
      <c r="O255" s="19">
        <v>50.941910679999999</v>
      </c>
      <c r="P255" s="19">
        <v>51.025432100000003</v>
      </c>
      <c r="Q255" s="19">
        <v>67.886459959999996</v>
      </c>
      <c r="R255" s="19">
        <v>49.706208879999998</v>
      </c>
      <c r="S255" s="19">
        <v>49.782218999999998</v>
      </c>
      <c r="T255" s="19">
        <v>51.083149589999998</v>
      </c>
      <c r="U255" s="19">
        <v>55.00492886</v>
      </c>
      <c r="V255" s="19">
        <v>60.572000000000003</v>
      </c>
      <c r="W255" s="19">
        <v>57.720999999999997</v>
      </c>
      <c r="Y255" s="19">
        <f t="shared" si="159"/>
        <v>138.08728550427259</v>
      </c>
      <c r="Z255" s="19">
        <f t="shared" si="160"/>
        <v>129.21941237000001</v>
      </c>
      <c r="AA255" s="19">
        <f t="shared" si="161"/>
        <v>188.05550713</v>
      </c>
      <c r="AB255" s="19">
        <f t="shared" ref="AB255:AB260" si="162">SUM(P255:S255)</f>
        <v>218.40031994</v>
      </c>
      <c r="AC255" s="19">
        <f t="shared" ref="AC255:AC260" si="163">SUM(T255:W255)</f>
        <v>224.38107845000002</v>
      </c>
    </row>
    <row r="256" spans="2:29" outlineLevel="1" x14ac:dyDescent="0.25">
      <c r="B256" s="43" t="s">
        <v>245</v>
      </c>
      <c r="C256" s="6" t="s">
        <v>46</v>
      </c>
      <c r="D256" s="19">
        <v>8.8170000000000002</v>
      </c>
      <c r="E256" s="19">
        <v>22.904</v>
      </c>
      <c r="F256" s="19">
        <v>20.511999999999997</v>
      </c>
      <c r="G256" s="19">
        <v>17.703999999999997</v>
      </c>
      <c r="H256" s="19">
        <v>15.888999999999999</v>
      </c>
      <c r="I256" s="19">
        <v>25.698999999999998</v>
      </c>
      <c r="J256" s="19">
        <v>19.764000000000003</v>
      </c>
      <c r="K256" s="19">
        <v>21.647000000000002</v>
      </c>
      <c r="L256" s="19">
        <v>16.734999999999999</v>
      </c>
      <c r="M256" s="19">
        <v>20.437999999999999</v>
      </c>
      <c r="N256" s="19">
        <v>22.835000000000001</v>
      </c>
      <c r="O256" s="19">
        <v>22.616</v>
      </c>
      <c r="P256" s="19">
        <v>16.861999999999998</v>
      </c>
      <c r="Q256" s="19">
        <v>9.9469999999999992</v>
      </c>
      <c r="R256" s="19">
        <v>21.137</v>
      </c>
      <c r="S256" s="19">
        <v>21.356000000000002</v>
      </c>
      <c r="T256" s="19">
        <v>19.724</v>
      </c>
      <c r="U256" s="19">
        <v>23.38</v>
      </c>
      <c r="V256" s="19">
        <v>23.94</v>
      </c>
      <c r="W256" s="19">
        <v>26.314</v>
      </c>
      <c r="Y256" s="19">
        <f t="shared" si="159"/>
        <v>69.936999999999998</v>
      </c>
      <c r="Z256" s="19">
        <f t="shared" si="160"/>
        <v>82.998999999999995</v>
      </c>
      <c r="AA256" s="19">
        <f t="shared" si="161"/>
        <v>82.623999999999995</v>
      </c>
      <c r="AB256" s="19">
        <f t="shared" si="162"/>
        <v>69.301999999999992</v>
      </c>
      <c r="AC256" s="19">
        <f t="shared" si="163"/>
        <v>93.358000000000004</v>
      </c>
    </row>
    <row r="257" spans="2:47" outlineLevel="1" x14ac:dyDescent="0.25">
      <c r="B257" s="1" t="s">
        <v>391</v>
      </c>
      <c r="C257" s="6" t="s">
        <v>46</v>
      </c>
      <c r="D257" s="19">
        <v>0.84299999999999997</v>
      </c>
      <c r="E257" s="19">
        <v>2.3730000000000002</v>
      </c>
      <c r="F257" s="19">
        <v>2.6030000000000002</v>
      </c>
      <c r="G257" s="19">
        <v>3.5640000000000001</v>
      </c>
      <c r="H257" s="19">
        <v>2.1659999999999999</v>
      </c>
      <c r="I257" s="19">
        <v>2.972</v>
      </c>
      <c r="J257" s="19">
        <v>3.7010000000000001</v>
      </c>
      <c r="K257" s="19">
        <v>6.4989999999999997</v>
      </c>
      <c r="L257" s="19">
        <v>2.0249999999999999</v>
      </c>
      <c r="M257" s="19">
        <v>2.3730000000000002</v>
      </c>
      <c r="N257" s="19">
        <v>6.2130000000000001</v>
      </c>
      <c r="O257" s="19">
        <v>6.0650000000000004</v>
      </c>
      <c r="P257" s="19">
        <v>3.7690000000000001</v>
      </c>
      <c r="Q257" s="19">
        <v>5.4729999999999999</v>
      </c>
      <c r="R257" s="19">
        <v>4.1159999999999997</v>
      </c>
      <c r="S257" s="19">
        <v>5.29</v>
      </c>
      <c r="T257" s="19">
        <v>3.2130000000000001</v>
      </c>
      <c r="U257" s="19">
        <v>4.9119999999999999</v>
      </c>
      <c r="V257" s="19">
        <v>7.2140000000000004</v>
      </c>
      <c r="W257" s="19">
        <v>18.864000000000001</v>
      </c>
      <c r="Y257" s="19">
        <f t="shared" si="159"/>
        <v>9.3830000000000009</v>
      </c>
      <c r="Z257" s="19">
        <f t="shared" si="160"/>
        <v>15.338000000000001</v>
      </c>
      <c r="AA257" s="19">
        <f t="shared" si="161"/>
        <v>16.676000000000002</v>
      </c>
      <c r="AB257" s="19">
        <f t="shared" si="162"/>
        <v>18.648</v>
      </c>
      <c r="AC257" s="19">
        <f t="shared" si="163"/>
        <v>34.203000000000003</v>
      </c>
    </row>
    <row r="258" spans="2:47" outlineLevel="1" x14ac:dyDescent="0.25">
      <c r="B258" s="1" t="s">
        <v>323</v>
      </c>
      <c r="C258" s="6" t="s">
        <v>46</v>
      </c>
      <c r="D258" s="19">
        <v>9.6170000000000009</v>
      </c>
      <c r="E258" s="19">
        <v>8.3689999999999998</v>
      </c>
      <c r="F258" s="19">
        <v>15.662000000000001</v>
      </c>
      <c r="G258" s="19">
        <v>22.713999999999999</v>
      </c>
      <c r="H258" s="19">
        <v>3.5</v>
      </c>
      <c r="I258" s="19">
        <v>10.173999999999999</v>
      </c>
      <c r="J258" s="19">
        <v>14.76</v>
      </c>
      <c r="K258" s="19">
        <v>14.167999999999999</v>
      </c>
      <c r="L258" s="19">
        <v>18.469000000000001</v>
      </c>
      <c r="M258" s="19">
        <v>20.946999999999999</v>
      </c>
      <c r="N258" s="19">
        <v>14.071</v>
      </c>
      <c r="O258" s="19">
        <v>13.757999999999999</v>
      </c>
      <c r="P258" s="19">
        <v>22.184999999999999</v>
      </c>
      <c r="Q258" s="19">
        <v>33.04</v>
      </c>
      <c r="R258" s="19">
        <v>27.981999999999999</v>
      </c>
      <c r="S258" s="19">
        <v>27.885000000000002</v>
      </c>
      <c r="T258" s="19">
        <v>22.268000000000001</v>
      </c>
      <c r="U258" s="19">
        <v>32.155000000000001</v>
      </c>
      <c r="V258" s="19">
        <v>29.565999999999999</v>
      </c>
      <c r="W258" s="19">
        <v>21.811</v>
      </c>
      <c r="Y258" s="19">
        <f t="shared" si="159"/>
        <v>56.362000000000002</v>
      </c>
      <c r="Z258" s="19">
        <f t="shared" si="160"/>
        <v>42.601999999999997</v>
      </c>
      <c r="AA258" s="19">
        <f t="shared" si="161"/>
        <v>67.24499999999999</v>
      </c>
      <c r="AB258" s="19">
        <f t="shared" si="162"/>
        <v>111.092</v>
      </c>
      <c r="AC258" s="19">
        <f t="shared" si="163"/>
        <v>105.80000000000001</v>
      </c>
    </row>
    <row r="259" spans="2:47" outlineLevel="1" x14ac:dyDescent="0.25">
      <c r="B259" s="1" t="s">
        <v>394</v>
      </c>
      <c r="C259" s="6" t="s">
        <v>46</v>
      </c>
      <c r="D259" s="19">
        <v>19.810000000000002</v>
      </c>
      <c r="E259" s="19">
        <v>11.683</v>
      </c>
      <c r="F259" s="19">
        <v>-6.4700000000000006</v>
      </c>
      <c r="G259" s="19">
        <v>-18.720999999999997</v>
      </c>
      <c r="H259" s="19">
        <v>-2.3279999999999994</v>
      </c>
      <c r="I259" s="19">
        <v>5.2170000000000005</v>
      </c>
      <c r="J259" s="19">
        <v>7.9290000000000003</v>
      </c>
      <c r="K259" s="19">
        <v>6.3090000000000002</v>
      </c>
      <c r="L259" s="19">
        <v>7.4909999999999997</v>
      </c>
      <c r="M259" s="19">
        <v>12.932</v>
      </c>
      <c r="N259" s="19">
        <v>14.163</v>
      </c>
      <c r="O259" s="19">
        <v>9.17</v>
      </c>
      <c r="P259" s="19">
        <v>7.3170000000000002</v>
      </c>
      <c r="Q259" s="19">
        <v>5.5709999999999997</v>
      </c>
      <c r="R259" s="19">
        <v>15.295999999999999</v>
      </c>
      <c r="S259" s="19">
        <v>6.4329999999999998</v>
      </c>
      <c r="T259" s="19">
        <v>16.834000000000003</v>
      </c>
      <c r="U259" s="19">
        <v>5.24</v>
      </c>
      <c r="V259" s="19">
        <v>12.403</v>
      </c>
      <c r="W259" s="19">
        <v>24.997</v>
      </c>
      <c r="Y259" s="19">
        <f t="shared" si="159"/>
        <v>6.3020000000000067</v>
      </c>
      <c r="Z259" s="19">
        <f t="shared" si="160"/>
        <v>17.127000000000002</v>
      </c>
      <c r="AA259" s="19">
        <f t="shared" si="161"/>
        <v>43.756</v>
      </c>
      <c r="AB259" s="19">
        <f t="shared" si="162"/>
        <v>34.616999999999997</v>
      </c>
      <c r="AC259" s="19">
        <f t="shared" si="163"/>
        <v>59.474000000000004</v>
      </c>
    </row>
    <row r="260" spans="2:47" outlineLevel="1" x14ac:dyDescent="0.25">
      <c r="B260" s="1" t="s">
        <v>288</v>
      </c>
      <c r="C260" s="6" t="s">
        <v>46</v>
      </c>
      <c r="D260" s="19">
        <v>0.39766025999995236</v>
      </c>
      <c r="E260" s="19">
        <v>-3.0352338299999531</v>
      </c>
      <c r="F260" s="19">
        <v>-34.423386000000008</v>
      </c>
      <c r="G260" s="19">
        <v>7.067350800000014</v>
      </c>
      <c r="H260" s="19">
        <v>-3.0816673499999894</v>
      </c>
      <c r="I260" s="19">
        <v>-0.77372704758781197</v>
      </c>
      <c r="J260" s="19">
        <v>-6.6053437275877513</v>
      </c>
      <c r="K260" s="19">
        <v>-28.763857989999991</v>
      </c>
      <c r="L260" s="19">
        <v>4.46070954999999</v>
      </c>
      <c r="M260" s="19">
        <v>-5.1965496699999392</v>
      </c>
      <c r="N260" s="19">
        <v>-6.0339999999999918</v>
      </c>
      <c r="O260" s="19">
        <v>-12.58499999999998</v>
      </c>
      <c r="P260" s="19">
        <v>15.231999999999999</v>
      </c>
      <c r="Q260" s="19">
        <v>6.7379999999999995</v>
      </c>
      <c r="R260" s="19">
        <v>-3.1610000000000014</v>
      </c>
      <c r="S260" s="19">
        <v>-8.9919999999999902</v>
      </c>
      <c r="T260" s="19">
        <v>-1.5860000000000127</v>
      </c>
      <c r="U260" s="19">
        <v>-7.289999999999992</v>
      </c>
      <c r="V260" s="19">
        <v>-3.1480000000000246</v>
      </c>
      <c r="W260" s="19">
        <v>-6.9290000000000305</v>
      </c>
      <c r="Y260" s="19">
        <f t="shared" si="159"/>
        <v>-29.993608769999994</v>
      </c>
      <c r="Z260" s="19">
        <f t="shared" si="160"/>
        <v>-39.224596115175544</v>
      </c>
      <c r="AA260" s="19">
        <f t="shared" si="161"/>
        <v>-19.35484011999992</v>
      </c>
      <c r="AB260" s="19">
        <f t="shared" si="162"/>
        <v>9.8170000000000073</v>
      </c>
      <c r="AC260" s="19">
        <f t="shared" si="163"/>
        <v>-18.95300000000006</v>
      </c>
    </row>
    <row r="261" spans="2:47" outlineLevel="1" x14ac:dyDescent="0.25">
      <c r="B261" s="9" t="s">
        <v>395</v>
      </c>
      <c r="C261" s="3" t="s">
        <v>46</v>
      </c>
      <c r="D261" s="4">
        <f t="shared" ref="D261:W261" si="164">SUM(D254:D260)</f>
        <v>136.63524156999998</v>
      </c>
      <c r="E261" s="4">
        <f t="shared" si="164"/>
        <v>166.69845262000001</v>
      </c>
      <c r="F261" s="4">
        <f t="shared" si="164"/>
        <v>117.94805307537619</v>
      </c>
      <c r="G261" s="4">
        <f t="shared" si="164"/>
        <v>127.05792946889642</v>
      </c>
      <c r="H261" s="4">
        <f t="shared" si="164"/>
        <v>113.95731742</v>
      </c>
      <c r="I261" s="4">
        <f t="shared" si="164"/>
        <v>150.49470055241221</v>
      </c>
      <c r="J261" s="4">
        <f t="shared" si="164"/>
        <v>140.46965627241224</v>
      </c>
      <c r="K261" s="4">
        <f t="shared" si="164"/>
        <v>133.15814201000001</v>
      </c>
      <c r="L261" s="4">
        <f t="shared" si="164"/>
        <v>172.99515610999998</v>
      </c>
      <c r="M261" s="4">
        <f t="shared" si="164"/>
        <v>189.04460022000001</v>
      </c>
      <c r="N261" s="4">
        <f t="shared" si="164"/>
        <v>201.63400000000001</v>
      </c>
      <c r="O261" s="4">
        <f t="shared" si="164"/>
        <v>190.17191068</v>
      </c>
      <c r="P261" s="4">
        <f t="shared" si="164"/>
        <v>221.41343210000002</v>
      </c>
      <c r="Q261" s="4">
        <f t="shared" si="164"/>
        <v>256.23545996000001</v>
      </c>
      <c r="R261" s="4">
        <f t="shared" si="164"/>
        <v>241.08020888000001</v>
      </c>
      <c r="S261" s="4">
        <f t="shared" si="164"/>
        <v>214.97421899999998</v>
      </c>
      <c r="T261" s="4">
        <f t="shared" si="164"/>
        <v>224.81014958999998</v>
      </c>
      <c r="U261" s="4">
        <f t="shared" si="164"/>
        <v>234.14992886000002</v>
      </c>
      <c r="V261" s="4">
        <f t="shared" si="164"/>
        <v>260.40999999999997</v>
      </c>
      <c r="W261" s="4">
        <f t="shared" si="164"/>
        <v>291.59199999999998</v>
      </c>
      <c r="Y261" s="4">
        <f>SUM(Y254:Y260)</f>
        <v>548.33967673427253</v>
      </c>
      <c r="Z261" s="4">
        <f>SUM(Z254:Z260)</f>
        <v>538.07981625482432</v>
      </c>
      <c r="AA261" s="4">
        <f>SUM(AA254:AA260)</f>
        <v>753.84566701000006</v>
      </c>
      <c r="AB261" s="4">
        <f>SUM(AB254:AB260)</f>
        <v>933.70331994000003</v>
      </c>
      <c r="AC261" s="4">
        <f>SUM(AC254:AC260)</f>
        <v>1010.9620784499997</v>
      </c>
    </row>
    <row r="262" spans="2:47" outlineLevel="1" x14ac:dyDescent="0.25">
      <c r="B262" s="8" t="s">
        <v>396</v>
      </c>
      <c r="C262" s="9" t="s">
        <v>14</v>
      </c>
      <c r="D262" s="10">
        <f t="shared" ref="D262:W262" si="165">D261/D44</f>
        <v>0.11212366329069465</v>
      </c>
      <c r="E262" s="10">
        <f t="shared" si="165"/>
        <v>0.1264110106908157</v>
      </c>
      <c r="F262" s="10">
        <f t="shared" si="165"/>
        <v>8.6150378954985743E-2</v>
      </c>
      <c r="G262" s="10">
        <f t="shared" si="165"/>
        <v>9.0852096917797345E-2</v>
      </c>
      <c r="H262" s="10">
        <f t="shared" si="165"/>
        <v>7.9217233434964007E-2</v>
      </c>
      <c r="I262" s="10">
        <f t="shared" si="165"/>
        <v>9.9452299578328712E-2</v>
      </c>
      <c r="J262" s="10">
        <f t="shared" si="165"/>
        <v>9.0152776998831452E-2</v>
      </c>
      <c r="K262" s="10">
        <f t="shared" si="165"/>
        <v>8.1927792287137674E-2</v>
      </c>
      <c r="L262" s="10">
        <f t="shared" si="165"/>
        <v>9.1033169158572111E-2</v>
      </c>
      <c r="M262" s="10">
        <f t="shared" si="165"/>
        <v>9.2854402897945651E-2</v>
      </c>
      <c r="N262" s="10">
        <f t="shared" si="165"/>
        <v>9.2721742801251186E-2</v>
      </c>
      <c r="O262" s="10">
        <f t="shared" si="165"/>
        <v>8.2627863206790914E-2</v>
      </c>
      <c r="P262" s="10">
        <f t="shared" si="165"/>
        <v>8.6508342860134591E-2</v>
      </c>
      <c r="Q262" s="10">
        <f t="shared" si="165"/>
        <v>9.8397766871806458E-2</v>
      </c>
      <c r="R262" s="10">
        <f t="shared" si="165"/>
        <v>8.9334924107253702E-2</v>
      </c>
      <c r="S262" s="10">
        <f t="shared" si="165"/>
        <v>7.6472446874623151E-2</v>
      </c>
      <c r="T262" s="10">
        <f t="shared" si="165"/>
        <v>7.7428547866970801E-2</v>
      </c>
      <c r="U262" s="10">
        <f t="shared" si="165"/>
        <v>7.3256257713183906E-2</v>
      </c>
      <c r="V262" s="10">
        <f t="shared" si="165"/>
        <v>8.0856122923910895E-2</v>
      </c>
      <c r="W262" s="10">
        <f t="shared" si="165"/>
        <v>8.9337536030118223E-2</v>
      </c>
      <c r="Y262" s="10">
        <f>Y261/Y44</f>
        <v>0.10336430457789353</v>
      </c>
      <c r="Z262" s="10">
        <f>Z261/Z44</f>
        <v>8.7703469372774318E-2</v>
      </c>
      <c r="AA262" s="10">
        <f>AA261/AA44</f>
        <v>8.9610833078254723E-2</v>
      </c>
      <c r="AB262" s="10">
        <f>AB261/AB44</f>
        <v>8.7480546721023039E-2</v>
      </c>
      <c r="AC262" s="10">
        <f>AC261/AC44</f>
        <v>8.0334796375437709E-2</v>
      </c>
    </row>
    <row r="264" spans="2:47" ht="15.75" x14ac:dyDescent="0.25">
      <c r="B264" s="33" t="s">
        <v>359</v>
      </c>
      <c r="D264" s="37"/>
      <c r="E264" s="40"/>
    </row>
    <row r="265" spans="2:47" outlineLevel="1" x14ac:dyDescent="0.25">
      <c r="B265" s="32" t="s">
        <v>6</v>
      </c>
      <c r="C265" s="17" t="s">
        <v>42</v>
      </c>
      <c r="D265" s="17">
        <v>2022</v>
      </c>
      <c r="E265" s="17">
        <v>2023</v>
      </c>
      <c r="F265" s="17">
        <v>2024</v>
      </c>
      <c r="G265" s="17">
        <v>2025</v>
      </c>
    </row>
    <row r="266" spans="2:47" outlineLevel="1" x14ac:dyDescent="0.25">
      <c r="B266" s="1" t="s">
        <v>374</v>
      </c>
      <c r="C266" s="6" t="s">
        <v>46</v>
      </c>
      <c r="D266" s="19">
        <v>30.882564841866632</v>
      </c>
      <c r="E266" s="19">
        <v>30.882564841866632</v>
      </c>
      <c r="F266" s="19">
        <v>30.882564841866632</v>
      </c>
      <c r="G266" s="19">
        <v>12.86773535077776</v>
      </c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62"/>
      <c r="AD266" s="62"/>
      <c r="AE266" s="62"/>
      <c r="AF266" s="62"/>
      <c r="AG266" s="62"/>
      <c r="AH266" s="62"/>
      <c r="AI266" s="62"/>
      <c r="AJ266" s="62"/>
      <c r="AK266" s="62"/>
      <c r="AL266" s="62"/>
      <c r="AM266" s="62"/>
      <c r="AN266" s="62"/>
      <c r="AO266" s="62"/>
      <c r="AP266" s="62"/>
      <c r="AQ266" s="62"/>
      <c r="AR266" s="62"/>
      <c r="AS266" s="62"/>
      <c r="AT266" s="62"/>
      <c r="AU266" s="62"/>
    </row>
    <row r="267" spans="2:47" outlineLevel="1" x14ac:dyDescent="0.25">
      <c r="B267" s="1" t="s">
        <v>373</v>
      </c>
      <c r="C267" s="6" t="s">
        <v>46</v>
      </c>
      <c r="D267" s="19">
        <v>114.19528931651965</v>
      </c>
      <c r="E267" s="19">
        <v>111.27389987250297</v>
      </c>
      <c r="F267" s="19">
        <v>96.689476239719681</v>
      </c>
      <c r="G267" s="19">
        <v>36.11106548580986</v>
      </c>
      <c r="H267" s="19"/>
      <c r="I267" s="62"/>
      <c r="J267" s="62"/>
      <c r="K267" s="62"/>
      <c r="L267" s="62"/>
      <c r="M267" s="62"/>
      <c r="N267" s="19"/>
      <c r="O267" s="19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62"/>
      <c r="AD267" s="62"/>
      <c r="AE267" s="62"/>
      <c r="AF267" s="62"/>
      <c r="AG267" s="62"/>
      <c r="AH267" s="62"/>
      <c r="AI267" s="62"/>
      <c r="AJ267" s="62"/>
      <c r="AK267" s="62"/>
      <c r="AL267" s="62"/>
      <c r="AM267" s="62"/>
      <c r="AN267" s="62"/>
      <c r="AO267" s="62"/>
      <c r="AP267" s="62"/>
      <c r="AQ267" s="62"/>
      <c r="AR267" s="62"/>
      <c r="AS267" s="62"/>
      <c r="AT267" s="62"/>
      <c r="AU267" s="62"/>
    </row>
    <row r="269" spans="2:47" ht="15.75" x14ac:dyDescent="0.25">
      <c r="B269" s="33" t="s">
        <v>372</v>
      </c>
    </row>
    <row r="270" spans="2:47" outlineLevel="1" x14ac:dyDescent="0.25">
      <c r="B270" s="32" t="s">
        <v>6</v>
      </c>
      <c r="C270" s="17" t="s">
        <v>42</v>
      </c>
      <c r="D270" s="17">
        <v>2022</v>
      </c>
      <c r="E270" s="17">
        <v>2023</v>
      </c>
      <c r="F270" s="17">
        <v>2024</v>
      </c>
      <c r="G270" s="17">
        <v>2025</v>
      </c>
      <c r="H270" s="17">
        <v>2026</v>
      </c>
      <c r="I270" s="17">
        <v>2027</v>
      </c>
      <c r="J270" s="17">
        <v>2028</v>
      </c>
      <c r="K270" s="17">
        <v>2029</v>
      </c>
      <c r="L270" s="17">
        <v>2030</v>
      </c>
      <c r="M270" s="17">
        <v>2031</v>
      </c>
      <c r="N270" s="17">
        <v>2032</v>
      </c>
      <c r="O270" s="17">
        <v>2033</v>
      </c>
      <c r="P270" s="17">
        <v>2034</v>
      </c>
      <c r="Q270" s="17">
        <v>2035</v>
      </c>
      <c r="R270" s="17">
        <v>2036</v>
      </c>
      <c r="S270" s="17">
        <v>2037</v>
      </c>
      <c r="T270" s="17">
        <v>2038</v>
      </c>
      <c r="U270" s="17">
        <v>2039</v>
      </c>
      <c r="V270" s="17">
        <v>2040</v>
      </c>
      <c r="W270" s="17">
        <v>2041</v>
      </c>
      <c r="X270" s="17">
        <v>2042</v>
      </c>
      <c r="Y270" s="17">
        <v>2043</v>
      </c>
      <c r="Z270" s="17">
        <v>2044</v>
      </c>
      <c r="AA270" s="17">
        <v>2045</v>
      </c>
      <c r="AB270" s="17">
        <v>2046</v>
      </c>
      <c r="AC270" s="17">
        <v>2047</v>
      </c>
      <c r="AD270" s="17">
        <v>2048</v>
      </c>
      <c r="AE270" s="17">
        <v>2049</v>
      </c>
      <c r="AF270" s="17">
        <v>2050</v>
      </c>
      <c r="AG270" s="17">
        <v>2051</v>
      </c>
      <c r="AH270" s="17">
        <v>2052</v>
      </c>
      <c r="AI270" s="17">
        <v>2053</v>
      </c>
      <c r="AJ270" s="17">
        <v>2054</v>
      </c>
      <c r="AK270" s="17">
        <v>2055</v>
      </c>
      <c r="AL270" s="17">
        <v>2056</v>
      </c>
      <c r="AM270" s="17">
        <v>2057</v>
      </c>
      <c r="AN270" s="17">
        <v>2058</v>
      </c>
      <c r="AO270" s="17">
        <v>2059</v>
      </c>
      <c r="AP270" s="17">
        <v>2060</v>
      </c>
      <c r="AQ270" s="17">
        <v>2061</v>
      </c>
      <c r="AR270" s="17">
        <v>2062</v>
      </c>
      <c r="AS270" s="17">
        <v>2063</v>
      </c>
      <c r="AT270" s="17">
        <v>2064</v>
      </c>
    </row>
    <row r="271" spans="2:47" outlineLevel="1" x14ac:dyDescent="0.25">
      <c r="B271" s="1" t="s">
        <v>360</v>
      </c>
      <c r="C271" s="6" t="s">
        <v>46</v>
      </c>
      <c r="D271" s="19">
        <v>22.062427020000001</v>
      </c>
      <c r="E271" s="19">
        <v>7.48116702</v>
      </c>
      <c r="F271" s="19">
        <v>7.264274003333334</v>
      </c>
      <c r="G271" s="19">
        <v>7.1093504200000002</v>
      </c>
      <c r="H271" s="19">
        <v>7.1093504200000002</v>
      </c>
      <c r="I271" s="19">
        <v>7.1093504200000002</v>
      </c>
      <c r="J271" s="19">
        <v>7.1093504200000002</v>
      </c>
      <c r="K271" s="19">
        <v>7.1093504200000002</v>
      </c>
      <c r="L271" s="19">
        <v>7.1093504200000002</v>
      </c>
      <c r="M271" s="19">
        <v>7.1093504200000002</v>
      </c>
      <c r="N271" s="19">
        <v>7.1093504200000002</v>
      </c>
      <c r="O271" s="19">
        <v>7.1093504200000002</v>
      </c>
      <c r="P271" s="19">
        <v>7.1093504200000002</v>
      </c>
      <c r="Q271" s="19">
        <v>7.1093504200000002</v>
      </c>
      <c r="R271" s="19">
        <v>7.1093504200000002</v>
      </c>
      <c r="S271" s="19">
        <v>7.1093504200000002</v>
      </c>
      <c r="T271" s="19">
        <v>7.1093504200000002</v>
      </c>
      <c r="U271" s="19">
        <v>7.1124513966666667</v>
      </c>
      <c r="V271" s="19">
        <v>7.1146663800000001</v>
      </c>
      <c r="W271" s="19">
        <v>7.1146663800000001</v>
      </c>
      <c r="X271" s="19">
        <v>7.1146663800000001</v>
      </c>
      <c r="Y271" s="19">
        <v>7.1146663800000001</v>
      </c>
      <c r="Z271" s="19">
        <v>3.1022663800000001</v>
      </c>
      <c r="AA271" s="19">
        <v>0.23626637999999997</v>
      </c>
      <c r="AB271" s="19">
        <v>0.23626637999999997</v>
      </c>
      <c r="AC271" s="19">
        <v>0.23626637999999997</v>
      </c>
      <c r="AD271" s="19">
        <v>0.23626637999999997</v>
      </c>
      <c r="AE271" s="19">
        <v>0.23626637999999997</v>
      </c>
      <c r="AF271" s="19">
        <v>0.23626637999999997</v>
      </c>
      <c r="AG271" s="19">
        <v>0.23626637999999997</v>
      </c>
      <c r="AH271" s="19">
        <v>0.23626637999999997</v>
      </c>
      <c r="AI271" s="19">
        <v>0.23626637999999997</v>
      </c>
      <c r="AJ271" s="19">
        <v>0.23626637999999997</v>
      </c>
      <c r="AK271" s="19">
        <v>0.23626637999999997</v>
      </c>
      <c r="AL271" s="19">
        <v>0.23626637999999997</v>
      </c>
      <c r="AM271" s="19">
        <v>0.23626637999999997</v>
      </c>
      <c r="AN271" s="19">
        <v>0.23626637999999997</v>
      </c>
      <c r="AO271" s="19">
        <v>0.23626637999999997</v>
      </c>
      <c r="AP271" s="19">
        <v>0.23626637999999997</v>
      </c>
      <c r="AQ271" s="19">
        <v>0.23626637999999997</v>
      </c>
      <c r="AR271" s="19">
        <v>0.23626637999999997</v>
      </c>
      <c r="AS271" s="19">
        <v>0.23626637999999997</v>
      </c>
      <c r="AT271" s="19">
        <v>9.8444325000000013E-2</v>
      </c>
    </row>
    <row r="272" spans="2:47" outlineLevel="1" x14ac:dyDescent="0.25">
      <c r="B272" s="34"/>
      <c r="E272" s="36"/>
    </row>
    <row r="274" spans="2:47" ht="15.75" x14ac:dyDescent="0.25">
      <c r="B274" s="33" t="s">
        <v>356</v>
      </c>
    </row>
    <row r="275" spans="2:47" outlineLevel="1" x14ac:dyDescent="0.25">
      <c r="B275" s="32" t="s">
        <v>6</v>
      </c>
      <c r="C275" s="17" t="s">
        <v>42</v>
      </c>
      <c r="D275" s="17">
        <v>2022</v>
      </c>
      <c r="E275" s="17">
        <v>2023</v>
      </c>
      <c r="F275" s="17">
        <v>2024</v>
      </c>
      <c r="G275" s="17">
        <v>2025</v>
      </c>
      <c r="H275" s="17">
        <v>2026</v>
      </c>
      <c r="I275" s="17">
        <v>2027</v>
      </c>
    </row>
    <row r="276" spans="2:47" outlineLevel="1" x14ac:dyDescent="0.25">
      <c r="B276" s="1" t="s">
        <v>357</v>
      </c>
      <c r="C276" s="6" t="s">
        <v>46</v>
      </c>
      <c r="D276" s="19">
        <v>-267</v>
      </c>
      <c r="E276" s="19">
        <v>-750.33308333333321</v>
      </c>
      <c r="F276" s="19">
        <v>-750.33308333333343</v>
      </c>
      <c r="G276" s="19">
        <f>-483.333083333333-400</f>
        <v>-883.33308333333298</v>
      </c>
      <c r="H276" s="19">
        <v>-400</v>
      </c>
      <c r="I276" s="19">
        <v>-400</v>
      </c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  <c r="AC276" s="62"/>
      <c r="AD276" s="62"/>
      <c r="AE276" s="62"/>
      <c r="AF276" s="62"/>
      <c r="AG276" s="62"/>
      <c r="AH276" s="62"/>
      <c r="AI276" s="62"/>
      <c r="AJ276" s="62"/>
      <c r="AK276" s="62"/>
      <c r="AL276" s="62"/>
      <c r="AM276" s="62"/>
      <c r="AN276" s="62"/>
      <c r="AO276" s="62"/>
      <c r="AP276" s="62"/>
      <c r="AQ276" s="62"/>
      <c r="AR276" s="62"/>
      <c r="AS276" s="62"/>
      <c r="AT276" s="62"/>
      <c r="AU276" s="62"/>
    </row>
    <row r="277" spans="2:47" outlineLevel="1" x14ac:dyDescent="0.25">
      <c r="B277" s="1" t="s">
        <v>358</v>
      </c>
      <c r="C277" s="6" t="s">
        <v>46</v>
      </c>
      <c r="D277" s="19">
        <f>-176.7-50</f>
        <v>-226.7</v>
      </c>
      <c r="E277" s="19">
        <f>-446.7-60</f>
        <v>-506.7</v>
      </c>
      <c r="F277" s="19">
        <f>-186.7-250-60</f>
        <v>-496.7</v>
      </c>
      <c r="G277" s="19">
        <f>-100-60</f>
        <v>-160</v>
      </c>
      <c r="H277" s="19">
        <v>0</v>
      </c>
      <c r="I277" s="19">
        <v>0</v>
      </c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  <c r="AC277" s="62"/>
      <c r="AD277" s="62"/>
      <c r="AE277" s="62"/>
      <c r="AF277" s="62"/>
      <c r="AG277" s="62"/>
      <c r="AH277" s="62"/>
      <c r="AI277" s="62"/>
      <c r="AJ277" s="62"/>
      <c r="AK277" s="62"/>
      <c r="AL277" s="62"/>
      <c r="AM277" s="62"/>
      <c r="AN277" s="62"/>
      <c r="AO277" s="62"/>
      <c r="AP277" s="62"/>
      <c r="AQ277" s="62"/>
      <c r="AR277" s="62"/>
      <c r="AS277" s="62"/>
      <c r="AT277" s="62"/>
      <c r="AU277" s="62"/>
    </row>
    <row r="279" spans="2:47" ht="15.75" x14ac:dyDescent="0.25">
      <c r="B279" s="33" t="s">
        <v>382</v>
      </c>
    </row>
    <row r="280" spans="2:47" outlineLevel="1" x14ac:dyDescent="0.25">
      <c r="B280" s="32" t="s">
        <v>6</v>
      </c>
      <c r="C280" s="17" t="s">
        <v>42</v>
      </c>
      <c r="D280" s="17">
        <v>2022</v>
      </c>
    </row>
    <row r="281" spans="2:47" outlineLevel="1" x14ac:dyDescent="0.25">
      <c r="B281" s="1" t="s">
        <v>380</v>
      </c>
      <c r="C281" s="6" t="s">
        <v>46</v>
      </c>
      <c r="D281" s="19">
        <v>0</v>
      </c>
    </row>
    <row r="282" spans="2:47" outlineLevel="1" x14ac:dyDescent="0.25">
      <c r="B282" s="1" t="s">
        <v>381</v>
      </c>
      <c r="C282" s="6" t="s">
        <v>46</v>
      </c>
      <c r="D282" s="19">
        <v>0</v>
      </c>
    </row>
    <row r="283" spans="2:47" outlineLevel="1" x14ac:dyDescent="0.25">
      <c r="B283" s="1" t="s">
        <v>420</v>
      </c>
      <c r="C283" s="6" t="s">
        <v>46</v>
      </c>
      <c r="D283" s="19">
        <f>9.29449999907055+1.50959999984904</f>
        <v>10.804099998919591</v>
      </c>
      <c r="E283" s="19"/>
    </row>
    <row r="284" spans="2:47" x14ac:dyDescent="0.25">
      <c r="B284" s="6" t="s">
        <v>434</v>
      </c>
    </row>
  </sheetData>
  <pageMargins left="0.19685039370078741" right="0.19685039370078741" top="0.19685039370078741" bottom="0.19685039370078741" header="0.19685039370078741" footer="0.19685039370078741"/>
  <pageSetup paperSize="9" orientation="landscape" r:id="rId1"/>
  <headerFooter>
    <oddHeader>&amp;C&amp;"Calibri"&amp;10&amp;KA80000CONFIDENCIAL&amp;1#_x000D_&amp;"Calibri"&amp;11&amp;K000000&amp;G</oddHeader>
    <oddFooter>&amp;C&amp;"Calibri"&amp;11&amp;K000000_x000D_&amp;1#&amp;"Calibri"&amp;10&amp;KA80000CONFIDENCIAL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35"/>
  <sheetViews>
    <sheetView showGridLines="0" zoomScale="90" zoomScaleNormal="90" workbookViewId="0">
      <pane ySplit="2" topLeftCell="A18" activePane="bottomLeft" state="frozen"/>
      <selection pane="bottomLeft" activeCell="H24" sqref="H24"/>
    </sheetView>
  </sheetViews>
  <sheetFormatPr defaultRowHeight="15" x14ac:dyDescent="0.25"/>
  <cols>
    <col min="1" max="1" width="2" customWidth="1"/>
    <col min="2" max="3" width="7.7109375" bestFit="1" customWidth="1"/>
    <col min="4" max="4" width="73.7109375" bestFit="1" customWidth="1"/>
    <col min="5" max="5" width="11.140625" bestFit="1" customWidth="1"/>
    <col min="6" max="6" width="9.5703125" bestFit="1" customWidth="1"/>
    <col min="7" max="7" width="15.42578125" bestFit="1" customWidth="1"/>
    <col min="8" max="8" width="13.28515625" bestFit="1" customWidth="1"/>
  </cols>
  <sheetData>
    <row r="2" spans="2:8" x14ac:dyDescent="0.25">
      <c r="B2" s="17" t="s">
        <v>523</v>
      </c>
      <c r="C2" s="17" t="s">
        <v>460</v>
      </c>
      <c r="D2" s="17" t="s">
        <v>457</v>
      </c>
      <c r="E2" s="17" t="s">
        <v>553</v>
      </c>
      <c r="F2" s="17" t="s">
        <v>552</v>
      </c>
      <c r="G2" s="17" t="s">
        <v>581</v>
      </c>
      <c r="H2" s="17" t="s">
        <v>435</v>
      </c>
    </row>
    <row r="3" spans="2:8" x14ac:dyDescent="0.25">
      <c r="B3" s="51" t="s">
        <v>548</v>
      </c>
      <c r="C3" s="52" t="s">
        <v>437</v>
      </c>
      <c r="D3" s="48" t="s">
        <v>436</v>
      </c>
      <c r="E3" s="53"/>
      <c r="F3" s="53"/>
      <c r="G3" s="49">
        <v>35901</v>
      </c>
      <c r="H3" s="49" t="s">
        <v>437</v>
      </c>
    </row>
    <row r="4" spans="2:8" x14ac:dyDescent="0.25">
      <c r="B4" s="51">
        <v>42309</v>
      </c>
      <c r="C4" s="52" t="s">
        <v>437</v>
      </c>
      <c r="D4" s="48" t="s">
        <v>438</v>
      </c>
      <c r="E4" s="53">
        <v>209865</v>
      </c>
      <c r="F4" s="53">
        <v>239.33099999999999</v>
      </c>
      <c r="G4" s="49">
        <v>33925</v>
      </c>
      <c r="H4" s="57" t="s">
        <v>455</v>
      </c>
    </row>
    <row r="5" spans="2:8" x14ac:dyDescent="0.25">
      <c r="B5" s="51">
        <v>42370</v>
      </c>
      <c r="C5" s="52" t="s">
        <v>437</v>
      </c>
      <c r="D5" s="48" t="s">
        <v>439</v>
      </c>
      <c r="E5" s="53">
        <v>122500</v>
      </c>
      <c r="F5" s="53">
        <v>0</v>
      </c>
      <c r="G5" s="49" t="s">
        <v>440</v>
      </c>
      <c r="H5" s="57" t="s">
        <v>455</v>
      </c>
    </row>
    <row r="6" spans="2:8" x14ac:dyDescent="0.25">
      <c r="B6" s="51" t="s">
        <v>530</v>
      </c>
      <c r="C6" s="52" t="s">
        <v>437</v>
      </c>
      <c r="D6" s="48" t="s">
        <v>441</v>
      </c>
      <c r="E6" s="53">
        <v>125000</v>
      </c>
      <c r="F6" s="53">
        <v>57.332999999999998</v>
      </c>
      <c r="G6" s="49">
        <v>34527</v>
      </c>
      <c r="H6" s="57" t="s">
        <v>455</v>
      </c>
    </row>
    <row r="7" spans="2:8" x14ac:dyDescent="0.25">
      <c r="B7" s="51">
        <v>42795</v>
      </c>
      <c r="C7" s="52" t="s">
        <v>437</v>
      </c>
      <c r="D7" s="48" t="s">
        <v>442</v>
      </c>
      <c r="E7" s="53">
        <v>45500</v>
      </c>
      <c r="F7" s="53">
        <v>0</v>
      </c>
      <c r="G7" s="49" t="s">
        <v>440</v>
      </c>
      <c r="H7" s="57" t="s">
        <v>455</v>
      </c>
    </row>
    <row r="8" spans="2:8" x14ac:dyDescent="0.25">
      <c r="B8" s="51" t="s">
        <v>531</v>
      </c>
      <c r="C8" s="52" t="s">
        <v>437</v>
      </c>
      <c r="D8" s="48" t="s">
        <v>443</v>
      </c>
      <c r="E8" s="53">
        <v>199435</v>
      </c>
      <c r="F8" s="53">
        <v>0</v>
      </c>
      <c r="G8" s="49" t="s">
        <v>440</v>
      </c>
      <c r="H8" s="57" t="s">
        <v>456</v>
      </c>
    </row>
    <row r="9" spans="2:8" x14ac:dyDescent="0.25">
      <c r="B9" s="51">
        <v>42917</v>
      </c>
      <c r="C9" s="52" t="s">
        <v>437</v>
      </c>
      <c r="D9" s="48" t="s">
        <v>444</v>
      </c>
      <c r="E9" s="53">
        <v>170402</v>
      </c>
      <c r="F9" s="53">
        <v>0</v>
      </c>
      <c r="G9" s="49" t="s">
        <v>440</v>
      </c>
      <c r="H9" s="57" t="s">
        <v>455</v>
      </c>
    </row>
    <row r="10" spans="2:8" x14ac:dyDescent="0.25">
      <c r="B10" s="51" t="s">
        <v>532</v>
      </c>
      <c r="C10" s="52" t="s">
        <v>437</v>
      </c>
      <c r="D10" s="48" t="s">
        <v>445</v>
      </c>
      <c r="E10" s="53">
        <v>110830</v>
      </c>
      <c r="F10" s="53">
        <v>48.195999999999998</v>
      </c>
      <c r="G10" s="49">
        <v>32468</v>
      </c>
      <c r="H10" s="57" t="s">
        <v>455</v>
      </c>
    </row>
    <row r="11" spans="2:8" x14ac:dyDescent="0.25">
      <c r="B11" s="51" t="s">
        <v>533</v>
      </c>
      <c r="C11" s="51">
        <v>43252</v>
      </c>
      <c r="D11" s="48" t="s">
        <v>446</v>
      </c>
      <c r="E11" s="53">
        <v>180166</v>
      </c>
      <c r="F11" s="53">
        <v>80</v>
      </c>
      <c r="G11" s="49">
        <v>30912</v>
      </c>
      <c r="H11" s="57" t="s">
        <v>455</v>
      </c>
    </row>
    <row r="12" spans="2:8" x14ac:dyDescent="0.25">
      <c r="B12" s="51">
        <v>43466</v>
      </c>
      <c r="C12" s="51" t="s">
        <v>551</v>
      </c>
      <c r="D12" s="48" t="s">
        <v>447</v>
      </c>
      <c r="E12" s="53">
        <v>1168425</v>
      </c>
      <c r="F12" s="53">
        <v>464</v>
      </c>
      <c r="G12" s="49">
        <v>32507</v>
      </c>
      <c r="H12" s="57" t="s">
        <v>455</v>
      </c>
    </row>
    <row r="13" spans="2:8" x14ac:dyDescent="0.25">
      <c r="B13" s="51" t="s">
        <v>534</v>
      </c>
      <c r="C13" s="51" t="s">
        <v>534</v>
      </c>
      <c r="D13" s="48" t="s">
        <v>448</v>
      </c>
      <c r="E13" s="53">
        <v>31778</v>
      </c>
      <c r="F13" s="53">
        <v>0</v>
      </c>
      <c r="G13" s="49" t="s">
        <v>440</v>
      </c>
      <c r="H13" s="57" t="s">
        <v>456</v>
      </c>
    </row>
    <row r="14" spans="2:8" x14ac:dyDescent="0.25">
      <c r="B14" s="51" t="s">
        <v>527</v>
      </c>
      <c r="C14" s="51">
        <v>43282</v>
      </c>
      <c r="D14" s="48" t="s">
        <v>449</v>
      </c>
      <c r="E14" s="53">
        <v>306532</v>
      </c>
      <c r="F14" s="53">
        <v>80</v>
      </c>
      <c r="G14" s="49">
        <v>368849</v>
      </c>
      <c r="H14" s="57" t="s">
        <v>455</v>
      </c>
    </row>
    <row r="15" spans="2:8" x14ac:dyDescent="0.25">
      <c r="B15" s="51">
        <v>43647</v>
      </c>
      <c r="C15" s="51" t="s">
        <v>527</v>
      </c>
      <c r="D15" s="48" t="s">
        <v>450</v>
      </c>
      <c r="E15" s="53">
        <v>80000</v>
      </c>
      <c r="F15" s="53">
        <v>350</v>
      </c>
      <c r="G15" s="49">
        <v>351563</v>
      </c>
      <c r="H15" s="57" t="s">
        <v>455</v>
      </c>
    </row>
    <row r="16" spans="2:8" x14ac:dyDescent="0.25">
      <c r="B16" s="51">
        <v>43770</v>
      </c>
      <c r="C16" s="51" t="s">
        <v>549</v>
      </c>
      <c r="D16" s="48" t="s">
        <v>451</v>
      </c>
      <c r="E16" s="53">
        <v>113455</v>
      </c>
      <c r="F16" s="53">
        <v>17</v>
      </c>
      <c r="G16" s="49">
        <v>349755</v>
      </c>
      <c r="H16" s="57" t="s">
        <v>455</v>
      </c>
    </row>
    <row r="17" spans="2:8" x14ac:dyDescent="0.25">
      <c r="B17" s="51">
        <v>43770</v>
      </c>
      <c r="C17" s="51">
        <v>43647</v>
      </c>
      <c r="D17" s="48" t="s">
        <v>452</v>
      </c>
      <c r="E17" s="53">
        <v>158552</v>
      </c>
      <c r="F17" s="53">
        <v>0</v>
      </c>
      <c r="G17" s="49" t="s">
        <v>440</v>
      </c>
      <c r="H17" s="57" t="s">
        <v>455</v>
      </c>
    </row>
    <row r="18" spans="2:8" x14ac:dyDescent="0.25">
      <c r="B18" s="51">
        <v>43831</v>
      </c>
      <c r="C18" s="51">
        <v>43739</v>
      </c>
      <c r="D18" s="48" t="s">
        <v>453</v>
      </c>
      <c r="E18" s="53">
        <v>376849</v>
      </c>
      <c r="F18" s="53">
        <v>88</v>
      </c>
      <c r="G18" s="49">
        <v>344362</v>
      </c>
      <c r="H18" s="57" t="s">
        <v>456</v>
      </c>
    </row>
    <row r="19" spans="2:8" x14ac:dyDescent="0.25">
      <c r="B19" s="51" t="s">
        <v>525</v>
      </c>
      <c r="C19" s="51">
        <v>43770</v>
      </c>
      <c r="D19" s="48" t="s">
        <v>454</v>
      </c>
      <c r="E19" s="53">
        <v>2642343</v>
      </c>
      <c r="F19" s="53">
        <v>351</v>
      </c>
      <c r="G19" s="49">
        <v>340782</v>
      </c>
      <c r="H19" s="57" t="s">
        <v>456</v>
      </c>
    </row>
    <row r="20" spans="2:8" x14ac:dyDescent="0.25">
      <c r="B20" s="51" t="s">
        <v>526</v>
      </c>
      <c r="C20" s="51" t="s">
        <v>550</v>
      </c>
      <c r="D20" s="48" t="s">
        <v>458</v>
      </c>
      <c r="E20" s="53">
        <v>49000</v>
      </c>
      <c r="F20" s="53">
        <v>40</v>
      </c>
      <c r="G20" s="49">
        <v>414298</v>
      </c>
      <c r="H20" s="57" t="s">
        <v>455</v>
      </c>
    </row>
    <row r="21" spans="2:8" x14ac:dyDescent="0.25">
      <c r="B21" s="51" t="s">
        <v>526</v>
      </c>
      <c r="C21" s="51" t="s">
        <v>526</v>
      </c>
      <c r="D21" s="48" t="s">
        <v>544</v>
      </c>
      <c r="E21" s="53">
        <v>7443</v>
      </c>
      <c r="F21" s="53">
        <v>0</v>
      </c>
      <c r="G21" s="49" t="s">
        <v>440</v>
      </c>
      <c r="H21" s="57" t="s">
        <v>455</v>
      </c>
    </row>
    <row r="22" spans="2:8" x14ac:dyDescent="0.25">
      <c r="B22" s="51" t="s">
        <v>526</v>
      </c>
      <c r="C22" s="51" t="s">
        <v>526</v>
      </c>
      <c r="D22" s="48" t="s">
        <v>543</v>
      </c>
      <c r="E22" s="53">
        <v>42762</v>
      </c>
      <c r="F22" s="53">
        <v>0</v>
      </c>
      <c r="G22" s="49" t="s">
        <v>440</v>
      </c>
      <c r="H22" s="57" t="s">
        <v>456</v>
      </c>
    </row>
    <row r="23" spans="2:8" x14ac:dyDescent="0.25">
      <c r="B23" s="51" t="s">
        <v>524</v>
      </c>
      <c r="C23" s="51">
        <v>43983</v>
      </c>
      <c r="D23" s="48" t="s">
        <v>461</v>
      </c>
      <c r="E23" s="53">
        <v>206217</v>
      </c>
      <c r="F23" s="53">
        <v>41</v>
      </c>
      <c r="G23" s="49">
        <v>349194</v>
      </c>
      <c r="H23" s="49" t="s">
        <v>456</v>
      </c>
    </row>
    <row r="24" spans="2:8" x14ac:dyDescent="0.25">
      <c r="B24" s="51" t="s">
        <v>547</v>
      </c>
      <c r="C24" s="51" t="s">
        <v>547</v>
      </c>
      <c r="D24" s="48" t="s">
        <v>546</v>
      </c>
      <c r="E24" s="53">
        <v>30969</v>
      </c>
      <c r="F24" s="53">
        <v>0</v>
      </c>
      <c r="G24" s="49" t="s">
        <v>440</v>
      </c>
      <c r="H24" s="49" t="s">
        <v>456</v>
      </c>
    </row>
    <row r="25" spans="2:8" x14ac:dyDescent="0.25">
      <c r="B25" s="51" t="s">
        <v>566</v>
      </c>
      <c r="C25" s="51" t="s">
        <v>547</v>
      </c>
      <c r="D25" s="48" t="s">
        <v>542</v>
      </c>
      <c r="E25" s="53">
        <v>51253</v>
      </c>
      <c r="F25" s="53">
        <v>46</v>
      </c>
      <c r="G25" s="49">
        <v>309699</v>
      </c>
      <c r="H25" s="57" t="s">
        <v>455</v>
      </c>
    </row>
    <row r="26" spans="2:8" x14ac:dyDescent="0.25">
      <c r="B26" s="51">
        <v>44197</v>
      </c>
      <c r="C26" s="51" t="s">
        <v>566</v>
      </c>
      <c r="D26" s="48" t="s">
        <v>569</v>
      </c>
      <c r="E26" s="53">
        <v>175698</v>
      </c>
      <c r="F26" s="53">
        <v>0</v>
      </c>
      <c r="G26" s="49" t="s">
        <v>440</v>
      </c>
      <c r="H26" s="49" t="s">
        <v>456</v>
      </c>
    </row>
    <row r="27" spans="2:8" x14ac:dyDescent="0.25">
      <c r="B27" s="51">
        <v>44256</v>
      </c>
      <c r="C27" s="51" t="s">
        <v>524</v>
      </c>
      <c r="D27" s="48" t="s">
        <v>459</v>
      </c>
      <c r="E27" s="53">
        <v>185485</v>
      </c>
      <c r="F27" s="53">
        <v>33</v>
      </c>
      <c r="G27" s="49">
        <v>343013</v>
      </c>
      <c r="H27" s="49" t="s">
        <v>456</v>
      </c>
    </row>
    <row r="28" spans="2:8" x14ac:dyDescent="0.25">
      <c r="B28" s="51">
        <v>44256</v>
      </c>
      <c r="C28" s="51" t="s">
        <v>524</v>
      </c>
      <c r="D28" s="48" t="s">
        <v>462</v>
      </c>
      <c r="E28" s="53">
        <v>79000</v>
      </c>
      <c r="F28" s="53">
        <v>100</v>
      </c>
      <c r="G28" s="49">
        <v>402966</v>
      </c>
      <c r="H28" s="49" t="s">
        <v>456</v>
      </c>
    </row>
    <row r="29" spans="2:8" x14ac:dyDescent="0.25">
      <c r="B29" s="51" t="s">
        <v>573</v>
      </c>
      <c r="C29" s="56">
        <v>44136</v>
      </c>
      <c r="D29" t="s">
        <v>565</v>
      </c>
      <c r="E29" s="53">
        <v>170000</v>
      </c>
      <c r="F29" s="53">
        <v>0</v>
      </c>
      <c r="G29" s="49" t="s">
        <v>440</v>
      </c>
      <c r="H29" s="49" t="s">
        <v>456</v>
      </c>
    </row>
    <row r="30" spans="2:8" x14ac:dyDescent="0.25">
      <c r="B30" s="51" t="s">
        <v>573</v>
      </c>
      <c r="C30" s="51" t="s">
        <v>524</v>
      </c>
      <c r="D30" s="48" t="s">
        <v>463</v>
      </c>
      <c r="E30" s="53">
        <v>1000000</v>
      </c>
      <c r="F30" s="53">
        <v>340</v>
      </c>
      <c r="G30" s="49">
        <v>348520</v>
      </c>
      <c r="H30" s="49" t="s">
        <v>456</v>
      </c>
    </row>
    <row r="31" spans="2:8" x14ac:dyDescent="0.25">
      <c r="B31" s="56">
        <v>44378</v>
      </c>
      <c r="C31" s="56">
        <v>44348</v>
      </c>
      <c r="D31" t="s">
        <v>584</v>
      </c>
      <c r="E31" s="53">
        <v>92000</v>
      </c>
      <c r="F31" s="53">
        <v>0</v>
      </c>
      <c r="G31" s="49" t="s">
        <v>440</v>
      </c>
      <c r="H31" s="49" t="s">
        <v>456</v>
      </c>
    </row>
    <row r="32" spans="2:8" x14ac:dyDescent="0.25">
      <c r="B32" s="51" t="s">
        <v>585</v>
      </c>
      <c r="C32" s="51" t="s">
        <v>547</v>
      </c>
      <c r="D32" s="48" t="s">
        <v>545</v>
      </c>
      <c r="E32" s="53">
        <v>170000</v>
      </c>
      <c r="F32" s="53">
        <v>47</v>
      </c>
      <c r="G32" s="49">
        <v>306649</v>
      </c>
      <c r="H32" s="49" t="s">
        <v>456</v>
      </c>
    </row>
    <row r="33" spans="2:8" x14ac:dyDescent="0.25">
      <c r="B33" s="51" t="s">
        <v>592</v>
      </c>
      <c r="C33" s="56">
        <v>44378</v>
      </c>
      <c r="D33" s="48" t="s">
        <v>586</v>
      </c>
      <c r="E33" s="53">
        <v>160000</v>
      </c>
      <c r="F33" s="53">
        <v>0</v>
      </c>
      <c r="G33" s="49" t="s">
        <v>440</v>
      </c>
      <c r="H33" s="49" t="s">
        <v>456</v>
      </c>
    </row>
    <row r="34" spans="2:8" x14ac:dyDescent="0.25">
      <c r="B34" s="56">
        <v>44562</v>
      </c>
      <c r="C34" s="56">
        <v>44348</v>
      </c>
      <c r="D34" t="s">
        <v>582</v>
      </c>
      <c r="E34" s="53">
        <v>1060000</v>
      </c>
      <c r="F34" s="53">
        <v>175</v>
      </c>
      <c r="G34" t="s">
        <v>580</v>
      </c>
      <c r="H34" s="49" t="s">
        <v>456</v>
      </c>
    </row>
    <row r="35" spans="2:8" x14ac:dyDescent="0.25">
      <c r="B35" s="51" t="s">
        <v>595</v>
      </c>
      <c r="C35" s="51" t="s">
        <v>595</v>
      </c>
      <c r="D35" s="48" t="s">
        <v>596</v>
      </c>
      <c r="E35" s="53">
        <v>83000</v>
      </c>
      <c r="F35" s="53">
        <v>0</v>
      </c>
      <c r="G35" s="49" t="s">
        <v>440</v>
      </c>
      <c r="H35" s="49" t="s">
        <v>456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Header>&amp;C&amp;"Calibri"&amp;10&amp;KA80000CONFIDENCIAL&amp;1#_x000D_&amp;"Calibri"&amp;11&amp;K000000&amp;G</oddHeader>
    <oddFooter>&amp;C&amp;"Calibri"&amp;11&amp;K000000_x000D_&amp;1#&amp;"Calibri"&amp;10&amp;KA80000CONFIDENCIAL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9"/>
  <sheetViews>
    <sheetView showGridLines="0" zoomScale="90" zoomScaleNormal="90" workbookViewId="0">
      <pane ySplit="2" topLeftCell="A21" activePane="bottomLeft" state="frozen"/>
      <selection pane="bottomLeft" activeCell="M35" sqref="M35"/>
    </sheetView>
  </sheetViews>
  <sheetFormatPr defaultRowHeight="15" x14ac:dyDescent="0.25"/>
  <cols>
    <col min="1" max="1" width="2" customWidth="1"/>
    <col min="2" max="2" width="28.5703125" bestFit="1" customWidth="1"/>
    <col min="3" max="3" width="21.85546875" bestFit="1" customWidth="1"/>
    <col min="4" max="4" width="5.28515625" bestFit="1" customWidth="1"/>
    <col min="5" max="5" width="2.140625" customWidth="1"/>
    <col min="6" max="6" width="27.5703125" bestFit="1" customWidth="1"/>
    <col min="7" max="7" width="7.7109375" bestFit="1" customWidth="1"/>
    <col min="8" max="8" width="2.140625" customWidth="1"/>
    <col min="9" max="9" width="44.42578125" bestFit="1" customWidth="1"/>
  </cols>
  <sheetData>
    <row r="2" spans="2:9" x14ac:dyDescent="0.25">
      <c r="B2" s="17" t="s">
        <v>464</v>
      </c>
      <c r="C2" s="17" t="s">
        <v>466</v>
      </c>
      <c r="D2" s="17" t="s">
        <v>465</v>
      </c>
      <c r="F2" s="17" t="s">
        <v>76</v>
      </c>
      <c r="G2" s="17" t="s">
        <v>523</v>
      </c>
      <c r="I2" s="54" t="s">
        <v>555</v>
      </c>
    </row>
    <row r="3" spans="2:9" x14ac:dyDescent="0.25">
      <c r="B3" t="s">
        <v>485</v>
      </c>
      <c r="C3" t="s">
        <v>486</v>
      </c>
      <c r="D3">
        <v>173</v>
      </c>
      <c r="F3" t="s">
        <v>514</v>
      </c>
      <c r="G3" s="50" t="s">
        <v>437</v>
      </c>
      <c r="I3" t="s">
        <v>556</v>
      </c>
    </row>
    <row r="4" spans="2:9" x14ac:dyDescent="0.25">
      <c r="B4" t="s">
        <v>487</v>
      </c>
      <c r="C4" t="s">
        <v>488</v>
      </c>
      <c r="D4">
        <v>79</v>
      </c>
      <c r="F4" t="s">
        <v>514</v>
      </c>
      <c r="G4" s="50" t="s">
        <v>437</v>
      </c>
      <c r="I4" t="s">
        <v>556</v>
      </c>
    </row>
    <row r="5" spans="2:9" x14ac:dyDescent="0.25">
      <c r="B5" t="s">
        <v>489</v>
      </c>
      <c r="C5" t="s">
        <v>491</v>
      </c>
      <c r="D5">
        <v>93</v>
      </c>
      <c r="F5" t="s">
        <v>514</v>
      </c>
      <c r="G5" s="50" t="s">
        <v>437</v>
      </c>
      <c r="I5" t="s">
        <v>558</v>
      </c>
    </row>
    <row r="6" spans="2:9" x14ac:dyDescent="0.25">
      <c r="B6" t="s">
        <v>492</v>
      </c>
      <c r="C6" t="s">
        <v>493</v>
      </c>
      <c r="D6">
        <v>37</v>
      </c>
      <c r="F6" t="s">
        <v>514</v>
      </c>
      <c r="G6" s="50" t="s">
        <v>437</v>
      </c>
      <c r="I6" t="s">
        <v>557</v>
      </c>
    </row>
    <row r="7" spans="2:9" x14ac:dyDescent="0.25">
      <c r="B7" t="s">
        <v>468</v>
      </c>
      <c r="C7" t="s">
        <v>471</v>
      </c>
      <c r="D7">
        <v>86</v>
      </c>
      <c r="F7" t="s">
        <v>514</v>
      </c>
      <c r="G7" s="50" t="s">
        <v>437</v>
      </c>
      <c r="I7" t="s">
        <v>556</v>
      </c>
    </row>
    <row r="8" spans="2:9" x14ac:dyDescent="0.25">
      <c r="B8" t="s">
        <v>467</v>
      </c>
      <c r="C8" t="s">
        <v>471</v>
      </c>
      <c r="D8">
        <v>141</v>
      </c>
      <c r="F8" t="s">
        <v>513</v>
      </c>
      <c r="G8" s="51">
        <v>42309</v>
      </c>
      <c r="I8" t="s">
        <v>556</v>
      </c>
    </row>
    <row r="9" spans="2:9" x14ac:dyDescent="0.25">
      <c r="B9" t="s">
        <v>472</v>
      </c>
      <c r="C9" t="s">
        <v>471</v>
      </c>
      <c r="D9">
        <v>78</v>
      </c>
      <c r="F9" t="s">
        <v>513</v>
      </c>
      <c r="G9" s="51">
        <v>42309</v>
      </c>
      <c r="I9" s="55" t="s">
        <v>437</v>
      </c>
    </row>
    <row r="10" spans="2:9" x14ac:dyDescent="0.25">
      <c r="B10" t="s">
        <v>474</v>
      </c>
      <c r="C10" t="s">
        <v>475</v>
      </c>
      <c r="D10">
        <v>63</v>
      </c>
      <c r="F10" t="s">
        <v>474</v>
      </c>
      <c r="G10" s="51">
        <v>42370</v>
      </c>
      <c r="I10" t="s">
        <v>557</v>
      </c>
    </row>
    <row r="11" spans="2:9" x14ac:dyDescent="0.25">
      <c r="B11" t="s">
        <v>480</v>
      </c>
      <c r="C11" t="s">
        <v>481</v>
      </c>
      <c r="D11">
        <v>151</v>
      </c>
      <c r="F11" t="s">
        <v>516</v>
      </c>
      <c r="G11" s="50" t="s">
        <v>530</v>
      </c>
      <c r="I11" s="55" t="s">
        <v>437</v>
      </c>
    </row>
    <row r="12" spans="2:9" x14ac:dyDescent="0.25">
      <c r="B12" t="s">
        <v>498</v>
      </c>
      <c r="C12" t="s">
        <v>497</v>
      </c>
      <c r="D12">
        <v>81</v>
      </c>
      <c r="F12" t="s">
        <v>528</v>
      </c>
      <c r="G12" s="51">
        <v>42795</v>
      </c>
      <c r="I12" s="55" t="s">
        <v>437</v>
      </c>
    </row>
    <row r="13" spans="2:9" x14ac:dyDescent="0.25">
      <c r="B13" t="s">
        <v>482</v>
      </c>
      <c r="C13" t="s">
        <v>481</v>
      </c>
      <c r="D13">
        <v>150</v>
      </c>
      <c r="F13" t="s">
        <v>482</v>
      </c>
      <c r="G13" s="50" t="s">
        <v>531</v>
      </c>
      <c r="I13" s="55" t="s">
        <v>437</v>
      </c>
    </row>
    <row r="14" spans="2:9" x14ac:dyDescent="0.25">
      <c r="B14" t="s">
        <v>483</v>
      </c>
      <c r="C14" t="s">
        <v>481</v>
      </c>
      <c r="D14">
        <v>97</v>
      </c>
      <c r="F14" t="s">
        <v>482</v>
      </c>
      <c r="G14" s="50" t="s">
        <v>531</v>
      </c>
      <c r="I14" s="55" t="s">
        <v>437</v>
      </c>
    </row>
    <row r="15" spans="2:9" x14ac:dyDescent="0.25">
      <c r="B15" t="s">
        <v>469</v>
      </c>
      <c r="C15" t="s">
        <v>479</v>
      </c>
      <c r="D15">
        <v>132</v>
      </c>
      <c r="F15" t="s">
        <v>514</v>
      </c>
      <c r="G15" s="50" t="s">
        <v>535</v>
      </c>
      <c r="I15" t="s">
        <v>557</v>
      </c>
    </row>
    <row r="16" spans="2:9" x14ac:dyDescent="0.25">
      <c r="B16" t="s">
        <v>470</v>
      </c>
      <c r="C16" t="s">
        <v>476</v>
      </c>
      <c r="D16">
        <v>73</v>
      </c>
      <c r="F16" t="s">
        <v>470</v>
      </c>
      <c r="G16" s="51">
        <v>42917</v>
      </c>
      <c r="I16" s="55" t="s">
        <v>559</v>
      </c>
    </row>
    <row r="17" spans="2:9" x14ac:dyDescent="0.25">
      <c r="B17" t="s">
        <v>477</v>
      </c>
      <c r="C17" t="s">
        <v>478</v>
      </c>
      <c r="D17">
        <v>140</v>
      </c>
      <c r="F17" t="s">
        <v>477</v>
      </c>
      <c r="G17" s="50" t="s">
        <v>532</v>
      </c>
      <c r="I17" s="55" t="s">
        <v>559</v>
      </c>
    </row>
    <row r="18" spans="2:9" x14ac:dyDescent="0.25">
      <c r="B18" t="s">
        <v>529</v>
      </c>
      <c r="C18" t="s">
        <v>484</v>
      </c>
      <c r="D18">
        <v>93</v>
      </c>
      <c r="F18" t="s">
        <v>517</v>
      </c>
      <c r="G18" s="50" t="s">
        <v>533</v>
      </c>
      <c r="I18" t="s">
        <v>557</v>
      </c>
    </row>
    <row r="19" spans="2:9" x14ac:dyDescent="0.25">
      <c r="B19" t="s">
        <v>473</v>
      </c>
      <c r="C19" t="s">
        <v>471</v>
      </c>
      <c r="D19">
        <v>537</v>
      </c>
      <c r="F19" t="s">
        <v>515</v>
      </c>
      <c r="G19" s="51">
        <v>43466</v>
      </c>
      <c r="I19" s="55" t="s">
        <v>437</v>
      </c>
    </row>
    <row r="20" spans="2:9" x14ac:dyDescent="0.25">
      <c r="B20" t="s">
        <v>496</v>
      </c>
      <c r="C20" t="s">
        <v>497</v>
      </c>
      <c r="D20">
        <v>67</v>
      </c>
      <c r="F20" t="s">
        <v>521</v>
      </c>
      <c r="G20" s="50" t="s">
        <v>534</v>
      </c>
      <c r="I20" s="55" t="s">
        <v>437</v>
      </c>
    </row>
    <row r="21" spans="2:9" x14ac:dyDescent="0.25">
      <c r="B21" t="s">
        <v>490</v>
      </c>
      <c r="C21" t="s">
        <v>491</v>
      </c>
      <c r="D21">
        <v>144</v>
      </c>
      <c r="F21" t="s">
        <v>518</v>
      </c>
      <c r="G21" s="50" t="s">
        <v>527</v>
      </c>
      <c r="I21" s="55" t="s">
        <v>437</v>
      </c>
    </row>
    <row r="22" spans="2:9" x14ac:dyDescent="0.25">
      <c r="B22" t="s">
        <v>494</v>
      </c>
      <c r="C22" t="s">
        <v>495</v>
      </c>
      <c r="D22">
        <v>100</v>
      </c>
      <c r="F22" t="s">
        <v>519</v>
      </c>
      <c r="G22" s="51">
        <v>43770</v>
      </c>
      <c r="I22" s="55" t="s">
        <v>437</v>
      </c>
    </row>
    <row r="23" spans="2:9" x14ac:dyDescent="0.25">
      <c r="B23" t="s">
        <v>499</v>
      </c>
      <c r="C23" t="s">
        <v>500</v>
      </c>
      <c r="D23">
        <v>82</v>
      </c>
      <c r="F23" t="s">
        <v>499</v>
      </c>
      <c r="G23" s="51">
        <v>43831</v>
      </c>
      <c r="I23" s="55" t="s">
        <v>437</v>
      </c>
    </row>
    <row r="24" spans="2:9" x14ac:dyDescent="0.25">
      <c r="B24" t="s">
        <v>511</v>
      </c>
      <c r="C24" t="s">
        <v>506</v>
      </c>
      <c r="D24">
        <v>58</v>
      </c>
      <c r="F24" t="s">
        <v>522</v>
      </c>
      <c r="G24" s="50" t="s">
        <v>525</v>
      </c>
      <c r="I24" s="55" t="s">
        <v>437</v>
      </c>
    </row>
    <row r="25" spans="2:9" x14ac:dyDescent="0.25">
      <c r="B25" t="s">
        <v>512</v>
      </c>
      <c r="C25" t="s">
        <v>506</v>
      </c>
      <c r="D25">
        <v>75</v>
      </c>
      <c r="F25" t="s">
        <v>522</v>
      </c>
      <c r="G25" s="50" t="s">
        <v>525</v>
      </c>
      <c r="I25" s="55" t="s">
        <v>437</v>
      </c>
    </row>
    <row r="26" spans="2:9" x14ac:dyDescent="0.25">
      <c r="B26" t="s">
        <v>510</v>
      </c>
      <c r="C26" t="s">
        <v>505</v>
      </c>
      <c r="D26">
        <v>53</v>
      </c>
      <c r="F26" t="s">
        <v>510</v>
      </c>
      <c r="G26" s="50" t="s">
        <v>526</v>
      </c>
      <c r="I26" s="55" t="s">
        <v>437</v>
      </c>
    </row>
    <row r="27" spans="2:9" x14ac:dyDescent="0.25">
      <c r="B27" t="s">
        <v>508</v>
      </c>
      <c r="C27" t="s">
        <v>502</v>
      </c>
      <c r="D27">
        <v>119</v>
      </c>
      <c r="F27" t="s">
        <v>508</v>
      </c>
      <c r="G27" s="51" t="s">
        <v>524</v>
      </c>
      <c r="I27" s="55" t="s">
        <v>437</v>
      </c>
    </row>
    <row r="28" spans="2:9" x14ac:dyDescent="0.25">
      <c r="B28" t="s">
        <v>509</v>
      </c>
      <c r="C28" t="s">
        <v>503</v>
      </c>
      <c r="D28">
        <v>148</v>
      </c>
      <c r="F28" t="s">
        <v>508</v>
      </c>
      <c r="G28" s="51" t="s">
        <v>524</v>
      </c>
      <c r="I28" s="55" t="s">
        <v>437</v>
      </c>
    </row>
    <row r="29" spans="2:9" x14ac:dyDescent="0.25">
      <c r="B29" t="s">
        <v>536</v>
      </c>
      <c r="C29" t="s">
        <v>506</v>
      </c>
      <c r="D29">
        <v>72</v>
      </c>
      <c r="F29" t="s">
        <v>536</v>
      </c>
      <c r="G29" s="50" t="s">
        <v>547</v>
      </c>
      <c r="I29" s="55" t="s">
        <v>437</v>
      </c>
    </row>
    <row r="30" spans="2:9" x14ac:dyDescent="0.25">
      <c r="B30" t="s">
        <v>570</v>
      </c>
      <c r="C30" t="s">
        <v>504</v>
      </c>
      <c r="D30">
        <v>205</v>
      </c>
      <c r="F30" t="s">
        <v>567</v>
      </c>
      <c r="G30" s="56">
        <v>44197</v>
      </c>
      <c r="I30" t="s">
        <v>568</v>
      </c>
    </row>
    <row r="31" spans="2:9" x14ac:dyDescent="0.25">
      <c r="B31" t="s">
        <v>507</v>
      </c>
      <c r="C31" t="s">
        <v>501</v>
      </c>
      <c r="D31">
        <v>119</v>
      </c>
      <c r="F31" t="s">
        <v>520</v>
      </c>
      <c r="G31" s="51">
        <v>44256</v>
      </c>
      <c r="I31" s="55" t="s">
        <v>437</v>
      </c>
    </row>
    <row r="32" spans="2:9" x14ac:dyDescent="0.25">
      <c r="B32" t="s">
        <v>561</v>
      </c>
      <c r="C32" t="s">
        <v>563</v>
      </c>
      <c r="D32">
        <v>132</v>
      </c>
      <c r="F32" t="s">
        <v>564</v>
      </c>
      <c r="G32" s="51" t="s">
        <v>573</v>
      </c>
      <c r="I32" s="55" t="s">
        <v>437</v>
      </c>
    </row>
    <row r="33" spans="2:9" x14ac:dyDescent="0.25">
      <c r="B33" t="s">
        <v>562</v>
      </c>
      <c r="C33" t="s">
        <v>563</v>
      </c>
      <c r="D33">
        <v>116</v>
      </c>
      <c r="F33" t="s">
        <v>564</v>
      </c>
      <c r="G33" s="51" t="s">
        <v>573</v>
      </c>
      <c r="I33" s="55" t="s">
        <v>437</v>
      </c>
    </row>
    <row r="34" spans="2:9" x14ac:dyDescent="0.25">
      <c r="B34" t="s">
        <v>576</v>
      </c>
      <c r="C34" t="s">
        <v>579</v>
      </c>
      <c r="D34">
        <v>81</v>
      </c>
      <c r="F34" t="s">
        <v>583</v>
      </c>
      <c r="G34" s="56">
        <v>44378</v>
      </c>
      <c r="I34" s="55" t="s">
        <v>437</v>
      </c>
    </row>
    <row r="35" spans="2:9" x14ac:dyDescent="0.25">
      <c r="B35" t="s">
        <v>537</v>
      </c>
      <c r="C35" t="s">
        <v>541</v>
      </c>
      <c r="D35">
        <v>49</v>
      </c>
      <c r="F35" t="s">
        <v>538</v>
      </c>
      <c r="G35" s="51" t="s">
        <v>585</v>
      </c>
      <c r="I35" t="s">
        <v>557</v>
      </c>
    </row>
    <row r="36" spans="2:9" x14ac:dyDescent="0.25">
      <c r="B36" t="s">
        <v>539</v>
      </c>
      <c r="C36" t="s">
        <v>540</v>
      </c>
      <c r="D36">
        <v>25</v>
      </c>
      <c r="F36" t="s">
        <v>538</v>
      </c>
      <c r="G36" s="51" t="s">
        <v>585</v>
      </c>
      <c r="I36" s="55" t="s">
        <v>559</v>
      </c>
    </row>
    <row r="37" spans="2:9" x14ac:dyDescent="0.25">
      <c r="B37" t="s">
        <v>587</v>
      </c>
      <c r="C37" t="s">
        <v>588</v>
      </c>
      <c r="D37">
        <v>187</v>
      </c>
      <c r="F37" t="s">
        <v>587</v>
      </c>
      <c r="G37" s="51" t="s">
        <v>591</v>
      </c>
      <c r="I37" s="55" t="s">
        <v>437</v>
      </c>
    </row>
    <row r="38" spans="2:9" x14ac:dyDescent="0.25">
      <c r="B38" t="s">
        <v>597</v>
      </c>
      <c r="C38" t="s">
        <v>577</v>
      </c>
      <c r="D38">
        <v>110</v>
      </c>
      <c r="F38" t="s">
        <v>578</v>
      </c>
      <c r="G38" s="56">
        <v>44562</v>
      </c>
      <c r="I38" s="55" t="s">
        <v>437</v>
      </c>
    </row>
    <row r="39" spans="2:9" x14ac:dyDescent="0.25">
      <c r="B39" s="48" t="s">
        <v>598</v>
      </c>
      <c r="C39" t="s">
        <v>599</v>
      </c>
      <c r="D39">
        <v>70</v>
      </c>
      <c r="F39" s="48" t="s">
        <v>598</v>
      </c>
      <c r="G39" s="51" t="s">
        <v>595</v>
      </c>
      <c r="I39" t="s">
        <v>557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Header>&amp;C&amp;"Calibri"&amp;10&amp;KA80000CONFIDENCIAL&amp;1#_x000D_&amp;"Calibri"&amp;11&amp;K000000&amp;G</oddHeader>
    <oddFooter>&amp;C&amp;"Calibri"&amp;11&amp;K000000_x000D_&amp;1#&amp;"Calibri"&amp;10&amp;KA80000CONFIDENCIAL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Port</vt:lpstr>
      <vt:lpstr>Eng</vt:lpstr>
      <vt:lpstr>ANS CODE</vt:lpstr>
      <vt:lpstr>Hospitals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de Pina Rodrigues Bello</dc:creator>
  <cp:lastModifiedBy>Renato de Pina Rodrigues Bello</cp:lastModifiedBy>
  <cp:lastPrinted>2018-05-08T02:13:17Z</cp:lastPrinted>
  <dcterms:created xsi:type="dcterms:W3CDTF">2018-03-19T20:41:07Z</dcterms:created>
  <dcterms:modified xsi:type="dcterms:W3CDTF">2022-03-23T19:48:28Z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95b6b92e-a5ff-4fbf-b010-1927f183928d_Enabled">
    <vt:lpwstr>true</vt:lpwstr>
  </property>
  <property fmtid="{D5CDD505-2E9C-101B-9397-08002B2CF9AE}" pid="5" name="MSIP_Label_95b6b92e-a5ff-4fbf-b010-1927f183928d_SetDate">
    <vt:lpwstr>2022-03-23T19:48:28Z</vt:lpwstr>
  </property>
  <property fmtid="{D5CDD505-2E9C-101B-9397-08002B2CF9AE}" pid="6" name="MSIP_Label_95b6b92e-a5ff-4fbf-b010-1927f183928d_Method">
    <vt:lpwstr>Privileged</vt:lpwstr>
  </property>
  <property fmtid="{D5CDD505-2E9C-101B-9397-08002B2CF9AE}" pid="7" name="MSIP_Label_95b6b92e-a5ff-4fbf-b010-1927f183928d_Name">
    <vt:lpwstr>95b6b92e-a5ff-4fbf-b010-1927f183928d</vt:lpwstr>
  </property>
  <property fmtid="{D5CDD505-2E9C-101B-9397-08002B2CF9AE}" pid="8" name="MSIP_Label_95b6b92e-a5ff-4fbf-b010-1927f183928d_SiteId">
    <vt:lpwstr>3a2fea74-aebf-4b69-9a89-449fecf2cad4</vt:lpwstr>
  </property>
  <property fmtid="{D5CDD505-2E9C-101B-9397-08002B2CF9AE}" pid="9" name="MSIP_Label_95b6b92e-a5ff-4fbf-b010-1927f183928d_ActionId">
    <vt:lpwstr>b37892a4-9fd1-4928-9f41-65c5886ac74c</vt:lpwstr>
  </property>
  <property fmtid="{D5CDD505-2E9C-101B-9397-08002B2CF9AE}" pid="10" name="MSIP_Label_95b6b92e-a5ff-4fbf-b010-1927f183928d_ContentBits">
    <vt:lpwstr>7</vt:lpwstr>
  </property>
</Properties>
</file>