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EstaPasta_de_trabalho"/>
  <mc:AlternateContent xmlns:mc="http://schemas.openxmlformats.org/markup-compatibility/2006">
    <mc:Choice Requires="x15">
      <x15ac:absPath xmlns:x15ac="http://schemas.microsoft.com/office/spreadsheetml/2010/11/ac" url="C:\Users\deserriesa\Downloads\juste\"/>
    </mc:Choice>
  </mc:AlternateContent>
  <xr:revisionPtr revIDLastSave="0" documentId="13_ncr:1_{3EBA9AC9-A0DD-4B22-9923-0FEE355803BF}" xr6:coauthVersionLast="47" xr6:coauthVersionMax="47" xr10:uidLastSave="{00000000-0000-0000-0000-000000000000}"/>
  <bookViews>
    <workbookView xWindow="28680" yWindow="4785" windowWidth="29040" windowHeight="15720" tabRatio="900" xr2:uid="{00000000-000D-0000-FFFF-FFFF00000000}"/>
  </bookViews>
  <sheets>
    <sheet name="Capa" sheetId="1" r:id="rId1"/>
    <sheet name="1 - Premissas" sheetId="15" r:id="rId2"/>
    <sheet name="2 - Processo Produtivo" sheetId="23" r:id="rId3"/>
    <sheet name="3 - ESG" sheetId="57" r:id="rId4"/>
    <sheet name="4 - Capacidades e Utilização" sheetId="55" r:id="rId5"/>
    <sheet name="5 - Energia" sheetId="53" r:id="rId6"/>
    <sheet name="6 - DRE e Balanço Energia" sheetId="47" r:id="rId7"/>
    <sheet name="7 - Volume de Vendas Final" sheetId="46" r:id="rId8"/>
    <sheet name="8 - Dívida " sheetId="30" r:id="rId9"/>
    <sheet name="9 - Demonstrativos Financeiros" sheetId="31" r:id="rId10"/>
    <sheet name="10 - Resultados por negócio" sheetId="32" r:id="rId11"/>
    <sheet name="11 - Composição Custos" sheetId="48" r:id="rId12"/>
    <sheet name="12 - CAPEX" sheetId="49" r:id="rId13"/>
    <sheet name="13 - Ciclo Financeiro" sheetId="50" r:id="rId14"/>
    <sheet name="14 - FCL" sheetId="51" r:id="rId15"/>
    <sheet name="15 - DFC" sheetId="52" r:id="rId16"/>
  </sheets>
  <definedNames>
    <definedName name="_xlnm._FilterDatabase" localSheetId="3" hidden="1">'3 - ESG'!$B$4:$E$29</definedName>
    <definedName name="_xlnm.Print_Area" localSheetId="1">'1 - Premissas'!$A$1:$Q$27</definedName>
    <definedName name="_xlnm.Print_Area" localSheetId="10">'10 - Resultados por negócio'!$A$1:$B$48</definedName>
    <definedName name="_xlnm.Print_Area" localSheetId="11">'11 - Composição Custos'!$A$1:$B$7</definedName>
    <definedName name="_xlnm.Print_Area" localSheetId="12">'12 - CAPEX'!$B$1:$C$11</definedName>
    <definedName name="_xlnm.Print_Area" localSheetId="2">'2 - Processo Produtivo'!$B$1:$N$67</definedName>
    <definedName name="_xlnm.Print_Area" localSheetId="4">'4 - Capacidades e Utilização'!$A$1:$B$8</definedName>
    <definedName name="_xlnm.Print_Area" localSheetId="5">'5 - Energia'!$B$1:$M$13</definedName>
    <definedName name="_xlnm.Print_Area" localSheetId="7">'7 - Volume de Vendas Final'!$A$1:$B$8</definedName>
    <definedName name="_xlnm.Print_Area" localSheetId="8">'8 - Dívida '!$A$1:$D$37</definedName>
    <definedName name="_xlnm.Print_Area" localSheetId="9">'9 - Demonstrativos Financeiros'!$A$1:$B$109</definedName>
    <definedName name="_xlnm.Print_Area" localSheetId="0">Capa!$A$1:$M$31</definedName>
    <definedName name="CIQWBGuid" hidden="1">"7985db34-c804-47cf-a549-769d29aaa53a"</definedName>
    <definedName name="CIQWBInfo" hidden="1">"{ ""CIQVersion"":""9.49.2423.4439"" }"</definedName>
    <definedName name="Dados_BPC">OFFSET(#REF!,0,0,COUNTA(#REF!))</definedName>
    <definedName name="Empresas" localSheetId="11">#REF!</definedName>
    <definedName name="Empresas" localSheetId="12">#REF!</definedName>
    <definedName name="Empresas" localSheetId="6">#REF!</definedName>
    <definedName name="Empresas" localSheetId="7">#REF!</definedName>
    <definedName name="Empresas">#REF!</definedName>
    <definedName name="exposição">OFFSET(#REF!,1,0,COUNTIF(#REF!,"&lt;&gt;0"))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44570.7998958333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#REF!</definedName>
    <definedName name="IQRCapitalIQB5" hidden="1">#REF!</definedName>
    <definedName name="IQRCapitalIQD5" hidden="1">#REF!</definedName>
    <definedName name="IQRCapitalIQE5" hidden="1">#REF!</definedName>
    <definedName name="Listaun" localSheetId="11">#REF!</definedName>
    <definedName name="Listaun" localSheetId="12">#REF!</definedName>
    <definedName name="Listaun" localSheetId="6">#REF!</definedName>
    <definedName name="Listaun" localSheetId="7">#REF!</definedName>
    <definedName name="Listaun">#REF!</definedName>
    <definedName name="Mes">#REF!</definedName>
    <definedName name="Meses">#REF!</definedName>
    <definedName name="Periodo_Mes">#REF!</definedName>
    <definedName name="Periodos">#REF!</definedName>
    <definedName name="PLD">OFFSET(#REF!,1,0,COUNTIF(#REF!,"&lt;&gt;0"))</definedName>
    <definedName name="SEMANA">OFFSET(#REF!,1,0,COUNTIF(#REF!,"&lt;&gt;0"),2)</definedName>
    <definedName name="Unidades" localSheetId="11">#REF!</definedName>
    <definedName name="Unidades" localSheetId="12">#REF!</definedName>
    <definedName name="Unidades" localSheetId="6">#REF!</definedName>
    <definedName name="Unidades" localSheetId="7">#REF!</definedName>
    <definedName name="Unidades">#REF!</definedName>
    <definedName name="Versao_M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70" i="31" l="1"/>
  <c r="AD28" i="32" l="1"/>
  <c r="AE28" i="32"/>
  <c r="AF28" i="32"/>
  <c r="AD23" i="30" l="1"/>
  <c r="AE23" i="30"/>
  <c r="AF23" i="30"/>
  <c r="Z11" i="32"/>
  <c r="AA11" i="32"/>
  <c r="AB11" i="32"/>
  <c r="AC11" i="32"/>
  <c r="AD11" i="32"/>
  <c r="AE11" i="32"/>
  <c r="AF11" i="32"/>
  <c r="AF9" i="32"/>
  <c r="AF10" i="31"/>
  <c r="AF10" i="32" l="1"/>
  <c r="AF12" i="32" s="1"/>
  <c r="AF8" i="31" s="1"/>
  <c r="S42" i="47"/>
  <c r="S41" i="47"/>
  <c r="AF99" i="31" l="1"/>
  <c r="AF12" i="30"/>
  <c r="AF19" i="30" s="1"/>
  <c r="AF108" i="52" l="1"/>
  <c r="AF92" i="52"/>
  <c r="T16" i="51"/>
  <c r="AE92" i="52" l="1"/>
  <c r="AF15" i="50"/>
  <c r="AF12" i="50"/>
  <c r="AF88" i="31"/>
  <c r="AF107" i="31" s="1"/>
  <c r="AF51" i="31"/>
  <c r="AF41" i="31"/>
  <c r="AF29" i="31"/>
  <c r="AF24" i="31"/>
  <c r="AF18" i="31"/>
  <c r="AF16" i="31"/>
  <c r="AF35" i="31" s="1"/>
  <c r="AF36" i="31" s="1"/>
  <c r="AF11" i="31"/>
  <c r="AF15" i="31" s="1"/>
  <c r="X8" i="48"/>
  <c r="AF23" i="31" l="1"/>
  <c r="AF10" i="52" s="1"/>
  <c r="AF40" i="52" s="1"/>
  <c r="AF66" i="52" s="1"/>
  <c r="AF69" i="52" s="1"/>
  <c r="AF17" i="46"/>
  <c r="AF13" i="46"/>
  <c r="AF9" i="46" s="1"/>
  <c r="AF10" i="46"/>
  <c r="AF27" i="31" l="1"/>
  <c r="AA12" i="47"/>
  <c r="AA18" i="47" s="1"/>
  <c r="AB23" i="47" l="1"/>
  <c r="AA42" i="47"/>
  <c r="Z42" i="47"/>
  <c r="Z12" i="47"/>
  <c r="AA41" i="47"/>
  <c r="AB41" i="47"/>
  <c r="AB42" i="47"/>
  <c r="AB36" i="47"/>
  <c r="AB31" i="47"/>
  <c r="AB8" i="47"/>
  <c r="AB12" i="47"/>
  <c r="AB18" i="47" s="1"/>
  <c r="AB21" i="47" s="1"/>
  <c r="AB24" i="47" s="1"/>
  <c r="AB19" i="47"/>
  <c r="AF67" i="31" l="1"/>
  <c r="W88" i="31"/>
  <c r="X88" i="31"/>
  <c r="Y88" i="31"/>
  <c r="Z88" i="31"/>
  <c r="AA88" i="31"/>
  <c r="AB88" i="31"/>
  <c r="AC88" i="31"/>
  <c r="AD88" i="31"/>
  <c r="AE88" i="31"/>
  <c r="AE13" i="32" l="1"/>
  <c r="AF13" i="32"/>
  <c r="AE14" i="32"/>
  <c r="AF14" i="32"/>
  <c r="AE15" i="32"/>
  <c r="AF15" i="32"/>
  <c r="AF24" i="46"/>
  <c r="BD10" i="46"/>
  <c r="BD11" i="46"/>
  <c r="BD12" i="46"/>
  <c r="BD13" i="46"/>
  <c r="BD14" i="46"/>
  <c r="BD15" i="46"/>
  <c r="BD16" i="46"/>
  <c r="BD17" i="46"/>
  <c r="BD18" i="46"/>
  <c r="BD19" i="46"/>
  <c r="BD25" i="46"/>
  <c r="BD24" i="46" s="1"/>
  <c r="BD26" i="46"/>
  <c r="BD27" i="46"/>
  <c r="X36" i="48"/>
  <c r="X15" i="48"/>
  <c r="X21" i="48"/>
  <c r="X28" i="48"/>
  <c r="Y23" i="55"/>
  <c r="Y25" i="55"/>
  <c r="Y26" i="55"/>
  <c r="Y27" i="55"/>
  <c r="Y28" i="55"/>
  <c r="Y29" i="55"/>
  <c r="AF10" i="49"/>
  <c r="BD9" i="46" l="1"/>
  <c r="AO7" i="49"/>
  <c r="AO8" i="49"/>
  <c r="AO9" i="49"/>
  <c r="T19" i="47"/>
  <c r="U19" i="47"/>
  <c r="V19" i="47"/>
  <c r="W19" i="47"/>
  <c r="X19" i="47"/>
  <c r="Y19" i="47"/>
  <c r="Z19" i="47"/>
  <c r="AA19" i="47"/>
  <c r="S19" i="47"/>
  <c r="AE38" i="31" l="1"/>
  <c r="AE12" i="30"/>
  <c r="AE19" i="30" l="1"/>
  <c r="AE11" i="31"/>
  <c r="AE16" i="31"/>
  <c r="AE18" i="31"/>
  <c r="AE24" i="31"/>
  <c r="AE29" i="31"/>
  <c r="AE35" i="31" s="1"/>
  <c r="AE36" i="31" s="1"/>
  <c r="AE108" i="52"/>
  <c r="R16" i="51"/>
  <c r="S16" i="51"/>
  <c r="AE12" i="50"/>
  <c r="AE15" i="50" s="1"/>
  <c r="AE10" i="49"/>
  <c r="AE99" i="31" l="1"/>
  <c r="AE70" i="31"/>
  <c r="AE51" i="31"/>
  <c r="AE41" i="31"/>
  <c r="O38" i="48"/>
  <c r="P38" i="48"/>
  <c r="Q38" i="48"/>
  <c r="R38" i="48"/>
  <c r="S38" i="48"/>
  <c r="T38" i="48"/>
  <c r="U38" i="48"/>
  <c r="V38" i="48"/>
  <c r="W13" i="32"/>
  <c r="F13" i="32"/>
  <c r="G13" i="32"/>
  <c r="H13" i="32"/>
  <c r="I13" i="32"/>
  <c r="J13" i="32"/>
  <c r="K13" i="32"/>
  <c r="L13" i="32"/>
  <c r="M13" i="32"/>
  <c r="N13" i="32"/>
  <c r="O13" i="32"/>
  <c r="P13" i="32"/>
  <c r="Q13" i="32"/>
  <c r="R13" i="32"/>
  <c r="S13" i="32"/>
  <c r="T13" i="32"/>
  <c r="W14" i="32"/>
  <c r="X14" i="32"/>
  <c r="W15" i="32"/>
  <c r="X15" i="32"/>
  <c r="Y15" i="32"/>
  <c r="Z15" i="32"/>
  <c r="AA15" i="32"/>
  <c r="AB15" i="32"/>
  <c r="AC15" i="32"/>
  <c r="AD15" i="32"/>
  <c r="Y14" i="32"/>
  <c r="Z14" i="32"/>
  <c r="AA14" i="32"/>
  <c r="AB14" i="32"/>
  <c r="AC14" i="32"/>
  <c r="AD14" i="32"/>
  <c r="AE19" i="32"/>
  <c r="AE24" i="46"/>
  <c r="BC25" i="46" s="1"/>
  <c r="AE17" i="46"/>
  <c r="AE13" i="46"/>
  <c r="AE10" i="46"/>
  <c r="AA31" i="47"/>
  <c r="AA34" i="47" s="1"/>
  <c r="AA36" i="47" s="1"/>
  <c r="AA8" i="47"/>
  <c r="AA21" i="47" l="1"/>
  <c r="AA24" i="47" s="1"/>
  <c r="AE67" i="31"/>
  <c r="BC10" i="46"/>
  <c r="AE9" i="46"/>
  <c r="BC27" i="46"/>
  <c r="BC26" i="46"/>
  <c r="BC24" i="46" s="1"/>
  <c r="AE107" i="31"/>
  <c r="AE9" i="32"/>
  <c r="AE10" i="32" l="1"/>
  <c r="AE12" i="32" s="1"/>
  <c r="AE8" i="31" s="1"/>
  <c r="AE9" i="31" s="1"/>
  <c r="AE10" i="31" s="1"/>
  <c r="BC19" i="46"/>
  <c r="BC11" i="46"/>
  <c r="BC12" i="46"/>
  <c r="BC14" i="46"/>
  <c r="BC15" i="46"/>
  <c r="BC16" i="46"/>
  <c r="BC17" i="46"/>
  <c r="BC18" i="46"/>
  <c r="BC13" i="46"/>
  <c r="BC9" i="46" s="1"/>
  <c r="O36" i="48"/>
  <c r="P36" i="48"/>
  <c r="Q36" i="48"/>
  <c r="R36" i="48"/>
  <c r="S36" i="48"/>
  <c r="T36" i="48"/>
  <c r="U36" i="48"/>
  <c r="V36" i="48"/>
  <c r="W36" i="48"/>
  <c r="O28" i="48"/>
  <c r="P28" i="48"/>
  <c r="Q28" i="48"/>
  <c r="R28" i="48"/>
  <c r="S28" i="48"/>
  <c r="T28" i="48"/>
  <c r="U28" i="48"/>
  <c r="V28" i="48"/>
  <c r="W28" i="48"/>
  <c r="O21" i="48"/>
  <c r="P21" i="48"/>
  <c r="Q21" i="48"/>
  <c r="R21" i="48"/>
  <c r="S21" i="48"/>
  <c r="T21" i="48"/>
  <c r="U21" i="48"/>
  <c r="V21" i="48"/>
  <c r="W21" i="48"/>
  <c r="O15" i="48"/>
  <c r="P15" i="48"/>
  <c r="Q15" i="48"/>
  <c r="R15" i="48"/>
  <c r="S15" i="48"/>
  <c r="T15" i="48"/>
  <c r="U15" i="48"/>
  <c r="V15" i="48"/>
  <c r="W15" i="48"/>
  <c r="O8" i="48"/>
  <c r="P8" i="48"/>
  <c r="Q8" i="48"/>
  <c r="R8" i="48"/>
  <c r="S8" i="48"/>
  <c r="T8" i="48"/>
  <c r="U8" i="48"/>
  <c r="W8" i="48"/>
  <c r="V8" i="48"/>
  <c r="AE15" i="31" l="1"/>
  <c r="AE23" i="31" s="1"/>
  <c r="AE27" i="31" s="1"/>
  <c r="X15" i="55"/>
  <c r="X23" i="55"/>
  <c r="X29" i="55"/>
  <c r="X28" i="55"/>
  <c r="X27" i="55"/>
  <c r="X26" i="55"/>
  <c r="X25" i="55"/>
  <c r="Y13" i="52"/>
  <c r="AA13" i="52"/>
  <c r="Y14" i="52"/>
  <c r="Y15" i="52"/>
  <c r="AA15" i="52"/>
  <c r="Y16" i="52"/>
  <c r="AA16" i="52"/>
  <c r="Y19" i="52"/>
  <c r="AA19" i="52"/>
  <c r="Y29" i="52"/>
  <c r="AA29" i="52"/>
  <c r="Y34" i="52"/>
  <c r="C40" i="52"/>
  <c r="C66" i="52" s="1"/>
  <c r="C69" i="52" s="1"/>
  <c r="D40" i="52"/>
  <c r="D66" i="52" s="1"/>
  <c r="D69" i="52" s="1"/>
  <c r="E40" i="52"/>
  <c r="E66" i="52" s="1"/>
  <c r="E69" i="52" s="1"/>
  <c r="F40" i="52"/>
  <c r="F66" i="52" s="1"/>
  <c r="F69" i="52" s="1"/>
  <c r="G40" i="52"/>
  <c r="G66" i="52" s="1"/>
  <c r="G69" i="52" s="1"/>
  <c r="H40" i="52"/>
  <c r="H66" i="52" s="1"/>
  <c r="H69" i="52" s="1"/>
  <c r="I40" i="52"/>
  <c r="I66" i="52" s="1"/>
  <c r="I69" i="52" s="1"/>
  <c r="J40" i="52"/>
  <c r="J66" i="52" s="1"/>
  <c r="J69" i="52" s="1"/>
  <c r="K40" i="52"/>
  <c r="K66" i="52" s="1"/>
  <c r="K69" i="52" s="1"/>
  <c r="L40" i="52"/>
  <c r="L66" i="52" s="1"/>
  <c r="L69" i="52" s="1"/>
  <c r="M40" i="52"/>
  <c r="M66" i="52" s="1"/>
  <c r="M69" i="52" s="1"/>
  <c r="N40" i="52"/>
  <c r="O40" i="52"/>
  <c r="P40" i="52"/>
  <c r="P66" i="52" s="1"/>
  <c r="P69" i="52" s="1"/>
  <c r="Q40" i="52"/>
  <c r="Q66" i="52" s="1"/>
  <c r="Q69" i="52" s="1"/>
  <c r="R40" i="52"/>
  <c r="R66" i="52" s="1"/>
  <c r="R69" i="52" s="1"/>
  <c r="S40" i="52"/>
  <c r="S66" i="52" s="1"/>
  <c r="S69" i="52" s="1"/>
  <c r="T40" i="52"/>
  <c r="T66" i="52" s="1"/>
  <c r="T69" i="52" s="1"/>
  <c r="U40" i="52"/>
  <c r="U66" i="52" s="1"/>
  <c r="U69" i="52" s="1"/>
  <c r="V40" i="52"/>
  <c r="V66" i="52" s="1"/>
  <c r="V69" i="52" s="1"/>
  <c r="W40" i="52"/>
  <c r="W66" i="52" s="1"/>
  <c r="W69" i="52" s="1"/>
  <c r="X40" i="52"/>
  <c r="X66" i="52" s="1"/>
  <c r="X69" i="52" s="1"/>
  <c r="Y44" i="52"/>
  <c r="AB44" i="52"/>
  <c r="Y45" i="52"/>
  <c r="AA45" i="52"/>
  <c r="AB45" i="52"/>
  <c r="Y46" i="52"/>
  <c r="AA46" i="52"/>
  <c r="AB46" i="52" s="1"/>
  <c r="Y48" i="52"/>
  <c r="AB48" i="52"/>
  <c r="AB49" i="52"/>
  <c r="Y51" i="52"/>
  <c r="AB51" i="52"/>
  <c r="Y53" i="52"/>
  <c r="AB53" i="52"/>
  <c r="Y54" i="52"/>
  <c r="AA54" i="52"/>
  <c r="AB54" i="52"/>
  <c r="Y55" i="52"/>
  <c r="AA55" i="52"/>
  <c r="AB55" i="52"/>
  <c r="AA56" i="52"/>
  <c r="AB56" i="52" s="1"/>
  <c r="Y57" i="52"/>
  <c r="AA57" i="52"/>
  <c r="AB57" i="52" s="1"/>
  <c r="Y58" i="52"/>
  <c r="AB58" i="52"/>
  <c r="AA59" i="52"/>
  <c r="AB59" i="52" s="1"/>
  <c r="AB60" i="52"/>
  <c r="Y64" i="52"/>
  <c r="AA64" i="52"/>
  <c r="AB64" i="52"/>
  <c r="N66" i="52"/>
  <c r="N69" i="52" s="1"/>
  <c r="O66" i="52"/>
  <c r="O69" i="52" s="1"/>
  <c r="Y67" i="52"/>
  <c r="AA67" i="52"/>
  <c r="AB67" i="52" s="1"/>
  <c r="Y68" i="52"/>
  <c r="AB68" i="52"/>
  <c r="Y72" i="52"/>
  <c r="AA72" i="52"/>
  <c r="AB72" i="52"/>
  <c r="Y74" i="52"/>
  <c r="AA74" i="52"/>
  <c r="AB74" i="52"/>
  <c r="AB75" i="52"/>
  <c r="Y77" i="52"/>
  <c r="AA77" i="52"/>
  <c r="AB77" i="52" s="1"/>
  <c r="Y78" i="52"/>
  <c r="Y92" i="52" s="1"/>
  <c r="Y87" i="52"/>
  <c r="Y89" i="52"/>
  <c r="AB89" i="52"/>
  <c r="C92" i="52"/>
  <c r="D92" i="52"/>
  <c r="E92" i="52"/>
  <c r="F92" i="52"/>
  <c r="G92" i="52"/>
  <c r="H92" i="52"/>
  <c r="I92" i="52"/>
  <c r="J92" i="52"/>
  <c r="K92" i="52"/>
  <c r="L92" i="52"/>
  <c r="M92" i="52"/>
  <c r="N92" i="52"/>
  <c r="O92" i="52"/>
  <c r="P92" i="52"/>
  <c r="Q92" i="52"/>
  <c r="R92" i="52"/>
  <c r="S92" i="52"/>
  <c r="T92" i="52"/>
  <c r="U92" i="52"/>
  <c r="V92" i="52"/>
  <c r="W92" i="52"/>
  <c r="X92" i="52"/>
  <c r="Z92" i="52"/>
  <c r="AC92" i="52"/>
  <c r="AD92" i="52"/>
  <c r="Y95" i="52"/>
  <c r="AB95" i="52"/>
  <c r="Y102" i="52"/>
  <c r="AA102" i="52"/>
  <c r="AA108" i="52" s="1"/>
  <c r="AB102" i="52"/>
  <c r="Y103" i="52"/>
  <c r="AB103" i="52"/>
  <c r="Y104" i="52"/>
  <c r="AB104" i="52"/>
  <c r="AA105" i="52"/>
  <c r="AB105" i="52" s="1"/>
  <c r="C108" i="52"/>
  <c r="D108" i="52"/>
  <c r="E108" i="52"/>
  <c r="F108" i="52"/>
  <c r="G108" i="52"/>
  <c r="H108" i="52"/>
  <c r="I108" i="52"/>
  <c r="J108" i="52"/>
  <c r="K108" i="52"/>
  <c r="L108" i="52"/>
  <c r="M108" i="52"/>
  <c r="N108" i="52"/>
  <c r="O108" i="52"/>
  <c r="P108" i="52"/>
  <c r="Q108" i="52"/>
  <c r="R108" i="52"/>
  <c r="S108" i="52"/>
  <c r="T108" i="52"/>
  <c r="U108" i="52"/>
  <c r="V108" i="52"/>
  <c r="W108" i="52"/>
  <c r="X108" i="52"/>
  <c r="Z108" i="52"/>
  <c r="AC108" i="52"/>
  <c r="AD108" i="52"/>
  <c r="U114" i="52"/>
  <c r="V114" i="52"/>
  <c r="Y114" i="52"/>
  <c r="Y115" i="52"/>
  <c r="Z114" i="52" s="1"/>
  <c r="Z115" i="52"/>
  <c r="AA114" i="52" s="1"/>
  <c r="AA115" i="52"/>
  <c r="AB114" i="52" s="1"/>
  <c r="V115" i="52"/>
  <c r="AB115" i="52"/>
  <c r="K8" i="51"/>
  <c r="K16" i="51" s="1"/>
  <c r="J16" i="51"/>
  <c r="V8" i="50"/>
  <c r="W8" i="50"/>
  <c r="X8" i="50"/>
  <c r="Y8" i="50"/>
  <c r="Z8" i="50"/>
  <c r="AA8" i="50"/>
  <c r="AB8" i="50"/>
  <c r="AC8" i="50"/>
  <c r="AD8" i="50"/>
  <c r="V9" i="50"/>
  <c r="W9" i="50"/>
  <c r="X9" i="50"/>
  <c r="Y9" i="50"/>
  <c r="Z9" i="50"/>
  <c r="AA9" i="50"/>
  <c r="AB9" i="50"/>
  <c r="AC9" i="50"/>
  <c r="AD9" i="50"/>
  <c r="V10" i="50"/>
  <c r="W10" i="50"/>
  <c r="X10" i="50"/>
  <c r="Y10" i="50"/>
  <c r="Z10" i="50"/>
  <c r="AA10" i="50"/>
  <c r="AB10" i="50"/>
  <c r="AC10" i="50"/>
  <c r="AD10" i="50"/>
  <c r="V11" i="50"/>
  <c r="W11" i="50"/>
  <c r="X11" i="50"/>
  <c r="Y11" i="50"/>
  <c r="Z11" i="50"/>
  <c r="AA11" i="50"/>
  <c r="AB11" i="50"/>
  <c r="AC11" i="50"/>
  <c r="AD11" i="50"/>
  <c r="V13" i="50"/>
  <c r="W13" i="50"/>
  <c r="X13" i="50"/>
  <c r="Z13" i="50"/>
  <c r="AA13" i="50"/>
  <c r="AB13" i="50"/>
  <c r="AC13" i="50"/>
  <c r="AD13" i="50"/>
  <c r="V14" i="50"/>
  <c r="AI7" i="49"/>
  <c r="AJ7" i="49"/>
  <c r="AK7" i="49"/>
  <c r="AL7" i="49"/>
  <c r="AM7" i="49"/>
  <c r="AN7" i="49"/>
  <c r="AI8" i="49"/>
  <c r="AJ8" i="49"/>
  <c r="AK8" i="49"/>
  <c r="AL8" i="49"/>
  <c r="AM8" i="49"/>
  <c r="AN8" i="49"/>
  <c r="AI9" i="49"/>
  <c r="AJ9" i="49"/>
  <c r="AK9" i="49"/>
  <c r="AL9" i="49"/>
  <c r="AM9" i="49"/>
  <c r="AN9" i="49"/>
  <c r="C10" i="49"/>
  <c r="D10" i="49"/>
  <c r="E10" i="49"/>
  <c r="F10" i="49"/>
  <c r="G10" i="49"/>
  <c r="H10" i="49"/>
  <c r="I10" i="49"/>
  <c r="J10" i="49"/>
  <c r="K10" i="49"/>
  <c r="L10" i="49"/>
  <c r="M10" i="49"/>
  <c r="N10" i="49"/>
  <c r="O10" i="49"/>
  <c r="P10" i="49"/>
  <c r="Q10" i="49"/>
  <c r="R10" i="49"/>
  <c r="S10" i="49"/>
  <c r="T10" i="49"/>
  <c r="U10" i="49"/>
  <c r="V10" i="49"/>
  <c r="W10" i="49"/>
  <c r="X10" i="49"/>
  <c r="Y10" i="49"/>
  <c r="Z10" i="49"/>
  <c r="AA10" i="49"/>
  <c r="AB10" i="49"/>
  <c r="AC10" i="49"/>
  <c r="AD10" i="49"/>
  <c r="AM10" i="49"/>
  <c r="C8" i="48"/>
  <c r="D8" i="48"/>
  <c r="E8" i="48"/>
  <c r="F8" i="48"/>
  <c r="G8" i="48"/>
  <c r="H8" i="48"/>
  <c r="I8" i="48"/>
  <c r="J8" i="48"/>
  <c r="K8" i="48"/>
  <c r="L8" i="48"/>
  <c r="M8" i="48"/>
  <c r="N8" i="48"/>
  <c r="C15" i="48"/>
  <c r="D15" i="48"/>
  <c r="E15" i="48"/>
  <c r="F15" i="48"/>
  <c r="G15" i="48"/>
  <c r="H15" i="48"/>
  <c r="I15" i="48"/>
  <c r="J15" i="48"/>
  <c r="K15" i="48"/>
  <c r="L15" i="48"/>
  <c r="M15" i="48"/>
  <c r="N15" i="48"/>
  <c r="C21" i="48"/>
  <c r="D21" i="48"/>
  <c r="E21" i="48"/>
  <c r="F21" i="48"/>
  <c r="G21" i="48"/>
  <c r="H21" i="48"/>
  <c r="I21" i="48"/>
  <c r="J21" i="48"/>
  <c r="K21" i="48"/>
  <c r="L21" i="48"/>
  <c r="M21" i="48"/>
  <c r="N21" i="48"/>
  <c r="C28" i="48"/>
  <c r="D28" i="48"/>
  <c r="E28" i="48"/>
  <c r="F28" i="48"/>
  <c r="G28" i="48"/>
  <c r="H28" i="48"/>
  <c r="I28" i="48"/>
  <c r="J28" i="48"/>
  <c r="K28" i="48"/>
  <c r="L28" i="48"/>
  <c r="M28" i="48"/>
  <c r="N28" i="48"/>
  <c r="L34" i="48"/>
  <c r="U34" i="48"/>
  <c r="C38" i="48"/>
  <c r="C36" i="48" s="1"/>
  <c r="D38" i="48"/>
  <c r="D36" i="48"/>
  <c r="E38" i="48"/>
  <c r="E36" i="48"/>
  <c r="F38" i="48"/>
  <c r="F36" i="48" s="1"/>
  <c r="G38" i="48"/>
  <c r="G36" i="48"/>
  <c r="H38" i="48"/>
  <c r="H36" i="48"/>
  <c r="I38" i="48"/>
  <c r="I36" i="48" s="1"/>
  <c r="J38" i="48"/>
  <c r="J36" i="48" s="1"/>
  <c r="K38" i="48"/>
  <c r="K36" i="48"/>
  <c r="L38" i="48"/>
  <c r="L36" i="48" s="1"/>
  <c r="M38" i="48"/>
  <c r="M36" i="48"/>
  <c r="N38" i="48"/>
  <c r="N36" i="48"/>
  <c r="C9" i="32"/>
  <c r="D9" i="32"/>
  <c r="E9" i="32"/>
  <c r="F9" i="32"/>
  <c r="G9" i="32"/>
  <c r="H9" i="32"/>
  <c r="I9" i="32"/>
  <c r="J9" i="32"/>
  <c r="K9" i="32"/>
  <c r="L9" i="32"/>
  <c r="M9" i="32"/>
  <c r="N9" i="32"/>
  <c r="AK9" i="32" s="1"/>
  <c r="O9" i="32"/>
  <c r="P9" i="32"/>
  <c r="Q9" i="32"/>
  <c r="S19" i="32"/>
  <c r="S34" i="32"/>
  <c r="AM34" i="32" s="1"/>
  <c r="S42" i="32"/>
  <c r="AM42" i="32" s="1"/>
  <c r="T19" i="32"/>
  <c r="T9" i="32" s="1"/>
  <c r="U19" i="32"/>
  <c r="U9" i="32" s="1"/>
  <c r="V19" i="32"/>
  <c r="V9" i="32" s="1"/>
  <c r="X19" i="32"/>
  <c r="X9" i="32" s="1"/>
  <c r="Y19" i="32"/>
  <c r="Y9" i="32" s="1"/>
  <c r="Z19" i="32"/>
  <c r="Z9" i="32" s="1"/>
  <c r="Z10" i="32" s="1"/>
  <c r="AA19" i="32"/>
  <c r="AB19" i="32"/>
  <c r="AC19" i="32"/>
  <c r="AC9" i="32" s="1"/>
  <c r="AC10" i="32" s="1"/>
  <c r="AC12" i="32" s="1"/>
  <c r="AC8" i="31" s="1"/>
  <c r="AD19" i="32"/>
  <c r="AD9" i="32" s="1"/>
  <c r="AD10" i="32" s="1"/>
  <c r="AD12" i="32" s="1"/>
  <c r="AD8" i="31" s="1"/>
  <c r="AD9" i="31" s="1"/>
  <c r="C11" i="32"/>
  <c r="D11" i="32"/>
  <c r="E11" i="32"/>
  <c r="F11" i="32"/>
  <c r="G11" i="32"/>
  <c r="H11" i="32"/>
  <c r="H10" i="32" s="1"/>
  <c r="I11" i="32"/>
  <c r="I10" i="32"/>
  <c r="J11" i="32"/>
  <c r="K11" i="32"/>
  <c r="L11" i="32"/>
  <c r="M11" i="32"/>
  <c r="N11" i="32"/>
  <c r="O11" i="32"/>
  <c r="P11" i="32"/>
  <c r="Q11" i="32"/>
  <c r="S10" i="32"/>
  <c r="X11" i="32"/>
  <c r="R11" i="32"/>
  <c r="S11" i="32"/>
  <c r="T11" i="32"/>
  <c r="U11" i="32"/>
  <c r="V11" i="32"/>
  <c r="W11" i="32"/>
  <c r="C13" i="32"/>
  <c r="D13" i="32"/>
  <c r="E13" i="32"/>
  <c r="AJ13" i="32"/>
  <c r="AK13" i="32"/>
  <c r="AL13" i="32"/>
  <c r="C14" i="32"/>
  <c r="D14" i="32"/>
  <c r="E14" i="32"/>
  <c r="F14" i="32"/>
  <c r="G14" i="32"/>
  <c r="H14" i="32"/>
  <c r="I14" i="32"/>
  <c r="J14" i="32"/>
  <c r="K14" i="32"/>
  <c r="L14" i="32"/>
  <c r="M14" i="32"/>
  <c r="N14" i="32"/>
  <c r="O14" i="32"/>
  <c r="P14" i="32"/>
  <c r="C15" i="32"/>
  <c r="D15" i="32"/>
  <c r="E15" i="32"/>
  <c r="F15" i="32"/>
  <c r="G15" i="32"/>
  <c r="H15" i="32"/>
  <c r="I15" i="32"/>
  <c r="J15" i="32"/>
  <c r="K15" i="32"/>
  <c r="L15" i="32"/>
  <c r="M15" i="32"/>
  <c r="N15" i="32"/>
  <c r="O15" i="32"/>
  <c r="P15" i="32"/>
  <c r="Q15" i="32"/>
  <c r="R15" i="32"/>
  <c r="T15" i="32"/>
  <c r="U15" i="32"/>
  <c r="V15" i="32"/>
  <c r="R19" i="32"/>
  <c r="AL19" i="32" s="1"/>
  <c r="W19" i="32"/>
  <c r="AI19" i="32"/>
  <c r="AJ19" i="32"/>
  <c r="AK19" i="32"/>
  <c r="AI20" i="32"/>
  <c r="AJ20" i="32"/>
  <c r="AK20" i="32"/>
  <c r="AL20" i="32"/>
  <c r="AM20" i="32"/>
  <c r="AN20" i="32"/>
  <c r="AO20" i="32"/>
  <c r="AI21" i="32"/>
  <c r="AJ21" i="32"/>
  <c r="AK21" i="32"/>
  <c r="AL21" i="32"/>
  <c r="AM21" i="32"/>
  <c r="AN21" i="32"/>
  <c r="AO21" i="32"/>
  <c r="AI22" i="32"/>
  <c r="AJ22" i="32"/>
  <c r="AK22" i="32"/>
  <c r="AL22" i="32"/>
  <c r="AM22" i="32"/>
  <c r="AN22" i="32"/>
  <c r="AO22" i="32"/>
  <c r="AI23" i="32"/>
  <c r="AJ23" i="32"/>
  <c r="AK23" i="32"/>
  <c r="AL23" i="32"/>
  <c r="AM23" i="32"/>
  <c r="AN23" i="32"/>
  <c r="AO23" i="32"/>
  <c r="AI25" i="32"/>
  <c r="AJ25" i="32"/>
  <c r="AK25" i="32"/>
  <c r="AL25" i="32"/>
  <c r="AM25" i="32"/>
  <c r="AN25" i="32"/>
  <c r="AO25" i="32"/>
  <c r="O26" i="32"/>
  <c r="AL26" i="32" s="1"/>
  <c r="AI26" i="32"/>
  <c r="AJ26" i="32"/>
  <c r="AK26" i="32"/>
  <c r="AM26" i="32"/>
  <c r="AN26" i="32"/>
  <c r="AO26" i="32"/>
  <c r="AI28" i="32"/>
  <c r="AJ28" i="32"/>
  <c r="AK28" i="32"/>
  <c r="AL28" i="32"/>
  <c r="S28" i="32"/>
  <c r="AM28" i="32" s="1"/>
  <c r="AN27" i="32"/>
  <c r="AO27" i="32"/>
  <c r="Q29" i="32"/>
  <c r="AL29" i="32" s="1"/>
  <c r="S29" i="32"/>
  <c r="AM29" i="32" s="1"/>
  <c r="AI29" i="32"/>
  <c r="AJ29" i="32"/>
  <c r="AK29" i="32"/>
  <c r="AN29" i="32"/>
  <c r="AO29" i="32"/>
  <c r="S30" i="32"/>
  <c r="AM30" i="32" s="1"/>
  <c r="AI30" i="32"/>
  <c r="AJ30" i="32"/>
  <c r="AK30" i="32"/>
  <c r="AL30" i="32"/>
  <c r="AN30" i="32"/>
  <c r="AO30" i="32"/>
  <c r="AI34" i="32"/>
  <c r="AJ34" i="32"/>
  <c r="AK34" i="32"/>
  <c r="AL34" i="32"/>
  <c r="AN34" i="32"/>
  <c r="AO34" i="32"/>
  <c r="C35" i="32"/>
  <c r="D35" i="32"/>
  <c r="E35" i="32"/>
  <c r="F35" i="32"/>
  <c r="G35" i="32"/>
  <c r="H35" i="32"/>
  <c r="I35" i="32"/>
  <c r="J35" i="32"/>
  <c r="K35" i="32"/>
  <c r="L35" i="32"/>
  <c r="M35" i="32"/>
  <c r="N35" i="32"/>
  <c r="O35" i="32"/>
  <c r="P35" i="32"/>
  <c r="Q35" i="32"/>
  <c r="R35" i="32"/>
  <c r="S36" i="32"/>
  <c r="T35" i="32"/>
  <c r="U35" i="32"/>
  <c r="V35" i="32"/>
  <c r="AI36" i="32"/>
  <c r="AJ36" i="32"/>
  <c r="AK36" i="32"/>
  <c r="AK35" i="32"/>
  <c r="AL36" i="32"/>
  <c r="AN35" i="32"/>
  <c r="AO35" i="32"/>
  <c r="X36" i="32"/>
  <c r="Y36" i="32"/>
  <c r="Z36" i="32"/>
  <c r="AA36" i="32"/>
  <c r="AB36" i="32"/>
  <c r="AC36" i="32"/>
  <c r="AD36" i="32"/>
  <c r="S37" i="32"/>
  <c r="AM37" i="32" s="1"/>
  <c r="AI37" i="32"/>
  <c r="AJ37" i="32"/>
  <c r="AK37" i="32"/>
  <c r="AL37" i="32"/>
  <c r="AN37" i="32"/>
  <c r="AO37" i="32"/>
  <c r="S38" i="32"/>
  <c r="AM38" i="32" s="1"/>
  <c r="AI38" i="32"/>
  <c r="AJ38" i="32"/>
  <c r="AK38" i="32"/>
  <c r="AL38" i="32"/>
  <c r="AN38" i="32"/>
  <c r="AO38" i="32"/>
  <c r="AI42" i="32"/>
  <c r="AJ42" i="32"/>
  <c r="AK42" i="32"/>
  <c r="AL42" i="32"/>
  <c r="AN42" i="32"/>
  <c r="AO42" i="32"/>
  <c r="C43" i="32"/>
  <c r="D43" i="32"/>
  <c r="E43" i="32"/>
  <c r="F43" i="32"/>
  <c r="G43" i="32"/>
  <c r="H43" i="32"/>
  <c r="I43" i="32"/>
  <c r="J43" i="32"/>
  <c r="K43" i="32"/>
  <c r="L43" i="32"/>
  <c r="M43" i="32"/>
  <c r="N43" i="32"/>
  <c r="O43" i="32"/>
  <c r="P43" i="32"/>
  <c r="Q43" i="32"/>
  <c r="R43" i="32"/>
  <c r="S44" i="32"/>
  <c r="S43" i="32" s="1"/>
  <c r="T43" i="32"/>
  <c r="U43" i="32"/>
  <c r="V43" i="32"/>
  <c r="W43" i="32"/>
  <c r="W12" i="32" s="1"/>
  <c r="AI44" i="32"/>
  <c r="AJ44" i="32"/>
  <c r="AK44" i="32"/>
  <c r="AL44" i="32"/>
  <c r="AO43" i="32"/>
  <c r="X44" i="32"/>
  <c r="Y44" i="32"/>
  <c r="Z44" i="32"/>
  <c r="AA44" i="32"/>
  <c r="AB44" i="32"/>
  <c r="AC44" i="32"/>
  <c r="AD44" i="32"/>
  <c r="S45" i="32"/>
  <c r="U45" i="32"/>
  <c r="AI45" i="32"/>
  <c r="AJ45" i="32"/>
  <c r="AK45" i="32"/>
  <c r="AL45" i="32"/>
  <c r="AN45" i="32"/>
  <c r="AO45" i="32"/>
  <c r="S46" i="32"/>
  <c r="AM46" i="32" s="1"/>
  <c r="AI46" i="32"/>
  <c r="AJ46" i="32"/>
  <c r="AK46" i="32"/>
  <c r="AL46" i="32"/>
  <c r="AN46" i="32"/>
  <c r="AO46" i="32"/>
  <c r="AM48" i="32"/>
  <c r="AN48" i="32"/>
  <c r="AO48" i="32"/>
  <c r="AM49" i="32"/>
  <c r="AO49" i="32"/>
  <c r="AM50" i="32"/>
  <c r="AN50" i="32"/>
  <c r="AO50" i="32"/>
  <c r="Y7" i="31"/>
  <c r="AO7" i="31"/>
  <c r="U9" i="31"/>
  <c r="U13" i="32" s="1"/>
  <c r="V9" i="31"/>
  <c r="V13" i="32" s="1"/>
  <c r="W9" i="31"/>
  <c r="X9" i="31"/>
  <c r="X10" i="31" s="1"/>
  <c r="AC9" i="31"/>
  <c r="AC10" i="31" s="1"/>
  <c r="U10" i="31"/>
  <c r="W10" i="31"/>
  <c r="U11" i="31"/>
  <c r="U15" i="31" s="1"/>
  <c r="V11" i="31"/>
  <c r="W11" i="31"/>
  <c r="X11" i="31"/>
  <c r="Y12" i="31"/>
  <c r="Y13" i="31"/>
  <c r="AN13" i="31" s="1"/>
  <c r="Y14" i="31"/>
  <c r="AN14" i="31" s="1"/>
  <c r="Z11" i="31"/>
  <c r="AA11" i="31"/>
  <c r="AB11" i="31"/>
  <c r="AC11" i="31"/>
  <c r="AD11" i="31"/>
  <c r="AO12" i="31"/>
  <c r="AO13" i="31"/>
  <c r="AO14" i="31"/>
  <c r="U16" i="31"/>
  <c r="V16" i="31"/>
  <c r="Y17" i="31"/>
  <c r="AN17" i="31" s="1"/>
  <c r="AN16" i="31" s="1"/>
  <c r="Z16" i="31"/>
  <c r="AA16" i="31"/>
  <c r="AB16" i="31"/>
  <c r="AC16" i="31"/>
  <c r="AD17" i="31"/>
  <c r="AD16" i="31" s="1"/>
  <c r="U18" i="31"/>
  <c r="X18" i="31"/>
  <c r="Y19" i="31"/>
  <c r="AN19" i="31" s="1"/>
  <c r="Y20" i="31"/>
  <c r="AN20" i="31" s="1"/>
  <c r="Y21" i="31"/>
  <c r="AN21" i="31" s="1"/>
  <c r="Y22" i="31"/>
  <c r="AN22" i="31" s="1"/>
  <c r="Z18" i="31"/>
  <c r="AA18" i="31"/>
  <c r="AB18" i="31"/>
  <c r="AC18" i="31"/>
  <c r="AD18" i="31"/>
  <c r="AO19" i="31"/>
  <c r="AO20" i="31"/>
  <c r="AO21" i="31"/>
  <c r="AO22" i="31"/>
  <c r="U24" i="31"/>
  <c r="V24" i="31"/>
  <c r="W24" i="31"/>
  <c r="X24" i="31"/>
  <c r="Y25" i="31"/>
  <c r="AN25" i="31" s="1"/>
  <c r="Y26" i="31"/>
  <c r="Y24" i="31" s="1"/>
  <c r="Z24" i="31"/>
  <c r="AA24" i="31"/>
  <c r="AB24" i="31"/>
  <c r="AC24" i="31"/>
  <c r="AD24" i="31"/>
  <c r="AO25" i="31"/>
  <c r="AO26" i="31"/>
  <c r="AN28" i="31"/>
  <c r="X29" i="31"/>
  <c r="Y30" i="31"/>
  <c r="Y31" i="31"/>
  <c r="AN31" i="31" s="1"/>
  <c r="Z29" i="31"/>
  <c r="AA29" i="31"/>
  <c r="AB29" i="31"/>
  <c r="AC29" i="31"/>
  <c r="AD29" i="31"/>
  <c r="AO30" i="31"/>
  <c r="AO31" i="31"/>
  <c r="S33" i="31"/>
  <c r="S15" i="32" s="1"/>
  <c r="Y33" i="31"/>
  <c r="AO33" i="31"/>
  <c r="S34" i="31"/>
  <c r="Y34" i="31"/>
  <c r="AN34" i="31" s="1"/>
  <c r="AO34" i="31"/>
  <c r="Q35" i="31"/>
  <c r="Q14" i="32" s="1"/>
  <c r="R35" i="31"/>
  <c r="R36" i="31" s="1"/>
  <c r="T35" i="31"/>
  <c r="T14" i="32" s="1"/>
  <c r="C36" i="31"/>
  <c r="D36" i="31"/>
  <c r="E36" i="31"/>
  <c r="F36" i="31"/>
  <c r="G36" i="31"/>
  <c r="H36" i="31"/>
  <c r="I36" i="31"/>
  <c r="J36" i="31"/>
  <c r="K36" i="31"/>
  <c r="L36" i="31"/>
  <c r="M36" i="31"/>
  <c r="N36" i="31"/>
  <c r="O36" i="31"/>
  <c r="P36" i="31"/>
  <c r="Q36" i="31"/>
  <c r="W36" i="31"/>
  <c r="AC38" i="31"/>
  <c r="AD38" i="31"/>
  <c r="C41" i="31"/>
  <c r="D41" i="31"/>
  <c r="E41" i="31"/>
  <c r="F41" i="31"/>
  <c r="G41" i="31"/>
  <c r="H41" i="31"/>
  <c r="I41" i="31"/>
  <c r="J41" i="31"/>
  <c r="K41" i="31"/>
  <c r="L41" i="31"/>
  <c r="M41" i="31"/>
  <c r="N41" i="31"/>
  <c r="O41" i="31"/>
  <c r="P41" i="31"/>
  <c r="Q41" i="31"/>
  <c r="R41" i="31"/>
  <c r="S41" i="31"/>
  <c r="T41" i="31"/>
  <c r="U41" i="31"/>
  <c r="V41" i="31"/>
  <c r="W41" i="31"/>
  <c r="X41" i="31"/>
  <c r="Y41" i="31"/>
  <c r="AA41" i="31"/>
  <c r="AB41" i="31"/>
  <c r="AC41" i="31"/>
  <c r="AD41" i="31"/>
  <c r="C51" i="31"/>
  <c r="D51" i="31"/>
  <c r="E51" i="31"/>
  <c r="E67" i="31" s="1"/>
  <c r="E108" i="31" s="1"/>
  <c r="F51" i="31"/>
  <c r="G51" i="31"/>
  <c r="H51" i="31"/>
  <c r="I51" i="31"/>
  <c r="J51" i="31"/>
  <c r="K51" i="31"/>
  <c r="L51" i="31"/>
  <c r="M51" i="31"/>
  <c r="N51" i="31"/>
  <c r="O51" i="31"/>
  <c r="P51" i="31"/>
  <c r="Q51" i="31"/>
  <c r="R51" i="31"/>
  <c r="S51" i="31"/>
  <c r="T51" i="31"/>
  <c r="U51" i="31"/>
  <c r="V51" i="31"/>
  <c r="W51" i="31"/>
  <c r="X51" i="31"/>
  <c r="Y51" i="31"/>
  <c r="AA51" i="31"/>
  <c r="AB51" i="31"/>
  <c r="AC51" i="31"/>
  <c r="AD51" i="31"/>
  <c r="AD67" i="31" s="1"/>
  <c r="Z67" i="31"/>
  <c r="C70" i="31"/>
  <c r="D70" i="31"/>
  <c r="E70" i="31"/>
  <c r="F70" i="31"/>
  <c r="G70" i="31"/>
  <c r="H70" i="31"/>
  <c r="I70" i="31"/>
  <c r="J70" i="31"/>
  <c r="K70" i="31"/>
  <c r="L70" i="31"/>
  <c r="M70" i="31"/>
  <c r="N70" i="31"/>
  <c r="O70" i="31"/>
  <c r="P70" i="31"/>
  <c r="Q70" i="31"/>
  <c r="R70" i="31"/>
  <c r="S70" i="31"/>
  <c r="T70" i="31"/>
  <c r="U70" i="31"/>
  <c r="V70" i="31"/>
  <c r="W70" i="31"/>
  <c r="X70" i="31"/>
  <c r="Y70" i="31"/>
  <c r="AA70" i="31"/>
  <c r="AB70" i="31"/>
  <c r="AC70" i="31"/>
  <c r="AD70" i="31"/>
  <c r="C88" i="31"/>
  <c r="D88" i="31"/>
  <c r="E88" i="31"/>
  <c r="F88" i="31"/>
  <c r="G88" i="31"/>
  <c r="H88" i="31"/>
  <c r="I88" i="31"/>
  <c r="J88" i="31"/>
  <c r="K88" i="31"/>
  <c r="L88" i="31"/>
  <c r="M88" i="31"/>
  <c r="N88" i="31"/>
  <c r="O88" i="31"/>
  <c r="P88" i="31"/>
  <c r="Q88" i="31"/>
  <c r="R88" i="31"/>
  <c r="S88" i="31"/>
  <c r="T88" i="31"/>
  <c r="U88" i="31"/>
  <c r="V88" i="31"/>
  <c r="C105" i="31"/>
  <c r="C99" i="31" s="1"/>
  <c r="D105" i="31"/>
  <c r="D99" i="31" s="1"/>
  <c r="E105" i="31"/>
  <c r="E99" i="31" s="1"/>
  <c r="F105" i="31"/>
  <c r="F99" i="31" s="1"/>
  <c r="G105" i="31"/>
  <c r="G99" i="31" s="1"/>
  <c r="H105" i="31"/>
  <c r="H99" i="31" s="1"/>
  <c r="I105" i="31"/>
  <c r="I99" i="31" s="1"/>
  <c r="J105" i="31"/>
  <c r="J99" i="31" s="1"/>
  <c r="K105" i="31"/>
  <c r="K99" i="31" s="1"/>
  <c r="L105" i="31"/>
  <c r="L99" i="31" s="1"/>
  <c r="M105" i="31"/>
  <c r="M99" i="31" s="1"/>
  <c r="N105" i="31"/>
  <c r="N99" i="31" s="1"/>
  <c r="O105" i="31"/>
  <c r="O99" i="31" s="1"/>
  <c r="P105" i="31"/>
  <c r="P99" i="31" s="1"/>
  <c r="Q105" i="31"/>
  <c r="Q99" i="31" s="1"/>
  <c r="R99" i="31"/>
  <c r="S99" i="31"/>
  <c r="T105" i="31"/>
  <c r="T99" i="31" s="1"/>
  <c r="U105" i="31"/>
  <c r="U99" i="31" s="1"/>
  <c r="V105" i="31"/>
  <c r="V99" i="31" s="1"/>
  <c r="W99" i="31"/>
  <c r="X99" i="31"/>
  <c r="Y105" i="31"/>
  <c r="Y99" i="31"/>
  <c r="AA99" i="31"/>
  <c r="AB99" i="31"/>
  <c r="AC99" i="31"/>
  <c r="AC107" i="31" s="1"/>
  <c r="AD99" i="31"/>
  <c r="T109" i="31"/>
  <c r="U109" i="31"/>
  <c r="Z109" i="31"/>
  <c r="T110" i="31"/>
  <c r="U110" i="31"/>
  <c r="AN110" i="31"/>
  <c r="AN49" i="32" s="1"/>
  <c r="U111" i="31"/>
  <c r="Z111" i="31"/>
  <c r="W12" i="30"/>
  <c r="X12" i="30"/>
  <c r="X19" i="30" s="1"/>
  <c r="Y12" i="30"/>
  <c r="Y19" i="30" s="1"/>
  <c r="Z12" i="30"/>
  <c r="Z19" i="30" s="1"/>
  <c r="AA12" i="30"/>
  <c r="AA19" i="30" s="1"/>
  <c r="AB12" i="30"/>
  <c r="AB19" i="30" s="1"/>
  <c r="AC12" i="30"/>
  <c r="AC23" i="30" s="1"/>
  <c r="AD19" i="30"/>
  <c r="C23" i="30"/>
  <c r="D23" i="30"/>
  <c r="E23" i="30"/>
  <c r="F23" i="30"/>
  <c r="G23" i="30"/>
  <c r="H23" i="30"/>
  <c r="I23" i="30"/>
  <c r="J23" i="30"/>
  <c r="K23" i="30"/>
  <c r="L23" i="30"/>
  <c r="M23" i="30"/>
  <c r="N23" i="30"/>
  <c r="O23" i="30"/>
  <c r="P23" i="30"/>
  <c r="Q23" i="30"/>
  <c r="R23" i="30"/>
  <c r="S23" i="30"/>
  <c r="T23" i="30"/>
  <c r="U23" i="30"/>
  <c r="V23" i="30"/>
  <c r="C10" i="46"/>
  <c r="C13" i="46"/>
  <c r="C17" i="46"/>
  <c r="D10" i="46"/>
  <c r="D13" i="46"/>
  <c r="D17" i="46"/>
  <c r="E10" i="46"/>
  <c r="E13" i="46"/>
  <c r="E17" i="46"/>
  <c r="F10" i="46"/>
  <c r="F13" i="46"/>
  <c r="F17" i="46"/>
  <c r="G10" i="46"/>
  <c r="G13" i="46"/>
  <c r="G17" i="46"/>
  <c r="H10" i="46"/>
  <c r="H13" i="46"/>
  <c r="H17" i="46"/>
  <c r="H9" i="46"/>
  <c r="I10" i="46"/>
  <c r="I13" i="46"/>
  <c r="I17" i="46"/>
  <c r="J10" i="46"/>
  <c r="J13" i="46"/>
  <c r="J17" i="46"/>
  <c r="J9" i="46"/>
  <c r="K10" i="46"/>
  <c r="K13" i="46"/>
  <c r="K17" i="46"/>
  <c r="L10" i="46"/>
  <c r="L9" i="46" s="1"/>
  <c r="L13" i="46"/>
  <c r="L17" i="46"/>
  <c r="M10" i="46"/>
  <c r="M13" i="46"/>
  <c r="M17" i="46"/>
  <c r="N10" i="46"/>
  <c r="N13" i="46"/>
  <c r="N17" i="46"/>
  <c r="O10" i="46"/>
  <c r="O13" i="46"/>
  <c r="O17" i="46"/>
  <c r="P10" i="46"/>
  <c r="P13" i="46"/>
  <c r="P17" i="46"/>
  <c r="Q10" i="46"/>
  <c r="Q13" i="46"/>
  <c r="Q17" i="46"/>
  <c r="R9" i="46"/>
  <c r="S10" i="46"/>
  <c r="S13" i="46"/>
  <c r="S17" i="46"/>
  <c r="T10" i="46"/>
  <c r="T13" i="46"/>
  <c r="T17" i="46"/>
  <c r="U10" i="46"/>
  <c r="U13" i="46"/>
  <c r="U17" i="46"/>
  <c r="V10" i="46"/>
  <c r="V13" i="46"/>
  <c r="V17" i="46"/>
  <c r="W10" i="46"/>
  <c r="W13" i="46"/>
  <c r="W17" i="46"/>
  <c r="W9" i="46" s="1"/>
  <c r="AU12" i="46" s="1"/>
  <c r="X10" i="46"/>
  <c r="X13" i="46"/>
  <c r="X17" i="46"/>
  <c r="Y10" i="46"/>
  <c r="Y13" i="46"/>
  <c r="Y17" i="46"/>
  <c r="Z10" i="46"/>
  <c r="Z13" i="46"/>
  <c r="Z17" i="46"/>
  <c r="AA10" i="46"/>
  <c r="AA13" i="46"/>
  <c r="AA17" i="46"/>
  <c r="AB9" i="46"/>
  <c r="AZ17" i="46" s="1"/>
  <c r="AC9" i="46"/>
  <c r="BA10" i="46" s="1"/>
  <c r="AD10" i="46"/>
  <c r="AD13" i="46"/>
  <c r="AD17" i="46"/>
  <c r="EP9" i="46" a="1"/>
  <c r="EP9" i="46" s="1"/>
  <c r="EP10" i="46" a="1"/>
  <c r="EP10" i="46" s="1"/>
  <c r="C24" i="46"/>
  <c r="D24" i="46"/>
  <c r="E24" i="46"/>
  <c r="F24" i="46"/>
  <c r="G24" i="46"/>
  <c r="H24" i="46"/>
  <c r="I24" i="46"/>
  <c r="J24" i="46"/>
  <c r="K24" i="46"/>
  <c r="L24" i="46"/>
  <c r="M24" i="46"/>
  <c r="N24" i="46"/>
  <c r="O24" i="46"/>
  <c r="AL25" i="46" s="1"/>
  <c r="P24" i="46"/>
  <c r="Q24" i="46"/>
  <c r="S24" i="46"/>
  <c r="T24" i="46"/>
  <c r="AR26" i="46" s="1"/>
  <c r="U24" i="46"/>
  <c r="V24" i="46"/>
  <c r="W24" i="46"/>
  <c r="AU24" i="46" s="1"/>
  <c r="X24" i="46"/>
  <c r="Y24" i="46"/>
  <c r="Z24" i="46"/>
  <c r="AX25" i="46" s="1"/>
  <c r="AA24" i="46"/>
  <c r="AY25" i="46" s="1"/>
  <c r="AD24" i="46"/>
  <c r="BB25" i="46" s="1"/>
  <c r="AT24" i="46"/>
  <c r="AV24" i="46"/>
  <c r="AW24" i="46"/>
  <c r="AX27" i="46"/>
  <c r="AZ25" i="46"/>
  <c r="AZ26" i="46"/>
  <c r="AZ27" i="46"/>
  <c r="AZ24" i="46" s="1"/>
  <c r="BA25" i="46"/>
  <c r="BA26" i="46"/>
  <c r="BA27" i="46"/>
  <c r="AT25" i="46"/>
  <c r="AV25" i="46"/>
  <c r="AW25" i="46"/>
  <c r="AM26" i="46"/>
  <c r="AT26" i="46"/>
  <c r="AV26" i="46"/>
  <c r="AW26" i="46"/>
  <c r="AT27" i="46"/>
  <c r="AU27" i="46"/>
  <c r="AV27" i="46"/>
  <c r="AW27" i="46"/>
  <c r="K8" i="47"/>
  <c r="K18" i="47" s="1"/>
  <c r="K21" i="47" s="1"/>
  <c r="K24" i="47" s="1"/>
  <c r="L8" i="47"/>
  <c r="M8" i="47"/>
  <c r="N8" i="47"/>
  <c r="O8" i="47"/>
  <c r="P8" i="47"/>
  <c r="Q8" i="47"/>
  <c r="R8" i="47"/>
  <c r="S8" i="47"/>
  <c r="T8" i="47"/>
  <c r="U8" i="47"/>
  <c r="V8" i="47"/>
  <c r="W8" i="47"/>
  <c r="X8" i="47"/>
  <c r="Y8" i="47"/>
  <c r="Z8" i="47"/>
  <c r="AG9" i="47"/>
  <c r="AH9" i="47"/>
  <c r="AI9" i="47"/>
  <c r="AJ9" i="47"/>
  <c r="AG10" i="47"/>
  <c r="AH10" i="47"/>
  <c r="AI10" i="47"/>
  <c r="AJ10" i="47"/>
  <c r="AG11" i="47"/>
  <c r="AH11" i="47"/>
  <c r="AI11" i="47"/>
  <c r="AJ11" i="47"/>
  <c r="K17" i="47"/>
  <c r="K12" i="47"/>
  <c r="L12" i="47"/>
  <c r="M12" i="47"/>
  <c r="N17" i="47"/>
  <c r="O12" i="47"/>
  <c r="P12" i="47"/>
  <c r="Q12" i="47"/>
  <c r="R12" i="47"/>
  <c r="R18" i="47" s="1"/>
  <c r="R21" i="47" s="1"/>
  <c r="R24" i="47" s="1"/>
  <c r="S12" i="47"/>
  <c r="T12" i="47"/>
  <c r="U12" i="47"/>
  <c r="V12" i="47"/>
  <c r="W12" i="47"/>
  <c r="X12" i="47"/>
  <c r="Y12" i="47"/>
  <c r="AG13" i="47"/>
  <c r="AH13" i="47"/>
  <c r="AI13" i="47"/>
  <c r="AJ13" i="47"/>
  <c r="AG14" i="47"/>
  <c r="AH14" i="47"/>
  <c r="AI14" i="47"/>
  <c r="AJ14" i="47"/>
  <c r="AG15" i="47"/>
  <c r="AH15" i="47"/>
  <c r="AI15" i="47"/>
  <c r="AJ15" i="47"/>
  <c r="AG16" i="47"/>
  <c r="AH16" i="47"/>
  <c r="AI16" i="47"/>
  <c r="AJ16" i="47"/>
  <c r="AH17" i="47"/>
  <c r="AI17" i="47"/>
  <c r="AJ17" i="47"/>
  <c r="AG19" i="47"/>
  <c r="AH19" i="47"/>
  <c r="AI19" i="47"/>
  <c r="AJ19" i="47"/>
  <c r="AG20" i="47"/>
  <c r="AH20" i="47"/>
  <c r="AI20" i="47"/>
  <c r="AJ20" i="47"/>
  <c r="AG22" i="47"/>
  <c r="AH22" i="47"/>
  <c r="AI22" i="47"/>
  <c r="AJ22" i="47"/>
  <c r="AI29" i="47"/>
  <c r="AJ29" i="47"/>
  <c r="AI30" i="47"/>
  <c r="AJ30" i="47"/>
  <c r="C31" i="47"/>
  <c r="C34" i="47" s="1"/>
  <c r="C36" i="47" s="1"/>
  <c r="D31" i="47"/>
  <c r="D34" i="47" s="1"/>
  <c r="D36" i="47" s="1"/>
  <c r="E31" i="47"/>
  <c r="E34" i="47" s="1"/>
  <c r="E36" i="47" s="1"/>
  <c r="F31" i="47"/>
  <c r="F34" i="47" s="1"/>
  <c r="F36" i="47" s="1"/>
  <c r="G31" i="47"/>
  <c r="G34" i="47" s="1"/>
  <c r="G36" i="47" s="1"/>
  <c r="H31" i="47"/>
  <c r="I31" i="47"/>
  <c r="J31" i="47"/>
  <c r="J34" i="47" s="1"/>
  <c r="J36" i="47" s="1"/>
  <c r="K31" i="47"/>
  <c r="K34" i="47" s="1"/>
  <c r="L31" i="47"/>
  <c r="L34" i="47" s="1"/>
  <c r="L36" i="47" s="1"/>
  <c r="M31" i="47"/>
  <c r="M34" i="47" s="1"/>
  <c r="M42" i="47" s="1"/>
  <c r="N31" i="47"/>
  <c r="N34" i="47" s="1"/>
  <c r="O31" i="47"/>
  <c r="O34" i="47" s="1"/>
  <c r="P31" i="47"/>
  <c r="P34" i="47" s="1"/>
  <c r="Q31" i="47"/>
  <c r="Q34" i="47" s="1"/>
  <c r="Q36" i="47" s="1"/>
  <c r="R31" i="47"/>
  <c r="R34" i="47" s="1"/>
  <c r="S31" i="47"/>
  <c r="S34" i="47" s="1"/>
  <c r="T31" i="47"/>
  <c r="T34" i="47" s="1"/>
  <c r="T36" i="47" s="1"/>
  <c r="U31" i="47"/>
  <c r="V31" i="47"/>
  <c r="V34" i="47" s="1"/>
  <c r="W31" i="47"/>
  <c r="W34" i="47" s="1"/>
  <c r="X31" i="47"/>
  <c r="X34" i="47" s="1"/>
  <c r="X36" i="47" s="1"/>
  <c r="Y31" i="47"/>
  <c r="Y34" i="47" s="1"/>
  <c r="Y36" i="47" s="1"/>
  <c r="Z31" i="47"/>
  <c r="Z34" i="47" s="1"/>
  <c r="AD31" i="47"/>
  <c r="AD34" i="47" s="1"/>
  <c r="AD36" i="47" s="1"/>
  <c r="AE31" i="47"/>
  <c r="AE34" i="47" s="1"/>
  <c r="AE36" i="47" s="1"/>
  <c r="AF31" i="47"/>
  <c r="AF34" i="47" s="1"/>
  <c r="AF36" i="47" s="1"/>
  <c r="AG31" i="47"/>
  <c r="AG34" i="47" s="1"/>
  <c r="AH31" i="47"/>
  <c r="AH34" i="47" s="1"/>
  <c r="AH36" i="47" s="1"/>
  <c r="AI32" i="47"/>
  <c r="AJ32" i="47"/>
  <c r="H34" i="47"/>
  <c r="H36" i="47" s="1"/>
  <c r="I34" i="47"/>
  <c r="I36" i="47" s="1"/>
  <c r="U34" i="47"/>
  <c r="AI35" i="47"/>
  <c r="AJ35" i="47"/>
  <c r="AI39" i="47"/>
  <c r="AJ39" i="47"/>
  <c r="AI40" i="47"/>
  <c r="AJ40" i="47"/>
  <c r="K44" i="47"/>
  <c r="L44" i="47"/>
  <c r="M44" i="47"/>
  <c r="N44" i="47"/>
  <c r="O44" i="47"/>
  <c r="P44" i="47"/>
  <c r="Q44" i="47"/>
  <c r="R44" i="47"/>
  <c r="S44" i="47"/>
  <c r="T44" i="47"/>
  <c r="U44" i="47"/>
  <c r="V44" i="47"/>
  <c r="W44" i="47"/>
  <c r="X44" i="47"/>
  <c r="Y44" i="47"/>
  <c r="Z44" i="47"/>
  <c r="F10" i="53"/>
  <c r="F11" i="53"/>
  <c r="F32" i="53" s="1"/>
  <c r="F12" i="53"/>
  <c r="F13" i="53"/>
  <c r="F14" i="53"/>
  <c r="F15" i="53"/>
  <c r="F16" i="53"/>
  <c r="F17" i="53"/>
  <c r="F18" i="53"/>
  <c r="F19" i="53"/>
  <c r="F20" i="53"/>
  <c r="F21" i="53"/>
  <c r="F22" i="53"/>
  <c r="F23" i="53"/>
  <c r="F24" i="53"/>
  <c r="F25" i="53"/>
  <c r="F26" i="53"/>
  <c r="F27" i="53"/>
  <c r="F28" i="53"/>
  <c r="F29" i="53"/>
  <c r="G29" i="53"/>
  <c r="G32" i="53" s="1"/>
  <c r="F30" i="53"/>
  <c r="F31" i="53"/>
  <c r="E32" i="53"/>
  <c r="E42" i="53"/>
  <c r="E44" i="53" s="1"/>
  <c r="E43" i="53"/>
  <c r="H9" i="55"/>
  <c r="M9" i="55"/>
  <c r="R9" i="55"/>
  <c r="W9" i="55"/>
  <c r="H10" i="55"/>
  <c r="M10" i="55"/>
  <c r="R10" i="55"/>
  <c r="W10" i="55"/>
  <c r="H11" i="55"/>
  <c r="M11" i="55"/>
  <c r="M27" i="55" s="1"/>
  <c r="R11" i="55"/>
  <c r="W11" i="55"/>
  <c r="H12" i="55"/>
  <c r="M12" i="55"/>
  <c r="R12" i="55"/>
  <c r="W12" i="55"/>
  <c r="H13" i="55"/>
  <c r="M13" i="55"/>
  <c r="R13" i="55"/>
  <c r="W13" i="55"/>
  <c r="U15" i="55"/>
  <c r="H17" i="55"/>
  <c r="M17" i="55"/>
  <c r="R17" i="55"/>
  <c r="R25" i="55" s="1"/>
  <c r="W17" i="55"/>
  <c r="H18" i="55"/>
  <c r="H26" i="55" s="1"/>
  <c r="M18" i="55"/>
  <c r="R18" i="55"/>
  <c r="W18" i="55"/>
  <c r="H19" i="55"/>
  <c r="M19" i="55"/>
  <c r="R19" i="55"/>
  <c r="W19" i="55"/>
  <c r="H20" i="55"/>
  <c r="M20" i="55"/>
  <c r="R20" i="55"/>
  <c r="R28" i="55" s="1"/>
  <c r="W20" i="55"/>
  <c r="H21" i="55"/>
  <c r="H29" i="55" s="1"/>
  <c r="M21" i="55"/>
  <c r="R21" i="55"/>
  <c r="W21" i="55"/>
  <c r="U23" i="55"/>
  <c r="D25" i="55"/>
  <c r="E25" i="55"/>
  <c r="F25" i="55"/>
  <c r="G25" i="55"/>
  <c r="I25" i="55"/>
  <c r="J25" i="55"/>
  <c r="K25" i="55"/>
  <c r="L25" i="55"/>
  <c r="N25" i="55"/>
  <c r="O25" i="55"/>
  <c r="P25" i="55"/>
  <c r="Q25" i="55"/>
  <c r="S25" i="55"/>
  <c r="T25" i="55"/>
  <c r="U25" i="55"/>
  <c r="V25" i="55"/>
  <c r="D26" i="55"/>
  <c r="E26" i="55"/>
  <c r="F26" i="55"/>
  <c r="G26" i="55"/>
  <c r="I26" i="55"/>
  <c r="J26" i="55"/>
  <c r="K26" i="55"/>
  <c r="L26" i="55"/>
  <c r="N26" i="55"/>
  <c r="O26" i="55"/>
  <c r="P26" i="55"/>
  <c r="Q26" i="55"/>
  <c r="S26" i="55"/>
  <c r="T26" i="55"/>
  <c r="U26" i="55"/>
  <c r="V26" i="55"/>
  <c r="D27" i="55"/>
  <c r="E27" i="55"/>
  <c r="F27" i="55"/>
  <c r="G27" i="55"/>
  <c r="I27" i="55"/>
  <c r="J27" i="55"/>
  <c r="K27" i="55"/>
  <c r="L27" i="55"/>
  <c r="N27" i="55"/>
  <c r="O27" i="55"/>
  <c r="P27" i="55"/>
  <c r="Q27" i="55"/>
  <c r="S27" i="55"/>
  <c r="T27" i="55"/>
  <c r="U27" i="55"/>
  <c r="V27" i="55"/>
  <c r="D28" i="55"/>
  <c r="E28" i="55"/>
  <c r="F28" i="55"/>
  <c r="G28" i="55"/>
  <c r="I28" i="55"/>
  <c r="J28" i="55"/>
  <c r="K28" i="55"/>
  <c r="L28" i="55"/>
  <c r="N28" i="55"/>
  <c r="O28" i="55"/>
  <c r="P28" i="55"/>
  <c r="Q28" i="55"/>
  <c r="S28" i="55"/>
  <c r="T28" i="55"/>
  <c r="U28" i="55"/>
  <c r="V28" i="55"/>
  <c r="D29" i="55"/>
  <c r="E29" i="55"/>
  <c r="F29" i="55"/>
  <c r="G29" i="55"/>
  <c r="I29" i="55"/>
  <c r="J29" i="55"/>
  <c r="K29" i="55"/>
  <c r="L29" i="55"/>
  <c r="N29" i="55"/>
  <c r="O29" i="55"/>
  <c r="P29" i="55"/>
  <c r="Q29" i="55"/>
  <c r="S29" i="55"/>
  <c r="T29" i="55"/>
  <c r="U29" i="55"/>
  <c r="V29" i="55"/>
  <c r="R6" i="57"/>
  <c r="R7" i="57"/>
  <c r="R8" i="57"/>
  <c r="R9" i="57"/>
  <c r="R11" i="57"/>
  <c r="R12" i="57"/>
  <c r="R13" i="57"/>
  <c r="R15" i="57"/>
  <c r="R16" i="57"/>
  <c r="R17" i="57"/>
  <c r="L18" i="57"/>
  <c r="R18" i="57"/>
  <c r="R19" i="57"/>
  <c r="Q20" i="57"/>
  <c r="R20" i="57" s="1"/>
  <c r="R21" i="57"/>
  <c r="L22" i="57"/>
  <c r="R22" i="57" s="1"/>
  <c r="Q22" i="57"/>
  <c r="R23" i="57"/>
  <c r="R24" i="57"/>
  <c r="R26" i="57"/>
  <c r="R27" i="57"/>
  <c r="R28" i="57"/>
  <c r="R29" i="57"/>
  <c r="AE10" i="52" l="1"/>
  <c r="AE40" i="52" s="1"/>
  <c r="AE66" i="52" s="1"/>
  <c r="AE69" i="52" s="1"/>
  <c r="R67" i="31"/>
  <c r="R108" i="31" s="1"/>
  <c r="Y13" i="50"/>
  <c r="Y11" i="32"/>
  <c r="Y10" i="32" s="1"/>
  <c r="Y12" i="32" s="1"/>
  <c r="Y8" i="31" s="1"/>
  <c r="Y9" i="31" s="1"/>
  <c r="Y10" i="31" s="1"/>
  <c r="AA67" i="31"/>
  <c r="AC35" i="31"/>
  <c r="S35" i="31"/>
  <c r="AO24" i="31"/>
  <c r="AD35" i="31"/>
  <c r="AD36" i="31" s="1"/>
  <c r="Y16" i="31"/>
  <c r="V15" i="31"/>
  <c r="V23" i="31" s="1"/>
  <c r="V27" i="31" s="1"/>
  <c r="AJ9" i="32"/>
  <c r="X10" i="32"/>
  <c r="AM45" i="32"/>
  <c r="I12" i="32"/>
  <c r="AB9" i="32"/>
  <c r="AL27" i="32"/>
  <c r="T12" i="32"/>
  <c r="AL35" i="32"/>
  <c r="AC28" i="32"/>
  <c r="AC13" i="32" s="1"/>
  <c r="AD13" i="32"/>
  <c r="AL43" i="32"/>
  <c r="AI27" i="32"/>
  <c r="AN43" i="32"/>
  <c r="V12" i="32"/>
  <c r="H12" i="32"/>
  <c r="AN19" i="32"/>
  <c r="U12" i="32"/>
  <c r="J10" i="32"/>
  <c r="J12" i="32" s="1"/>
  <c r="Q10" i="32"/>
  <c r="Q12" i="32" s="1"/>
  <c r="AA92" i="52"/>
  <c r="Z18" i="47"/>
  <c r="Z21" i="47" s="1"/>
  <c r="Z24" i="47" s="1"/>
  <c r="Y18" i="47"/>
  <c r="Y21" i="47" s="1"/>
  <c r="Y24" i="47" s="1"/>
  <c r="P18" i="47"/>
  <c r="P21" i="47" s="1"/>
  <c r="P24" i="47" s="1"/>
  <c r="Q18" i="47"/>
  <c r="Q21" i="47" s="1"/>
  <c r="Q24" i="47" s="1"/>
  <c r="W36" i="47"/>
  <c r="W41" i="47"/>
  <c r="AI31" i="47"/>
  <c r="AI34" i="47" s="1"/>
  <c r="AI41" i="47" s="1"/>
  <c r="AH12" i="47"/>
  <c r="T41" i="47"/>
  <c r="AJ31" i="47"/>
  <c r="AJ34" i="47" s="1"/>
  <c r="AJ36" i="47" s="1"/>
  <c r="AH44" i="47"/>
  <c r="AH41" i="47" s="1"/>
  <c r="AJ44" i="47"/>
  <c r="T18" i="47"/>
  <c r="T21" i="47" s="1"/>
  <c r="T24" i="47" s="1"/>
  <c r="O42" i="47"/>
  <c r="S18" i="47"/>
  <c r="S21" i="47" s="1"/>
  <c r="S24" i="47" s="1"/>
  <c r="X23" i="30"/>
  <c r="Q107" i="31"/>
  <c r="X107" i="31"/>
  <c r="AC67" i="31"/>
  <c r="D67" i="31"/>
  <c r="D108" i="31" s="1"/>
  <c r="AB107" i="31"/>
  <c r="AB67" i="31"/>
  <c r="C67" i="31"/>
  <c r="C108" i="31" s="1"/>
  <c r="L67" i="31"/>
  <c r="L108" i="31" s="1"/>
  <c r="S67" i="31"/>
  <c r="AO29" i="31"/>
  <c r="U23" i="31"/>
  <c r="U27" i="31" s="1"/>
  <c r="U29" i="31" s="1"/>
  <c r="U35" i="31" s="1"/>
  <c r="U14" i="32" s="1"/>
  <c r="AA107" i="31"/>
  <c r="S107" i="31"/>
  <c r="AB35" i="31"/>
  <c r="Y107" i="31"/>
  <c r="V67" i="31"/>
  <c r="J67" i="31"/>
  <c r="J108" i="31" s="1"/>
  <c r="X35" i="31"/>
  <c r="X36" i="31" s="1"/>
  <c r="AO11" i="31"/>
  <c r="G67" i="31"/>
  <c r="G108" i="31" s="1"/>
  <c r="U67" i="31"/>
  <c r="T67" i="31"/>
  <c r="K67" i="31"/>
  <c r="K108" i="31" s="1"/>
  <c r="AI11" i="32"/>
  <c r="Y29" i="31"/>
  <c r="AN26" i="31"/>
  <c r="AN24" i="31" s="1"/>
  <c r="M67" i="31"/>
  <c r="M108" i="31" s="1"/>
  <c r="P67" i="31"/>
  <c r="P108" i="31" s="1"/>
  <c r="AK14" i="32"/>
  <c r="X67" i="31"/>
  <c r="O67" i="31"/>
  <c r="O108" i="31" s="1"/>
  <c r="H67" i="31"/>
  <c r="H108" i="31" s="1"/>
  <c r="AD107" i="31"/>
  <c r="W67" i="31"/>
  <c r="AD12" i="50"/>
  <c r="AD15" i="50" s="1"/>
  <c r="AL9" i="32"/>
  <c r="AI14" i="32"/>
  <c r="D10" i="32"/>
  <c r="D12" i="32" s="1"/>
  <c r="R12" i="32"/>
  <c r="AL11" i="32"/>
  <c r="AL12" i="32" s="1"/>
  <c r="M10" i="32"/>
  <c r="M12" i="32" s="1"/>
  <c r="O10" i="32"/>
  <c r="O12" i="32" s="1"/>
  <c r="AM10" i="32"/>
  <c r="L10" i="32"/>
  <c r="L12" i="32" s="1"/>
  <c r="AI9" i="32"/>
  <c r="E10" i="32"/>
  <c r="E12" i="32" s="1"/>
  <c r="AK11" i="32"/>
  <c r="AK12" i="32" s="1"/>
  <c r="AD9" i="46"/>
  <c r="BB19" i="46" s="1"/>
  <c r="P9" i="46"/>
  <c r="AL24" i="46"/>
  <c r="AI24" i="46"/>
  <c r="AR25" i="46"/>
  <c r="AR24" i="46"/>
  <c r="D9" i="46"/>
  <c r="AI18" i="46" s="1"/>
  <c r="Y9" i="46"/>
  <c r="AW17" i="46" s="1"/>
  <c r="U9" i="46"/>
  <c r="AS15" i="46" s="1"/>
  <c r="F9" i="46"/>
  <c r="AI25" i="46"/>
  <c r="N9" i="46"/>
  <c r="C9" i="46"/>
  <c r="AR27" i="46"/>
  <c r="AK26" i="46"/>
  <c r="BA12" i="46"/>
  <c r="BB17" i="46"/>
  <c r="I9" i="46"/>
  <c r="H28" i="55"/>
  <c r="H25" i="55"/>
  <c r="W27" i="55"/>
  <c r="R27" i="55"/>
  <c r="M29" i="55"/>
  <c r="R29" i="55"/>
  <c r="R26" i="55"/>
  <c r="W28" i="55"/>
  <c r="AK10" i="49"/>
  <c r="AL10" i="49"/>
  <c r="AI10" i="49"/>
  <c r="AO10" i="49"/>
  <c r="W26" i="55"/>
  <c r="M28" i="55"/>
  <c r="X18" i="47"/>
  <c r="X21" i="47" s="1"/>
  <c r="X24" i="47" s="1"/>
  <c r="V18" i="47"/>
  <c r="V21" i="47" s="1"/>
  <c r="V24" i="47" s="1"/>
  <c r="AN36" i="32"/>
  <c r="AB23" i="30"/>
  <c r="AA23" i="30"/>
  <c r="Z23" i="30"/>
  <c r="Y23" i="30"/>
  <c r="S110" i="52"/>
  <c r="T110" i="52"/>
  <c r="Y108" i="52"/>
  <c r="AB92" i="52"/>
  <c r="AB108" i="52"/>
  <c r="AA12" i="50"/>
  <c r="AA15" i="50" s="1"/>
  <c r="AC12" i="50"/>
  <c r="AC15" i="50" s="1"/>
  <c r="V12" i="50"/>
  <c r="V15" i="50" s="1"/>
  <c r="AB12" i="50"/>
  <c r="AB15" i="50" s="1"/>
  <c r="AJ10" i="49"/>
  <c r="AN10" i="49"/>
  <c r="S14" i="32"/>
  <c r="S36" i="31"/>
  <c r="AK15" i="32"/>
  <c r="Y67" i="31"/>
  <c r="Z35" i="31"/>
  <c r="Z36" i="31" s="1"/>
  <c r="X12" i="50"/>
  <c r="X15" i="50" s="1"/>
  <c r="AD15" i="31"/>
  <c r="AD23" i="31" s="1"/>
  <c r="W107" i="31"/>
  <c r="AC15" i="31"/>
  <c r="AC23" i="31" s="1"/>
  <c r="AC27" i="31" s="1"/>
  <c r="AO18" i="31"/>
  <c r="AN18" i="31"/>
  <c r="AN30" i="31"/>
  <c r="AN29" i="31" s="1"/>
  <c r="AD10" i="31"/>
  <c r="AJ11" i="32"/>
  <c r="AJ12" i="32" s="1"/>
  <c r="V107" i="31"/>
  <c r="V108" i="31" s="1"/>
  <c r="F67" i="31"/>
  <c r="F108" i="31" s="1"/>
  <c r="I67" i="31"/>
  <c r="I108" i="31" s="1"/>
  <c r="T36" i="31"/>
  <c r="W12" i="50"/>
  <c r="W15" i="50" s="1"/>
  <c r="Z12" i="50"/>
  <c r="Z15" i="50" s="1"/>
  <c r="U107" i="31"/>
  <c r="U108" i="31" s="1"/>
  <c r="T107" i="31"/>
  <c r="V10" i="31"/>
  <c r="AI15" i="32"/>
  <c r="N67" i="31"/>
  <c r="N108" i="31" s="1"/>
  <c r="Q67" i="31"/>
  <c r="AO11" i="32"/>
  <c r="K10" i="32"/>
  <c r="Y12" i="50"/>
  <c r="Y15" i="50" s="1"/>
  <c r="Z12" i="32"/>
  <c r="Z8" i="31" s="1"/>
  <c r="Z9" i="31" s="1"/>
  <c r="Z15" i="31" s="1"/>
  <c r="Z23" i="31" s="1"/>
  <c r="Z10" i="52" s="1"/>
  <c r="Z40" i="52" s="1"/>
  <c r="Z66" i="52" s="1"/>
  <c r="Z69" i="52" s="1"/>
  <c r="C10" i="32"/>
  <c r="C12" i="32" s="1"/>
  <c r="AN9" i="32"/>
  <c r="AM44" i="32"/>
  <c r="AM43" i="32" s="1"/>
  <c r="AJ27" i="32"/>
  <c r="AM15" i="32"/>
  <c r="AJ15" i="32"/>
  <c r="AI13" i="32"/>
  <c r="AK43" i="32"/>
  <c r="AJ35" i="32"/>
  <c r="AB28" i="32"/>
  <c r="AB13" i="32" s="1"/>
  <c r="AJ43" i="32"/>
  <c r="AI35" i="32"/>
  <c r="Z28" i="32"/>
  <c r="Z13" i="32" s="1"/>
  <c r="AI43" i="32"/>
  <c r="Y28" i="32"/>
  <c r="Y13" i="32" s="1"/>
  <c r="AM11" i="32"/>
  <c r="AM12" i="32" s="1"/>
  <c r="P10" i="32"/>
  <c r="AO44" i="32"/>
  <c r="X28" i="32"/>
  <c r="X13" i="32" s="1"/>
  <c r="AO15" i="32"/>
  <c r="AL15" i="32"/>
  <c r="G10" i="32"/>
  <c r="AK27" i="32"/>
  <c r="X12" i="32"/>
  <c r="AJ14" i="32"/>
  <c r="AN44" i="32"/>
  <c r="N10" i="32"/>
  <c r="N12" i="32" s="1"/>
  <c r="F10" i="32"/>
  <c r="F12" i="32" s="1"/>
  <c r="BA15" i="46"/>
  <c r="AL26" i="46"/>
  <c r="M9" i="46"/>
  <c r="BA11" i="46"/>
  <c r="BA24" i="46"/>
  <c r="AN26" i="46"/>
  <c r="BA14" i="46"/>
  <c r="AX26" i="46"/>
  <c r="AX24" i="46" s="1"/>
  <c r="BA18" i="46"/>
  <c r="S9" i="46"/>
  <c r="AQ18" i="46" s="1"/>
  <c r="AI26" i="46"/>
  <c r="AL27" i="46"/>
  <c r="BA19" i="46"/>
  <c r="BB27" i="46"/>
  <c r="BA17" i="46"/>
  <c r="E9" i="46"/>
  <c r="BB26" i="46"/>
  <c r="BA13" i="46"/>
  <c r="BA9" i="46" s="1"/>
  <c r="BA16" i="46"/>
  <c r="Q9" i="46"/>
  <c r="P41" i="47"/>
  <c r="P36" i="47"/>
  <c r="M41" i="47"/>
  <c r="O41" i="47"/>
  <c r="AI8" i="47"/>
  <c r="AI12" i="47"/>
  <c r="X41" i="47"/>
  <c r="W42" i="47"/>
  <c r="L18" i="47"/>
  <c r="L21" i="47" s="1"/>
  <c r="L24" i="47" s="1"/>
  <c r="U41" i="47"/>
  <c r="AJ12" i="47"/>
  <c r="L41" i="47"/>
  <c r="AI44" i="47"/>
  <c r="O36" i="47"/>
  <c r="U42" i="47"/>
  <c r="AG8" i="47"/>
  <c r="H27" i="55"/>
  <c r="W29" i="55"/>
  <c r="M26" i="55"/>
  <c r="M25" i="55"/>
  <c r="W25" i="55"/>
  <c r="AG36" i="47"/>
  <c r="V42" i="47"/>
  <c r="V41" i="47"/>
  <c r="V36" i="47"/>
  <c r="N42" i="47"/>
  <c r="N41" i="47"/>
  <c r="N36" i="47"/>
  <c r="S36" i="47"/>
  <c r="K36" i="47"/>
  <c r="K41" i="47"/>
  <c r="K42" i="47"/>
  <c r="Z36" i="47"/>
  <c r="Z41" i="47"/>
  <c r="R36" i="47"/>
  <c r="R41" i="47"/>
  <c r="R42" i="47"/>
  <c r="V9" i="46"/>
  <c r="AT10" i="46" s="1"/>
  <c r="R14" i="32"/>
  <c r="AL14" i="32" s="1"/>
  <c r="S9" i="32"/>
  <c r="AM9" i="32" s="1"/>
  <c r="AM19" i="32"/>
  <c r="AM27" i="32" s="1"/>
  <c r="AG44" i="47"/>
  <c r="AG41" i="47" s="1"/>
  <c r="N12" i="47"/>
  <c r="N18" i="47" s="1"/>
  <c r="N21" i="47" s="1"/>
  <c r="N24" i="47" s="1"/>
  <c r="AG17" i="47"/>
  <c r="AI27" i="46"/>
  <c r="AS16" i="46"/>
  <c r="AS17" i="46"/>
  <c r="AS14" i="46"/>
  <c r="AS19" i="46"/>
  <c r="K9" i="46"/>
  <c r="G9" i="46"/>
  <c r="AJ13" i="46" s="1"/>
  <c r="AN12" i="31"/>
  <c r="AN11" i="31" s="1"/>
  <c r="Y11" i="31"/>
  <c r="L42" i="47"/>
  <c r="U18" i="47"/>
  <c r="U21" i="47" s="1"/>
  <c r="U24" i="47" s="1"/>
  <c r="U36" i="47"/>
  <c r="M36" i="47"/>
  <c r="X9" i="46"/>
  <c r="AN10" i="46" s="1"/>
  <c r="Y42" i="47"/>
  <c r="Q42" i="47"/>
  <c r="AS26" i="46"/>
  <c r="AS24" i="46"/>
  <c r="AS25" i="46"/>
  <c r="AS27" i="46"/>
  <c r="AK24" i="46"/>
  <c r="AK25" i="46"/>
  <c r="AK27" i="46"/>
  <c r="AU13" i="46"/>
  <c r="AU15" i="46"/>
  <c r="AU18" i="46"/>
  <c r="AU10" i="46"/>
  <c r="AU11" i="46"/>
  <c r="AU16" i="46"/>
  <c r="AU17" i="46"/>
  <c r="AU14" i="46"/>
  <c r="AU19" i="46"/>
  <c r="O9" i="46"/>
  <c r="AL13" i="46" s="1"/>
  <c r="X42" i="47"/>
  <c r="P42" i="47"/>
  <c r="Y41" i="47"/>
  <c r="Q41" i="47"/>
  <c r="AG12" i="47"/>
  <c r="BB15" i="46"/>
  <c r="BB18" i="46"/>
  <c r="BB11" i="46"/>
  <c r="BB16" i="46"/>
  <c r="BB10" i="46"/>
  <c r="BB14" i="46"/>
  <c r="BB13" i="46"/>
  <c r="BB12" i="46"/>
  <c r="Z9" i="46"/>
  <c r="W23" i="30"/>
  <c r="W19" i="30"/>
  <c r="AA35" i="31"/>
  <c r="V35" i="31"/>
  <c r="V29" i="31"/>
  <c r="T42" i="47"/>
  <c r="AO25" i="46"/>
  <c r="AY26" i="46"/>
  <c r="AO26" i="46"/>
  <c r="AY27" i="46"/>
  <c r="AO27" i="46"/>
  <c r="AQ26" i="46"/>
  <c r="AM24" i="46"/>
  <c r="AM25" i="46"/>
  <c r="AM27" i="46"/>
  <c r="AQ24" i="46"/>
  <c r="AQ25" i="46"/>
  <c r="AQ27" i="46"/>
  <c r="AJ24" i="46"/>
  <c r="AJ25" i="46"/>
  <c r="AJ27" i="46"/>
  <c r="AJ26" i="46"/>
  <c r="AW13" i="46"/>
  <c r="AW15" i="46"/>
  <c r="AW18" i="46"/>
  <c r="AW10" i="46"/>
  <c r="AW11" i="46"/>
  <c r="AO36" i="32"/>
  <c r="S35" i="32"/>
  <c r="S12" i="32" s="1"/>
  <c r="AM36" i="32"/>
  <c r="AM35" i="32" s="1"/>
  <c r="AA9" i="32"/>
  <c r="AA28" i="32"/>
  <c r="AA13" i="32" s="1"/>
  <c r="AO19" i="32"/>
  <c r="M18" i="47"/>
  <c r="M21" i="47" s="1"/>
  <c r="M24" i="47" s="1"/>
  <c r="W18" i="47"/>
  <c r="AJ8" i="47"/>
  <c r="O18" i="47"/>
  <c r="AH8" i="47"/>
  <c r="AZ18" i="46"/>
  <c r="AZ11" i="46"/>
  <c r="AZ16" i="46"/>
  <c r="AZ14" i="46"/>
  <c r="AZ19" i="46"/>
  <c r="AZ12" i="46"/>
  <c r="AZ10" i="46"/>
  <c r="AZ13" i="46"/>
  <c r="AZ15" i="46"/>
  <c r="T9" i="46"/>
  <c r="AR10" i="46" s="1"/>
  <c r="AN15" i="32"/>
  <c r="AN33" i="31"/>
  <c r="L8" i="51"/>
  <c r="L16" i="51" s="1"/>
  <c r="AN27" i="46"/>
  <c r="AA9" i="46"/>
  <c r="AO17" i="46" s="1"/>
  <c r="Y18" i="31"/>
  <c r="AO17" i="31"/>
  <c r="AO16" i="31" s="1"/>
  <c r="AU26" i="46"/>
  <c r="AN25" i="46"/>
  <c r="AC19" i="30"/>
  <c r="AU25" i="46"/>
  <c r="AD37" i="30" l="1"/>
  <c r="P8" i="51"/>
  <c r="P16" i="51" s="1"/>
  <c r="AB36" i="31"/>
  <c r="AC36" i="31"/>
  <c r="AF37" i="30"/>
  <c r="Q8" i="51"/>
  <c r="Q16" i="51" s="1"/>
  <c r="Q108" i="31"/>
  <c r="AB10" i="32"/>
  <c r="AB12" i="32" s="1"/>
  <c r="AB8" i="31" s="1"/>
  <c r="AB9" i="31" s="1"/>
  <c r="AO9" i="32"/>
  <c r="AA10" i="32"/>
  <c r="AA12" i="32" s="1"/>
  <c r="AO13" i="32"/>
  <c r="AH42" i="47"/>
  <c r="AJ42" i="47"/>
  <c r="AJ41" i="47"/>
  <c r="AI42" i="47"/>
  <c r="AI36" i="47"/>
  <c r="Y35" i="31"/>
  <c r="AE37" i="30"/>
  <c r="S108" i="31"/>
  <c r="AI12" i="32"/>
  <c r="T108" i="31"/>
  <c r="U36" i="31"/>
  <c r="AN35" i="31"/>
  <c r="AN36" i="31" s="1"/>
  <c r="AN13" i="32"/>
  <c r="AL10" i="32"/>
  <c r="P12" i="32"/>
  <c r="AK10" i="32"/>
  <c r="K12" i="32"/>
  <c r="AA8" i="31"/>
  <c r="AN8" i="31"/>
  <c r="AN9" i="31" s="1"/>
  <c r="AN10" i="31" s="1"/>
  <c r="Z10" i="31"/>
  <c r="AN12" i="32"/>
  <c r="AJ10" i="32"/>
  <c r="G12" i="32"/>
  <c r="AS10" i="46"/>
  <c r="AW19" i="46"/>
  <c r="AI10" i="46"/>
  <c r="AI17" i="46"/>
  <c r="AW12" i="46"/>
  <c r="AI15" i="46"/>
  <c r="AS18" i="46"/>
  <c r="AW14" i="46"/>
  <c r="AK13" i="46"/>
  <c r="AI11" i="46"/>
  <c r="AQ19" i="46"/>
  <c r="AN13" i="46"/>
  <c r="AS11" i="46"/>
  <c r="AI13" i="46"/>
  <c r="AI16" i="46"/>
  <c r="AV10" i="46"/>
  <c r="AY24" i="46"/>
  <c r="AS13" i="46"/>
  <c r="AW16" i="46"/>
  <c r="AS12" i="46"/>
  <c r="AC10" i="52"/>
  <c r="AC40" i="52" s="1"/>
  <c r="AC66" i="52" s="1"/>
  <c r="AC69" i="52" s="1"/>
  <c r="Z27" i="31"/>
  <c r="Y15" i="31"/>
  <c r="Y23" i="31" s="1"/>
  <c r="AC37" i="30"/>
  <c r="N8" i="51"/>
  <c r="N16" i="51" s="1"/>
  <c r="AO28" i="32"/>
  <c r="AN28" i="32"/>
  <c r="AN10" i="32"/>
  <c r="AI10" i="32"/>
  <c r="AO24" i="46"/>
  <c r="AQ17" i="46"/>
  <c r="AQ14" i="46"/>
  <c r="AM15" i="46"/>
  <c r="AM17" i="46"/>
  <c r="AQ16" i="46"/>
  <c r="AQ11" i="46"/>
  <c r="AQ10" i="46"/>
  <c r="AZ9" i="46"/>
  <c r="BB24" i="46"/>
  <c r="AI12" i="46"/>
  <c r="AI19" i="46"/>
  <c r="AQ15" i="46"/>
  <c r="AI14" i="46"/>
  <c r="AM18" i="46"/>
  <c r="AN16" i="46"/>
  <c r="AQ13" i="46"/>
  <c r="AQ12" i="46"/>
  <c r="AG21" i="47"/>
  <c r="AG18" i="47"/>
  <c r="AY17" i="46"/>
  <c r="AO35" i="31"/>
  <c r="AO36" i="31" s="1"/>
  <c r="AN18" i="46"/>
  <c r="AN12" i="46"/>
  <c r="AT15" i="46"/>
  <c r="AT18" i="46"/>
  <c r="AT11" i="46"/>
  <c r="AT16" i="46"/>
  <c r="AT17" i="46"/>
  <c r="AT14" i="46"/>
  <c r="AT12" i="46"/>
  <c r="AT19" i="46"/>
  <c r="AT13" i="46"/>
  <c r="AY11" i="46"/>
  <c r="AY16" i="46"/>
  <c r="AO10" i="46"/>
  <c r="AY10" i="46"/>
  <c r="AO14" i="46"/>
  <c r="AO19" i="46"/>
  <c r="AO13" i="46"/>
  <c r="AY13" i="46"/>
  <c r="AO12" i="46"/>
  <c r="AY14" i="46"/>
  <c r="AY19" i="46"/>
  <c r="AY12" i="46"/>
  <c r="AO15" i="46"/>
  <c r="AY15" i="46"/>
  <c r="AO18" i="46"/>
  <c r="AO11" i="46"/>
  <c r="AY18" i="46"/>
  <c r="AO16" i="46"/>
  <c r="AN14" i="32"/>
  <c r="Z37" i="30"/>
  <c r="AO14" i="32"/>
  <c r="AA36" i="31"/>
  <c r="O8" i="51"/>
  <c r="O16" i="51" s="1"/>
  <c r="BB9" i="46"/>
  <c r="AN19" i="46"/>
  <c r="AM13" i="46"/>
  <c r="AM12" i="46"/>
  <c r="AL15" i="46"/>
  <c r="AL18" i="46"/>
  <c r="AL11" i="46"/>
  <c r="AL16" i="46"/>
  <c r="AL10" i="46"/>
  <c r="AL14" i="46"/>
  <c r="AL19" i="46"/>
  <c r="AL17" i="46"/>
  <c r="AL12" i="46"/>
  <c r="AN14" i="46"/>
  <c r="AM10" i="46"/>
  <c r="Y36" i="31"/>
  <c r="M8" i="51"/>
  <c r="M16" i="51" s="1"/>
  <c r="AN24" i="46"/>
  <c r="AK15" i="46"/>
  <c r="AK18" i="46"/>
  <c r="AK11" i="46"/>
  <c r="AK16" i="46"/>
  <c r="AK10" i="46"/>
  <c r="AK14" i="46"/>
  <c r="AK19" i="46"/>
  <c r="AK12" i="46"/>
  <c r="AK17" i="46"/>
  <c r="AI18" i="47"/>
  <c r="AH18" i="47"/>
  <c r="O21" i="47"/>
  <c r="O24" i="47" s="1"/>
  <c r="AJ18" i="47"/>
  <c r="W21" i="47"/>
  <c r="W24" i="47" s="1"/>
  <c r="AX10" i="46"/>
  <c r="AV12" i="46"/>
  <c r="AV13" i="46"/>
  <c r="AV15" i="46"/>
  <c r="AV18" i="46"/>
  <c r="AV11" i="46"/>
  <c r="AV16" i="46"/>
  <c r="AV17" i="46"/>
  <c r="AV14" i="46"/>
  <c r="AV19" i="46"/>
  <c r="AJ18" i="46"/>
  <c r="AJ11" i="46"/>
  <c r="AJ16" i="46"/>
  <c r="AJ10" i="46"/>
  <c r="AJ14" i="46"/>
  <c r="AJ19" i="46"/>
  <c r="AJ12" i="46"/>
  <c r="AJ17" i="46"/>
  <c r="AJ15" i="46"/>
  <c r="AM16" i="46"/>
  <c r="AI24" i="47"/>
  <c r="AI21" i="47"/>
  <c r="AG42" i="47"/>
  <c r="AX14" i="46"/>
  <c r="AX19" i="46"/>
  <c r="AX12" i="46"/>
  <c r="AX15" i="46"/>
  <c r="AX13" i="46"/>
  <c r="AX18" i="46"/>
  <c r="AX11" i="46"/>
  <c r="AX16" i="46"/>
  <c r="AX17" i="46"/>
  <c r="AN17" i="46"/>
  <c r="AN9" i="46" s="1"/>
  <c r="AR18" i="46"/>
  <c r="AR11" i="46"/>
  <c r="AR16" i="46"/>
  <c r="AR17" i="46"/>
  <c r="AR14" i="46"/>
  <c r="AR19" i="46"/>
  <c r="AR12" i="46"/>
  <c r="AR13" i="46"/>
  <c r="AR15" i="46"/>
  <c r="AM14" i="46"/>
  <c r="AM19" i="46"/>
  <c r="V14" i="32"/>
  <c r="X37" i="30" s="1"/>
  <c r="V36" i="31"/>
  <c r="AD27" i="31"/>
  <c r="AD10" i="52"/>
  <c r="AD40" i="52" s="1"/>
  <c r="AD66" i="52" s="1"/>
  <c r="AD69" i="52" s="1"/>
  <c r="AN11" i="46"/>
  <c r="AN15" i="46"/>
  <c r="AG24" i="47"/>
  <c r="AM11" i="46"/>
  <c r="AO10" i="32" l="1"/>
  <c r="AO12" i="32"/>
  <c r="AB10" i="31"/>
  <c r="AB15" i="31"/>
  <c r="AB23" i="31" s="1"/>
  <c r="AB10" i="52" s="1"/>
  <c r="AB40" i="52" s="1"/>
  <c r="AB66" i="52" s="1"/>
  <c r="AB69" i="52" s="1"/>
  <c r="AN15" i="31"/>
  <c r="AN23" i="31" s="1"/>
  <c r="AN27" i="31" s="1"/>
  <c r="AA9" i="31"/>
  <c r="AO8" i="31"/>
  <c r="Y10" i="52"/>
  <c r="Y40" i="52" s="1"/>
  <c r="Y66" i="52" s="1"/>
  <c r="Y69" i="52" s="1"/>
  <c r="Y27" i="31"/>
  <c r="AA37" i="30"/>
  <c r="AO9" i="46"/>
  <c r="AH21" i="47"/>
  <c r="AH24" i="47"/>
  <c r="AY9" i="46"/>
  <c r="AX9" i="46"/>
  <c r="AJ21" i="47"/>
  <c r="AJ24" i="47"/>
  <c r="AB27" i="31" l="1"/>
  <c r="AA15" i="31"/>
  <c r="AA23" i="31" s="1"/>
  <c r="AA10" i="31"/>
  <c r="AO9" i="31"/>
  <c r="AA10" i="52" l="1"/>
  <c r="AA40" i="52" s="1"/>
  <c r="AA66" i="52" s="1"/>
  <c r="AA69" i="52" s="1"/>
  <c r="AA27" i="31"/>
  <c r="AO10" i="31"/>
  <c r="AO15" i="31"/>
  <c r="AO23" i="31" s="1"/>
  <c r="AO27" i="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<sst xmlns="http://schemas.openxmlformats.org/spreadsheetml/2006/main" count="1385" uniqueCount="546">
  <si>
    <t>Menu</t>
  </si>
  <si>
    <t>1.  Premissas</t>
  </si>
  <si>
    <t>2.  Processo Produtivo</t>
  </si>
  <si>
    <t>Premissas da Planilha de Fundamentos</t>
  </si>
  <si>
    <r>
      <t xml:space="preserve">  </t>
    </r>
    <r>
      <rPr>
        <b/>
        <sz val="10"/>
        <color indexed="63"/>
        <rFont val="Votorantim Sans Black"/>
      </rPr>
      <t>Dados a partir do 1T18</t>
    </r>
  </si>
  <si>
    <r>
      <t xml:space="preserve">  Atualização: </t>
    </r>
    <r>
      <rPr>
        <sz val="12"/>
        <color indexed="63"/>
        <rFont val="Votorantim Sans Black"/>
      </rPr>
      <t>trimestral</t>
    </r>
  </si>
  <si>
    <r>
      <t xml:space="preserve">  Padrão contábil:</t>
    </r>
    <r>
      <rPr>
        <sz val="12"/>
        <color indexed="63"/>
        <rFont val="Votorantim Sans Black"/>
      </rPr>
      <t xml:space="preserve"> IFRS</t>
    </r>
  </si>
  <si>
    <r>
      <t xml:space="preserve">  Unidades de volume:</t>
    </r>
    <r>
      <rPr>
        <sz val="12"/>
        <color indexed="63"/>
        <rFont val="Votorantim Sans Black"/>
      </rPr>
      <t xml:space="preserve"> Toneladas </t>
    </r>
  </si>
  <si>
    <r>
      <t xml:space="preserve">  Moeda funcional: </t>
    </r>
    <r>
      <rPr>
        <sz val="12"/>
        <color indexed="63"/>
        <rFont val="Votorantim Sans Black"/>
      </rPr>
      <t>R$</t>
    </r>
  </si>
  <si>
    <t>Operações por Segmento:</t>
  </si>
  <si>
    <t xml:space="preserve">        </t>
  </si>
  <si>
    <t>Diagrama da Cadeia Produtiva:</t>
  </si>
  <si>
    <r>
      <t>1.</t>
    </r>
    <r>
      <rPr>
        <b/>
        <sz val="7"/>
        <color indexed="18"/>
        <rFont val="Times New Roman"/>
        <family val="1"/>
      </rPr>
      <t xml:space="preserve">     </t>
    </r>
    <r>
      <rPr>
        <b/>
        <sz val="10"/>
        <color indexed="18"/>
        <rFont val="Tahoma"/>
        <family val="2"/>
      </rPr>
      <t>Mineração</t>
    </r>
  </si>
  <si>
    <t xml:space="preserve">A primeira etapa do processo é a extração da bauxita. Segundo o anuário da Associação Brasileira do Alumínio (“ABAL”) de 2019, em termos de reservas totais de bauxita, o Brasil é quarto maior player mundial, com reservas totais de 2.600 milhões de toneladas métricas, o que representa aproximadamente 8,7% das reservas globais. O maior player é a Guiné com aproximadamente 24,7% (7.400 milhões de toneladas), seguida da Austrália com aproximadamente 20% (6.000 milhões de toneladas), Vietnã com 12,3% (3.700 milhões de toneladas). </t>
  </si>
  <si>
    <r>
      <t>2.</t>
    </r>
    <r>
      <rPr>
        <b/>
        <sz val="7"/>
        <color indexed="18"/>
        <rFont val="Times New Roman"/>
        <family val="1"/>
      </rPr>
      <t xml:space="preserve">     </t>
    </r>
    <r>
      <rPr>
        <b/>
        <sz val="10"/>
        <color indexed="18"/>
        <rFont val="Tahoma"/>
        <family val="2"/>
      </rPr>
      <t>Refinaria de Alumina</t>
    </r>
  </si>
  <si>
    <t>Na refinaria, a primeira etapa de produção é a extração do óxido de alumínio (alumina) da bauxita. Isso ocorre por meio de reações químicas com soluções alcalinas associadas a altas pressões e temperaturas, percorrendo assim as etapas de decantação, filtragem, precipitação e calcinação para se transformar em alumina, conforme o processo Bayer. 
Esse processo requer uso de energia, pois é necessário atingir altas temperaturas tanto na mistura inicial da bauxita com soda caustica, até o fim do processo.</t>
  </si>
  <si>
    <r>
      <t>3.</t>
    </r>
    <r>
      <rPr>
        <b/>
        <sz val="7"/>
        <color indexed="18"/>
        <rFont val="Times New Roman"/>
        <family val="1"/>
      </rPr>
      <t xml:space="preserve">     </t>
    </r>
    <r>
      <rPr>
        <b/>
        <sz val="10"/>
        <color indexed="18"/>
        <rFont val="Tahoma"/>
        <family val="2"/>
      </rPr>
      <t>Salas Fornos ("</t>
    </r>
    <r>
      <rPr>
        <b/>
        <i/>
        <sz val="10"/>
        <color indexed="18"/>
        <rFont val="Tahoma"/>
        <family val="2"/>
      </rPr>
      <t>Smelting</t>
    </r>
    <r>
      <rPr>
        <b/>
        <sz val="10"/>
        <color indexed="18"/>
        <rFont val="Tahoma"/>
        <family val="2"/>
      </rPr>
      <t>")</t>
    </r>
  </si>
  <si>
    <t>A alumina é levada aos fornos, onde se adiciona pasta anódica, composta por piche e coque, e é transformada em alumínio líquido, que posteriormente é transportado até as áreas da fundição.
Nesta etapa, a energia é utilizada novamente para gerar grandes temperaturas nos fornos, contudo, o processo é diferente. No processo de Hall-Héroult, o alumínio metálico é produzido, em escala comercial, por meio de eletrólise da alumina obtida pelo processo de Bayer. O processo eletroquímico utilizado na obtenção desse metal consiste na eletrólise da alumina dissolvida em criolita fundida a cerca de 1.010°C, com baixas concentrações de aditivos não decompostos. Por isso, esta é a fase que consome grandes quantidades de energia.</t>
  </si>
  <si>
    <r>
      <t>4.</t>
    </r>
    <r>
      <rPr>
        <b/>
        <sz val="7"/>
        <color indexed="18"/>
        <rFont val="Times New Roman"/>
        <family val="1"/>
      </rPr>
      <t xml:space="preserve">     </t>
    </r>
    <r>
      <rPr>
        <b/>
        <sz val="10"/>
        <color indexed="18"/>
        <rFont val="Tahoma"/>
        <family val="2"/>
      </rPr>
      <t>Fundição</t>
    </r>
  </si>
  <si>
    <t xml:space="preserve">O alumínio líquido abastece os fornos da fundição, nos quais são também adicionadas anteligas e sucatas. Em seguida, o produto é moldado em formato de lingotes, tarugos, placas, rolos caster ou vergalhões. O processo requer altas temperaturas nos fornos e, por consequência o consumo de energia também é relevante. Assim, o alumínio primário é originado nas fábricas. </t>
  </si>
  <si>
    <r>
      <t>5.</t>
    </r>
    <r>
      <rPr>
        <b/>
        <sz val="7"/>
        <color indexed="18"/>
        <rFont val="Times New Roman"/>
        <family val="1"/>
      </rPr>
      <t xml:space="preserve">     </t>
    </r>
    <r>
      <rPr>
        <b/>
        <sz val="10"/>
        <color indexed="18"/>
        <rFont val="Tahoma"/>
        <family val="2"/>
      </rPr>
      <t>Transformação Plástica</t>
    </r>
  </si>
  <si>
    <t>Nessa etapa, para aumentar o valor agregado dos produtos, o alumínio primário é modificado para alumínio transformado por meio de laminação e extrusão, resultando em produtos como folhas, chapas, extrudados, entre outros.</t>
  </si>
  <si>
    <r>
      <t>6.</t>
    </r>
    <r>
      <rPr>
        <b/>
        <sz val="7"/>
        <color indexed="18"/>
        <rFont val="Times New Roman"/>
        <family val="1"/>
      </rPr>
      <t xml:space="preserve">     </t>
    </r>
    <r>
      <rPr>
        <b/>
        <sz val="10"/>
        <color indexed="18"/>
        <rFont val="Tahoma"/>
        <family val="2"/>
      </rPr>
      <t>Reciclagem</t>
    </r>
  </si>
  <si>
    <t xml:space="preserve">Outro fator importante na cadeia do alumínio é a reciclagem, que está diretamente relacionada à energia gasta para a produção do alumínio a partir de bauxita. Por meio da reciclagem é possível economizar até 95% da energia necessária para produzir o alumínio primário, quando comparada com a energia utilizada para produção desde a bauxita. O metal coletado é limpo, triturado e derretido em fornos enquanto é misturado com novo alumínio. Dessa forma, economiza-se a energia utilizada nos processos de mineração, refino e smelting. Somente é necessária que se obtenha a energia para a nova fundição do material reciclado que será vendido como alumínio primário ou transformado. Além disso, como consequência do menor consumo de energia, as emissões de gás carbônico na produção de alumínio reciclado estão abaixo de 1 tonelada de gás carbônico por tonelada (“tCO2/t”) de alumínio, sendo que a média global de emissões de gás carbônico para produção de alumínio primário é de 12 tCO2/t de alumínio. </t>
  </si>
  <si>
    <t xml:space="preserve">Para conhecer um pouco mais sobre o processo de produção assista ao vídeo:  </t>
  </si>
  <si>
    <t>Acesse aqui</t>
  </si>
  <si>
    <t>Geração de energia</t>
  </si>
  <si>
    <t>UF</t>
  </si>
  <si>
    <t>Participação CBA</t>
  </si>
  <si>
    <t>Capacidade Total (MW)</t>
  </si>
  <si>
    <t>Garantia física (MWm)³</t>
  </si>
  <si>
    <t>Operação</t>
  </si>
  <si>
    <t>Complexo/ Consórcio</t>
  </si>
  <si>
    <t>Estrutura Societária</t>
  </si>
  <si>
    <t>Vigência da Concessão</t>
  </si>
  <si>
    <t>UHE Alecrim </t>
  </si>
  <si>
    <t>SP</t>
  </si>
  <si>
    <t>Direto à fábrica</t>
  </si>
  <si>
    <t>Juquiá</t>
  </si>
  <si>
    <t>CBA</t>
  </si>
  <si>
    <t>UHE Barra </t>
  </si>
  <si>
    <t>UHE Fumaça </t>
  </si>
  <si>
    <t>UHE França </t>
  </si>
  <si>
    <t>UHE Porto Raso </t>
  </si>
  <si>
    <t>UHE Serraria </t>
  </si>
  <si>
    <t>UHE Salto do Iporanga </t>
  </si>
  <si>
    <t>UHE Itupararanga </t>
  </si>
  <si>
    <t>Sorocaba</t>
  </si>
  <si>
    <t>CGH Santa Helena </t>
  </si>
  <si>
    <t>CGH Votorantim </t>
  </si>
  <si>
    <t>UHE Sobragi </t>
  </si>
  <si>
    <t>MG</t>
  </si>
  <si>
    <t>SIN</t>
  </si>
  <si>
    <t>Juiz de Fora</t>
  </si>
  <si>
    <t>UHE Piraju </t>
  </si>
  <si>
    <t>Parapanema</t>
  </si>
  <si>
    <t>UHE Ourinhos </t>
  </si>
  <si>
    <t>UHE Rio Verdinho </t>
  </si>
  <si>
    <t>GO</t>
  </si>
  <si>
    <t>Rio Verdinho</t>
  </si>
  <si>
    <t>UHE Salto Pilão </t>
  </si>
  <si>
    <t>SC</t>
  </si>
  <si>
    <t>Salto Pilão</t>
  </si>
  <si>
    <t>UHE Canoas I </t>
  </si>
  <si>
    <t>Canoas</t>
  </si>
  <si>
    <t>UHE Canoas II </t>
  </si>
  <si>
    <t>UHE Machadinho </t>
  </si>
  <si>
    <t>Machadinho</t>
  </si>
  <si>
    <t>UHE Campos Novos </t>
  </si>
  <si>
    <t>Enercan</t>
  </si>
  <si>
    <t>CBA Energia</t>
  </si>
  <si>
    <t>UHE Barra Grande </t>
  </si>
  <si>
    <t>RS</t>
  </si>
  <si>
    <t>Baesa</t>
  </si>
  <si>
    <t>Total</t>
  </si>
  <si>
    <t xml:space="preserve">23% das usinas estão interligadas diretamente nas operações em Alumínio: </t>
  </si>
  <si>
    <t>Capacidade total (MW) - Complexo Sorocaba</t>
  </si>
  <si>
    <t>Capacidade total (MW) - Complexo Juquiá</t>
  </si>
  <si>
    <r>
      <t>Nota</t>
    </r>
    <r>
      <rPr>
        <i/>
        <sz val="10"/>
        <color rgb="FF242424"/>
        <rFont val="Votorantim Sans Black"/>
      </rPr>
      <t>: o parque de usinas ainda conta com outras 5 UHEs operadas por consórcios, como: Machadinho, CAN I&amp;II, Salto Pilão, Baesa, Enercan.</t>
    </r>
  </si>
  <si>
    <t>GLOSSÁRIO</t>
  </si>
  <si>
    <t>UHE - Usina Hidrelétrica</t>
  </si>
  <si>
    <t>CGH - Central de Geração Hidrelétrica</t>
  </si>
  <si>
    <t>SIN - Sistema Integrado Nacional</t>
  </si>
  <si>
    <t>Mil toneladas</t>
  </si>
  <si>
    <t>1T18</t>
  </si>
  <si>
    <t>2T18</t>
  </si>
  <si>
    <t>3T18</t>
  </si>
  <si>
    <t>4T18</t>
  </si>
  <si>
    <t>1T19</t>
  </si>
  <si>
    <t>2T19</t>
  </si>
  <si>
    <t>3T19</t>
  </si>
  <si>
    <t>4T19</t>
  </si>
  <si>
    <t>1T20</t>
  </si>
  <si>
    <t>2T20</t>
  </si>
  <si>
    <t>3T20</t>
  </si>
  <si>
    <t>4T20</t>
  </si>
  <si>
    <t>1T21</t>
  </si>
  <si>
    <t>2T21</t>
  </si>
  <si>
    <t>3T21</t>
  </si>
  <si>
    <t>4T21</t>
  </si>
  <si>
    <t>1T22</t>
  </si>
  <si>
    <t>2T22</t>
  </si>
  <si>
    <t>Primários</t>
  </si>
  <si>
    <t>Lingote¹</t>
  </si>
  <si>
    <t>VAP²</t>
  </si>
  <si>
    <t>Transformados</t>
  </si>
  <si>
    <t>Chapas</t>
  </si>
  <si>
    <t xml:space="preserve">Extrudados </t>
  </si>
  <si>
    <t>Folhas</t>
  </si>
  <si>
    <t>Reciclagem</t>
  </si>
  <si>
    <t>Serviços</t>
  </si>
  <si>
    <t>Vendas</t>
  </si>
  <si>
    <t>Outros</t>
  </si>
  <si>
    <t xml:space="preserve">Lingote³ </t>
  </si>
  <si>
    <t>Alumina</t>
  </si>
  <si>
    <t>Diversos</t>
  </si>
  <si>
    <t>¹ Lingote de alumínio e alumínio líquido</t>
  </si>
  <si>
    <t>² Ligas de alumínio, tarugo e vergalhão</t>
  </si>
  <si>
    <t>³ Trading de lingote</t>
  </si>
  <si>
    <t>R$ milhões</t>
  </si>
  <si>
    <t>CURTO PRAZO</t>
  </si>
  <si>
    <t>LONGO PRAZO</t>
  </si>
  <si>
    <t>DÍVIDA BRUTA</t>
  </si>
  <si>
    <t>CAIXA E EQUIVALENTES</t>
  </si>
  <si>
    <t>INSTRUMENTOS FINANCEIROS DERIVATIVOS</t>
  </si>
  <si>
    <t>ARRENDAMENTOS</t>
  </si>
  <si>
    <t>APLIC. FINANCEIRAS</t>
  </si>
  <si>
    <t>DÍVIDA LÍQUIDA</t>
  </si>
  <si>
    <t>DÍVIDA BRUTA POR MOEDA</t>
  </si>
  <si>
    <t>Real</t>
  </si>
  <si>
    <t>Dólar Norte-Americano</t>
  </si>
  <si>
    <t xml:space="preserve">DÍVIDA BRUTA - VENCIMENTO </t>
  </si>
  <si>
    <t>2027 E APÓS</t>
  </si>
  <si>
    <t>ÍNDICE DE ALAVANCAGEM FINANCEIRA            (Dívida Líquida/EBITDA Ajustado)</t>
  </si>
  <si>
    <t>DEMONSTRAÇÃO DE RESULTADO (R$ Milhões)</t>
  </si>
  <si>
    <t>Receita líquida dos produtos vendidos e dos serviços prestados</t>
  </si>
  <si>
    <t>Custo dos produtos vendidos e dos serviços prestados</t>
  </si>
  <si>
    <t>Lucro bruto</t>
  </si>
  <si>
    <t>Margem Bruta</t>
  </si>
  <si>
    <t>Receitas (despesas) operacionais</t>
  </si>
  <si>
    <t xml:space="preserve">Com vendas </t>
  </si>
  <si>
    <t>Gerais e administrativas</t>
  </si>
  <si>
    <t>Outras receitas (despesas) operacionais, líquidas</t>
  </si>
  <si>
    <t>Lucro operacional antes das participações societárias e do resultado financeiro</t>
  </si>
  <si>
    <t>Resultado de participações societárias</t>
  </si>
  <si>
    <t xml:space="preserve">Equivalência patrimonial </t>
  </si>
  <si>
    <t xml:space="preserve">Resultado financeiro líquido </t>
  </si>
  <si>
    <t>Receitas financeiras</t>
  </si>
  <si>
    <t>Despesas financeiras</t>
  </si>
  <si>
    <t>Resultado dos intrumentos financeiros derivativos</t>
  </si>
  <si>
    <t>Variações cambiais, líquidas</t>
  </si>
  <si>
    <t>Lucro (prejuízo) antes do imposto de renda e da contribuição social</t>
  </si>
  <si>
    <t xml:space="preserve">Imposto de renda e contribuição social </t>
  </si>
  <si>
    <t>Correntes</t>
  </si>
  <si>
    <t>Diferidos</t>
  </si>
  <si>
    <t>Lucro (prejuízo) líquido do período</t>
  </si>
  <si>
    <t xml:space="preserve">Depreciação &amp; amortização </t>
  </si>
  <si>
    <t>Itens excepcionais</t>
  </si>
  <si>
    <t>EBITDA Ajustado</t>
  </si>
  <si>
    <t>MARGEM EBITDA ajustada</t>
  </si>
  <si>
    <t>BALANÇO PATRIMONIAL (R$ Milhões)</t>
  </si>
  <si>
    <t>ATIVO CIRCULANTE</t>
  </si>
  <si>
    <t>Caixa e equivalentes de caixa</t>
  </si>
  <si>
    <t>Aplicações financeiras</t>
  </si>
  <si>
    <t xml:space="preserve">Instrumentos financeiros derivativos </t>
  </si>
  <si>
    <t>Contas a receber de clientes</t>
  </si>
  <si>
    <t>Estoques</t>
  </si>
  <si>
    <t>Tributos a recuperar</t>
  </si>
  <si>
    <t>Dividendos a receber</t>
  </si>
  <si>
    <t>Instrumentos financeiros - compromisso firme</t>
  </si>
  <si>
    <t>Outros ativos</t>
  </si>
  <si>
    <t>NÃO CIRCULANTE</t>
  </si>
  <si>
    <t>Realizável a longo prazo</t>
  </si>
  <si>
    <t>Instrumentos financeiros derivativos</t>
  </si>
  <si>
    <t>Imposto de renda e contribuição social diferidos</t>
  </si>
  <si>
    <t xml:space="preserve">Partes relacionadas </t>
  </si>
  <si>
    <t>Depósitos judiciais</t>
  </si>
  <si>
    <t>Investimentos</t>
  </si>
  <si>
    <t>Imobilizado</t>
  </si>
  <si>
    <t>Intangível</t>
  </si>
  <si>
    <t>Direito de uso</t>
  </si>
  <si>
    <t>TOTAL DO ATIVO</t>
  </si>
  <si>
    <t>PASSIVO CIRCULANTE</t>
  </si>
  <si>
    <t>Empréstimos e financiamentos</t>
  </si>
  <si>
    <t>Arrendamentos</t>
  </si>
  <si>
    <t>Risco sacado a pagar</t>
  </si>
  <si>
    <t>Fornecedores</t>
  </si>
  <si>
    <t>Salários e encargos sociais</t>
  </si>
  <si>
    <t>Tributos a recolher</t>
  </si>
  <si>
    <t>Adiantamento de clientes</t>
  </si>
  <si>
    <t>Dividendos a pagar</t>
  </si>
  <si>
    <t>Uso do bem público - UBP</t>
  </si>
  <si>
    <t>Contratos futuros de energia</t>
  </si>
  <si>
    <t>Partes relacionadas</t>
  </si>
  <si>
    <t>Provisões</t>
  </si>
  <si>
    <t>Outros passivos</t>
  </si>
  <si>
    <t xml:space="preserve">Empréstimos e financiamentos </t>
  </si>
  <si>
    <t>PATRIMÔNIO LÍQUIDO</t>
  </si>
  <si>
    <t>Capital social</t>
  </si>
  <si>
    <t>Reserva de Lucros</t>
  </si>
  <si>
    <t>Lucro (prejuízos) acumulados</t>
  </si>
  <si>
    <t>Ajustes de avaliação patrimonial</t>
  </si>
  <si>
    <t>Patrimônio líquido atribuído aos acionistas controladores</t>
  </si>
  <si>
    <t>Participação dos acionistas não controladores</t>
  </si>
  <si>
    <t>TOTAL DO PASSIVO E PATRIMONIO LÍQUIDO</t>
  </si>
  <si>
    <t>Câmbio médio</t>
  </si>
  <si>
    <t>Câmbio final</t>
  </si>
  <si>
    <t>LME Médio (US$)</t>
  </si>
  <si>
    <t xml:space="preserve"> R$ milhões </t>
  </si>
  <si>
    <t>Consolidado</t>
  </si>
  <si>
    <t>Receita Líquida - Sem eliminações</t>
  </si>
  <si>
    <t>(-) Eliminações</t>
  </si>
  <si>
    <t>Receita Líquida</t>
  </si>
  <si>
    <t>Lucro Bruto</t>
  </si>
  <si>
    <t>DEPRECIAÇÃO</t>
  </si>
  <si>
    <t>Alumínio</t>
  </si>
  <si>
    <t>Hedge</t>
  </si>
  <si>
    <t>Lucro (Prejuízo) Bruto</t>
  </si>
  <si>
    <t>Energia</t>
  </si>
  <si>
    <t>Manutenção</t>
  </si>
  <si>
    <t>Depreciação</t>
  </si>
  <si>
    <t>Legenda</t>
  </si>
  <si>
    <t>Depreciação, amortização e exaustão</t>
  </si>
  <si>
    <t>R$/t</t>
  </si>
  <si>
    <t>Alumínio líquido</t>
  </si>
  <si>
    <t>Pasta anódica</t>
  </si>
  <si>
    <t>Energia elétrica</t>
  </si>
  <si>
    <t>Outros custos variáveis</t>
  </si>
  <si>
    <t>Custos fixos</t>
  </si>
  <si>
    <t>Adição de metal</t>
  </si>
  <si>
    <t>Custo de transformação variável</t>
  </si>
  <si>
    <t>Custo de transformação fixo</t>
  </si>
  <si>
    <t>Volume produzido (mil toneladas)</t>
  </si>
  <si>
    <t>Lingote</t>
  </si>
  <si>
    <t>Alumínio Líquido</t>
  </si>
  <si>
    <t>Alumina:</t>
  </si>
  <si>
    <t>Pasta anódica:</t>
  </si>
  <si>
    <t>Piche e coque e demais custos fixos e variáveis</t>
  </si>
  <si>
    <t>Energia Elétrica:</t>
  </si>
  <si>
    <t xml:space="preserve">Custos de energia consumida sobre a operação e geração das usinas </t>
  </si>
  <si>
    <t>Depreciação:</t>
  </si>
  <si>
    <t>Depreciação dos imobilizados e intangíveis relativos às usinas, minerações, alumina e salas fornos</t>
  </si>
  <si>
    <t>Custos Fixos:</t>
  </si>
  <si>
    <t>Despesas com pessoal e despesas gerais de fabricação</t>
  </si>
  <si>
    <t>Outros custos variáveis:</t>
  </si>
  <si>
    <t xml:space="preserve">Despesas com energia elétrica auxiliar e outras matérias-primas </t>
  </si>
  <si>
    <t>Alumínio líquido:</t>
  </si>
  <si>
    <t>Custo do alumínio líquido para produção de 1 tonelada de primários, inferior ao custo da tonelada de alumínio líquido produzido dado que é necessário menos que 1 tonelada de alumínio líquido para produção de 1 tonelada de primários</t>
  </si>
  <si>
    <t>Adição de metal:</t>
  </si>
  <si>
    <t>Sucata advindo da cadeia de produção e metal comprado de terceiros</t>
  </si>
  <si>
    <t>Depreciação dos imobilizados e intangíveis da fase da fundição, além da depreciação proporcional ao alumínio líquido consumido.</t>
  </si>
  <si>
    <t>Custo de Transformação Fixo:</t>
  </si>
  <si>
    <t>Despesas com pessoal, serviços, manutenção e demais custos fixos</t>
  </si>
  <si>
    <t>Custo de Transformação Variável:</t>
  </si>
  <si>
    <t>Despesas de combustível, energia elétrica, fretes, gás, materiais de embalagens, materiais auxiliares e demais custos variáveis</t>
  </si>
  <si>
    <t>Custo do alumínio para produção de 1 tonelada de transformados, inferior ao custo da tonelada de alumínio líquido produzido dado que é necessário menos que 1 tonelada de alumínio líquido para produção de 1 tonelada de transformados</t>
  </si>
  <si>
    <t>Depreciação dos imobilizados e intangíveis da fase da transformação plástica, além da depreciação proporcional ao alumínio líquido consumido na fase do caster e placa.</t>
  </si>
  <si>
    <t>Despesas com pessoal, serviços, material e manutenção e demais custos fixos</t>
  </si>
  <si>
    <t>Custo total do produto vendido de tarugo e do serviço prestado na transformação de sucata de terceiro</t>
  </si>
  <si>
    <t>Custo total do produto vendido de lingote importado</t>
  </si>
  <si>
    <r>
      <t xml:space="preserve">Custo total do </t>
    </r>
    <r>
      <rPr>
        <i/>
        <sz val="11"/>
        <color theme="1"/>
        <rFont val="Votorantim Sans Black"/>
      </rPr>
      <t>trading</t>
    </r>
    <r>
      <rPr>
        <sz val="11"/>
        <color theme="1"/>
        <rFont val="Votorantim Sans Black"/>
      </rPr>
      <t xml:space="preserve"> de alumina (</t>
    </r>
    <r>
      <rPr>
        <i/>
        <sz val="11"/>
        <color theme="1"/>
        <rFont val="Votorantim Sans Black"/>
      </rPr>
      <t xml:space="preserve">take </t>
    </r>
    <r>
      <rPr>
        <sz val="11"/>
        <color theme="1"/>
        <rFont val="Votorantim Sans Black"/>
      </rPr>
      <t>Alunorte) e venda de sucata, borra, óxido, hidrato</t>
    </r>
  </si>
  <si>
    <t>CAPEX</t>
  </si>
  <si>
    <t>Expansão &amp; Modernização</t>
  </si>
  <si>
    <t>Reforma de fornos</t>
  </si>
  <si>
    <t>TOTAL</t>
  </si>
  <si>
    <t>Ciclo Financeiro</t>
  </si>
  <si>
    <t>Clientes</t>
  </si>
  <si>
    <t>Risco Sacado</t>
  </si>
  <si>
    <t>Número de dias do Trimestre</t>
  </si>
  <si>
    <t>Dias de Capital de Giro</t>
  </si>
  <si>
    <t>FCL</t>
  </si>
  <si>
    <t>Capital de giro</t>
  </si>
  <si>
    <t>IR/CS</t>
  </si>
  <si>
    <t>Dividendos pagos</t>
  </si>
  <si>
    <t>Oferta pública de ações</t>
  </si>
  <si>
    <t>FCF</t>
  </si>
  <si>
    <t>(-) Eliminações¹</t>
  </si>
  <si>
    <t>DFC</t>
  </si>
  <si>
    <t>Fluxo de caixa das atividades operacionais</t>
  </si>
  <si>
    <t>Lucro antes do imposto de renda e da contribuição social</t>
  </si>
  <si>
    <t/>
  </si>
  <si>
    <t>Ajustes de itens que não representam alteração de caixa e equivalentes de caixa</t>
  </si>
  <si>
    <t>Juros, variações monetárias e cambiais</t>
  </si>
  <si>
    <t>Equivalência patrimonial</t>
  </si>
  <si>
    <t xml:space="preserve">ACR - Realização do instrumento financeiro - compromisso firme </t>
  </si>
  <si>
    <t xml:space="preserve">ACL - Realização do instrumento financeiro - compromisso firme </t>
  </si>
  <si>
    <t xml:space="preserve">ACL - Reconhecimento do instrumento financeiro - compromisso firme </t>
  </si>
  <si>
    <t xml:space="preserve">ACR - Redução (aumento) do volume do instrumento financeiro - compromisso firme </t>
  </si>
  <si>
    <t>Baixa na venda de ativos</t>
  </si>
  <si>
    <t>Reconhecimento de ganho por compra vantajosa na aquisição de investimentos</t>
  </si>
  <si>
    <t>Constituição (reversão) para desvalorização de ativos (impairment)</t>
  </si>
  <si>
    <t>Ganho líquido com investimento</t>
  </si>
  <si>
    <t>Reconhecimento de crédito da exclusão de ICMS da base de cálculo de PIS/COFINS 
  e reconhecimento do crédito previdenciário</t>
  </si>
  <si>
    <t>Constituição de provisões, líquidas</t>
  </si>
  <si>
    <t>Reconhecimento de crédito da exclusão de ICMS da base de cálculo de PIS/COFINS</t>
  </si>
  <si>
    <t>Repactuação do risco hidrológico</t>
  </si>
  <si>
    <t>Impairment Projeto Rondon</t>
  </si>
  <si>
    <t>Gastos com projetos não ativáveis</t>
  </si>
  <si>
    <t>Decréscimo (acréscimo) em ativos</t>
  </si>
  <si>
    <t>Demais créditos e outros ativos</t>
  </si>
  <si>
    <t>Acréscimo (decréscimo) em passivos</t>
  </si>
  <si>
    <t xml:space="preserve">Tributos a recolher </t>
  </si>
  <si>
    <t>Pagamentos de processos tributários, cíveis e trabalhistas</t>
  </si>
  <si>
    <t>Demais obrigações e outros passivos</t>
  </si>
  <si>
    <t>Caixa proveniente (aplicado) nas atividades operacionais</t>
  </si>
  <si>
    <t>Juros pagos sobre empréstimos, financiamentos, debêntures e uso do bem público - UBP</t>
  </si>
  <si>
    <t>Imposto de renda e contribuição social pagos</t>
  </si>
  <si>
    <t>Caixa líquido proveniente (aplicado) nas atividades operacionais</t>
  </si>
  <si>
    <t>Fluxo de caixa das atividades de investimento</t>
  </si>
  <si>
    <t>Aquisição de imobilizado e intangível</t>
  </si>
  <si>
    <t>Aumento de participação em investidas</t>
  </si>
  <si>
    <t>Redução de capital em investidas</t>
  </si>
  <si>
    <t>Recebimento pela venda de imobilizado e intangível</t>
  </si>
  <si>
    <t>Recebimento pela venda de investimento</t>
  </si>
  <si>
    <t>Aquisição de investimento</t>
  </si>
  <si>
    <t>Ajuste de preço de aquisição de investimento</t>
  </si>
  <si>
    <t>Recebimento pela venda de ativos</t>
  </si>
  <si>
    <t>Dividendos recebidos</t>
  </si>
  <si>
    <t>Dividendos e juros sobre capital próprio recebidos</t>
  </si>
  <si>
    <t>Caixa líquido proveniente (aplicado) nas atividades de investimento</t>
  </si>
  <si>
    <t>Fluxo de caixa das atividades de financiamento</t>
  </si>
  <si>
    <t>Captações de recursos</t>
  </si>
  <si>
    <t>Recebimento por emissão de ações ordinárias - Oferta primária de ações</t>
  </si>
  <si>
    <t>Custo na emissão de ações</t>
  </si>
  <si>
    <t xml:space="preserve">Redução de capital </t>
  </si>
  <si>
    <t>Parcelas pagas de arrendamentos</t>
  </si>
  <si>
    <t>Amortização de empréstimos, financiamentos e debêntures</t>
  </si>
  <si>
    <t>Liquidação de arrendamentos</t>
  </si>
  <si>
    <t>Caixa líquido proveniente (aplicado) das atividades de financiamento</t>
  </si>
  <si>
    <t>Aumento (Descrécimo) líquido em caixa e equivalentes de caixa</t>
  </si>
  <si>
    <t>Efeito no caixa de empresa adquirida e incluída na consolidação</t>
  </si>
  <si>
    <t>Caixa e equivalentes de caixa no início do periodo</t>
  </si>
  <si>
    <t>Caixa e equivalentes de caixa no fim do periodo</t>
  </si>
  <si>
    <t>Geração Própria</t>
  </si>
  <si>
    <t>Contratos</t>
  </si>
  <si>
    <t>Custo Médio (R$/MWh)</t>
  </si>
  <si>
    <t>3T22</t>
  </si>
  <si>
    <t>Circularidade do Alumínio</t>
  </si>
  <si>
    <t>DCG - Capital de Giro médio</t>
  </si>
  <si>
    <t>Propriedade para investimento</t>
  </si>
  <si>
    <t>Take Alunorte</t>
  </si>
  <si>
    <t>Valor justo - Propriedade para investimento</t>
  </si>
  <si>
    <t>4T22</t>
  </si>
  <si>
    <t>Ativo não circulante disponível para venda</t>
  </si>
  <si>
    <t>v</t>
  </si>
  <si>
    <t>Valor justo de ativo disponível para venda</t>
  </si>
  <si>
    <t>Provisão para desvalorização de tributos (impairment)</t>
  </si>
  <si>
    <t>Aquisição de 80% Alux</t>
  </si>
  <si>
    <t>Aquisição remanescente de 20% Alux</t>
  </si>
  <si>
    <t>Venda de investimento São Miguel Paulista</t>
  </si>
  <si>
    <t>Recebimento aumento capital CBA Energia</t>
  </si>
  <si>
    <t>Efeito no caixa de empresa excluída na consolidação</t>
  </si>
  <si>
    <t>Lucro líquido das operações continuadas</t>
  </si>
  <si>
    <t>Lucro Líquido (prejuízo) operação desct.</t>
  </si>
  <si>
    <t>Aquisição de participação de não controaladores Enercan</t>
  </si>
  <si>
    <t>¹ Eliminação das vendas de energia para o negócio de alumínio, também consideradas no CPV acima</t>
  </si>
  <si>
    <t>x</t>
  </si>
  <si>
    <t>1T23</t>
  </si>
  <si>
    <t xml:space="preserve">Imposto de renda e contribuição social diferidos </t>
  </si>
  <si>
    <t>Aumento de capital em investidas</t>
  </si>
  <si>
    <t>Baixa de contratos de arrendamento</t>
  </si>
  <si>
    <t>Energia excedente (MWm)</t>
  </si>
  <si>
    <t>-</t>
  </si>
  <si>
    <t>Mercado Externo</t>
  </si>
  <si>
    <t>Mercado Interno</t>
  </si>
  <si>
    <t>CPV</t>
  </si>
  <si>
    <t>CPV²</t>
  </si>
  <si>
    <t>² Inclui custo da energia comercializada e custo das participações</t>
  </si>
  <si>
    <t>Refinaria</t>
  </si>
  <si>
    <t>Smelter</t>
  </si>
  <si>
    <t>Fundição (Alumínio e Itapissuma)</t>
  </si>
  <si>
    <t>Transformados (Alumínio e Itapissuma)</t>
  </si>
  <si>
    <t>Reciclagem (CBA, Metalex e Alux)</t>
  </si>
  <si>
    <t>Produção</t>
  </si>
  <si>
    <t>%</t>
  </si>
  <si>
    <t>Grau de utilização</t>
  </si>
  <si>
    <t>Compõem matérias-primas de consumo na produção da Alumina e demais custos fixos e variáveis. O cash cost da alumina pode ser dividido entre bauxita (~30%), soda caústica (~20%), gás natural (~15%), custos fixos (~10%) e outros custos variáveis (~25%). O cash cost da bauxita é composto por frete (~40%), outros custos variáveis (~45%) e custos fixos (~15%).</t>
  </si>
  <si>
    <t xml:space="preserve">Balanço Energético </t>
  </si>
  <si>
    <t>Geração Própria (MWm)</t>
  </si>
  <si>
    <t>Contratos (MWm)</t>
  </si>
  <si>
    <t>Total de  Recurso Disponível (MWm)</t>
  </si>
  <si>
    <t>Consumo (MWm)</t>
  </si>
  <si>
    <t>Total das vendas (MWm)</t>
  </si>
  <si>
    <t xml:space="preserve">            -  </t>
  </si>
  <si>
    <t>2T23</t>
  </si>
  <si>
    <t xml:space="preserve">           -  </t>
  </si>
  <si>
    <t xml:space="preserve">          -  </t>
  </si>
  <si>
    <t>Recebimento de operações societárias</t>
  </si>
  <si>
    <t>Passivos relacionados a ativos mantidos para venda</t>
  </si>
  <si>
    <t>PR</t>
  </si>
  <si>
    <t>Usina/Complexo eólico</t>
  </si>
  <si>
    <t>PE/PI</t>
  </si>
  <si>
    <t>Ventos de Santo Anselmo/Ventos de Santo Isidoro</t>
  </si>
  <si>
    <t>Complexos eólicos</t>
  </si>
  <si>
    <t>.</t>
  </si>
  <si>
    <t>3T23</t>
  </si>
  <si>
    <t>4T23</t>
  </si>
  <si>
    <t>Pilar</t>
  </si>
  <si>
    <t>Alavanca</t>
  </si>
  <si>
    <t>Programa</t>
  </si>
  <si>
    <t>Indicador</t>
  </si>
  <si>
    <t>Unidade</t>
  </si>
  <si>
    <t>Periodicidade</t>
  </si>
  <si>
    <t>Valores trimestrais</t>
  </si>
  <si>
    <t>Valor anual</t>
  </si>
  <si>
    <t>Variação 22/23</t>
  </si>
  <si>
    <t>Ambiental</t>
  </si>
  <si>
    <t>Mudanças Climáticas</t>
  </si>
  <si>
    <t>Mitigação e
adaptação climática</t>
  </si>
  <si>
    <t>Anual</t>
  </si>
  <si>
    <t xml:space="preserve"> -</t>
  </si>
  <si>
    <t>Energia
renovável</t>
  </si>
  <si>
    <t>Geração de
energia renovável</t>
  </si>
  <si>
    <t>% de fontes renováveis nos processos produtivos</t>
  </si>
  <si>
    <t>Capacidade instalada de hidroelétricas</t>
  </si>
  <si>
    <t>MWh</t>
  </si>
  <si>
    <t>Trimestral</t>
  </si>
  <si>
    <t>Capacidade Instalada de eólica</t>
  </si>
  <si>
    <t>NA</t>
  </si>
  <si>
    <t>Reciclagem do alumínio</t>
  </si>
  <si>
    <t>Reciclagem de embalagens
cartonadas e flexíveis</t>
  </si>
  <si>
    <t>Volume captado de embalagens cartonadas e flexíveis</t>
  </si>
  <si>
    <t>ton</t>
  </si>
  <si>
    <t>Recursos Naturais</t>
  </si>
  <si>
    <t>Gestão de
recursos hídricos</t>
  </si>
  <si>
    <t>Social</t>
  </si>
  <si>
    <t>Valorização das pessoas</t>
  </si>
  <si>
    <t>Diversidade,
equidade e inclusão</t>
  </si>
  <si>
    <t xml:space="preserve">% de mulheres na liderança (gerentes e acima) </t>
  </si>
  <si>
    <t>% de mulheres na organização</t>
  </si>
  <si>
    <t>Saúde e segurança</t>
  </si>
  <si>
    <t>n°</t>
  </si>
  <si>
    <t>n°/1000 hht</t>
  </si>
  <si>
    <t>Legado social</t>
  </si>
  <si>
    <t>Governança</t>
  </si>
  <si>
    <t>Suprimentos Sustentável</t>
  </si>
  <si>
    <t>% de fornecedores avaliados em critérios ESG</t>
  </si>
  <si>
    <t>R$</t>
  </si>
  <si>
    <t>Soluções Sustentáveis para Clientes</t>
  </si>
  <si>
    <t>N° de clientes com utilização do Alennium</t>
  </si>
  <si>
    <t>Ética e Transparência</t>
  </si>
  <si>
    <t>ESG ownership</t>
  </si>
  <si>
    <t>% de unidades elegíveis certificadas na ASI</t>
  </si>
  <si>
    <t>% de captações de recursos e investimentos atreladas a ESG</t>
  </si>
  <si>
    <t>¹ Estão sendo consideradas as emissões de GEE do Escopo 1 e do Escopo 2 da cadeia (Mineração, Alumina, Salas Fornos, Fundição e Áreas de Apoio) e Escopo 3 relativo a compra de lingote da Metalex e Alux. É considerada a produção das áreas de fundição da Fábrica em Alumínio (SP), Metalex (SP) e Alux (SP).</t>
  </si>
  <si>
    <r>
      <t>tCO</t>
    </r>
    <r>
      <rPr>
        <vertAlign val="subscript"/>
        <sz val="11"/>
        <color theme="1"/>
        <rFont val="Votorantim Sans Black"/>
      </rPr>
      <t>2</t>
    </r>
    <r>
      <rPr>
        <sz val="11"/>
        <color theme="1"/>
        <rFont val="Votorantim Sans Black"/>
      </rPr>
      <t>e/t de produto</t>
    </r>
  </si>
  <si>
    <r>
      <t>m</t>
    </r>
    <r>
      <rPr>
        <vertAlign val="superscript"/>
        <sz val="11"/>
        <color theme="1"/>
        <rFont val="Votorantim Sans Black"/>
      </rPr>
      <t>3</t>
    </r>
    <r>
      <rPr>
        <sz val="11"/>
        <color theme="1"/>
        <rFont val="Votorantim Sans Black"/>
      </rPr>
      <t>/t</t>
    </r>
  </si>
  <si>
    <t>Cadeia de
Valor Sustentável</t>
  </si>
  <si>
    <t>4.  Capacidades e Utilização</t>
  </si>
  <si>
    <t>5.  Energia</t>
  </si>
  <si>
    <t>7.  Volume de Vendas</t>
  </si>
  <si>
    <t>8.  Dívida</t>
  </si>
  <si>
    <t>9.  Demonstrativos Financeiros</t>
  </si>
  <si>
    <t>11. Composição Custos</t>
  </si>
  <si>
    <t>12. CAPEX</t>
  </si>
  <si>
    <t>13. Ciclo financeiro</t>
  </si>
  <si>
    <t>14. Fluxo de caixa livre</t>
  </si>
  <si>
    <t>15. DFC</t>
  </si>
  <si>
    <t>10. Resultados por negócio</t>
  </si>
  <si>
    <t>jun-16¹</t>
  </si>
  <si>
    <t>jun/46²</t>
  </si>
  <si>
    <t>¹O Ministério de Minas e Energia indeferiu o pleito de prorrogação, estando pendente a análise do recurso administrativo da CBA</t>
  </si>
  <si>
    <t>²O Ministério de Minas e Energia deferiu o pleito de prorrogação, estando pendente a publicação dos atos autorizativos</t>
  </si>
  <si>
    <t>³Referente à participação da CBA</t>
  </si>
  <si>
    <t>⁴O Ministério de Minas e Energia indeferiu o pleito de prorrogação, devendo incluir no rol de usinas a serem licitadas</t>
  </si>
  <si>
    <t>nov/21⁴</t>
  </si>
  <si>
    <t>fev/24⁴</t>
  </si>
  <si>
    <t>Registro*</t>
  </si>
  <si>
    <r>
      <rPr>
        <vertAlign val="superscript"/>
        <sz val="11"/>
        <rFont val="Votorantim Sans Black"/>
      </rPr>
      <t>*</t>
    </r>
    <r>
      <rPr>
        <sz val="11"/>
        <rFont val="Votorantim Sans Black"/>
      </rPr>
      <t>Modalidade de Registro não tem prazo determinado</t>
    </r>
  </si>
  <si>
    <t>1T24</t>
  </si>
  <si>
    <t>1.462,7 </t>
  </si>
  <si>
    <t>Juros sobre capital próprio a pagar</t>
  </si>
  <si>
    <t>Aumento de capital</t>
  </si>
  <si>
    <t>2T24</t>
  </si>
  <si>
    <t>Perda na venda de imobilizado</t>
  </si>
  <si>
    <t>Provisão (reversão) para desvalorização de ativos (impairment)</t>
  </si>
  <si>
    <t>3.  Indicadores ESG</t>
  </si>
  <si>
    <t>CGH Jurupará </t>
  </si>
  <si>
    <t>3T24</t>
  </si>
  <si>
    <t> </t>
  </si>
  <si>
    <t>4T24</t>
  </si>
  <si>
    <t>Ganho na venda de investimento - Alunorte e Santa Cruz</t>
  </si>
  <si>
    <t>Resgate aplicações financeiras</t>
  </si>
  <si>
    <t>Provisão para perda de outros ativos</t>
  </si>
  <si>
    <t xml:space="preserve">DRE Energia </t>
  </si>
  <si>
    <t>Receita líquida dos produtos vendidos (Participações)</t>
  </si>
  <si>
    <t>SWAP Submercado (Excedente)</t>
  </si>
  <si>
    <t>Custos dos produtos Vendidos (Participações)</t>
  </si>
  <si>
    <t>Custo dos Produtos Vendidos (Excedente)</t>
  </si>
  <si>
    <t>Swap de Energia (Dolarização)</t>
  </si>
  <si>
    <t>EBITDA</t>
  </si>
  <si>
    <t>EBITDA ajustado</t>
  </si>
  <si>
    <t>Receita do Excedente</t>
  </si>
  <si>
    <t>Custo do Excedente</t>
  </si>
  <si>
    <t>Horas</t>
  </si>
  <si>
    <t>³ Dados em auditoria, podendo sofrer alterações</t>
  </si>
  <si>
    <t>% de reciclagem de alumínio com sucata industrial e de obsolescência na Metalex³</t>
  </si>
  <si>
    <t>% de reciclagem de alumínio com sucata industrial e de obsolescência na produção de tarugos na Fábrica de Alumínio³</t>
  </si>
  <si>
    <t>% de reciclagem de alumínio com sucata industrial e de obsolescência na produção de lingotes na Alux³</t>
  </si>
  <si>
    <t>Consumo de água nova por tonelada de alumínio líquido produzido³</t>
  </si>
  <si>
    <t>% de spend com fornecedores locais³</t>
  </si>
  <si>
    <t>% de fornecedores locais³</t>
  </si>
  <si>
    <r>
      <t>N° de  acidentes graves nas operações</t>
    </r>
    <r>
      <rPr>
        <vertAlign val="superscript"/>
        <sz val="11"/>
        <color theme="1"/>
        <rFont val="Votorantim Sans Black"/>
      </rPr>
      <t>4</t>
    </r>
  </si>
  <si>
    <r>
      <t>Taxa de frequência de acidentes</t>
    </r>
    <r>
      <rPr>
        <vertAlign val="superscript"/>
        <sz val="11"/>
        <color theme="1"/>
        <rFont val="Votorantim Sans Black"/>
      </rPr>
      <t>5</t>
    </r>
  </si>
  <si>
    <r>
      <t>SLA de projetos sociais</t>
    </r>
    <r>
      <rPr>
        <vertAlign val="superscript"/>
        <sz val="11"/>
        <color theme="1"/>
        <rFont val="Votorantim Sans Black"/>
      </rPr>
      <t>6</t>
    </r>
  </si>
  <si>
    <r>
      <t>Avaliação do Programa de Compliance por terceira parte</t>
    </r>
    <r>
      <rPr>
        <vertAlign val="superscript"/>
        <sz val="11"/>
        <color theme="1"/>
        <rFont val="Votorantim Sans Black"/>
      </rPr>
      <t>7</t>
    </r>
  </si>
  <si>
    <r>
      <t>% de empregados com metas ESG</t>
    </r>
    <r>
      <rPr>
        <vertAlign val="superscript"/>
        <sz val="11"/>
        <color theme="1"/>
        <rFont val="Votorantim Sans Black"/>
      </rPr>
      <t>8</t>
    </r>
  </si>
  <si>
    <t>Outros Ajustes</t>
  </si>
  <si>
    <t>Capacidade % CBA (MW)</t>
  </si>
  <si>
    <t>Outros Efeitos energia² ³</t>
  </si>
  <si>
    <t>Custos dos Produtos Vendidos¹</t>
  </si>
  <si>
    <t>Receita Líquida dos Produtos Vendidos</t>
  </si>
  <si>
    <t>Lucro (prejuízo) Bruto</t>
  </si>
  <si>
    <t>Outras Receitas (despesas) Operacionais</t>
  </si>
  <si>
    <t>Outras Receitas (despesas) Operacionais (Participações)</t>
  </si>
  <si>
    <t>Dividendos Recebidos (efeito caixa) de empresas não consolidadas</t>
  </si>
  <si>
    <t>6.  DRE e Balanço Energia</t>
  </si>
  <si>
    <t>Ágio em transações de capital</t>
  </si>
  <si>
    <t>1T25</t>
  </si>
  <si>
    <t>Prejuízo atribuível aos acionistas controladores</t>
  </si>
  <si>
    <t>Lucro líquido atribuível aos acionistas não controladores</t>
  </si>
  <si>
    <t>2T25</t>
  </si>
  <si>
    <t>3T25</t>
  </si>
  <si>
    <t>4T25</t>
  </si>
  <si>
    <r>
      <rPr>
        <b/>
        <vertAlign val="superscript"/>
        <sz val="10"/>
        <color theme="1"/>
        <rFont val="Verdana"/>
        <family val="2"/>
      </rPr>
      <t>4</t>
    </r>
    <r>
      <rPr>
        <b/>
        <sz val="10"/>
        <color theme="1"/>
        <rFont val="Verdana"/>
        <family val="2"/>
      </rPr>
      <t xml:space="preserve"> Considera acidente fatal ou com lesão que gere incapacidade permanente (nível v e vi).</t>
    </r>
  </si>
  <si>
    <r>
      <rPr>
        <b/>
        <vertAlign val="superscript"/>
        <sz val="10"/>
        <color theme="1"/>
        <rFont val="Verdana"/>
        <family val="2"/>
      </rPr>
      <t>5</t>
    </r>
    <r>
      <rPr>
        <b/>
        <sz val="10"/>
        <color theme="1"/>
        <rFont val="Verdana"/>
        <family val="2"/>
      </rPr>
      <t xml:space="preserve"> Base 1 milhão de HHT. Inclui empregados(as) próprios e terceiros.</t>
    </r>
  </si>
  <si>
    <r>
      <rPr>
        <b/>
        <vertAlign val="superscript"/>
        <sz val="10"/>
        <color theme="1"/>
        <rFont val="Verdana"/>
        <family val="2"/>
      </rPr>
      <t xml:space="preserve">6 </t>
    </r>
    <r>
      <rPr>
        <b/>
        <sz val="10"/>
        <color theme="1"/>
        <rFont val="Verdana"/>
        <family val="2"/>
      </rPr>
      <t>O SLA é um índice cumulativo que mede o cumprimento dos resultados esperados para os projetos em execução no período.</t>
    </r>
  </si>
  <si>
    <r>
      <rPr>
        <b/>
        <vertAlign val="superscript"/>
        <sz val="10"/>
        <color theme="1"/>
        <rFont val="Verdana"/>
        <family val="2"/>
      </rPr>
      <t>7</t>
    </r>
    <r>
      <rPr>
        <b/>
        <sz val="10"/>
        <color theme="1"/>
        <rFont val="Verdana"/>
        <family val="2"/>
      </rPr>
      <t xml:space="preserve"> Avaliação realizada a cada 3 anos.</t>
    </r>
  </si>
  <si>
    <r>
      <rPr>
        <b/>
        <vertAlign val="superscript"/>
        <sz val="10"/>
        <rFont val="Verdana"/>
        <family val="2"/>
      </rPr>
      <t xml:space="preserve">8 </t>
    </r>
    <r>
      <rPr>
        <b/>
        <sz val="10"/>
        <rFont val="Verdana"/>
        <family val="2"/>
      </rPr>
      <t>Até 2022, empregados(as) dos públicos Profissional e de Liderança elegíveis à Remuneração Variável já possuiam metas atreladas a ESG formalizadas. Para os empregados(as) de nível Operacional elegíveis ao Programa de Participação dos Resultados (PPR) existiam metas ESG, porém não eram um critério obrigatório. Em 2023, essa prática foi formalizada.</t>
    </r>
  </si>
  <si>
    <r>
      <t>Emissão de GEE de produtos fundidos</t>
    </r>
    <r>
      <rPr>
        <vertAlign val="superscript"/>
        <sz val="11"/>
        <rFont val="Votorantim Sans Black"/>
      </rPr>
      <t>1</t>
    </r>
  </si>
  <si>
    <r>
      <t>% de redução de emissões de produtos fundidos (ano base 2019)</t>
    </r>
    <r>
      <rPr>
        <vertAlign val="superscript"/>
        <sz val="11"/>
        <rFont val="Votorantim Sans Black"/>
      </rPr>
      <t>1</t>
    </r>
  </si>
  <si>
    <t>Emissão de GEE do tarugo da Metalex</t>
  </si>
  <si>
    <t>Receita Venda (Excedente)</t>
  </si>
  <si>
    <t>Capacidade¹</t>
  </si>
  <si>
    <t xml:space="preserve">¹ Capacidade apresentada em base anual, com alocação proporcional por trimeste </t>
  </si>
  <si>
    <t xml:space="preserve"> -   </t>
  </si>
  <si>
    <t>Sucata, anteligas e metal terceiro</t>
  </si>
  <si>
    <t>CPV Reciclagem</t>
  </si>
  <si>
    <t>CPV Trading de Lingote</t>
  </si>
  <si>
    <t>CPV Outros</t>
  </si>
  <si>
    <t>Obrigação para desmobilização de ativos e passivo ambiental</t>
  </si>
  <si>
    <t xml:space="preserve">Realização de reserva de hedge accounting operacional </t>
  </si>
  <si>
    <t>Hedge de Submercado (MWm)</t>
  </si>
  <si>
    <t>A geração própria da CBA advém de 11 usinas hidrelétricas conectadas diretamente ao site de alumínio. Conectados ao Sistema Interligado Nacional – SIN, possui 2 complexos eólicos, Ventos de Santo Anselmo e de Santo Isidoro, e 10 usinas hidrelétricas, sendo 4 integralmente pertencentes à CBA e 6 nas quais a CBA possui participação societária direta ou por meio das empresas CBA Energia Participações S.A. (33,3%) e CBA Machadinho Geração de Energia Ltda. (100%)</t>
  </si>
  <si>
    <t>Financeiro</t>
  </si>
  <si>
    <t>Dividendos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</si>
</sst>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 numFmtId="172" formatCode="#,##0.0"/>
    <numFmt numFmtId="173" formatCode="[$-F800]dddd\,\ mmmm\ dd\,\ yyyy"/>
    <numFmt numFmtId="174" formatCode="_(* #,##0.0_);_(* \(#,##0.0\);_(* &quot;-&quot;??_);_(@_)"/>
    <numFmt numFmtId="175" formatCode="_(* #,##0.000_);_(* \(#,##0.000\);_(*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b/>
      <u/>
      <sz val="12"/>
      <color indexed="52"/>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b/>
      <sz val="10"/>
      <color indexed="63"/>
      <name val="Votorantim Sans Black"/>
    </font>
    <font>
      <b/>
      <sz val="7"/>
      <color indexed="18"/>
      <name val="Times New Roman"/>
      <family val="1"/>
    </font>
    <font>
      <b/>
      <sz val="10"/>
      <color indexed="18"/>
      <name val="Tahoma"/>
      <family val="2"/>
    </font>
    <font>
      <b/>
      <i/>
      <sz val="10"/>
      <color indexed="18"/>
      <name val="Tahoma"/>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b/>
      <u/>
      <sz val="12"/>
      <color rgb="FF000080"/>
      <name val="Votorantim Sans Black"/>
    </font>
    <font>
      <i/>
      <sz val="10"/>
      <color rgb="FF002060"/>
      <name val="Votorantim Sans Black"/>
    </font>
    <font>
      <sz val="10"/>
      <name val="Arial"/>
      <family val="2"/>
    </font>
    <font>
      <b/>
      <sz val="9"/>
      <name val="Votorantim Sans Black"/>
    </font>
    <font>
      <i/>
      <sz val="11"/>
      <color theme="1"/>
      <name val="Votorantim Sans Black"/>
    </font>
    <font>
      <sz val="11"/>
      <color theme="4"/>
      <name val="Votorantim Sans Black"/>
    </font>
    <font>
      <i/>
      <sz val="10"/>
      <color rgb="FF242424"/>
      <name val="Votorantim Sans Black"/>
    </font>
    <font>
      <sz val="10"/>
      <color rgb="FFFF0000"/>
      <name val="Votorantim Sans Black"/>
    </font>
    <font>
      <b/>
      <sz val="10"/>
      <color theme="0"/>
      <name val="Barlow"/>
    </font>
    <font>
      <sz val="11"/>
      <color rgb="FFFF0000"/>
      <name val="Votorantim Sans Black"/>
    </font>
    <font>
      <b/>
      <sz val="10"/>
      <name val="Arial"/>
      <family val="2"/>
    </font>
    <font>
      <b/>
      <sz val="11"/>
      <color rgb="FF66FFFF"/>
      <name val="Votorantim Sans Black"/>
    </font>
    <font>
      <sz val="10"/>
      <color rgb="FF00B050"/>
      <name val="Arial"/>
      <family val="2"/>
    </font>
    <font>
      <sz val="10"/>
      <color rgb="FFFF0000"/>
      <name val="Arial"/>
      <family val="2"/>
    </font>
    <font>
      <i/>
      <sz val="9"/>
      <name val="Votorantim Sans Black"/>
    </font>
    <font>
      <sz val="11"/>
      <color rgb="FF0070C0"/>
      <name val="Votorantim Sans Black"/>
    </font>
    <font>
      <sz val="10"/>
      <color rgb="FF000000"/>
      <name val="Verdana"/>
      <family val="2"/>
    </font>
    <font>
      <sz val="10"/>
      <color theme="0"/>
      <name val="Barlow"/>
    </font>
    <font>
      <b/>
      <sz val="12"/>
      <color theme="0"/>
      <name val="Verdana"/>
      <family val="2"/>
    </font>
    <font>
      <sz val="10"/>
      <color theme="1"/>
      <name val="Verdana"/>
      <family val="2"/>
    </font>
    <font>
      <b/>
      <sz val="10"/>
      <color theme="1"/>
      <name val="Verdana"/>
      <family val="2"/>
    </font>
    <font>
      <b/>
      <sz val="9"/>
      <color theme="1"/>
      <name val="Verdana"/>
      <family val="2"/>
    </font>
    <font>
      <b/>
      <sz val="9"/>
      <name val="Verdana"/>
      <family val="2"/>
    </font>
    <font>
      <vertAlign val="superscript"/>
      <sz val="11"/>
      <color theme="1"/>
      <name val="Votorantim Sans Black"/>
    </font>
    <font>
      <vertAlign val="subscript"/>
      <sz val="11"/>
      <color theme="1"/>
      <name val="Votorantim Sans Black"/>
    </font>
    <font>
      <b/>
      <u/>
      <sz val="10"/>
      <color indexed="52"/>
      <name val="Arial"/>
      <family val="2"/>
    </font>
    <font>
      <sz val="14"/>
      <color rgb="FF212529"/>
      <name val="Segoe UI"/>
      <family val="2"/>
    </font>
    <font>
      <vertAlign val="superscript"/>
      <sz val="11"/>
      <name val="Votorantim Sans Black"/>
    </font>
    <font>
      <sz val="12"/>
      <color rgb="FF000064"/>
      <name val="Verdana"/>
      <family val="2"/>
    </font>
    <font>
      <sz val="8"/>
      <name val="Arial"/>
      <family val="2"/>
    </font>
    <font>
      <b/>
      <vertAlign val="superscript"/>
      <sz val="10"/>
      <color theme="1"/>
      <name val="Verdana"/>
      <family val="2"/>
    </font>
    <font>
      <b/>
      <sz val="10"/>
      <name val="Verdana"/>
      <family val="2"/>
    </font>
    <font>
      <b/>
      <vertAlign val="superscript"/>
      <sz val="10"/>
      <name val="Verdana"/>
      <family val="2"/>
    </font>
  </fonts>
  <fills count="10">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
      <patternFill patternType="solid">
        <fgColor rgb="FFC5D9F1"/>
        <bgColor indexed="64"/>
      </patternFill>
    </fill>
    <fill>
      <patternFill patternType="solid">
        <fgColor rgb="FF070775"/>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medium">
        <color theme="0" tint="-0.499984740745262"/>
      </top>
      <bottom/>
      <diagonal/>
    </border>
    <border>
      <left style="thin">
        <color indexed="64"/>
      </left>
      <right style="thin">
        <color indexed="64"/>
      </right>
      <top style="thin">
        <color indexed="64"/>
      </top>
      <bottom style="thin">
        <color indexed="64"/>
      </bottom>
      <diagonal/>
    </border>
    <border>
      <left style="dotted">
        <color theme="0" tint="-0.14993743705557422"/>
      </left>
      <right style="dotted">
        <color theme="0" tint="-0.14993743705557422"/>
      </right>
      <top/>
      <bottom style="dotted">
        <color theme="0" tint="-0.34998626667073579"/>
      </bottom>
      <diagonal/>
    </border>
    <border>
      <left style="dotted">
        <color theme="0" tint="-0.14996795556505021"/>
      </left>
      <right/>
      <top/>
      <bottom style="dotted">
        <color theme="0" tint="-0.34998626667073579"/>
      </bottom>
      <diagonal/>
    </border>
    <border>
      <left/>
      <right/>
      <top/>
      <bottom style="dotted">
        <color theme="0" tint="-0.34998626667073579"/>
      </bottom>
      <diagonal/>
    </border>
    <border>
      <left style="dotted">
        <color theme="0" tint="-0.14993743705557422"/>
      </left>
      <right style="dotted">
        <color theme="0" tint="-0.14993743705557422"/>
      </right>
      <top style="dotted">
        <color theme="0" tint="-0.34998626667073579"/>
      </top>
      <bottom style="dotted">
        <color theme="0" tint="-0.34998626667073579"/>
      </bottom>
      <diagonal/>
    </border>
    <border>
      <left style="dotted">
        <color theme="0" tint="-0.14996795556505021"/>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dotted">
        <color theme="0" tint="-0.34998626667073579"/>
      </bottom>
      <diagonal/>
    </border>
    <border>
      <left style="dotted">
        <color theme="0" tint="-0.14993743705557422"/>
      </left>
      <right style="dotted">
        <color theme="0" tint="-0.14993743705557422"/>
      </right>
      <top style="dotted">
        <color theme="0" tint="-0.34998626667073579"/>
      </top>
      <bottom style="thin">
        <color theme="0" tint="-0.34998626667073579"/>
      </bottom>
      <diagonal/>
    </border>
    <border>
      <left style="dotted">
        <color theme="0" tint="-0.14996795556505021"/>
      </left>
      <right style="dotted">
        <color theme="0" tint="-0.14996795556505021"/>
      </right>
      <top/>
      <bottom style="dotted">
        <color theme="0" tint="-0.14996795556505021"/>
      </bottom>
      <diagonal/>
    </border>
    <border>
      <left/>
      <right style="dotted">
        <color theme="0" tint="-0.14996795556505021"/>
      </right>
      <top/>
      <bottom/>
      <diagonal/>
    </border>
    <border>
      <left/>
      <right style="dotted">
        <color theme="0" tint="-0.14996795556505021"/>
      </right>
      <top/>
      <bottom style="thick">
        <color theme="0" tint="-0.499984740745262"/>
      </bottom>
      <diagonal/>
    </border>
    <border>
      <left style="dotted">
        <color theme="0" tint="-0.14996795556505021"/>
      </left>
      <right style="dotted">
        <color theme="0" tint="-0.14996795556505021"/>
      </right>
      <top/>
      <bottom style="thick">
        <color theme="0" tint="-0.499984740745262"/>
      </bottom>
      <diagonal/>
    </border>
    <border>
      <left style="dotted">
        <color theme="0" tint="-0.14996795556505021"/>
      </left>
      <right style="dotted">
        <color theme="0" tint="-0.14996795556505021"/>
      </right>
      <top style="dotted">
        <color theme="0" tint="-0.14996795556505021"/>
      </top>
      <bottom style="thick">
        <color theme="0" tint="-0.499984740745262"/>
      </bottom>
      <diagonal/>
    </border>
    <border>
      <left/>
      <right/>
      <top/>
      <bottom style="thick">
        <color theme="0" tint="-0.499984740745262"/>
      </bottom>
      <diagonal/>
    </border>
    <border>
      <left/>
      <right/>
      <top/>
      <bottom style="thick">
        <color theme="0"/>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top style="thick">
        <color theme="0" tint="-0.499984740745262"/>
      </top>
      <bottom/>
      <diagonal/>
    </border>
    <border>
      <left/>
      <right/>
      <top style="dotted">
        <color theme="0" tint="-0.34998626667073579"/>
      </top>
      <bottom style="thick">
        <color theme="0" tint="-0.499984740745262"/>
      </bottom>
      <diagonal/>
    </border>
    <border>
      <left style="dotted">
        <color theme="0" tint="-0.14993743705557422"/>
      </left>
      <right style="dotted">
        <color theme="0" tint="-0.14993743705557422"/>
      </right>
      <top style="dotted">
        <color theme="0" tint="-0.34998626667073579"/>
      </top>
      <bottom style="thick">
        <color theme="0" tint="-0.499984740745262"/>
      </bottom>
      <diagonal/>
    </border>
    <border>
      <left style="dotted">
        <color theme="0" tint="-0.14993743705557422"/>
      </left>
      <right style="dotted">
        <color theme="0" tint="-0.14993743705557422"/>
      </right>
      <top/>
      <bottom style="thick">
        <color theme="0" tint="-0.499984740745262"/>
      </bottom>
      <diagonal/>
    </border>
    <border>
      <left style="dotted">
        <color theme="0" tint="-0.14996795556505021"/>
      </left>
      <right/>
      <top style="dotted">
        <color theme="0" tint="-0.34998626667073579"/>
      </top>
      <bottom style="thick">
        <color theme="0" tint="-0.499984740745262"/>
      </bottom>
      <diagonal/>
    </border>
    <border>
      <left style="dotted">
        <color theme="0" tint="-0.14996795556505021"/>
      </left>
      <right/>
      <top style="thick">
        <color theme="0"/>
      </top>
      <bottom style="dotted">
        <color theme="0" tint="-0.14996795556505021"/>
      </bottom>
      <diagonal/>
    </border>
    <border>
      <left/>
      <right/>
      <top style="thick">
        <color theme="0"/>
      </top>
      <bottom style="dotted">
        <color theme="0" tint="-0.14996795556505021"/>
      </bottom>
      <diagonal/>
    </border>
  </borders>
  <cellStyleXfs count="59">
    <xf numFmtId="0" fontId="0" fillId="0" borderId="0"/>
    <xf numFmtId="0" fontId="10" fillId="0" borderId="0"/>
    <xf numFmtId="0" fontId="10" fillId="0" borderId="0"/>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0" fontId="45" fillId="0" borderId="0"/>
    <xf numFmtId="0" fontId="10" fillId="2" borderId="1" applyNumberFormat="0" applyFont="0" applyAlignment="0" applyProtection="0"/>
    <xf numFmtId="9" fontId="5"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8" fillId="0" borderId="2" applyNumberFormat="0" applyFill="0" applyAlignment="0" applyProtection="0"/>
    <xf numFmtId="164" fontId="5" fillId="0" borderId="0" applyFont="0" applyFill="0" applyBorder="0" applyAlignment="0" applyProtection="0"/>
    <xf numFmtId="164" fontId="10" fillId="0" borderId="0" applyFont="0" applyFill="0" applyBorder="0" applyAlignment="0" applyProtection="0"/>
    <xf numFmtId="164" fontId="1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9" fontId="71"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4" fillId="0" borderId="0"/>
    <xf numFmtId="0" fontId="5" fillId="2" borderId="1" applyNumberFormat="0" applyFont="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cellStyleXfs>
  <cellXfs count="625">
    <xf numFmtId="0" fontId="0" fillId="0" borderId="0" xfId="0"/>
    <xf numFmtId="0" fontId="12" fillId="3" borderId="0" xfId="0" applyFont="1" applyFill="1"/>
    <xf numFmtId="0" fontId="13" fillId="0" borderId="0" xfId="0" applyFont="1"/>
    <xf numFmtId="0" fontId="14" fillId="3" borderId="0" xfId="0" applyFont="1" applyFill="1"/>
    <xf numFmtId="0" fontId="14" fillId="0" borderId="0" xfId="0" applyFont="1"/>
    <xf numFmtId="166" fontId="15" fillId="3" borderId="0" xfId="0" applyNumberFormat="1" applyFont="1" applyFill="1" applyAlignment="1">
      <alignment horizontal="right"/>
    </xf>
    <xf numFmtId="0" fontId="46" fillId="3" borderId="0" xfId="0" applyFont="1" applyFill="1"/>
    <xf numFmtId="0" fontId="46" fillId="3" borderId="0" xfId="3" applyFont="1" applyFill="1" applyAlignment="1" applyProtection="1"/>
    <xf numFmtId="0" fontId="47" fillId="3" borderId="0" xfId="0" applyFont="1" applyFill="1"/>
    <xf numFmtId="0" fontId="47" fillId="4" borderId="0" xfId="0" applyFont="1" applyFill="1"/>
    <xf numFmtId="0" fontId="47" fillId="0" borderId="0" xfId="0" applyFont="1"/>
    <xf numFmtId="0" fontId="46" fillId="4" borderId="0" xfId="0" applyFont="1" applyFill="1"/>
    <xf numFmtId="0" fontId="46" fillId="0" borderId="0" xfId="0" applyFont="1"/>
    <xf numFmtId="0" fontId="17" fillId="3" borderId="0" xfId="0" applyFont="1" applyFill="1"/>
    <xf numFmtId="0" fontId="48" fillId="3" borderId="0" xfId="3" applyFont="1" applyFill="1" applyAlignment="1" applyProtection="1">
      <alignment vertical="center"/>
    </xf>
    <xf numFmtId="0" fontId="49" fillId="3" borderId="0" xfId="0" applyFont="1" applyFill="1"/>
    <xf numFmtId="0" fontId="49" fillId="3" borderId="0" xfId="0" applyFont="1" applyFill="1" applyAlignment="1">
      <alignment horizontal="center"/>
    </xf>
    <xf numFmtId="0" fontId="50"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4" fillId="0" borderId="0" xfId="0" applyFont="1"/>
    <xf numFmtId="14" fontId="21" fillId="0" borderId="0" xfId="0" applyNumberFormat="1" applyFont="1"/>
    <xf numFmtId="0" fontId="25" fillId="0" borderId="0" xfId="0" applyFont="1"/>
    <xf numFmtId="0" fontId="26" fillId="0" borderId="0" xfId="0" applyFont="1"/>
    <xf numFmtId="165" fontId="25" fillId="0" borderId="0" xfId="0" applyNumberFormat="1" applyFont="1"/>
    <xf numFmtId="0" fontId="23" fillId="0" borderId="0" xfId="0" applyFont="1"/>
    <xf numFmtId="0" fontId="25" fillId="0" borderId="0" xfId="0" applyFont="1" applyAlignment="1">
      <alignment horizontal="left"/>
    </xf>
    <xf numFmtId="0" fontId="23" fillId="0" borderId="0" xfId="0" applyFont="1" applyAlignment="1">
      <alignment vertical="center"/>
    </xf>
    <xf numFmtId="165" fontId="25" fillId="0" borderId="0" xfId="0" applyNumberFormat="1" applyFont="1" applyAlignment="1">
      <alignment vertical="center"/>
    </xf>
    <xf numFmtId="165" fontId="23" fillId="3" borderId="0" xfId="0" applyNumberFormat="1" applyFont="1" applyFill="1"/>
    <xf numFmtId="0" fontId="27" fillId="0" borderId="0" xfId="0" applyFont="1"/>
    <xf numFmtId="0" fontId="23" fillId="4" borderId="0" xfId="0" applyFont="1" applyFill="1"/>
    <xf numFmtId="0" fontId="51" fillId="0" borderId="0" xfId="0" applyFont="1"/>
    <xf numFmtId="14" fontId="19" fillId="0" borderId="0" xfId="0" applyNumberFormat="1" applyFont="1"/>
    <xf numFmtId="0" fontId="29" fillId="0" borderId="0" xfId="3" applyFont="1" applyAlignment="1" applyProtection="1"/>
    <xf numFmtId="0" fontId="30" fillId="0" borderId="0" xfId="0" applyFont="1"/>
    <xf numFmtId="0" fontId="31" fillId="0" borderId="0" xfId="3" applyFont="1" applyAlignment="1" applyProtection="1"/>
    <xf numFmtId="0" fontId="32" fillId="4" borderId="0" xfId="0" applyFont="1" applyFill="1"/>
    <xf numFmtId="0" fontId="19" fillId="3" borderId="0" xfId="0" applyFont="1" applyFill="1" applyAlignment="1">
      <alignment vertical="center"/>
    </xf>
    <xf numFmtId="0" fontId="32" fillId="3" borderId="0" xfId="0" applyFont="1" applyFill="1" applyAlignment="1">
      <alignment vertical="center"/>
    </xf>
    <xf numFmtId="0" fontId="28" fillId="3" borderId="0" xfId="0" applyFont="1" applyFill="1" applyAlignment="1">
      <alignment horizontal="left" vertical="center"/>
    </xf>
    <xf numFmtId="0" fontId="17" fillId="3" borderId="0" xfId="0" applyFont="1" applyFill="1" applyAlignment="1">
      <alignment vertical="center"/>
    </xf>
    <xf numFmtId="165" fontId="17" fillId="3" borderId="0" xfId="0" applyNumberFormat="1" applyFont="1" applyFill="1" applyAlignment="1">
      <alignment vertical="center"/>
    </xf>
    <xf numFmtId="0" fontId="19" fillId="0" borderId="0" xfId="0" applyFont="1" applyAlignment="1">
      <alignment vertical="center"/>
    </xf>
    <xf numFmtId="0" fontId="54" fillId="3" borderId="0" xfId="0" applyFont="1" applyFill="1" applyAlignment="1">
      <alignment vertical="center"/>
    </xf>
    <xf numFmtId="165" fontId="32" fillId="3" borderId="0" xfId="0" applyNumberFormat="1" applyFont="1" applyFill="1"/>
    <xf numFmtId="0" fontId="28" fillId="3" borderId="0" xfId="0" applyFont="1" applyFill="1" applyAlignment="1">
      <alignment horizontal="right" vertical="center"/>
    </xf>
    <xf numFmtId="0" fontId="55" fillId="3" borderId="0" xfId="0" applyFont="1" applyFill="1" applyAlignment="1">
      <alignment vertical="center"/>
    </xf>
    <xf numFmtId="165" fontId="55" fillId="3" borderId="0" xfId="0" applyNumberFormat="1" applyFont="1" applyFill="1" applyAlignment="1">
      <alignment vertical="center"/>
    </xf>
    <xf numFmtId="0" fontId="36" fillId="3" borderId="0" xfId="0" applyFont="1" applyFill="1"/>
    <xf numFmtId="0" fontId="37" fillId="3" borderId="0" xfId="0" applyFont="1" applyFill="1"/>
    <xf numFmtId="0" fontId="56" fillId="5" borderId="3" xfId="0" applyFont="1" applyFill="1" applyBorder="1" applyAlignment="1">
      <alignment horizontal="left" vertical="center"/>
    </xf>
    <xf numFmtId="0" fontId="56" fillId="5" borderId="3" xfId="0" applyFont="1" applyFill="1" applyBorder="1" applyAlignment="1">
      <alignment horizontal="center" vertical="center" wrapText="1"/>
    </xf>
    <xf numFmtId="0" fontId="57" fillId="3" borderId="0" xfId="0" applyFont="1" applyFill="1" applyAlignment="1">
      <alignment horizontal="left" vertical="center"/>
    </xf>
    <xf numFmtId="0" fontId="57" fillId="4" borderId="0" xfId="0" applyFont="1" applyFill="1" applyAlignment="1">
      <alignment horizontal="center" vertical="center" wrapText="1"/>
    </xf>
    <xf numFmtId="0" fontId="57" fillId="3" borderId="0" xfId="0" applyFont="1" applyFill="1" applyAlignment="1">
      <alignment vertical="center"/>
    </xf>
    <xf numFmtId="165" fontId="59" fillId="0" borderId="0" xfId="13" applyNumberFormat="1" applyFont="1" applyFill="1" applyBorder="1"/>
    <xf numFmtId="165" fontId="57" fillId="0" borderId="4" xfId="13" applyNumberFormat="1" applyFont="1" applyFill="1" applyBorder="1"/>
    <xf numFmtId="165" fontId="59" fillId="0" borderId="5" xfId="13" applyNumberFormat="1" applyFont="1" applyFill="1" applyBorder="1"/>
    <xf numFmtId="165" fontId="59" fillId="0" borderId="6" xfId="13" applyNumberFormat="1" applyFont="1" applyFill="1" applyBorder="1"/>
    <xf numFmtId="0" fontId="32" fillId="0" borderId="0" xfId="0" applyFont="1"/>
    <xf numFmtId="0" fontId="35" fillId="0" borderId="4" xfId="0" applyFont="1" applyBorder="1"/>
    <xf numFmtId="0" fontId="32" fillId="0" borderId="5" xfId="0" applyFont="1" applyBorder="1"/>
    <xf numFmtId="0" fontId="32" fillId="0" borderId="7" xfId="0" applyFont="1" applyBorder="1"/>
    <xf numFmtId="0" fontId="56" fillId="5" borderId="3" xfId="0" applyFont="1" applyFill="1" applyBorder="1"/>
    <xf numFmtId="0" fontId="56" fillId="5" borderId="3" xfId="0" applyFont="1" applyFill="1" applyBorder="1" applyAlignment="1">
      <alignment horizontal="right"/>
    </xf>
    <xf numFmtId="0" fontId="61" fillId="0" borderId="0" xfId="0" applyFont="1" applyAlignment="1">
      <alignment horizontal="left"/>
    </xf>
    <xf numFmtId="0" fontId="62" fillId="0" borderId="0" xfId="0" applyFont="1"/>
    <xf numFmtId="0" fontId="63" fillId="0" borderId="0" xfId="0" applyFont="1"/>
    <xf numFmtId="0" fontId="64" fillId="0" borderId="0" xfId="0" applyFont="1"/>
    <xf numFmtId="0" fontId="65" fillId="0" borderId="0" xfId="0" applyFont="1"/>
    <xf numFmtId="0" fontId="66" fillId="0" borderId="0" xfId="0" applyFont="1"/>
    <xf numFmtId="165" fontId="66" fillId="0" borderId="0" xfId="0" applyNumberFormat="1" applyFont="1"/>
    <xf numFmtId="0" fontId="58" fillId="0" borderId="0" xfId="0" applyFont="1"/>
    <xf numFmtId="0" fontId="61" fillId="0" borderId="0" xfId="0" applyFont="1"/>
    <xf numFmtId="165" fontId="57" fillId="0" borderId="9" xfId="13" applyNumberFormat="1" applyFont="1" applyFill="1" applyBorder="1"/>
    <xf numFmtId="0" fontId="67" fillId="3" borderId="0" xfId="0" applyFont="1" applyFill="1" applyAlignment="1">
      <alignment vertical="center"/>
    </xf>
    <xf numFmtId="0" fontId="39" fillId="0" borderId="5" xfId="0" applyFont="1" applyBorder="1" applyAlignment="1">
      <alignment horizontal="left" indent="2"/>
    </xf>
    <xf numFmtId="0" fontId="39" fillId="0" borderId="7" xfId="0" applyFont="1" applyBorder="1" applyAlignment="1">
      <alignment horizontal="left" indent="2"/>
    </xf>
    <xf numFmtId="0" fontId="39" fillId="0" borderId="6" xfId="0" applyFont="1" applyBorder="1" applyAlignment="1">
      <alignment horizontal="left" indent="2"/>
    </xf>
    <xf numFmtId="0" fontId="40" fillId="0" borderId="4" xfId="0" applyFont="1" applyBorder="1" applyAlignment="1">
      <alignment horizontal="left"/>
    </xf>
    <xf numFmtId="0" fontId="40" fillId="0" borderId="9" xfId="0" applyFont="1" applyBorder="1" applyAlignment="1">
      <alignment horizontal="left"/>
    </xf>
    <xf numFmtId="0" fontId="39" fillId="0" borderId="0" xfId="0" applyFont="1" applyAlignment="1">
      <alignment horizontal="left" indent="2"/>
    </xf>
    <xf numFmtId="0" fontId="32" fillId="0" borderId="0" xfId="0" applyFont="1" applyAlignment="1">
      <alignment horizontal="left" indent="2"/>
    </xf>
    <xf numFmtId="0" fontId="32" fillId="0" borderId="7" xfId="0" applyFont="1" applyBorder="1" applyAlignment="1">
      <alignment horizontal="left" indent="2"/>
    </xf>
    <xf numFmtId="0" fontId="55" fillId="3" borderId="0" xfId="0" applyFont="1" applyFill="1" applyAlignment="1">
      <alignment horizontal="left" vertical="center"/>
    </xf>
    <xf numFmtId="0" fontId="68" fillId="0" borderId="0" xfId="0" applyFont="1"/>
    <xf numFmtId="0" fontId="19" fillId="0" borderId="0" xfId="0" applyFont="1" applyAlignment="1">
      <alignment wrapText="1"/>
    </xf>
    <xf numFmtId="0" fontId="69" fillId="0" borderId="0" xfId="3" applyFont="1" applyAlignment="1" applyProtection="1"/>
    <xf numFmtId="0" fontId="36" fillId="4" borderId="0" xfId="0" applyFont="1" applyFill="1"/>
    <xf numFmtId="165" fontId="32" fillId="4" borderId="0" xfId="0" applyNumberFormat="1" applyFont="1" applyFill="1"/>
    <xf numFmtId="0" fontId="57" fillId="0" borderId="4" xfId="0" applyFont="1" applyBorder="1" applyAlignment="1">
      <alignment vertical="center"/>
    </xf>
    <xf numFmtId="0" fontId="57" fillId="0" borderId="0" xfId="0" applyFont="1" applyAlignment="1">
      <alignment vertical="center"/>
    </xf>
    <xf numFmtId="0" fontId="59" fillId="0" borderId="0" xfId="0" applyFont="1" applyAlignment="1">
      <alignment vertical="center"/>
    </xf>
    <xf numFmtId="0" fontId="59" fillId="0" borderId="4" xfId="0" applyFont="1" applyBorder="1" applyAlignment="1">
      <alignment vertical="center"/>
    </xf>
    <xf numFmtId="0" fontId="57" fillId="0" borderId="9" xfId="0" applyFont="1" applyBorder="1" applyAlignment="1">
      <alignment vertical="center"/>
    </xf>
    <xf numFmtId="0" fontId="57" fillId="0" borderId="8" xfId="0" applyFont="1" applyBorder="1" applyAlignment="1">
      <alignment horizontal="left" vertical="center"/>
    </xf>
    <xf numFmtId="0" fontId="59" fillId="0" borderId="10" xfId="0" applyFont="1" applyBorder="1" applyAlignment="1">
      <alignment vertical="center"/>
    </xf>
    <xf numFmtId="0" fontId="59" fillId="0" borderId="8" xfId="0" applyFont="1" applyBorder="1" applyAlignment="1">
      <alignment vertical="center"/>
    </xf>
    <xf numFmtId="0" fontId="60" fillId="0" borderId="4" xfId="0" applyFont="1" applyBorder="1" applyAlignment="1">
      <alignment vertical="center"/>
    </xf>
    <xf numFmtId="0" fontId="59" fillId="0" borderId="7" xfId="0" applyFont="1" applyBorder="1" applyAlignment="1">
      <alignment horizontal="left" vertical="center"/>
    </xf>
    <xf numFmtId="0" fontId="59" fillId="0" borderId="0" xfId="20" applyNumberFormat="1" applyFont="1" applyFill="1" applyAlignment="1">
      <alignment horizontal="left" vertical="center"/>
    </xf>
    <xf numFmtId="0" fontId="59" fillId="0" borderId="0" xfId="0" applyFont="1" applyAlignment="1">
      <alignment horizontal="left" vertical="center"/>
    </xf>
    <xf numFmtId="0" fontId="59" fillId="0" borderId="5" xfId="0" applyFont="1" applyBorder="1" applyAlignment="1">
      <alignment horizontal="left" vertical="center"/>
    </xf>
    <xf numFmtId="0" fontId="57" fillId="0" borderId="4" xfId="0" applyFont="1" applyBorder="1" applyAlignment="1">
      <alignment horizontal="center" vertical="center" wrapText="1"/>
    </xf>
    <xf numFmtId="0" fontId="35" fillId="0" borderId="4" xfId="0" applyFont="1" applyBorder="1" applyAlignment="1">
      <alignment vertical="center"/>
    </xf>
    <xf numFmtId="0" fontId="32" fillId="0" borderId="0" xfId="0" applyFont="1" applyAlignment="1">
      <alignment horizontal="left" vertical="center"/>
    </xf>
    <xf numFmtId="165" fontId="32" fillId="0" borderId="0" xfId="20" applyNumberFormat="1" applyFont="1" applyFill="1" applyBorder="1" applyAlignment="1">
      <alignment vertical="center"/>
    </xf>
    <xf numFmtId="0" fontId="36" fillId="0" borderId="0" xfId="0" applyFont="1" applyAlignment="1">
      <alignment horizontal="left" vertical="center"/>
    </xf>
    <xf numFmtId="0" fontId="35" fillId="0" borderId="8" xfId="0" applyFont="1" applyBorder="1" applyAlignment="1">
      <alignment vertical="center"/>
    </xf>
    <xf numFmtId="0" fontId="32" fillId="0" borderId="0" xfId="0" applyFont="1" applyAlignment="1">
      <alignment horizontal="left" vertical="center" indent="2"/>
    </xf>
    <xf numFmtId="0" fontId="54" fillId="0" borderId="0" xfId="0" applyFont="1" applyAlignment="1">
      <alignment vertical="center"/>
    </xf>
    <xf numFmtId="0" fontId="32" fillId="0" borderId="7" xfId="0" applyFont="1" applyBorder="1" applyAlignment="1">
      <alignment horizontal="left" vertical="center" indent="2"/>
    </xf>
    <xf numFmtId="165" fontId="32" fillId="0" borderId="7" xfId="20" applyNumberFormat="1" applyFont="1" applyFill="1" applyBorder="1" applyAlignment="1">
      <alignment horizontal="center" vertical="center"/>
    </xf>
    <xf numFmtId="0" fontId="32" fillId="0" borderId="0" xfId="0" applyFont="1" applyAlignment="1">
      <alignment vertical="center"/>
    </xf>
    <xf numFmtId="0" fontId="35" fillId="0" borderId="0" xfId="0" applyFont="1" applyAlignment="1">
      <alignment horizontal="left" vertical="center"/>
    </xf>
    <xf numFmtId="0" fontId="32" fillId="0" borderId="6" xfId="0" applyFont="1" applyBorder="1" applyAlignment="1">
      <alignment vertical="center"/>
    </xf>
    <xf numFmtId="3" fontId="32" fillId="0" borderId="0" xfId="0" applyNumberFormat="1"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5" fillId="0" borderId="4" xfId="0" applyFont="1" applyBorder="1" applyAlignment="1">
      <alignment horizontal="left" vertical="center"/>
    </xf>
    <xf numFmtId="0" fontId="32" fillId="0" borderId="7" xfId="0" applyFont="1" applyBorder="1" applyAlignment="1">
      <alignment horizontal="left" vertical="center"/>
    </xf>
    <xf numFmtId="0" fontId="32" fillId="0" borderId="7" xfId="0" applyFont="1" applyBorder="1" applyAlignment="1">
      <alignment vertical="center"/>
    </xf>
    <xf numFmtId="165" fontId="32" fillId="0" borderId="7" xfId="20" applyNumberFormat="1" applyFont="1" applyFill="1" applyBorder="1" applyAlignment="1">
      <alignment vertical="center"/>
    </xf>
    <xf numFmtId="165" fontId="32" fillId="0" borderId="0" xfId="20" quotePrefix="1" applyNumberFormat="1" applyFont="1" applyFill="1" applyBorder="1" applyAlignment="1">
      <alignment vertical="center"/>
    </xf>
    <xf numFmtId="0" fontId="36" fillId="0" borderId="0" xfId="0" applyFont="1" applyAlignment="1">
      <alignment vertical="center"/>
    </xf>
    <xf numFmtId="164" fontId="36" fillId="0" borderId="0" xfId="20" applyFont="1" applyFill="1" applyBorder="1" applyAlignment="1">
      <alignment vertical="center"/>
    </xf>
    <xf numFmtId="164" fontId="36" fillId="0" borderId="0" xfId="20" applyFont="1" applyFill="1" applyBorder="1" applyAlignment="1">
      <alignment horizontal="right" vertical="center"/>
    </xf>
    <xf numFmtId="0" fontId="67" fillId="0" borderId="0" xfId="0" applyFont="1" applyAlignment="1">
      <alignment vertical="center"/>
    </xf>
    <xf numFmtId="0" fontId="35" fillId="0" borderId="4" xfId="0" applyFont="1" applyBorder="1" applyAlignment="1">
      <alignment horizontal="right" vertical="center"/>
    </xf>
    <xf numFmtId="165" fontId="35" fillId="0" borderId="0" xfId="20" applyNumberFormat="1" applyFont="1" applyFill="1" applyAlignment="1">
      <alignment vertical="center"/>
    </xf>
    <xf numFmtId="165" fontId="35" fillId="0" borderId="7" xfId="20" applyNumberFormat="1" applyFont="1" applyFill="1" applyBorder="1" applyAlignment="1">
      <alignment vertical="center"/>
    </xf>
    <xf numFmtId="165" fontId="35" fillId="0" borderId="0" xfId="20" applyNumberFormat="1" applyFont="1" applyFill="1" applyAlignment="1">
      <alignment horizontal="right" vertical="center"/>
    </xf>
    <xf numFmtId="37" fontId="35" fillId="0" borderId="4" xfId="0" applyNumberFormat="1" applyFont="1" applyBorder="1" applyAlignment="1">
      <alignment horizontal="right"/>
    </xf>
    <xf numFmtId="165" fontId="32" fillId="0" borderId="0" xfId="20" applyNumberFormat="1" applyFont="1" applyFill="1" applyAlignment="1">
      <alignment horizontal="center" vertical="center"/>
    </xf>
    <xf numFmtId="165" fontId="32" fillId="0" borderId="0" xfId="20" applyNumberFormat="1" applyFont="1" applyFill="1" applyAlignment="1">
      <alignment vertical="center"/>
    </xf>
    <xf numFmtId="165" fontId="32" fillId="0" borderId="0" xfId="20" applyNumberFormat="1" applyFont="1" applyFill="1" applyAlignment="1">
      <alignment horizontal="right" vertical="center"/>
    </xf>
    <xf numFmtId="37" fontId="32" fillId="0" borderId="0" xfId="0" applyNumberFormat="1" applyFont="1" applyAlignment="1">
      <alignment horizontal="right"/>
    </xf>
    <xf numFmtId="0" fontId="32" fillId="0" borderId="4" xfId="0" applyFont="1" applyBorder="1" applyAlignment="1">
      <alignment horizontal="right" vertical="center"/>
    </xf>
    <xf numFmtId="0" fontId="34" fillId="0" borderId="0" xfId="0" applyFont="1" applyAlignment="1">
      <alignment vertical="center"/>
    </xf>
    <xf numFmtId="0" fontId="70" fillId="0" borderId="0" xfId="0" applyFont="1" applyAlignment="1">
      <alignment vertical="center"/>
    </xf>
    <xf numFmtId="165" fontId="59" fillId="0" borderId="0" xfId="20" applyNumberFormat="1" applyFont="1" applyFill="1" applyAlignment="1">
      <alignment vertical="center"/>
    </xf>
    <xf numFmtId="165" fontId="59" fillId="0" borderId="4" xfId="20" applyNumberFormat="1" applyFont="1" applyFill="1" applyBorder="1" applyAlignment="1">
      <alignment vertical="center"/>
    </xf>
    <xf numFmtId="165" fontId="57" fillId="0" borderId="4" xfId="20" applyNumberFormat="1" applyFont="1" applyFill="1" applyBorder="1" applyAlignment="1">
      <alignment vertical="center"/>
    </xf>
    <xf numFmtId="165" fontId="57" fillId="0" borderId="9" xfId="20" applyNumberFormat="1" applyFont="1" applyFill="1" applyBorder="1" applyAlignment="1">
      <alignment vertical="center"/>
    </xf>
    <xf numFmtId="0" fontId="57" fillId="0" borderId="8" xfId="0" applyFont="1" applyBorder="1" applyAlignment="1">
      <alignment vertical="center"/>
    </xf>
    <xf numFmtId="165" fontId="59" fillId="0" borderId="10" xfId="20" applyNumberFormat="1" applyFont="1" applyFill="1" applyBorder="1" applyAlignment="1">
      <alignment vertical="center"/>
    </xf>
    <xf numFmtId="165" fontId="59" fillId="0" borderId="8" xfId="20" applyNumberFormat="1" applyFont="1" applyFill="1" applyBorder="1" applyAlignment="1">
      <alignment horizontal="center" vertical="center"/>
    </xf>
    <xf numFmtId="0" fontId="58" fillId="0" borderId="0" xfId="0" applyFont="1" applyAlignment="1">
      <alignment vertical="center"/>
    </xf>
    <xf numFmtId="165" fontId="57" fillId="0" borderId="0" xfId="20" applyNumberFormat="1" applyFont="1" applyFill="1" applyAlignment="1">
      <alignment vertical="center"/>
    </xf>
    <xf numFmtId="0" fontId="58" fillId="0" borderId="4" xfId="0" applyFont="1" applyBorder="1" applyAlignment="1">
      <alignment vertical="center"/>
    </xf>
    <xf numFmtId="165" fontId="59" fillId="0" borderId="7" xfId="20" applyNumberFormat="1" applyFont="1" applyFill="1" applyBorder="1" applyAlignment="1">
      <alignment vertical="center"/>
    </xf>
    <xf numFmtId="164" fontId="58" fillId="0" borderId="7" xfId="20" applyFont="1" applyFill="1" applyBorder="1" applyAlignment="1">
      <alignment vertical="center"/>
    </xf>
    <xf numFmtId="0" fontId="58" fillId="0" borderId="5" xfId="0" applyFont="1" applyBorder="1" applyAlignment="1">
      <alignment vertical="center"/>
    </xf>
    <xf numFmtId="165" fontId="59" fillId="0" borderId="5" xfId="20" applyNumberFormat="1" applyFont="1" applyFill="1" applyBorder="1" applyAlignment="1">
      <alignment vertical="center"/>
    </xf>
    <xf numFmtId="164" fontId="57" fillId="0" borderId="4" xfId="20" applyFont="1" applyFill="1" applyBorder="1" applyAlignment="1">
      <alignment vertical="center"/>
    </xf>
    <xf numFmtId="165" fontId="35" fillId="0" borderId="4" xfId="20" applyNumberFormat="1" applyFont="1" applyFill="1" applyBorder="1" applyAlignment="1">
      <alignment vertical="center"/>
    </xf>
    <xf numFmtId="165" fontId="35" fillId="0" borderId="4" xfId="20" applyNumberFormat="1" applyFont="1" applyFill="1" applyBorder="1" applyAlignment="1">
      <alignment horizontal="right" vertical="center"/>
    </xf>
    <xf numFmtId="9" fontId="36" fillId="0" borderId="0" xfId="21" applyFont="1" applyFill="1" applyBorder="1" applyAlignment="1">
      <alignment vertical="center"/>
    </xf>
    <xf numFmtId="165" fontId="35" fillId="0" borderId="8" xfId="20" applyNumberFormat="1" applyFont="1" applyFill="1" applyBorder="1" applyAlignment="1">
      <alignment vertical="center"/>
    </xf>
    <xf numFmtId="165" fontId="32" fillId="0" borderId="0" xfId="20" applyNumberFormat="1" applyFont="1" applyFill="1" applyBorder="1" applyAlignment="1">
      <alignment horizontal="center" vertical="center"/>
    </xf>
    <xf numFmtId="165" fontId="35" fillId="0" borderId="0" xfId="20" applyNumberFormat="1" applyFont="1" applyFill="1" applyBorder="1" applyAlignment="1">
      <alignment horizontal="center" vertical="center"/>
    </xf>
    <xf numFmtId="165" fontId="32" fillId="0" borderId="5" xfId="20" applyNumberFormat="1" applyFont="1" applyFill="1" applyBorder="1" applyAlignment="1">
      <alignment horizontal="center" vertical="center"/>
    </xf>
    <xf numFmtId="165" fontId="32" fillId="0" borderId="6" xfId="20" applyNumberFormat="1" applyFont="1" applyFill="1" applyBorder="1" applyAlignment="1">
      <alignment horizontal="center" vertical="center"/>
    </xf>
    <xf numFmtId="165" fontId="35" fillId="0" borderId="4" xfId="20" applyNumberFormat="1" applyFont="1" applyFill="1" applyBorder="1" applyAlignment="1">
      <alignment horizontal="center" vertical="center"/>
    </xf>
    <xf numFmtId="165" fontId="35" fillId="0" borderId="9" xfId="20" applyNumberFormat="1" applyFont="1" applyFill="1" applyBorder="1" applyAlignment="1">
      <alignment horizontal="center" vertical="center"/>
    </xf>
    <xf numFmtId="165" fontId="32" fillId="0" borderId="10" xfId="20" applyNumberFormat="1" applyFont="1" applyFill="1" applyBorder="1" applyAlignment="1">
      <alignment horizontal="center" vertical="center"/>
    </xf>
    <xf numFmtId="165" fontId="32" fillId="0" borderId="6" xfId="20" applyNumberFormat="1" applyFont="1" applyFill="1" applyBorder="1" applyAlignment="1">
      <alignment vertical="center"/>
    </xf>
    <xf numFmtId="165" fontId="35" fillId="0" borderId="4" xfId="0" applyNumberFormat="1" applyFont="1" applyBorder="1" applyAlignment="1">
      <alignment horizontal="right" vertical="center"/>
    </xf>
    <xf numFmtId="165" fontId="32" fillId="0" borderId="0" xfId="0" applyNumberFormat="1" applyFont="1" applyAlignment="1">
      <alignment vertical="center"/>
    </xf>
    <xf numFmtId="3" fontId="32" fillId="0" borderId="7" xfId="0" applyNumberFormat="1" applyFont="1" applyBorder="1" applyAlignment="1">
      <alignment vertical="center"/>
    </xf>
    <xf numFmtId="165" fontId="32" fillId="0" borderId="7" xfId="0" applyNumberFormat="1" applyFont="1" applyBorder="1" applyAlignment="1">
      <alignment vertical="center"/>
    </xf>
    <xf numFmtId="168" fontId="32" fillId="0" borderId="7" xfId="20" applyNumberFormat="1" applyFont="1" applyFill="1" applyBorder="1" applyAlignment="1">
      <alignment vertical="center"/>
    </xf>
    <xf numFmtId="164" fontId="32" fillId="0" borderId="7" xfId="20" applyFont="1" applyFill="1" applyBorder="1" applyAlignment="1">
      <alignment vertical="center"/>
    </xf>
    <xf numFmtId="3" fontId="35" fillId="0" borderId="0" xfId="0" applyNumberFormat="1" applyFont="1" applyAlignment="1">
      <alignment horizontal="right" vertical="center"/>
    </xf>
    <xf numFmtId="3" fontId="32" fillId="0" borderId="7" xfId="0" applyNumberFormat="1" applyFont="1" applyBorder="1" applyAlignment="1">
      <alignment horizontal="right" vertical="center"/>
    </xf>
    <xf numFmtId="3" fontId="32" fillId="0" borderId="6" xfId="0" applyNumberFormat="1" applyFont="1" applyBorder="1" applyAlignment="1">
      <alignment vertical="center"/>
    </xf>
    <xf numFmtId="165" fontId="35" fillId="0" borderId="0" xfId="20" applyNumberFormat="1" applyFont="1" applyFill="1" applyBorder="1" applyAlignment="1">
      <alignment vertical="center"/>
    </xf>
    <xf numFmtId="168" fontId="32" fillId="0" borderId="0" xfId="20" applyNumberFormat="1" applyFont="1" applyFill="1" applyBorder="1" applyAlignment="1">
      <alignment vertical="center"/>
    </xf>
    <xf numFmtId="165" fontId="32" fillId="0" borderId="7" xfId="20" applyNumberFormat="1" applyFont="1" applyFill="1" applyBorder="1" applyAlignment="1">
      <alignment horizontal="right" vertical="center"/>
    </xf>
    <xf numFmtId="165" fontId="58" fillId="0" borderId="0" xfId="0" applyNumberFormat="1" applyFont="1" applyAlignment="1">
      <alignment vertical="center"/>
    </xf>
    <xf numFmtId="0" fontId="55" fillId="0" borderId="0" xfId="0" applyFont="1" applyAlignment="1">
      <alignment vertical="center"/>
    </xf>
    <xf numFmtId="165" fontId="32" fillId="0" borderId="0" xfId="13" applyNumberFormat="1" applyFont="1" applyFill="1" applyBorder="1" applyAlignment="1">
      <alignment horizontal="center" vertical="center"/>
    </xf>
    <xf numFmtId="165" fontId="67" fillId="0" borderId="0" xfId="20" applyNumberFormat="1" applyFont="1" applyFill="1" applyBorder="1" applyAlignment="1">
      <alignment vertical="center"/>
    </xf>
    <xf numFmtId="0" fontId="32" fillId="0" borderId="7" xfId="0" applyFont="1" applyBorder="1" applyAlignment="1">
      <alignment horizontal="left" indent="1"/>
    </xf>
    <xf numFmtId="0" fontId="32" fillId="0" borderId="0" xfId="0" applyFont="1" applyAlignment="1">
      <alignment horizontal="left" indent="1"/>
    </xf>
    <xf numFmtId="165" fontId="35" fillId="0" borderId="0" xfId="20" applyNumberFormat="1" applyFont="1" applyFill="1" applyAlignment="1">
      <alignment horizontal="center" vertical="center"/>
    </xf>
    <xf numFmtId="165" fontId="59" fillId="0" borderId="5" xfId="13" applyNumberFormat="1" applyFont="1" applyFill="1" applyBorder="1" applyAlignment="1">
      <alignment horizontal="left" indent="2"/>
    </xf>
    <xf numFmtId="165" fontId="59" fillId="0" borderId="7" xfId="13" applyNumberFormat="1" applyFont="1" applyFill="1" applyBorder="1"/>
    <xf numFmtId="165" fontId="72" fillId="3" borderId="0" xfId="13" applyNumberFormat="1" applyFont="1" applyFill="1"/>
    <xf numFmtId="165" fontId="19" fillId="3" borderId="0" xfId="0" applyNumberFormat="1" applyFont="1" applyFill="1" applyAlignment="1">
      <alignment vertical="center"/>
    </xf>
    <xf numFmtId="0" fontId="19" fillId="0" borderId="0" xfId="0" applyFont="1" applyAlignment="1">
      <alignment horizontal="left" wrapText="1"/>
    </xf>
    <xf numFmtId="0" fontId="56" fillId="5" borderId="11" xfId="0" applyFont="1" applyFill="1" applyBorder="1" applyAlignment="1">
      <alignment horizontal="left" vertical="center"/>
    </xf>
    <xf numFmtId="0" fontId="56" fillId="5" borderId="11" xfId="0" applyFont="1" applyFill="1" applyBorder="1" applyAlignment="1">
      <alignment horizontal="center" vertical="center"/>
    </xf>
    <xf numFmtId="0" fontId="56" fillId="5" borderId="11" xfId="0" applyFont="1" applyFill="1" applyBorder="1" applyAlignment="1">
      <alignment horizontal="center" vertical="center" wrapText="1"/>
    </xf>
    <xf numFmtId="0" fontId="59" fillId="0" borderId="12" xfId="0" applyFont="1" applyBorder="1" applyAlignment="1">
      <alignment horizontal="left" vertical="center"/>
    </xf>
    <xf numFmtId="0" fontId="59" fillId="0" borderId="0" xfId="0" applyFont="1" applyAlignment="1">
      <alignment horizontal="center" vertical="center"/>
    </xf>
    <xf numFmtId="9" fontId="74" fillId="0" borderId="13" xfId="0" applyNumberFormat="1" applyFont="1" applyBorder="1" applyAlignment="1">
      <alignment horizontal="center" vertical="center"/>
    </xf>
    <xf numFmtId="169" fontId="32" fillId="0" borderId="7" xfId="0" applyNumberFormat="1" applyFont="1" applyBorder="1" applyAlignment="1">
      <alignment horizontal="center" vertical="center"/>
    </xf>
    <xf numFmtId="170" fontId="32" fillId="0" borderId="7" xfId="0" applyNumberFormat="1" applyFont="1" applyBorder="1" applyAlignment="1">
      <alignment horizontal="center" vertical="center"/>
    </xf>
    <xf numFmtId="0" fontId="59" fillId="0" borderId="14" xfId="0" applyFont="1" applyBorder="1" applyAlignment="1">
      <alignment horizontal="left" vertical="center"/>
    </xf>
    <xf numFmtId="0" fontId="59" fillId="0" borderId="7" xfId="0" applyFont="1" applyBorder="1" applyAlignment="1">
      <alignment horizontal="center" vertical="center"/>
    </xf>
    <xf numFmtId="9" fontId="74" fillId="0" borderId="7" xfId="0" applyNumberFormat="1" applyFont="1" applyBorder="1" applyAlignment="1">
      <alignment horizontal="center" vertical="center"/>
    </xf>
    <xf numFmtId="171" fontId="59" fillId="0" borderId="7" xfId="0" applyNumberFormat="1" applyFont="1" applyBorder="1" applyAlignment="1">
      <alignment horizontal="center" vertical="center"/>
    </xf>
    <xf numFmtId="169" fontId="19" fillId="0" borderId="0" xfId="0" applyNumberFormat="1" applyFont="1" applyAlignment="1">
      <alignment horizontal="center"/>
    </xf>
    <xf numFmtId="0" fontId="17" fillId="0" borderId="0" xfId="0" applyFont="1" applyAlignment="1">
      <alignment horizontal="right"/>
    </xf>
    <xf numFmtId="9" fontId="19" fillId="0" borderId="0" xfId="8" applyFont="1" applyAlignment="1">
      <alignment horizontal="center"/>
    </xf>
    <xf numFmtId="0" fontId="34" fillId="0" borderId="0" xfId="0" applyFont="1"/>
    <xf numFmtId="164" fontId="32" fillId="0" borderId="0" xfId="20" applyFont="1" applyFill="1" applyBorder="1" applyAlignment="1">
      <alignment vertical="center"/>
    </xf>
    <xf numFmtId="165" fontId="35" fillId="0" borderId="0" xfId="20" applyNumberFormat="1" applyFont="1" applyFill="1" applyBorder="1" applyAlignment="1">
      <alignment horizontal="right" vertical="center"/>
    </xf>
    <xf numFmtId="3" fontId="32" fillId="0" borderId="0" xfId="0" applyNumberFormat="1" applyFont="1" applyAlignment="1">
      <alignment horizontal="right" vertical="center"/>
    </xf>
    <xf numFmtId="165" fontId="54" fillId="3" borderId="0" xfId="0" applyNumberFormat="1" applyFont="1" applyFill="1" applyAlignment="1">
      <alignment vertical="center"/>
    </xf>
    <xf numFmtId="164" fontId="19" fillId="3" borderId="0" xfId="13" applyFont="1" applyFill="1" applyAlignment="1">
      <alignment vertical="center"/>
    </xf>
    <xf numFmtId="9" fontId="32" fillId="4" borderId="0" xfId="0" applyNumberFormat="1" applyFont="1" applyFill="1"/>
    <xf numFmtId="0" fontId="19" fillId="0" borderId="0" xfId="0" applyFont="1" applyAlignment="1">
      <alignment horizontal="left" vertical="top" wrapText="1"/>
    </xf>
    <xf numFmtId="0" fontId="32" fillId="4" borderId="7" xfId="0" applyFont="1" applyFill="1" applyBorder="1"/>
    <xf numFmtId="165" fontId="32" fillId="0" borderId="0" xfId="0" applyNumberFormat="1" applyFont="1"/>
    <xf numFmtId="165" fontId="32" fillId="0" borderId="7" xfId="23" applyNumberFormat="1" applyFont="1" applyFill="1" applyBorder="1" applyAlignment="1">
      <alignment vertical="center"/>
    </xf>
    <xf numFmtId="165" fontId="32" fillId="0" borderId="5" xfId="23" applyNumberFormat="1" applyFont="1" applyFill="1" applyBorder="1" applyAlignment="1">
      <alignment vertical="center"/>
    </xf>
    <xf numFmtId="165" fontId="32" fillId="0" borderId="0" xfId="23" applyNumberFormat="1" applyFont="1" applyFill="1" applyBorder="1" applyAlignment="1">
      <alignment vertical="center"/>
    </xf>
    <xf numFmtId="0" fontId="68" fillId="0" borderId="0" xfId="0" applyFont="1" applyAlignment="1">
      <alignment horizontal="left" indent="1"/>
    </xf>
    <xf numFmtId="165" fontId="54" fillId="0" borderId="0" xfId="0" applyNumberFormat="1" applyFont="1" applyAlignment="1">
      <alignment vertical="center"/>
    </xf>
    <xf numFmtId="0" fontId="56" fillId="5" borderId="3" xfId="0" applyFont="1" applyFill="1" applyBorder="1" applyAlignment="1">
      <alignment horizontal="center"/>
    </xf>
    <xf numFmtId="0" fontId="19" fillId="0" borderId="0" xfId="24" applyFont="1"/>
    <xf numFmtId="0" fontId="52" fillId="0" borderId="0" xfId="24" applyFont="1"/>
    <xf numFmtId="0" fontId="19" fillId="3" borderId="0" xfId="24" applyFont="1" applyFill="1"/>
    <xf numFmtId="0" fontId="53" fillId="0" borderId="0" xfId="24" applyFont="1"/>
    <xf numFmtId="0" fontId="17" fillId="3" borderId="0" xfId="24" applyFont="1" applyFill="1" applyAlignment="1">
      <alignment horizontal="left" vertical="center"/>
    </xf>
    <xf numFmtId="0" fontId="33" fillId="3" borderId="0" xfId="24" applyFont="1" applyFill="1"/>
    <xf numFmtId="0" fontId="17" fillId="0" borderId="0" xfId="24" applyFont="1" applyAlignment="1">
      <alignment horizontal="center"/>
    </xf>
    <xf numFmtId="0" fontId="23" fillId="4" borderId="0" xfId="24" applyFont="1" applyFill="1"/>
    <xf numFmtId="0" fontId="56" fillId="5" borderId="3" xfId="24" applyFont="1" applyFill="1" applyBorder="1" applyAlignment="1">
      <alignment horizontal="left" vertical="center"/>
    </xf>
    <xf numFmtId="0" fontId="56" fillId="5" borderId="3" xfId="24" applyFont="1" applyFill="1" applyBorder="1" applyAlignment="1">
      <alignment horizontal="center" vertical="center" wrapText="1"/>
    </xf>
    <xf numFmtId="0" fontId="56" fillId="0" borderId="0" xfId="24" applyFont="1" applyAlignment="1">
      <alignment horizontal="center" vertical="center" wrapText="1"/>
    </xf>
    <xf numFmtId="0" fontId="18" fillId="3" borderId="0" xfId="24" applyFont="1" applyFill="1"/>
    <xf numFmtId="37" fontId="17" fillId="0" borderId="0" xfId="24" applyNumberFormat="1" applyFont="1"/>
    <xf numFmtId="9" fontId="19" fillId="3" borderId="0" xfId="25" applyFont="1" applyFill="1"/>
    <xf numFmtId="0" fontId="57" fillId="0" borderId="4" xfId="24" applyFont="1" applyBorder="1"/>
    <xf numFmtId="165" fontId="57" fillId="0" borderId="4" xfId="23" applyNumberFormat="1" applyFont="1" applyFill="1" applyBorder="1"/>
    <xf numFmtId="165" fontId="57" fillId="0" borderId="0" xfId="23" applyNumberFormat="1" applyFont="1" applyFill="1" applyBorder="1"/>
    <xf numFmtId="9" fontId="57" fillId="0" borderId="4" xfId="25" applyFont="1" applyFill="1" applyBorder="1"/>
    <xf numFmtId="0" fontId="57" fillId="0" borderId="9" xfId="24" applyFont="1" applyBorder="1"/>
    <xf numFmtId="165" fontId="57" fillId="0" borderId="9" xfId="23" applyNumberFormat="1" applyFont="1" applyFill="1" applyBorder="1"/>
    <xf numFmtId="9" fontId="57" fillId="0" borderId="9" xfId="25" applyFont="1" applyFill="1" applyBorder="1"/>
    <xf numFmtId="0" fontId="59" fillId="0" borderId="0" xfId="24" applyFont="1" applyAlignment="1">
      <alignment horizontal="left" indent="2"/>
    </xf>
    <xf numFmtId="165" fontId="59" fillId="0" borderId="0" xfId="23" applyNumberFormat="1" applyFont="1" applyFill="1" applyBorder="1"/>
    <xf numFmtId="9" fontId="59" fillId="0" borderId="0" xfId="25" applyFont="1" applyFill="1" applyBorder="1"/>
    <xf numFmtId="0" fontId="59" fillId="0" borderId="5" xfId="24" applyFont="1" applyBorder="1" applyAlignment="1">
      <alignment horizontal="left" indent="2"/>
    </xf>
    <xf numFmtId="165" fontId="59" fillId="0" borderId="5" xfId="23" applyNumberFormat="1" applyFont="1" applyFill="1" applyBorder="1"/>
    <xf numFmtId="9" fontId="59" fillId="0" borderId="5" xfId="25" applyFont="1" applyFill="1" applyBorder="1"/>
    <xf numFmtId="9" fontId="59" fillId="0" borderId="15" xfId="25" applyFont="1" applyFill="1" applyBorder="1"/>
    <xf numFmtId="9" fontId="59" fillId="0" borderId="6" xfId="25" applyFont="1" applyFill="1" applyBorder="1"/>
    <xf numFmtId="0" fontId="59" fillId="0" borderId="6" xfId="24" applyFont="1" applyBorder="1" applyAlignment="1">
      <alignment horizontal="left" indent="2"/>
    </xf>
    <xf numFmtId="165" fontId="59" fillId="0" borderId="6" xfId="23" applyNumberFormat="1" applyFont="1" applyFill="1" applyBorder="1"/>
    <xf numFmtId="9" fontId="57" fillId="0" borderId="0" xfId="25" applyFont="1" applyFill="1" applyBorder="1"/>
    <xf numFmtId="9" fontId="57" fillId="4" borderId="6" xfId="25" applyFont="1" applyFill="1" applyBorder="1"/>
    <xf numFmtId="0" fontId="17" fillId="4" borderId="0" xfId="24" applyFont="1" applyFill="1"/>
    <xf numFmtId="9" fontId="59" fillId="4" borderId="6" xfId="25" applyFont="1" applyFill="1" applyBorder="1"/>
    <xf numFmtId="0" fontId="19" fillId="4" borderId="0" xfId="24" applyFont="1" applyFill="1"/>
    <xf numFmtId="165" fontId="17" fillId="3" borderId="0" xfId="23" applyNumberFormat="1" applyFont="1" applyFill="1"/>
    <xf numFmtId="165" fontId="19" fillId="3" borderId="0" xfId="24" applyNumberFormat="1" applyFont="1" applyFill="1"/>
    <xf numFmtId="165" fontId="32" fillId="0" borderId="6" xfId="0" applyNumberFormat="1" applyFont="1" applyBorder="1" applyAlignment="1">
      <alignment vertical="center"/>
    </xf>
    <xf numFmtId="0" fontId="32" fillId="0" borderId="15" xfId="0" applyFont="1" applyBorder="1"/>
    <xf numFmtId="165" fontId="32" fillId="0" borderId="15" xfId="20" applyNumberFormat="1" applyFont="1" applyFill="1" applyBorder="1" applyAlignment="1">
      <alignment vertical="center"/>
    </xf>
    <xf numFmtId="0" fontId="54" fillId="3" borderId="0" xfId="0" applyFont="1" applyFill="1" applyAlignment="1">
      <alignment horizontal="center" vertical="center"/>
    </xf>
    <xf numFmtId="0" fontId="56" fillId="5" borderId="3" xfId="0" applyFont="1" applyFill="1" applyBorder="1" applyAlignment="1">
      <alignment horizontal="center" vertical="center"/>
    </xf>
    <xf numFmtId="165" fontId="32" fillId="4" borderId="0" xfId="13" applyNumberFormat="1" applyFont="1" applyFill="1"/>
    <xf numFmtId="165" fontId="54" fillId="3" borderId="0" xfId="13" applyNumberFormat="1" applyFont="1" applyFill="1" applyAlignment="1">
      <alignment horizontal="center" vertical="center"/>
    </xf>
    <xf numFmtId="165" fontId="32" fillId="0" borderId="0" xfId="13" applyNumberFormat="1" applyFont="1"/>
    <xf numFmtId="165" fontId="37" fillId="3" borderId="0" xfId="13" applyNumberFormat="1" applyFont="1" applyFill="1"/>
    <xf numFmtId="165" fontId="36" fillId="4" borderId="0" xfId="13" applyNumberFormat="1" applyFont="1" applyFill="1"/>
    <xf numFmtId="0" fontId="19" fillId="3" borderId="0" xfId="22" applyFont="1" applyFill="1"/>
    <xf numFmtId="0" fontId="27" fillId="3" borderId="0" xfId="22" applyFont="1" applyFill="1"/>
    <xf numFmtId="0" fontId="19" fillId="0" borderId="0" xfId="22" applyFont="1"/>
    <xf numFmtId="0" fontId="56" fillId="5" borderId="3" xfId="22" applyFont="1" applyFill="1" applyBorder="1" applyAlignment="1">
      <alignment horizontal="left" vertical="center"/>
    </xf>
    <xf numFmtId="0" fontId="56" fillId="5" borderId="3" xfId="22" applyFont="1" applyFill="1" applyBorder="1" applyAlignment="1">
      <alignment horizontal="right" vertical="center" wrapText="1"/>
    </xf>
    <xf numFmtId="165" fontId="32" fillId="3" borderId="0" xfId="22" applyNumberFormat="1" applyFont="1" applyFill="1"/>
    <xf numFmtId="0" fontId="28" fillId="3" borderId="0" xfId="22" applyFont="1" applyFill="1" applyAlignment="1">
      <alignment horizontal="left" vertical="center"/>
    </xf>
    <xf numFmtId="0" fontId="28" fillId="3" borderId="0" xfId="22" applyFont="1" applyFill="1" applyAlignment="1">
      <alignment horizontal="right" vertical="center"/>
    </xf>
    <xf numFmtId="0" fontId="32" fillId="4" borderId="0" xfId="22" applyFont="1" applyFill="1"/>
    <xf numFmtId="0" fontId="32" fillId="0" borderId="7" xfId="22" applyFont="1" applyBorder="1"/>
    <xf numFmtId="1" fontId="32" fillId="0" borderId="7" xfId="22" applyNumberFormat="1" applyFont="1" applyBorder="1"/>
    <xf numFmtId="0" fontId="5" fillId="0" borderId="0" xfId="22"/>
    <xf numFmtId="0" fontId="57" fillId="0" borderId="4" xfId="22" applyFont="1" applyBorder="1"/>
    <xf numFmtId="0" fontId="32" fillId="0" borderId="5" xfId="22" applyFont="1" applyBorder="1"/>
    <xf numFmtId="1" fontId="32" fillId="0" borderId="5" xfId="23" applyNumberFormat="1" applyFont="1" applyFill="1" applyBorder="1" applyAlignment="1">
      <alignment vertical="center"/>
    </xf>
    <xf numFmtId="0" fontId="32" fillId="0" borderId="0" xfId="22" applyFont="1"/>
    <xf numFmtId="1" fontId="32" fillId="0" borderId="0" xfId="22" applyNumberFormat="1" applyFont="1"/>
    <xf numFmtId="0" fontId="52" fillId="0" borderId="0" xfId="22" applyFont="1"/>
    <xf numFmtId="0" fontId="53" fillId="0" borderId="0" xfId="22" applyFont="1"/>
    <xf numFmtId="0" fontId="17" fillId="3" borderId="0" xfId="22" applyFont="1" applyFill="1" applyAlignment="1">
      <alignment horizontal="left" vertical="center"/>
    </xf>
    <xf numFmtId="165" fontId="19" fillId="3" borderId="0" xfId="22" applyNumberFormat="1" applyFont="1" applyFill="1"/>
    <xf numFmtId="0" fontId="23" fillId="4" borderId="0" xfId="22" applyFont="1" applyFill="1"/>
    <xf numFmtId="0" fontId="56" fillId="5" borderId="3" xfId="22" applyFont="1" applyFill="1" applyBorder="1" applyAlignment="1">
      <alignment horizontal="center" vertical="center" wrapText="1"/>
    </xf>
    <xf numFmtId="0" fontId="18" fillId="3" borderId="0" xfId="22" applyFont="1" applyFill="1"/>
    <xf numFmtId="37" fontId="17" fillId="0" borderId="0" xfId="22" applyNumberFormat="1" applyFont="1"/>
    <xf numFmtId="0" fontId="76" fillId="3" borderId="0" xfId="22" applyFont="1" applyFill="1"/>
    <xf numFmtId="0" fontId="59" fillId="0" borderId="0" xfId="22" applyFont="1" applyAlignment="1">
      <alignment horizontal="left" indent="2"/>
    </xf>
    <xf numFmtId="0" fontId="59" fillId="0" borderId="5" xfId="22" applyFont="1" applyBorder="1" applyAlignment="1">
      <alignment horizontal="left" indent="2"/>
    </xf>
    <xf numFmtId="165" fontId="19" fillId="0" borderId="0" xfId="22" applyNumberFormat="1" applyFont="1"/>
    <xf numFmtId="0" fontId="59" fillId="0" borderId="7" xfId="22" applyFont="1" applyBorder="1" applyAlignment="1">
      <alignment horizontal="left" indent="2"/>
    </xf>
    <xf numFmtId="0" fontId="66" fillId="0" borderId="0" xfId="22" applyFont="1" applyAlignment="1">
      <alignment horizontal="left" indent="2"/>
    </xf>
    <xf numFmtId="0" fontId="56" fillId="5" borderId="3" xfId="22" applyFont="1" applyFill="1" applyBorder="1"/>
    <xf numFmtId="0" fontId="57" fillId="0" borderId="9" xfId="22" applyFont="1" applyBorder="1"/>
    <xf numFmtId="0" fontId="59" fillId="0" borderId="6" xfId="22" applyFont="1" applyBorder="1" applyAlignment="1">
      <alignment horizontal="left" indent="2"/>
    </xf>
    <xf numFmtId="0" fontId="19" fillId="4" borderId="0" xfId="22" applyFont="1" applyFill="1"/>
    <xf numFmtId="0" fontId="35" fillId="0" borderId="4" xfId="22" applyFont="1" applyBorder="1"/>
    <xf numFmtId="165" fontId="35" fillId="0" borderId="4" xfId="25" applyNumberFormat="1" applyFont="1" applyFill="1" applyBorder="1" applyAlignment="1">
      <alignment horizontal="right"/>
    </xf>
    <xf numFmtId="0" fontId="35" fillId="0" borderId="0" xfId="22" applyFont="1"/>
    <xf numFmtId="9" fontId="35" fillId="0" borderId="0" xfId="25" applyFont="1" applyFill="1" applyBorder="1" applyAlignment="1">
      <alignment horizontal="right"/>
    </xf>
    <xf numFmtId="0" fontId="35" fillId="0" borderId="7" xfId="22" applyFont="1" applyBorder="1"/>
    <xf numFmtId="165" fontId="35" fillId="0" borderId="7" xfId="23" applyNumberFormat="1" applyFont="1" applyFill="1" applyBorder="1" applyAlignment="1">
      <alignment vertical="center"/>
    </xf>
    <xf numFmtId="0" fontId="32" fillId="0" borderId="4" xfId="22" applyFont="1" applyBorder="1"/>
    <xf numFmtId="0" fontId="32" fillId="0" borderId="8" xfId="22" applyFont="1" applyBorder="1"/>
    <xf numFmtId="165" fontId="32" fillId="0" borderId="4" xfId="23" applyNumberFormat="1" applyFont="1" applyFill="1" applyBorder="1" applyAlignment="1">
      <alignment vertical="center"/>
    </xf>
    <xf numFmtId="0" fontId="35" fillId="0" borderId="8" xfId="22" applyFont="1" applyBorder="1"/>
    <xf numFmtId="1" fontId="57" fillId="0" borderId="8" xfId="22" applyNumberFormat="1" applyFont="1" applyBorder="1"/>
    <xf numFmtId="0" fontId="32" fillId="4" borderId="7" xfId="22" applyFont="1" applyFill="1" applyBorder="1"/>
    <xf numFmtId="0" fontId="32" fillId="3" borderId="0" xfId="22" applyFont="1" applyFill="1"/>
    <xf numFmtId="0" fontId="28" fillId="3" borderId="0" xfId="22" applyFont="1" applyFill="1"/>
    <xf numFmtId="0" fontId="35" fillId="3" borderId="0" xfId="22" applyFont="1" applyFill="1"/>
    <xf numFmtId="0" fontId="32" fillId="0" borderId="6" xfId="22" applyFont="1" applyBorder="1"/>
    <xf numFmtId="165" fontId="32" fillId="0" borderId="6" xfId="22" applyNumberFormat="1" applyFont="1" applyBorder="1"/>
    <xf numFmtId="165" fontId="32" fillId="0" borderId="0" xfId="22" applyNumberFormat="1" applyFont="1"/>
    <xf numFmtId="165" fontId="35" fillId="0" borderId="7" xfId="22" applyNumberFormat="1" applyFont="1" applyBorder="1"/>
    <xf numFmtId="165" fontId="35" fillId="0" borderId="0" xfId="22" applyNumberFormat="1" applyFont="1"/>
    <xf numFmtId="165" fontId="32" fillId="0" borderId="7" xfId="22" applyNumberFormat="1" applyFont="1" applyBorder="1"/>
    <xf numFmtId="0" fontId="32" fillId="0" borderId="7" xfId="22" applyFont="1" applyBorder="1" applyAlignment="1">
      <alignment horizontal="left" indent="1"/>
    </xf>
    <xf numFmtId="0" fontId="32" fillId="0" borderId="4" xfId="22" applyFont="1" applyBorder="1" applyAlignment="1">
      <alignment horizontal="left" indent="1"/>
    </xf>
    <xf numFmtId="165" fontId="32" fillId="0" borderId="4" xfId="22" applyNumberFormat="1" applyFont="1" applyBorder="1"/>
    <xf numFmtId="165" fontId="35" fillId="0" borderId="6" xfId="22" applyNumberFormat="1" applyFont="1" applyBorder="1"/>
    <xf numFmtId="165" fontId="35" fillId="0" borderId="4" xfId="22" applyNumberFormat="1" applyFont="1" applyBorder="1"/>
    <xf numFmtId="0" fontId="32" fillId="0" borderId="6" xfId="22" applyFont="1" applyBorder="1" applyAlignment="1">
      <alignment horizontal="left" indent="1"/>
    </xf>
    <xf numFmtId="0" fontId="35" fillId="0" borderId="4" xfId="22" applyFont="1" applyBorder="1" applyAlignment="1">
      <alignment horizontal="left"/>
    </xf>
    <xf numFmtId="3" fontId="32" fillId="0" borderId="7" xfId="22" applyNumberFormat="1" applyFont="1" applyBorder="1"/>
    <xf numFmtId="3" fontId="32" fillId="0" borderId="0" xfId="22" applyNumberFormat="1" applyFont="1"/>
    <xf numFmtId="165" fontId="54" fillId="0" borderId="0" xfId="13" applyNumberFormat="1" applyFont="1" applyFill="1" applyAlignment="1">
      <alignment vertical="center"/>
    </xf>
    <xf numFmtId="0" fontId="0" fillId="0" borderId="0" xfId="0" applyAlignment="1">
      <alignment horizontal="left" vertical="center" wrapText="1"/>
    </xf>
    <xf numFmtId="0" fontId="34" fillId="0" borderId="16" xfId="0" applyFont="1" applyBorder="1"/>
    <xf numFmtId="0" fontId="77" fillId="3" borderId="0" xfId="0" applyFont="1" applyFill="1"/>
    <xf numFmtId="3" fontId="78" fillId="0" borderId="0" xfId="0" applyNumberFormat="1" applyFont="1" applyAlignment="1">
      <alignment vertical="center"/>
    </xf>
    <xf numFmtId="165" fontId="78" fillId="0" borderId="0" xfId="0" applyNumberFormat="1" applyFont="1" applyAlignment="1">
      <alignment vertical="center"/>
    </xf>
    <xf numFmtId="0" fontId="35" fillId="0" borderId="3" xfId="0" applyFont="1" applyBorder="1" applyAlignment="1">
      <alignment horizontal="left" vertical="center"/>
    </xf>
    <xf numFmtId="0" fontId="57" fillId="4" borderId="0" xfId="0" applyFont="1" applyFill="1"/>
    <xf numFmtId="0" fontId="59" fillId="0" borderId="0" xfId="0" applyFont="1"/>
    <xf numFmtId="0" fontId="59" fillId="4" borderId="0" xfId="0" applyFont="1" applyFill="1"/>
    <xf numFmtId="0" fontId="59" fillId="4" borderId="0" xfId="0" applyFont="1" applyFill="1" applyAlignment="1">
      <alignment horizontal="justify"/>
    </xf>
    <xf numFmtId="0" fontId="19" fillId="3" borderId="0" xfId="0" applyFont="1" applyFill="1"/>
    <xf numFmtId="0" fontId="32" fillId="0" borderId="5" xfId="22" applyFont="1" applyBorder="1" applyAlignment="1">
      <alignment horizontal="left" indent="1"/>
    </xf>
    <xf numFmtId="165" fontId="32" fillId="0" borderId="5" xfId="22" applyNumberFormat="1" applyFont="1" applyBorder="1"/>
    <xf numFmtId="14" fontId="5" fillId="0" borderId="0" xfId="22" applyNumberFormat="1"/>
    <xf numFmtId="0" fontId="57" fillId="0" borderId="8" xfId="22" applyFont="1" applyBorder="1"/>
    <xf numFmtId="1" fontId="32" fillId="0" borderId="0" xfId="23" applyNumberFormat="1" applyFont="1" applyFill="1" applyBorder="1" applyAlignment="1">
      <alignment vertical="center"/>
    </xf>
    <xf numFmtId="9" fontId="59" fillId="0" borderId="0" xfId="8" applyFont="1" applyFill="1" applyBorder="1"/>
    <xf numFmtId="0" fontId="0" fillId="0" borderId="0" xfId="22" applyFont="1"/>
    <xf numFmtId="0" fontId="79" fillId="0" borderId="0" xfId="22" applyFont="1"/>
    <xf numFmtId="0" fontId="33" fillId="3" borderId="0" xfId="22" applyFont="1" applyFill="1"/>
    <xf numFmtId="0" fontId="23" fillId="0" borderId="0" xfId="22" applyFont="1"/>
    <xf numFmtId="0" fontId="56" fillId="5" borderId="0" xfId="22" applyFont="1" applyFill="1" applyAlignment="1">
      <alignment horizontal="left" vertical="center"/>
    </xf>
    <xf numFmtId="0" fontId="56" fillId="5" borderId="0" xfId="22" applyFont="1" applyFill="1" applyAlignment="1">
      <alignment horizontal="center" vertical="center" wrapText="1"/>
    </xf>
    <xf numFmtId="0" fontId="80" fillId="6" borderId="17" xfId="22" applyFont="1" applyFill="1" applyBorder="1"/>
    <xf numFmtId="0" fontId="59" fillId="7" borderId="17" xfId="22" applyFont="1" applyFill="1" applyBorder="1"/>
    <xf numFmtId="165" fontId="0" fillId="0" borderId="0" xfId="22" applyNumberFormat="1" applyFont="1"/>
    <xf numFmtId="165" fontId="57" fillId="0" borderId="17" xfId="13" applyNumberFormat="1" applyFont="1" applyBorder="1"/>
    <xf numFmtId="165" fontId="57" fillId="7" borderId="17" xfId="13" applyNumberFormat="1" applyFont="1" applyFill="1" applyBorder="1"/>
    <xf numFmtId="0" fontId="81" fillId="0" borderId="0" xfId="22" applyFont="1"/>
    <xf numFmtId="9" fontId="76" fillId="3" borderId="0" xfId="8" applyFont="1" applyFill="1"/>
    <xf numFmtId="165" fontId="35" fillId="0" borderId="17" xfId="13" applyNumberFormat="1" applyFont="1" applyBorder="1"/>
    <xf numFmtId="165" fontId="82" fillId="0" borderId="0" xfId="22" applyNumberFormat="1" applyFont="1"/>
    <xf numFmtId="9" fontId="35" fillId="0" borderId="17" xfId="13" applyNumberFormat="1" applyFont="1" applyBorder="1"/>
    <xf numFmtId="9" fontId="35" fillId="7" borderId="17" xfId="13" applyNumberFormat="1" applyFont="1" applyFill="1" applyBorder="1"/>
    <xf numFmtId="9" fontId="57" fillId="0" borderId="17" xfId="13" applyNumberFormat="1" applyFont="1" applyBorder="1"/>
    <xf numFmtId="0" fontId="82" fillId="0" borderId="0" xfId="22" applyFont="1"/>
    <xf numFmtId="0" fontId="83" fillId="4" borderId="0" xfId="0" applyFont="1" applyFill="1"/>
    <xf numFmtId="0" fontId="35" fillId="0" borderId="5" xfId="22" applyFont="1" applyBorder="1"/>
    <xf numFmtId="165" fontId="35" fillId="0" borderId="5" xfId="23" applyNumberFormat="1" applyFont="1" applyFill="1" applyBorder="1" applyAlignment="1">
      <alignment vertical="center"/>
    </xf>
    <xf numFmtId="165" fontId="32" fillId="0" borderId="5" xfId="23" applyNumberFormat="1" applyFont="1" applyFill="1" applyBorder="1" applyAlignment="1">
      <alignment horizontal="center" vertical="center"/>
    </xf>
    <xf numFmtId="0" fontId="35" fillId="0" borderId="6" xfId="24" applyFont="1" applyBorder="1" applyAlignment="1">
      <alignment horizontal="left" indent="2"/>
    </xf>
    <xf numFmtId="9" fontId="35" fillId="0" borderId="6" xfId="8" applyFont="1" applyFill="1" applyBorder="1"/>
    <xf numFmtId="165" fontId="32" fillId="0" borderId="0" xfId="23" applyNumberFormat="1" applyFont="1" applyFill="1" applyBorder="1"/>
    <xf numFmtId="9" fontId="35" fillId="0" borderId="0" xfId="25" applyFont="1" applyFill="1" applyBorder="1"/>
    <xf numFmtId="165" fontId="32" fillId="0" borderId="7" xfId="23" applyNumberFormat="1" applyFont="1" applyFill="1" applyBorder="1" applyAlignment="1">
      <alignment horizontal="right" vertical="center"/>
    </xf>
    <xf numFmtId="0" fontId="35" fillId="3" borderId="0" xfId="0" applyFont="1" applyFill="1" applyAlignment="1">
      <alignment vertical="center"/>
    </xf>
    <xf numFmtId="165" fontId="32" fillId="0" borderId="7" xfId="23" applyNumberFormat="1" applyFont="1" applyFill="1" applyBorder="1" applyAlignment="1">
      <alignment horizontal="center" vertical="center"/>
    </xf>
    <xf numFmtId="0" fontId="83" fillId="0" borderId="0" xfId="0" applyFont="1"/>
    <xf numFmtId="0" fontId="12" fillId="3" borderId="0" xfId="0" quotePrefix="1" applyFont="1" applyFill="1"/>
    <xf numFmtId="9" fontId="19" fillId="3" borderId="0" xfId="8" applyFont="1" applyFill="1"/>
    <xf numFmtId="0" fontId="54" fillId="3" borderId="0" xfId="0" applyFont="1" applyFill="1" applyAlignment="1">
      <alignment horizontal="center" vertical="top"/>
    </xf>
    <xf numFmtId="3" fontId="56" fillId="5" borderId="11" xfId="0" applyNumberFormat="1" applyFont="1" applyFill="1" applyBorder="1" applyAlignment="1">
      <alignment horizontal="center" vertical="center"/>
    </xf>
    <xf numFmtId="169" fontId="84" fillId="0" borderId="7" xfId="0" applyNumberFormat="1" applyFont="1" applyBorder="1" applyAlignment="1">
      <alignment horizontal="center" vertical="center"/>
    </xf>
    <xf numFmtId="165" fontId="35" fillId="0" borderId="17" xfId="13" applyNumberFormat="1" applyFont="1" applyFill="1" applyBorder="1"/>
    <xf numFmtId="165" fontId="57" fillId="0" borderId="17" xfId="13" applyNumberFormat="1" applyFont="1" applyFill="1" applyBorder="1"/>
    <xf numFmtId="169" fontId="17" fillId="0" borderId="0" xfId="0" applyNumberFormat="1" applyFont="1" applyAlignment="1">
      <alignment horizontal="center"/>
    </xf>
    <xf numFmtId="9" fontId="19" fillId="0" borderId="0" xfId="8" applyFont="1" applyBorder="1" applyAlignment="1">
      <alignment horizontal="center"/>
    </xf>
    <xf numFmtId="0" fontId="85" fillId="0" borderId="0" xfId="0" applyFont="1"/>
    <xf numFmtId="1" fontId="28" fillId="3" borderId="0" xfId="22" applyNumberFormat="1" applyFont="1" applyFill="1" applyAlignment="1">
      <alignment horizontal="right" vertical="center"/>
    </xf>
    <xf numFmtId="0" fontId="86" fillId="3" borderId="0" xfId="0" applyFont="1" applyFill="1"/>
    <xf numFmtId="165" fontId="32" fillId="0" borderId="7" xfId="13" applyNumberFormat="1" applyFont="1" applyBorder="1" applyAlignment="1">
      <alignment horizontal="right" vertical="center"/>
    </xf>
    <xf numFmtId="165" fontId="67" fillId="0" borderId="0" xfId="20" applyNumberFormat="1" applyFont="1" applyAlignment="1">
      <alignment vertical="center"/>
    </xf>
    <xf numFmtId="167" fontId="23" fillId="4" borderId="0" xfId="24" applyNumberFormat="1" applyFont="1" applyFill="1"/>
    <xf numFmtId="167" fontId="19" fillId="3" borderId="0" xfId="24" applyNumberFormat="1" applyFont="1" applyFill="1"/>
    <xf numFmtId="0" fontId="88" fillId="0" borderId="0" xfId="55" applyFont="1" applyAlignment="1">
      <alignment vertical="center"/>
    </xf>
    <xf numFmtId="0" fontId="88" fillId="0" borderId="0" xfId="55" applyFont="1" applyAlignment="1">
      <alignment vertical="center" wrapText="1"/>
    </xf>
    <xf numFmtId="0" fontId="88" fillId="0" borderId="0" xfId="55" applyFont="1" applyAlignment="1">
      <alignment horizontal="left" vertical="center" wrapText="1"/>
    </xf>
    <xf numFmtId="0" fontId="88" fillId="0" borderId="0" xfId="55" applyFont="1" applyAlignment="1">
      <alignment horizontal="center" vertical="center" wrapText="1"/>
    </xf>
    <xf numFmtId="0" fontId="89" fillId="0" borderId="0" xfId="55" applyFont="1" applyAlignment="1">
      <alignment horizontal="center" vertical="center" wrapText="1"/>
    </xf>
    <xf numFmtId="0" fontId="87" fillId="0" borderId="32" xfId="55" applyFont="1" applyBorder="1" applyAlignment="1">
      <alignment horizontal="center" vertical="center" wrapText="1"/>
    </xf>
    <xf numFmtId="0" fontId="59" fillId="4" borderId="24" xfId="55" applyFont="1" applyFill="1" applyBorder="1" applyAlignment="1">
      <alignment vertical="center" wrapText="1"/>
    </xf>
    <xf numFmtId="0" fontId="59" fillId="4" borderId="24" xfId="55" applyFont="1" applyFill="1" applyBorder="1" applyAlignment="1">
      <alignment horizontal="left" vertical="center" wrapText="1"/>
    </xf>
    <xf numFmtId="0" fontId="57" fillId="4" borderId="24" xfId="55" applyFont="1" applyFill="1" applyBorder="1" applyAlignment="1">
      <alignment horizontal="left" vertical="center" wrapText="1"/>
    </xf>
    <xf numFmtId="0" fontId="59" fillId="4" borderId="20" xfId="55" applyFont="1" applyFill="1" applyBorder="1" applyAlignment="1">
      <alignment vertical="center" wrapText="1"/>
    </xf>
    <xf numFmtId="0" fontId="59" fillId="4" borderId="18" xfId="55" applyFont="1" applyFill="1" applyBorder="1" applyAlignment="1">
      <alignment horizontal="center" vertical="center" wrapText="1"/>
    </xf>
    <xf numFmtId="0" fontId="57" fillId="8" borderId="18" xfId="55" applyFont="1" applyFill="1" applyBorder="1" applyAlignment="1">
      <alignment horizontal="center" vertical="center" wrapText="1"/>
    </xf>
    <xf numFmtId="171" fontId="57" fillId="4" borderId="18" xfId="56" applyNumberFormat="1" applyFont="1" applyFill="1" applyBorder="1" applyAlignment="1">
      <alignment horizontal="center" vertical="center" wrapText="1"/>
    </xf>
    <xf numFmtId="0" fontId="59" fillId="4" borderId="21" xfId="55" applyFont="1" applyFill="1" applyBorder="1" applyAlignment="1">
      <alignment horizontal="center" vertical="center" wrapText="1"/>
    </xf>
    <xf numFmtId="10" fontId="59" fillId="4" borderId="18" xfId="55" applyNumberFormat="1" applyFont="1" applyFill="1" applyBorder="1" applyAlignment="1">
      <alignment horizontal="center" vertical="center" wrapText="1"/>
    </xf>
    <xf numFmtId="171" fontId="57" fillId="8" borderId="18" xfId="55" applyNumberFormat="1" applyFont="1" applyFill="1" applyBorder="1" applyAlignment="1">
      <alignment horizontal="center" vertical="center" wrapText="1"/>
    </xf>
    <xf numFmtId="9" fontId="57" fillId="8" borderId="21" xfId="55" applyNumberFormat="1" applyFont="1" applyFill="1" applyBorder="1" applyAlignment="1">
      <alignment horizontal="center" vertical="center" wrapText="1"/>
    </xf>
    <xf numFmtId="171" fontId="57" fillId="8" borderId="21" xfId="55" applyNumberFormat="1" applyFont="1" applyFill="1" applyBorder="1" applyAlignment="1">
      <alignment horizontal="center" vertical="center" wrapText="1"/>
    </xf>
    <xf numFmtId="172" fontId="59" fillId="4" borderId="21" xfId="55" applyNumberFormat="1" applyFont="1" applyFill="1" applyBorder="1" applyAlignment="1">
      <alignment horizontal="center" vertical="center" wrapText="1"/>
    </xf>
    <xf numFmtId="172" fontId="57" fillId="8" borderId="21" xfId="55" applyNumberFormat="1" applyFont="1" applyFill="1" applyBorder="1" applyAlignment="1">
      <alignment horizontal="center" vertical="center" wrapText="1"/>
    </xf>
    <xf numFmtId="0" fontId="57" fillId="8" borderId="21" xfId="55" applyFont="1" applyFill="1" applyBorder="1" applyAlignment="1">
      <alignment horizontal="center" vertical="center" wrapText="1"/>
    </xf>
    <xf numFmtId="169" fontId="59" fillId="0" borderId="21" xfId="55" applyNumberFormat="1" applyFont="1" applyBorder="1" applyAlignment="1">
      <alignment horizontal="center" vertical="center" wrapText="1"/>
    </xf>
    <xf numFmtId="169" fontId="57" fillId="8" borderId="21" xfId="55" applyNumberFormat="1" applyFont="1" applyFill="1" applyBorder="1" applyAlignment="1">
      <alignment horizontal="center" vertical="center" wrapText="1"/>
    </xf>
    <xf numFmtId="169" fontId="59" fillId="0" borderId="25" xfId="55" applyNumberFormat="1" applyFont="1" applyBorder="1" applyAlignment="1">
      <alignment horizontal="center" vertical="center" wrapText="1"/>
    </xf>
    <xf numFmtId="169" fontId="57" fillId="8" borderId="25" xfId="55" applyNumberFormat="1" applyFont="1" applyFill="1" applyBorder="1" applyAlignment="1">
      <alignment horizontal="center" vertical="center" wrapText="1"/>
    </xf>
    <xf numFmtId="171" fontId="59" fillId="4" borderId="21" xfId="55" applyNumberFormat="1" applyFont="1" applyFill="1" applyBorder="1" applyAlignment="1">
      <alignment horizontal="center" vertical="center" wrapText="1"/>
    </xf>
    <xf numFmtId="0" fontId="59" fillId="0" borderId="21" xfId="55" applyFont="1" applyBorder="1" applyAlignment="1">
      <alignment horizontal="center" vertical="center" wrapText="1"/>
    </xf>
    <xf numFmtId="9" fontId="59" fillId="4" borderId="21" xfId="55" applyNumberFormat="1" applyFont="1" applyFill="1" applyBorder="1" applyAlignment="1">
      <alignment horizontal="center" vertical="center" wrapText="1"/>
    </xf>
    <xf numFmtId="0" fontId="56" fillId="5" borderId="26" xfId="55" applyFont="1" applyFill="1" applyBorder="1" applyAlignment="1">
      <alignment horizontal="center" vertical="center" wrapText="1"/>
    </xf>
    <xf numFmtId="0" fontId="56" fillId="5" borderId="30" xfId="55" applyFont="1" applyFill="1" applyBorder="1" applyAlignment="1">
      <alignment horizontal="center" vertical="center" wrapText="1"/>
    </xf>
    <xf numFmtId="171" fontId="59" fillId="4" borderId="18" xfId="55" applyNumberFormat="1" applyFont="1" applyFill="1" applyBorder="1" applyAlignment="1">
      <alignment horizontal="center" vertical="center" wrapText="1"/>
    </xf>
    <xf numFmtId="0" fontId="57" fillId="4" borderId="38" xfId="55" applyFont="1" applyFill="1" applyBorder="1" applyAlignment="1">
      <alignment horizontal="left" vertical="center" wrapText="1"/>
    </xf>
    <xf numFmtId="0" fontId="59" fillId="4" borderId="38" xfId="55" applyFont="1" applyFill="1" applyBorder="1" applyAlignment="1">
      <alignment vertical="center" wrapText="1"/>
    </xf>
    <xf numFmtId="0" fontId="59" fillId="4" borderId="39" xfId="55" applyFont="1" applyFill="1" applyBorder="1" applyAlignment="1">
      <alignment horizontal="center" vertical="center" wrapText="1"/>
    </xf>
    <xf numFmtId="169" fontId="59" fillId="4" borderId="39" xfId="55" applyNumberFormat="1" applyFont="1" applyFill="1" applyBorder="1" applyAlignment="1">
      <alignment horizontal="center" vertical="center" wrapText="1"/>
    </xf>
    <xf numFmtId="169" fontId="57" fillId="8" borderId="39" xfId="55" applyNumberFormat="1" applyFont="1" applyFill="1" applyBorder="1" applyAlignment="1">
      <alignment horizontal="center" vertical="center" wrapText="1"/>
    </xf>
    <xf numFmtId="171" fontId="57" fillId="4" borderId="40" xfId="56" applyNumberFormat="1" applyFont="1" applyFill="1" applyBorder="1" applyAlignment="1">
      <alignment horizontal="center" vertical="center" wrapText="1"/>
    </xf>
    <xf numFmtId="9" fontId="57" fillId="8" borderId="18" xfId="55" applyNumberFormat="1" applyFont="1" applyFill="1" applyBorder="1" applyAlignment="1">
      <alignment horizontal="center" vertical="center" wrapText="1"/>
    </xf>
    <xf numFmtId="9" fontId="59" fillId="4" borderId="39" xfId="55" applyNumberFormat="1" applyFont="1" applyFill="1" applyBorder="1" applyAlignment="1">
      <alignment horizontal="center" vertical="center" wrapText="1"/>
    </xf>
    <xf numFmtId="171" fontId="57" fillId="8" borderId="39" xfId="55" applyNumberFormat="1" applyFont="1" applyFill="1" applyBorder="1" applyAlignment="1">
      <alignment horizontal="center" vertical="center" wrapText="1"/>
    </xf>
    <xf numFmtId="9" fontId="57" fillId="8" borderId="39" xfId="55" applyNumberFormat="1" applyFont="1" applyFill="1" applyBorder="1" applyAlignment="1">
      <alignment horizontal="center" vertical="center" wrapText="1"/>
    </xf>
    <xf numFmtId="0" fontId="59" fillId="0" borderId="38" xfId="55" applyFont="1" applyBorder="1" applyAlignment="1">
      <alignment horizontal="left" vertical="center" wrapText="1"/>
    </xf>
    <xf numFmtId="0" fontId="59" fillId="0" borderId="39" xfId="55" applyFont="1" applyBorder="1" applyAlignment="1">
      <alignment horizontal="center" vertical="center" wrapText="1"/>
    </xf>
    <xf numFmtId="9" fontId="59" fillId="0" borderId="39" xfId="55" applyNumberFormat="1" applyFont="1" applyBorder="1" applyAlignment="1">
      <alignment horizontal="center" vertical="center" wrapText="1"/>
    </xf>
    <xf numFmtId="171" fontId="57" fillId="0" borderId="39" xfId="56" applyNumberFormat="1" applyFont="1" applyFill="1" applyBorder="1" applyAlignment="1">
      <alignment horizontal="center" vertical="center" wrapText="1"/>
    </xf>
    <xf numFmtId="0" fontId="94" fillId="0" borderId="0" xfId="3" applyFont="1" applyAlignment="1" applyProtection="1"/>
    <xf numFmtId="173" fontId="32" fillId="0" borderId="7" xfId="0" applyNumberFormat="1" applyFont="1" applyBorder="1" applyAlignment="1">
      <alignment horizontal="center" vertical="center"/>
    </xf>
    <xf numFmtId="0" fontId="19" fillId="0" borderId="0" xfId="0" applyFont="1" applyAlignment="1">
      <alignment horizontal="left" vertical="top"/>
    </xf>
    <xf numFmtId="0" fontId="95" fillId="0" borderId="0" xfId="0" applyFont="1"/>
    <xf numFmtId="0" fontId="90" fillId="0" borderId="0" xfId="55" applyFont="1" applyAlignment="1">
      <alignment horizontal="left" vertical="center" wrapText="1"/>
    </xf>
    <xf numFmtId="0" fontId="91" fillId="0" borderId="0" xfId="55" applyFont="1" applyAlignment="1">
      <alignment horizontal="left" vertical="center" wrapText="1"/>
    </xf>
    <xf numFmtId="0" fontId="87" fillId="0" borderId="0" xfId="55" applyFont="1" applyAlignment="1">
      <alignment horizontal="center" vertical="center" wrapText="1"/>
    </xf>
    <xf numFmtId="9" fontId="19" fillId="3" borderId="0" xfId="8" applyFont="1" applyFill="1" applyAlignment="1">
      <alignment vertical="center"/>
    </xf>
    <xf numFmtId="0" fontId="59" fillId="4" borderId="0" xfId="22" applyFont="1" applyFill="1"/>
    <xf numFmtId="0" fontId="59" fillId="0" borderId="0" xfId="22" applyFont="1"/>
    <xf numFmtId="0" fontId="97" fillId="0" borderId="0" xfId="0" applyFont="1" applyAlignment="1">
      <alignment horizontal="justify" vertical="center" readingOrder="1"/>
    </xf>
    <xf numFmtId="164" fontId="5" fillId="0" borderId="0" xfId="13"/>
    <xf numFmtId="174" fontId="59" fillId="0" borderId="25" xfId="13" applyNumberFormat="1" applyFont="1" applyBorder="1" applyAlignment="1">
      <alignment horizontal="center" vertical="center" wrapText="1"/>
    </xf>
    <xf numFmtId="164" fontId="57" fillId="0" borderId="4" xfId="20" applyFont="1" applyBorder="1" applyAlignment="1">
      <alignment vertical="center"/>
    </xf>
    <xf numFmtId="0" fontId="17" fillId="3" borderId="0" xfId="0" applyFont="1" applyFill="1" applyAlignment="1">
      <alignment horizontal="center" vertical="center"/>
    </xf>
    <xf numFmtId="165" fontId="32" fillId="0" borderId="0" xfId="23" applyNumberFormat="1" applyFont="1" applyAlignment="1">
      <alignment vertical="center"/>
    </xf>
    <xf numFmtId="165" fontId="32" fillId="0" borderId="0" xfId="23" applyNumberFormat="1" applyFont="1" applyAlignment="1">
      <alignment horizontal="center" vertical="center"/>
    </xf>
    <xf numFmtId="165" fontId="32" fillId="0" borderId="6" xfId="23" applyNumberFormat="1" applyFont="1" applyBorder="1" applyAlignment="1">
      <alignment vertical="center"/>
    </xf>
    <xf numFmtId="164" fontId="32" fillId="0" borderId="7" xfId="23" applyFont="1" applyBorder="1" applyAlignment="1">
      <alignment vertical="center"/>
    </xf>
    <xf numFmtId="165" fontId="32" fillId="0" borderId="15" xfId="23" applyNumberFormat="1" applyFont="1" applyBorder="1" applyAlignment="1">
      <alignment vertical="center"/>
    </xf>
    <xf numFmtId="165" fontId="32" fillId="0" borderId="7" xfId="23" applyNumberFormat="1" applyFont="1" applyBorder="1" applyAlignment="1">
      <alignment vertical="center"/>
    </xf>
    <xf numFmtId="168" fontId="32" fillId="0" borderId="0" xfId="23" applyNumberFormat="1" applyFont="1" applyAlignment="1">
      <alignment vertical="center"/>
    </xf>
    <xf numFmtId="168" fontId="32" fillId="0" borderId="7" xfId="23" applyNumberFormat="1" applyFont="1" applyBorder="1" applyAlignment="1">
      <alignment vertical="center"/>
    </xf>
    <xf numFmtId="0" fontId="59" fillId="0" borderId="0" xfId="0" applyFont="1" applyAlignment="1">
      <alignment horizontal="justify" vertical="top"/>
    </xf>
    <xf numFmtId="0" fontId="32" fillId="0" borderId="0" xfId="0" applyFont="1" applyAlignment="1">
      <alignment horizontal="left" vertical="top" wrapText="1"/>
    </xf>
    <xf numFmtId="0" fontId="32" fillId="0" borderId="0" xfId="22" applyFont="1" applyAlignment="1">
      <alignment horizontal="left" vertical="top" wrapText="1"/>
    </xf>
    <xf numFmtId="165" fontId="35" fillId="0" borderId="4" xfId="23" applyNumberFormat="1" applyFont="1" applyFill="1" applyBorder="1" applyAlignment="1">
      <alignment vertical="center"/>
    </xf>
    <xf numFmtId="165" fontId="32" fillId="0" borderId="0" xfId="23" applyNumberFormat="1" applyFont="1" applyFill="1" applyAlignment="1">
      <alignment vertical="center"/>
    </xf>
    <xf numFmtId="165" fontId="32" fillId="0" borderId="0" xfId="13" applyNumberFormat="1" applyFont="1" applyFill="1" applyAlignment="1">
      <alignment horizontal="center" vertical="center"/>
    </xf>
    <xf numFmtId="165" fontId="32" fillId="0" borderId="6" xfId="23" applyNumberFormat="1" applyFont="1" applyFill="1" applyBorder="1" applyAlignment="1">
      <alignment horizontal="center" vertical="center"/>
    </xf>
    <xf numFmtId="165" fontId="32" fillId="0" borderId="0" xfId="23" applyNumberFormat="1" applyFont="1" applyFill="1" applyAlignment="1">
      <alignment horizontal="center" vertical="center"/>
    </xf>
    <xf numFmtId="165" fontId="32" fillId="0" borderId="10" xfId="23" applyNumberFormat="1" applyFont="1" applyFill="1" applyBorder="1" applyAlignment="1">
      <alignment horizontal="center" vertical="center"/>
    </xf>
    <xf numFmtId="165" fontId="32" fillId="0" borderId="6" xfId="23" applyNumberFormat="1" applyFont="1" applyFill="1" applyBorder="1" applyAlignment="1">
      <alignment vertical="center"/>
    </xf>
    <xf numFmtId="165" fontId="59" fillId="0" borderId="0" xfId="23" applyNumberFormat="1" applyFont="1"/>
    <xf numFmtId="165" fontId="59" fillId="0" borderId="5" xfId="23" applyNumberFormat="1" applyFont="1" applyBorder="1"/>
    <xf numFmtId="165" fontId="59" fillId="0" borderId="6" xfId="23" applyNumberFormat="1" applyFont="1" applyBorder="1"/>
    <xf numFmtId="164" fontId="19" fillId="3" borderId="0" xfId="13" applyFont="1" applyFill="1"/>
    <xf numFmtId="164" fontId="35" fillId="0" borderId="0" xfId="13" applyFont="1" applyFill="1" applyBorder="1" applyAlignment="1">
      <alignment horizontal="right"/>
    </xf>
    <xf numFmtId="164" fontId="82" fillId="0" borderId="0" xfId="13" applyFont="1" applyFill="1"/>
    <xf numFmtId="1" fontId="32" fillId="0" borderId="5" xfId="23" applyNumberFormat="1" applyFont="1" applyBorder="1" applyAlignment="1">
      <alignment vertical="center"/>
    </xf>
    <xf numFmtId="165" fontId="32" fillId="0" borderId="5" xfId="23" applyNumberFormat="1" applyFont="1" applyBorder="1" applyAlignment="1">
      <alignment vertical="center"/>
    </xf>
    <xf numFmtId="165" fontId="35" fillId="0" borderId="5" xfId="23" applyNumberFormat="1" applyFont="1" applyBorder="1" applyAlignment="1">
      <alignment vertical="center"/>
    </xf>
    <xf numFmtId="1" fontId="32" fillId="0" borderId="0" xfId="23" applyNumberFormat="1" applyFont="1" applyAlignment="1">
      <alignment vertical="center"/>
    </xf>
    <xf numFmtId="0" fontId="35" fillId="0" borderId="4" xfId="0" applyFont="1" applyBorder="1" applyAlignment="1">
      <alignment vertical="center" wrapText="1"/>
    </xf>
    <xf numFmtId="165" fontId="35" fillId="0" borderId="4" xfId="20" applyNumberFormat="1" applyFont="1" applyBorder="1" applyAlignment="1">
      <alignment horizontal="right" vertical="center"/>
    </xf>
    <xf numFmtId="9" fontId="19" fillId="0" borderId="0" xfId="8" applyFont="1"/>
    <xf numFmtId="0" fontId="56" fillId="5" borderId="0" xfId="24" applyFont="1" applyFill="1" applyAlignment="1">
      <alignment horizontal="center" vertical="center" wrapText="1"/>
    </xf>
    <xf numFmtId="165" fontId="57" fillId="0" borderId="4" xfId="13" applyNumberFormat="1" applyFont="1" applyBorder="1"/>
    <xf numFmtId="165" fontId="32" fillId="0" borderId="4" xfId="23" applyNumberFormat="1" applyFont="1" applyBorder="1" applyAlignment="1">
      <alignment vertical="center"/>
    </xf>
    <xf numFmtId="165" fontId="35" fillId="0" borderId="7" xfId="13" applyNumberFormat="1" applyFont="1" applyFill="1" applyBorder="1"/>
    <xf numFmtId="165" fontId="32" fillId="0" borderId="7" xfId="13" applyNumberFormat="1" applyFont="1" applyFill="1" applyBorder="1"/>
    <xf numFmtId="165" fontId="57" fillId="0" borderId="8" xfId="23" applyNumberFormat="1" applyFont="1" applyFill="1" applyBorder="1" applyAlignment="1">
      <alignment horizontal="right"/>
    </xf>
    <xf numFmtId="1" fontId="57" fillId="0" borderId="8" xfId="23" applyNumberFormat="1" applyFont="1" applyFill="1" applyBorder="1" applyAlignment="1">
      <alignment horizontal="right"/>
    </xf>
    <xf numFmtId="1" fontId="57" fillId="0" borderId="8" xfId="23" applyNumberFormat="1" applyFont="1" applyBorder="1" applyAlignment="1">
      <alignment horizontal="right"/>
    </xf>
    <xf numFmtId="9" fontId="5" fillId="0" borderId="0" xfId="25"/>
    <xf numFmtId="1" fontId="57" fillId="0" borderId="4" xfId="23" applyNumberFormat="1" applyFont="1" applyBorder="1" applyAlignment="1">
      <alignment horizontal="right"/>
    </xf>
    <xf numFmtId="165" fontId="57" fillId="0" borderId="4" xfId="23" applyNumberFormat="1" applyFont="1" applyFill="1" applyBorder="1" applyAlignment="1">
      <alignment horizontal="right"/>
    </xf>
    <xf numFmtId="1" fontId="57" fillId="0" borderId="4" xfId="23" applyNumberFormat="1" applyFont="1" applyFill="1" applyBorder="1" applyAlignment="1">
      <alignment horizontal="right"/>
    </xf>
    <xf numFmtId="1" fontId="32" fillId="4" borderId="0" xfId="22" applyNumberFormat="1" applyFont="1" applyFill="1"/>
    <xf numFmtId="0" fontId="56" fillId="5" borderId="0" xfId="55" applyFont="1" applyFill="1" applyAlignment="1">
      <alignment horizontal="center" vertical="center" wrapText="1"/>
    </xf>
    <xf numFmtId="0" fontId="32" fillId="4" borderId="18" xfId="55" applyFont="1" applyFill="1" applyBorder="1" applyAlignment="1">
      <alignment horizontal="center" vertical="center" wrapText="1"/>
    </xf>
    <xf numFmtId="0" fontId="35" fillId="8" borderId="18" xfId="55" applyFont="1" applyFill="1" applyBorder="1" applyAlignment="1">
      <alignment horizontal="center" vertical="center" wrapText="1"/>
    </xf>
    <xf numFmtId="10" fontId="32" fillId="4" borderId="18" xfId="55" applyNumberFormat="1" applyFont="1" applyFill="1" applyBorder="1" applyAlignment="1">
      <alignment horizontal="center" vertical="center" wrapText="1"/>
    </xf>
    <xf numFmtId="171" fontId="35" fillId="8" borderId="18" xfId="55" applyNumberFormat="1" applyFont="1" applyFill="1" applyBorder="1" applyAlignment="1">
      <alignment horizontal="center" vertical="center" wrapText="1"/>
    </xf>
    <xf numFmtId="0" fontId="59" fillId="4" borderId="21" xfId="55" quotePrefix="1" applyFont="1" applyFill="1" applyBorder="1" applyAlignment="1">
      <alignment horizontal="center" vertical="center" wrapText="1"/>
    </xf>
    <xf numFmtId="0" fontId="59" fillId="4" borderId="18" xfId="55" quotePrefix="1" applyFont="1" applyFill="1" applyBorder="1" applyAlignment="1">
      <alignment horizontal="center" vertical="center" wrapText="1"/>
    </xf>
    <xf numFmtId="172" fontId="57" fillId="8" borderId="25" xfId="55" applyNumberFormat="1" applyFont="1" applyFill="1" applyBorder="1" applyAlignment="1">
      <alignment horizontal="center" vertical="center" wrapText="1"/>
    </xf>
    <xf numFmtId="0" fontId="32" fillId="4" borderId="21" xfId="55" quotePrefix="1" applyFont="1" applyFill="1" applyBorder="1" applyAlignment="1">
      <alignment horizontal="center" vertical="center" wrapText="1"/>
    </xf>
    <xf numFmtId="0" fontId="35" fillId="8" borderId="21" xfId="55" applyFont="1" applyFill="1" applyBorder="1" applyAlignment="1">
      <alignment horizontal="center" vertical="center" wrapText="1"/>
    </xf>
    <xf numFmtId="0" fontId="32" fillId="4" borderId="21" xfId="55" applyFont="1" applyFill="1" applyBorder="1" applyAlignment="1">
      <alignment horizontal="center" vertical="center" wrapText="1"/>
    </xf>
    <xf numFmtId="9" fontId="59" fillId="4" borderId="21" xfId="55" quotePrefix="1" applyNumberFormat="1" applyFont="1" applyFill="1" applyBorder="1" applyAlignment="1">
      <alignment horizontal="center" vertical="center" wrapText="1"/>
    </xf>
    <xf numFmtId="9" fontId="59" fillId="0" borderId="39" xfId="55" quotePrefix="1" applyNumberFormat="1" applyFont="1" applyBorder="1" applyAlignment="1">
      <alignment horizontal="center" vertical="center" wrapText="1"/>
    </xf>
    <xf numFmtId="0" fontId="32" fillId="4" borderId="20" xfId="55" applyFont="1" applyFill="1" applyBorder="1" applyAlignment="1">
      <alignment vertical="center" wrapText="1"/>
    </xf>
    <xf numFmtId="0" fontId="32" fillId="4" borderId="24" xfId="55" applyFont="1" applyFill="1" applyBorder="1" applyAlignment="1">
      <alignment vertical="center" wrapText="1"/>
    </xf>
    <xf numFmtId="9" fontId="57" fillId="4" borderId="5" xfId="25" applyFont="1" applyFill="1" applyBorder="1"/>
    <xf numFmtId="9" fontId="59" fillId="4" borderId="7" xfId="25" applyFont="1" applyFill="1" applyBorder="1"/>
    <xf numFmtId="165" fontId="5" fillId="0" borderId="0" xfId="22" applyNumberFormat="1"/>
    <xf numFmtId="165" fontId="5" fillId="0" borderId="0" xfId="13" applyNumberFormat="1"/>
    <xf numFmtId="9" fontId="32" fillId="0" borderId="0" xfId="8" applyFont="1"/>
    <xf numFmtId="165" fontId="35" fillId="0" borderId="0" xfId="23" applyNumberFormat="1" applyFont="1" applyFill="1" applyAlignment="1">
      <alignment horizontal="right" vertical="center"/>
    </xf>
    <xf numFmtId="165" fontId="35" fillId="0" borderId="0" xfId="23" applyNumberFormat="1" applyFont="1" applyFill="1" applyAlignment="1">
      <alignment vertical="center"/>
    </xf>
    <xf numFmtId="165" fontId="32" fillId="0" borderId="0" xfId="23" applyNumberFormat="1" applyFont="1" applyFill="1" applyAlignment="1">
      <alignment horizontal="right" vertical="center"/>
    </xf>
    <xf numFmtId="164" fontId="36" fillId="0" borderId="0" xfId="23" applyFont="1" applyFill="1" applyBorder="1" applyAlignment="1">
      <alignment vertical="center"/>
    </xf>
    <xf numFmtId="164" fontId="36" fillId="0" borderId="0" xfId="23" applyFont="1" applyFill="1" applyBorder="1" applyAlignment="1">
      <alignment horizontal="right" vertical="center"/>
    </xf>
    <xf numFmtId="165" fontId="67" fillId="0" borderId="0" xfId="23" applyNumberFormat="1" applyFont="1" applyFill="1" applyBorder="1" applyAlignment="1">
      <alignment vertical="center"/>
    </xf>
    <xf numFmtId="169" fontId="59" fillId="4" borderId="18" xfId="55" applyNumberFormat="1" applyFont="1" applyFill="1" applyBorder="1" applyAlignment="1">
      <alignment horizontal="center" vertical="center" wrapText="1"/>
    </xf>
    <xf numFmtId="0" fontId="32" fillId="0" borderId="10" xfId="0" applyFont="1" applyBorder="1" applyAlignment="1">
      <alignment horizontal="left" vertical="center"/>
    </xf>
    <xf numFmtId="165" fontId="81" fillId="0" borderId="0" xfId="22" applyNumberFormat="1" applyFont="1"/>
    <xf numFmtId="9" fontId="32" fillId="0" borderId="0" xfId="8" applyFont="1" applyAlignment="1">
      <alignment vertical="center"/>
    </xf>
    <xf numFmtId="9" fontId="35" fillId="0" borderId="17" xfId="13" applyNumberFormat="1" applyFont="1" applyFill="1" applyBorder="1"/>
    <xf numFmtId="165" fontId="35" fillId="0" borderId="0" xfId="13" applyNumberFormat="1" applyFont="1" applyFill="1" applyBorder="1" applyAlignment="1">
      <alignment horizontal="right"/>
    </xf>
    <xf numFmtId="9" fontId="35" fillId="0" borderId="6" xfId="57" applyFont="1" applyFill="1" applyBorder="1"/>
    <xf numFmtId="9" fontId="59" fillId="0" borderId="0" xfId="57" applyFont="1" applyFill="1" applyBorder="1"/>
    <xf numFmtId="165" fontId="32" fillId="0" borderId="0" xfId="23" applyNumberFormat="1" applyFont="1" applyFill="1" applyBorder="1" applyAlignment="1">
      <alignment horizontal="center" vertical="center"/>
    </xf>
    <xf numFmtId="165" fontId="35" fillId="0" borderId="4" xfId="23" applyNumberFormat="1" applyFont="1" applyFill="1" applyBorder="1" applyAlignment="1">
      <alignment horizontal="right" vertical="center"/>
    </xf>
    <xf numFmtId="165" fontId="32" fillId="0" borderId="0" xfId="58" applyNumberFormat="1" applyFont="1" applyFill="1" applyAlignment="1">
      <alignment horizontal="center" vertical="center"/>
    </xf>
    <xf numFmtId="165" fontId="32" fillId="0" borderId="7" xfId="58" applyNumberFormat="1" applyFont="1" applyBorder="1" applyAlignment="1">
      <alignment horizontal="right" vertical="center"/>
    </xf>
    <xf numFmtId="165" fontId="32" fillId="0" borderId="7" xfId="0" applyNumberFormat="1" applyFont="1" applyBorder="1" applyAlignment="1">
      <alignment horizontal="right" vertical="center"/>
    </xf>
    <xf numFmtId="164" fontId="54" fillId="0" borderId="0" xfId="0" applyNumberFormat="1" applyFont="1" applyAlignment="1">
      <alignment vertical="center"/>
    </xf>
    <xf numFmtId="164" fontId="54" fillId="0" borderId="0" xfId="58" applyFont="1" applyFill="1" applyAlignment="1">
      <alignment vertical="center"/>
    </xf>
    <xf numFmtId="175" fontId="54" fillId="0" borderId="0" xfId="0" applyNumberFormat="1" applyFont="1" applyAlignment="1">
      <alignment vertical="center"/>
    </xf>
    <xf numFmtId="164" fontId="35" fillId="0" borderId="0" xfId="13" applyFont="1" applyFill="1" applyAlignment="1">
      <alignment vertical="center"/>
    </xf>
    <xf numFmtId="165" fontId="19" fillId="3" borderId="0" xfId="13" applyNumberFormat="1" applyFont="1" applyFill="1"/>
    <xf numFmtId="0" fontId="58" fillId="0" borderId="0" xfId="22" applyFont="1"/>
    <xf numFmtId="165" fontId="58" fillId="0" borderId="0" xfId="22" applyNumberFormat="1" applyFont="1"/>
    <xf numFmtId="164" fontId="23" fillId="4" borderId="0" xfId="13" applyFont="1" applyFill="1"/>
    <xf numFmtId="0" fontId="36" fillId="0" borderId="7" xfId="0" applyFont="1" applyBorder="1" applyAlignment="1">
      <alignment horizontal="left" indent="1"/>
    </xf>
    <xf numFmtId="165" fontId="57" fillId="0" borderId="4" xfId="23" applyNumberFormat="1" applyFont="1" applyFill="1" applyBorder="1" applyAlignment="1">
      <alignment vertical="center"/>
    </xf>
    <xf numFmtId="165" fontId="59" fillId="0" borderId="0" xfId="23" applyNumberFormat="1" applyFont="1" applyFill="1" applyAlignment="1">
      <alignment vertical="center"/>
    </xf>
    <xf numFmtId="165" fontId="59" fillId="0" borderId="4" xfId="23" applyNumberFormat="1" applyFont="1" applyFill="1" applyBorder="1" applyAlignment="1">
      <alignment vertical="center"/>
    </xf>
    <xf numFmtId="165" fontId="57" fillId="0" borderId="9" xfId="23" applyNumberFormat="1" applyFont="1" applyFill="1" applyBorder="1" applyAlignment="1">
      <alignment vertical="center"/>
    </xf>
    <xf numFmtId="165" fontId="59" fillId="0" borderId="10" xfId="23" applyNumberFormat="1" applyFont="1" applyFill="1" applyBorder="1" applyAlignment="1">
      <alignment vertical="center"/>
    </xf>
    <xf numFmtId="165" fontId="59" fillId="0" borderId="7" xfId="23" applyNumberFormat="1" applyFont="1" applyFill="1" applyBorder="1" applyAlignment="1">
      <alignment vertical="center"/>
    </xf>
    <xf numFmtId="9" fontId="5" fillId="0" borderId="0" xfId="8"/>
    <xf numFmtId="171" fontId="59" fillId="4" borderId="39" xfId="55" applyNumberFormat="1" applyFont="1" applyFill="1" applyBorder="1" applyAlignment="1">
      <alignment horizontal="center" vertical="center" wrapText="1"/>
    </xf>
    <xf numFmtId="165" fontId="32" fillId="0" borderId="0" xfId="20" applyNumberFormat="1" applyFont="1" applyAlignment="1">
      <alignment vertical="center"/>
    </xf>
    <xf numFmtId="165" fontId="32" fillId="0" borderId="7" xfId="20" applyNumberFormat="1" applyFont="1" applyBorder="1" applyAlignment="1">
      <alignment vertical="center"/>
    </xf>
    <xf numFmtId="165" fontId="59" fillId="0" borderId="8" xfId="20" applyNumberFormat="1" applyFont="1" applyBorder="1" applyAlignment="1">
      <alignment horizontal="center" vertical="center"/>
    </xf>
    <xf numFmtId="165" fontId="17" fillId="3" borderId="0" xfId="13" applyNumberFormat="1" applyFont="1" applyFill="1"/>
    <xf numFmtId="9" fontId="57" fillId="0" borderId="0" xfId="8" applyFont="1" applyFill="1" applyBorder="1"/>
    <xf numFmtId="9" fontId="54" fillId="0" borderId="0" xfId="8" applyFont="1" applyAlignment="1">
      <alignment vertical="center"/>
    </xf>
    <xf numFmtId="165" fontId="23" fillId="4" borderId="0" xfId="22" applyNumberFormat="1" applyFont="1" applyFill="1"/>
    <xf numFmtId="175" fontId="23" fillId="4" borderId="0" xfId="22" applyNumberFormat="1" applyFont="1" applyFill="1"/>
    <xf numFmtId="165" fontId="32" fillId="0" borderId="5" xfId="20" applyNumberFormat="1" applyFont="1" applyFill="1" applyBorder="1" applyAlignment="1">
      <alignment vertical="center"/>
    </xf>
    <xf numFmtId="165" fontId="32" fillId="0" borderId="7" xfId="23" applyNumberFormat="1" applyFont="1" applyBorder="1" applyAlignment="1">
      <alignment horizontal="center" vertical="center"/>
    </xf>
    <xf numFmtId="3" fontId="54" fillId="3" borderId="0" xfId="0" applyNumberFormat="1" applyFont="1" applyFill="1" applyAlignment="1">
      <alignment vertical="center"/>
    </xf>
    <xf numFmtId="1" fontId="54" fillId="3" borderId="0" xfId="0" applyNumberFormat="1" applyFont="1" applyFill="1" applyAlignment="1">
      <alignment vertical="center"/>
    </xf>
    <xf numFmtId="0" fontId="32" fillId="0" borderId="5" xfId="0" applyFont="1" applyBorder="1" applyAlignment="1">
      <alignment horizontal="left" vertical="center"/>
    </xf>
    <xf numFmtId="0" fontId="19" fillId="0" borderId="0" xfId="0" applyFont="1" applyAlignment="1">
      <alignment horizontal="left" vertical="top" wrapText="1"/>
    </xf>
    <xf numFmtId="0" fontId="56" fillId="5" borderId="42" xfId="55" applyFont="1" applyFill="1" applyBorder="1" applyAlignment="1">
      <alignment horizontal="center" vertical="center" wrapText="1"/>
    </xf>
    <xf numFmtId="0" fontId="56" fillId="5" borderId="43" xfId="55" applyFont="1" applyFill="1" applyBorder="1" applyAlignment="1">
      <alignment horizontal="center" vertical="center" wrapText="1"/>
    </xf>
    <xf numFmtId="0" fontId="100" fillId="0" borderId="0" xfId="55" applyFont="1" applyAlignment="1">
      <alignment horizontal="left" vertical="center" wrapText="1"/>
    </xf>
    <xf numFmtId="0" fontId="89" fillId="0" borderId="0" xfId="55" applyFont="1" applyAlignment="1">
      <alignment horizontal="left" vertical="center" wrapText="1"/>
    </xf>
    <xf numFmtId="0" fontId="57" fillId="4" borderId="24" xfId="55" applyFont="1" applyFill="1" applyBorder="1" applyAlignment="1">
      <alignment horizontal="left" vertical="center"/>
    </xf>
    <xf numFmtId="0" fontId="57" fillId="4" borderId="38" xfId="55" applyFont="1" applyFill="1" applyBorder="1" applyAlignment="1">
      <alignment horizontal="left" vertical="center"/>
    </xf>
    <xf numFmtId="0" fontId="59" fillId="4" borderId="24" xfId="55" applyFont="1" applyFill="1" applyBorder="1" applyAlignment="1">
      <alignment horizontal="left" vertical="center"/>
    </xf>
    <xf numFmtId="0" fontId="59" fillId="4" borderId="38" xfId="55" applyFont="1" applyFill="1" applyBorder="1" applyAlignment="1">
      <alignment horizontal="left" vertical="center"/>
    </xf>
    <xf numFmtId="0" fontId="56" fillId="9" borderId="19" xfId="55" applyFont="1" applyFill="1" applyBorder="1" applyAlignment="1">
      <alignment horizontal="center" vertical="center" wrapText="1"/>
    </xf>
    <xf numFmtId="0" fontId="56" fillId="9" borderId="22" xfId="55" applyFont="1" applyFill="1" applyBorder="1" applyAlignment="1">
      <alignment horizontal="center" vertical="center" wrapText="1"/>
    </xf>
    <xf numFmtId="0" fontId="56" fillId="9" borderId="41" xfId="55" applyFont="1" applyFill="1" applyBorder="1" applyAlignment="1">
      <alignment horizontal="center" vertical="center" wrapText="1"/>
    </xf>
    <xf numFmtId="0" fontId="57" fillId="4" borderId="0" xfId="55" applyFont="1" applyFill="1" applyAlignment="1">
      <alignment horizontal="left" vertical="center" wrapText="1"/>
    </xf>
    <xf numFmtId="0" fontId="57" fillId="4" borderId="20" xfId="55" applyFont="1" applyFill="1" applyBorder="1" applyAlignment="1">
      <alignment horizontal="left" vertical="center" wrapText="1"/>
    </xf>
    <xf numFmtId="0" fontId="59" fillId="4" borderId="37" xfId="55" applyFont="1" applyFill="1" applyBorder="1" applyAlignment="1">
      <alignment horizontal="left" vertical="center" wrapText="1"/>
    </xf>
    <xf numFmtId="0" fontId="59" fillId="4" borderId="20" xfId="55" applyFont="1" applyFill="1" applyBorder="1" applyAlignment="1">
      <alignment horizontal="left" vertical="center" wrapText="1"/>
    </xf>
    <xf numFmtId="0" fontId="57" fillId="4" borderId="23" xfId="55" applyFont="1" applyFill="1" applyBorder="1" applyAlignment="1">
      <alignment horizontal="left" vertical="center" wrapText="1"/>
    </xf>
    <xf numFmtId="0" fontId="59" fillId="4" borderId="23" xfId="55" applyFont="1" applyFill="1" applyBorder="1" applyAlignment="1">
      <alignment horizontal="left" vertical="center" wrapText="1"/>
    </xf>
    <xf numFmtId="0" fontId="59" fillId="4" borderId="0" xfId="55" applyFont="1" applyFill="1" applyAlignment="1">
      <alignment horizontal="left" vertical="center" wrapText="1"/>
    </xf>
    <xf numFmtId="0" fontId="56" fillId="5" borderId="19" xfId="55" applyFont="1" applyFill="1" applyBorder="1" applyAlignment="1">
      <alignment horizontal="center" vertical="center" wrapText="1"/>
    </xf>
    <xf numFmtId="0" fontId="56" fillId="5" borderId="22" xfId="55" applyFont="1" applyFill="1" applyBorder="1" applyAlignment="1">
      <alignment horizontal="center" vertical="center" wrapText="1"/>
    </xf>
    <xf numFmtId="0" fontId="56" fillId="5" borderId="41" xfId="55" applyFont="1" applyFill="1" applyBorder="1" applyAlignment="1">
      <alignment horizontal="center" vertical="center" wrapText="1"/>
    </xf>
    <xf numFmtId="0" fontId="57" fillId="4" borderId="24" xfId="55" applyFont="1" applyFill="1" applyBorder="1" applyAlignment="1">
      <alignment horizontal="left" vertical="center" wrapText="1"/>
    </xf>
    <xf numFmtId="0" fontId="59" fillId="4" borderId="24" xfId="55" applyFont="1" applyFill="1" applyBorder="1" applyAlignment="1">
      <alignment horizontal="left" vertical="center" wrapText="1"/>
    </xf>
    <xf numFmtId="0" fontId="35" fillId="8" borderId="19" xfId="55" applyFont="1" applyFill="1" applyBorder="1" applyAlignment="1">
      <alignment horizontal="center" vertical="center" wrapText="1"/>
    </xf>
    <xf numFmtId="0" fontId="35" fillId="8" borderId="22" xfId="55" applyFont="1" applyFill="1" applyBorder="1" applyAlignment="1">
      <alignment horizontal="center" vertical="center" wrapText="1"/>
    </xf>
    <xf numFmtId="0" fontId="35" fillId="8" borderId="41" xfId="55" applyFont="1" applyFill="1" applyBorder="1" applyAlignment="1">
      <alignment horizontal="center" vertical="center" wrapText="1"/>
    </xf>
    <xf numFmtId="0" fontId="59" fillId="4" borderId="20" xfId="55" applyFont="1" applyFill="1" applyBorder="1" applyAlignment="1">
      <alignment vertical="center" wrapText="1"/>
    </xf>
    <xf numFmtId="0" fontId="59" fillId="4" borderId="24" xfId="55" applyFont="1" applyFill="1" applyBorder="1" applyAlignment="1">
      <alignment vertical="center" wrapText="1"/>
    </xf>
    <xf numFmtId="0" fontId="87" fillId="0" borderId="0" xfId="55" applyFont="1" applyAlignment="1">
      <alignment horizontal="center" vertical="center" wrapText="1"/>
    </xf>
    <xf numFmtId="0" fontId="56" fillId="5" borderId="0" xfId="55" applyFont="1" applyFill="1" applyAlignment="1">
      <alignment horizontal="center" vertical="center" wrapText="1"/>
    </xf>
    <xf numFmtId="0" fontId="56" fillId="5" borderId="31" xfId="55" applyFont="1" applyFill="1" applyBorder="1" applyAlignment="1">
      <alignment horizontal="center" vertical="center" wrapText="1"/>
    </xf>
    <xf numFmtId="0" fontId="56" fillId="5" borderId="27" xfId="55" applyFont="1" applyFill="1" applyBorder="1" applyAlignment="1">
      <alignment horizontal="center" vertical="center" wrapText="1"/>
    </xf>
    <xf numFmtId="0" fontId="56" fillId="5" borderId="28" xfId="55" applyFont="1" applyFill="1" applyBorder="1" applyAlignment="1">
      <alignment horizontal="center" vertical="center" wrapText="1"/>
    </xf>
    <xf numFmtId="0" fontId="56" fillId="5" borderId="33" xfId="55" applyFont="1" applyFill="1" applyBorder="1" applyAlignment="1">
      <alignment horizontal="center" vertical="center" wrapText="1"/>
    </xf>
    <xf numFmtId="0" fontId="56" fillId="5" borderId="34" xfId="55" applyFont="1" applyFill="1" applyBorder="1" applyAlignment="1">
      <alignment horizontal="center" vertical="center" wrapText="1"/>
    </xf>
    <xf numFmtId="0" fontId="56" fillId="5" borderId="35" xfId="55" applyFont="1" applyFill="1" applyBorder="1" applyAlignment="1">
      <alignment horizontal="center" vertical="center" wrapText="1"/>
    </xf>
    <xf numFmtId="0" fontId="56" fillId="5" borderId="36" xfId="55" applyFont="1" applyFill="1" applyBorder="1" applyAlignment="1">
      <alignment horizontal="center" vertical="center" wrapText="1"/>
    </xf>
    <xf numFmtId="0" fontId="56" fillId="5" borderId="29" xfId="55" applyFont="1" applyFill="1" applyBorder="1" applyAlignment="1">
      <alignment horizontal="center" vertical="center" wrapText="1"/>
    </xf>
    <xf numFmtId="0" fontId="19" fillId="0" borderId="0" xfId="0" applyFont="1" applyAlignment="1">
      <alignment horizontal="right"/>
    </xf>
    <xf numFmtId="0" fontId="19" fillId="0" borderId="0" xfId="0" applyFont="1" applyAlignment="1">
      <alignment horizontal="left" wrapText="1"/>
    </xf>
    <xf numFmtId="0" fontId="0" fillId="0" borderId="0" xfId="0" applyAlignment="1">
      <alignment horizontal="left" vertical="center" wrapText="1"/>
    </xf>
    <xf numFmtId="0" fontId="32" fillId="0" borderId="0" xfId="0" applyFont="1" applyAlignment="1">
      <alignment horizontal="left" vertical="center" wrapText="1"/>
    </xf>
    <xf numFmtId="0" fontId="19" fillId="0" borderId="0" xfId="0" applyFont="1" applyAlignment="1">
      <alignment horizontal="left" vertical="center" wrapText="1"/>
    </xf>
    <xf numFmtId="0" fontId="17" fillId="0" borderId="0" xfId="24" applyFont="1" applyAlignment="1">
      <alignment horizontal="center"/>
    </xf>
    <xf numFmtId="0" fontId="59" fillId="0" borderId="0" xfId="0" applyFont="1" applyAlignment="1">
      <alignment horizontal="justify" vertical="top"/>
    </xf>
    <xf numFmtId="0" fontId="32" fillId="0" borderId="0" xfId="0" applyFont="1" applyAlignment="1">
      <alignment horizontal="left" vertical="top" wrapText="1"/>
    </xf>
    <xf numFmtId="0" fontId="32" fillId="0" borderId="0" xfId="22" applyFont="1" applyAlignment="1">
      <alignment horizontal="left" vertical="top" wrapText="1"/>
    </xf>
    <xf numFmtId="164" fontId="35" fillId="0" borderId="0" xfId="0" applyNumberFormat="1" applyFont="1" applyFill="1" applyAlignment="1">
      <alignment horizontal="left" vertical="center"/>
    </xf>
  </cellXfs>
  <cellStyles count="59">
    <cellStyle name="%" xfId="1" xr:uid="{00000000-0005-0000-0000-000000000000}"/>
    <cellStyle name="% 2" xfId="26" xr:uid="{6C1F8AE7-3DE5-46AB-82F2-F08DF60C694A}"/>
    <cellStyle name="% 2 3" xfId="2" xr:uid="{00000000-0005-0000-0000-000001000000}"/>
    <cellStyle name="% 2 3 2" xfId="27" xr:uid="{CD40C7CF-233A-4A43-AAF1-4B78D942A404}"/>
    <cellStyle name="Comma" xfId="58" xr:uid="{BBAC1917-2A03-4FAA-9B5F-63FD7EBF5169}"/>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2 2" xfId="28" xr:uid="{DE59F7B5-F0B4-488C-BC8A-A19F1A3ABF35}"/>
    <cellStyle name="Normal 2 2 2" xfId="44" xr:uid="{13AF585C-78C3-4202-BC00-99C46A7BAEBB}"/>
    <cellStyle name="Normal 2 3" xfId="42" xr:uid="{B2F01519-6EDB-422F-8F95-1790700DA533}"/>
    <cellStyle name="Normal 2 3 2" xfId="54" xr:uid="{F6C11D5D-E47B-48D6-AEDA-C9010FE68978}"/>
    <cellStyle name="Normal 2 4" xfId="43" xr:uid="{DEE92FEB-9905-45C7-A410-79CDC55A9F0D}"/>
    <cellStyle name="Normal 3" xfId="24" xr:uid="{5830BAF3-9A60-405E-8886-5366534FE0B6}"/>
    <cellStyle name="Normal 4" xfId="55" xr:uid="{E3591992-4F6D-4072-8600-62ECDCE92437}"/>
    <cellStyle name="Nota 2" xfId="7" xr:uid="{00000000-0005-0000-0000-000007000000}"/>
    <cellStyle name="Nota 2 2" xfId="29" xr:uid="{D8BEF806-B2E6-4915-96A2-000A7A9FAE47}"/>
    <cellStyle name="Percent" xfId="57" xr:uid="{6B330CEE-D687-44D1-9322-0B9AE891FCBA}"/>
    <cellStyle name="Porcentagem" xfId="8" builtinId="5"/>
    <cellStyle name="Porcentagem 2" xfId="9" xr:uid="{00000000-0005-0000-0000-000009000000}"/>
    <cellStyle name="Porcentagem 2 2" xfId="25" xr:uid="{6FBB03CB-CF74-40EB-A7E4-F5E75E51DEC3}"/>
    <cellStyle name="Porcentagem 3" xfId="21" xr:uid="{13D241A6-BB80-4379-960A-5D02A6F55036}"/>
    <cellStyle name="Porcentagem 3 2" xfId="40" xr:uid="{6CE2C14F-9FD2-4B72-A30C-DB05CB80F82B}"/>
    <cellStyle name="Porcentagem 4" xfId="56" xr:uid="{FC32028B-1DE9-4486-AAA5-40B660BBAC80}"/>
    <cellStyle name="Separador de milhares 3" xfId="10" xr:uid="{00000000-0005-0000-0000-00000A000000}"/>
    <cellStyle name="Separador de milhares 3 2" xfId="11" xr:uid="{00000000-0005-0000-0000-00000B000000}"/>
    <cellStyle name="Separador de milhares 3 2 2" xfId="31" xr:uid="{1E1F4AEF-28CA-492B-BFFA-56717AE461DE}"/>
    <cellStyle name="Separador de milhares 3 3" xfId="30" xr:uid="{258BF83B-3B4E-4B44-AD85-9E1C9CA0BB2E}"/>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2 2 2" xfId="35" xr:uid="{F297E9B7-7F4C-4388-AB00-63C3A5EEF00F}"/>
    <cellStyle name="Vírgula 2 2 2 2 2" xfId="48" xr:uid="{8EF36BB8-7B9F-4190-9A46-6BEC2A239C28}"/>
    <cellStyle name="Vírgula 2 2 3" xfId="34" xr:uid="{415087DE-19C0-4B07-AD2A-29940C62CEF0}"/>
    <cellStyle name="Vírgula 2 2 3 2" xfId="47" xr:uid="{4E216E58-F657-41DC-8A71-1BC9DAF34F9A}"/>
    <cellStyle name="Vírgula 2 3" xfId="17" xr:uid="{00000000-0005-0000-0000-000011000000}"/>
    <cellStyle name="Vírgula 2 3 2" xfId="36" xr:uid="{055E0883-DB0D-4A36-8F75-53F2AA6741EE}"/>
    <cellStyle name="Vírgula 2 3 2 2" xfId="49" xr:uid="{7FC946A8-8A49-4345-BFE1-B9CECBB45CE0}"/>
    <cellStyle name="Vírgula 2 4" xfId="33" xr:uid="{6D06B273-A7A0-4C44-92E7-803A73DE893D}"/>
    <cellStyle name="Vírgula 2 4 2" xfId="46" xr:uid="{825AE96C-6E45-40FB-822A-F0960C8491A6}"/>
    <cellStyle name="Vírgula 3" xfId="18" xr:uid="{00000000-0005-0000-0000-000012000000}"/>
    <cellStyle name="Vírgula 3 2" xfId="19" xr:uid="{00000000-0005-0000-0000-000013000000}"/>
    <cellStyle name="Vírgula 3 2 2" xfId="38" xr:uid="{B1F337ED-6684-4101-9840-092E4406CC30}"/>
    <cellStyle name="Vírgula 3 2 2 2" xfId="51" xr:uid="{40F53C77-608F-4DB8-BCBD-2175E9356C9F}"/>
    <cellStyle name="Vírgula 3 3" xfId="37" xr:uid="{895AC4B7-A4D1-4B9D-925E-0B8156C17221}"/>
    <cellStyle name="Vírgula 3 3 2" xfId="50" xr:uid="{CA453057-097E-4ABF-85EC-429453114368}"/>
    <cellStyle name="Vírgula 4" xfId="20" xr:uid="{9339FDD7-DAFD-4582-9838-8281684F5EF4}"/>
    <cellStyle name="Vírgula 4 2" xfId="23" xr:uid="{6D82BC5C-5E6B-4A56-91C2-BFD087F63222}"/>
    <cellStyle name="Vírgula 4 2 2" xfId="41" xr:uid="{708641FC-D926-4732-A43E-9441BF31773C}"/>
    <cellStyle name="Vírgula 4 2 2 2" xfId="53" xr:uid="{7CCCF2D3-09D0-4825-A8C6-4842DD592E50}"/>
    <cellStyle name="Vírgula 4 3" xfId="39" xr:uid="{8C0D4E0F-A66B-4FA4-AE65-17D7F8DBC37B}"/>
    <cellStyle name="Vírgula 4 3 2" xfId="52" xr:uid="{EC1675E9-314D-439B-B1E0-E1379A02A712}"/>
    <cellStyle name="Vírgula 5" xfId="32" xr:uid="{1951A487-2F08-4678-B084-8E467118ACA6}"/>
    <cellStyle name="Vírgula 5 2" xfId="45" xr:uid="{46D0AC6A-8F10-4139-8038-0FD6A3836EC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FD8ED"/>
      <color rgb="FFC5D9F1"/>
      <color rgb="FF00599C"/>
      <color rgb="FF140FD1"/>
      <color rgb="FF0707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png"/><Relationship Id="rId1" Type="http://schemas.openxmlformats.org/officeDocument/2006/relationships/hyperlink" Target="#Capa!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jpeg"/><Relationship Id="rId3" Type="http://schemas.openxmlformats.org/officeDocument/2006/relationships/image" Target="../media/image9.png"/><Relationship Id="rId21" Type="http://schemas.openxmlformats.org/officeDocument/2006/relationships/image" Target="../media/image27.jpeg"/><Relationship Id="rId7" Type="http://schemas.openxmlformats.org/officeDocument/2006/relationships/image" Target="../media/image13.jpeg"/><Relationship Id="rId12" Type="http://schemas.openxmlformats.org/officeDocument/2006/relationships/image" Target="../media/image18.png"/><Relationship Id="rId17" Type="http://schemas.openxmlformats.org/officeDocument/2006/relationships/image" Target="../media/image23.jpeg"/><Relationship Id="rId2" Type="http://schemas.openxmlformats.org/officeDocument/2006/relationships/image" Target="../media/image8.png"/><Relationship Id="rId16" Type="http://schemas.openxmlformats.org/officeDocument/2006/relationships/image" Target="../media/image22.jpeg"/><Relationship Id="rId20" Type="http://schemas.openxmlformats.org/officeDocument/2006/relationships/image" Target="../media/image26.jpe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jpeg"/><Relationship Id="rId24" Type="http://schemas.openxmlformats.org/officeDocument/2006/relationships/image" Target="../media/image28.jpeg"/><Relationship Id="rId5" Type="http://schemas.openxmlformats.org/officeDocument/2006/relationships/image" Target="../media/image11.png"/><Relationship Id="rId15" Type="http://schemas.openxmlformats.org/officeDocument/2006/relationships/image" Target="../media/image21.jpeg"/><Relationship Id="rId23" Type="http://schemas.openxmlformats.org/officeDocument/2006/relationships/image" Target="../media/image4.emf"/><Relationship Id="rId10" Type="http://schemas.openxmlformats.org/officeDocument/2006/relationships/image" Target="../media/image16.png"/><Relationship Id="rId19" Type="http://schemas.openxmlformats.org/officeDocument/2006/relationships/image" Target="../media/image25.jpeg"/><Relationship Id="rId4" Type="http://schemas.openxmlformats.org/officeDocument/2006/relationships/image" Target="../media/image10.jpe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hyperlink" Target="#Capa!A1"/></Relationships>
</file>

<file path=xl/drawings/_rels/drawing7.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26</xdr:row>
      <xdr:rowOff>116416</xdr:rowOff>
    </xdr:to>
    <xdr:sp macro="" textlink="">
      <xdr:nvSpPr>
        <xdr:cNvPr id="8" name="CaixaDeTexto 8">
          <a:extLst>
            <a:ext uri="{FF2B5EF4-FFF2-40B4-BE49-F238E27FC236}">
              <a16:creationId xmlns:a16="http://schemas.microsoft.com/office/drawing/2014/main" id="{9A1828D4-1B68-42D3-9EBC-4781C8940251}"/>
            </a:ext>
          </a:extLst>
        </xdr:cNvPr>
        <xdr:cNvSpPr txBox="1"/>
      </xdr:nvSpPr>
      <xdr:spPr>
        <a:xfrm>
          <a:off x="25400" y="3821643"/>
          <a:ext cx="8452908" cy="1173690"/>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Esta</a:t>
          </a:r>
          <a:r>
            <a:rPr lang="pt-BR" sz="1000" b="0" i="0" u="none" strike="noStrike" baseline="0">
              <a:solidFill>
                <a:srgbClr val="002060"/>
              </a:solidFill>
              <a:effectLst/>
              <a:latin typeface="Barlow"/>
              <a:ea typeface="+mn-ea"/>
              <a:cs typeface="Arial" panose="020B0604020202020204" pitchFamily="34" charset="0"/>
            </a:rPr>
            <a:t> planilha </a:t>
          </a:r>
          <a:r>
            <a:rPr lang="pt-BR" sz="1000" b="0" i="0" u="none" strike="noStrike">
              <a:solidFill>
                <a:srgbClr val="002060"/>
              </a:solidFill>
              <a:effectLst/>
              <a:latin typeface="Barlow"/>
              <a:ea typeface="+mn-ea"/>
              <a:cs typeface="Arial" panose="020B0604020202020204" pitchFamily="34" charset="0"/>
            </a:rPr>
            <a:t>é baseado em dados históricos e públicos. Não visa dar </a:t>
          </a:r>
          <a:r>
            <a:rPr lang="pt-BR" sz="1000" b="0" i="1" u="none" strike="noStrike">
              <a:solidFill>
                <a:srgbClr val="002060"/>
              </a:solidFill>
              <a:effectLst/>
              <a:latin typeface="Barlow"/>
              <a:ea typeface="+mn-ea"/>
              <a:cs typeface="Arial" panose="020B0604020202020204" pitchFamily="34" charset="0"/>
            </a:rPr>
            <a:t>guidance (estimativas ou projeções)</a:t>
          </a:r>
          <a:r>
            <a:rPr lang="pt-BR" sz="1000" b="0" i="0" u="none" strike="noStrike">
              <a:solidFill>
                <a:srgbClr val="002060"/>
              </a:solidFill>
              <a:effectLst/>
              <a:latin typeface="Barlow"/>
              <a:ea typeface="+mn-ea"/>
              <a:cs typeface="Arial" panose="020B0604020202020204" pitchFamily="34" charset="0"/>
            </a:rPr>
            <a:t> de eventos futuros.</a:t>
          </a:r>
          <a:r>
            <a:rPr lang="pt-BR" sz="1000" b="0" i="0" u="none" strike="noStrike" baseline="0">
              <a:solidFill>
                <a:srgbClr val="002060"/>
              </a:solidFill>
              <a:effectLst/>
              <a:latin typeface="Barlow"/>
              <a:ea typeface="+mn-ea"/>
              <a:cs typeface="Arial" panose="020B0604020202020204" pitchFamily="34" charset="0"/>
            </a:rPr>
            <a:t> Vale ressaltar</a:t>
          </a:r>
          <a:r>
            <a:rPr lang="pt-BR" sz="1000" b="0" i="0" u="none" strike="noStrike">
              <a:solidFill>
                <a:srgbClr val="002060"/>
              </a:solidFill>
              <a:effectLst/>
              <a:latin typeface="Barlow"/>
              <a:ea typeface="+mn-ea"/>
              <a:cs typeface="Arial" panose="020B0604020202020204" pitchFamily="34" charset="0"/>
            </a:rPr>
            <a:t> que dados passados não são base para garantia de futuro desempenho, pois envolvem riscos e incertezas. </a:t>
          </a: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a:p>
          <a:pPr marL="0" marR="0" lvl="0" indent="0" algn="ctr" defTabSz="914400" eaLnBrk="1" fontAlgn="auto" latinLnBrk="0" hangingPunct="1">
            <a:lnSpc>
              <a:spcPts val="1300"/>
            </a:lnSpc>
            <a:spcBef>
              <a:spcPts val="0"/>
            </a:spcBef>
            <a:spcAft>
              <a:spcPts val="0"/>
            </a:spcAft>
            <a:buClrTx/>
            <a:buSzTx/>
            <a:buFontTx/>
            <a:buNone/>
            <a:tabLst/>
            <a:defRPr/>
          </a:pPr>
          <a:r>
            <a:rPr lang="pt-BR" sz="1000" b="0" i="0" u="none" strike="noStrike">
              <a:solidFill>
                <a:srgbClr val="002060"/>
              </a:solidFill>
              <a:effectLst/>
              <a:latin typeface="Barlow"/>
              <a:ea typeface="+mn-ea"/>
              <a:cs typeface="Arial" panose="020B0604020202020204" pitchFamily="34" charset="0"/>
            </a:rPr>
            <a:t>São Paulo, 6 de Agosto de  2025 – A Companhia Brasileira de Alumínio, “CBA” ou “Companhia” (B3: CBAV3) divulga seus resultados do segundo trimestre de 2025 (2T25). As demonstrações financeiras intermediárias consolidadas da Companhia são apresentadas em reais (R$), de acordo com o padrão contábil internacional – IFRS (Internationale Financial Reporting Standards) – e conforme as práticas contábeis adotadas no Brasil. Os somatórios podem divergir devido a arredondamentos.</a:t>
          </a:r>
        </a:p>
        <a:p>
          <a:pPr algn="ctr">
            <a:lnSpc>
              <a:spcPts val="1300"/>
            </a:lnSpc>
          </a:pPr>
          <a:endParaRPr lang="pt-BR" sz="1200">
            <a:solidFill>
              <a:srgbClr val="184C8C"/>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12</xdr:col>
      <xdr:colOff>38100</xdr:colOff>
      <xdr:row>13</xdr:row>
      <xdr:rowOff>112889</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159809</xdr:rowOff>
    </xdr:from>
    <xdr:to>
      <xdr:col>9</xdr:col>
      <xdr:colOff>838200</xdr:colOff>
      <xdr:row>16</xdr:row>
      <xdr:rowOff>95956</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83809"/>
          <a:ext cx="5971117" cy="1460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9</xdr:row>
      <xdr:rowOff>179917</xdr:rowOff>
    </xdr:from>
    <xdr:to>
      <xdr:col>5</xdr:col>
      <xdr:colOff>416024</xdr:colOff>
      <xdr:row>16</xdr:row>
      <xdr:rowOff>8639</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894417"/>
          <a:ext cx="3072441" cy="1162222"/>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PLANILHA DE FUNDAMENTOS</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402597</xdr:colOff>
      <xdr:row>14</xdr:row>
      <xdr:rowOff>12476</xdr:rowOff>
    </xdr:from>
    <xdr:to>
      <xdr:col>4</xdr:col>
      <xdr:colOff>78619</xdr:colOff>
      <xdr:row>16</xdr:row>
      <xdr:rowOff>99489</xdr:rowOff>
    </xdr:to>
    <xdr:sp macro="" textlink="">
      <xdr:nvSpPr>
        <xdr:cNvPr id="11" name="TextBox 1">
          <a:extLst>
            <a:ext uri="{FF2B5EF4-FFF2-40B4-BE49-F238E27FC236}">
              <a16:creationId xmlns:a16="http://schemas.microsoft.com/office/drawing/2014/main" id="{C085B569-8009-4F0E-873C-BD4F2B30AB15}"/>
            </a:ext>
          </a:extLst>
        </xdr:cNvPr>
        <xdr:cNvSpPr txBox="1"/>
      </xdr:nvSpPr>
      <xdr:spPr>
        <a:xfrm>
          <a:off x="1630264" y="2679476"/>
          <a:ext cx="903688"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2T25</a:t>
          </a:r>
        </a:p>
      </xdr:txBody>
    </xdr:sp>
    <xdr:clientData/>
  </xdr:twoCellAnchor>
  <xdr:twoCellAnchor editAs="oneCell">
    <xdr:from>
      <xdr:col>10</xdr:col>
      <xdr:colOff>209550</xdr:colOff>
      <xdr:row>13</xdr:row>
      <xdr:rowOff>133349</xdr:rowOff>
    </xdr:from>
    <xdr:to>
      <xdr:col>11</xdr:col>
      <xdr:colOff>590550</xdr:colOff>
      <xdr:row>16</xdr:row>
      <xdr:rowOff>77610</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30772" y="2701571"/>
          <a:ext cx="1023056" cy="494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80764" name="Retângulo 6">
          <a:extLst>
            <a:ext uri="{FF2B5EF4-FFF2-40B4-BE49-F238E27FC236}">
              <a16:creationId xmlns:a16="http://schemas.microsoft.com/office/drawing/2014/main" id="{5F1F29A5-EC9D-4318-BFE6-C36FC3B09001}"/>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7" name="CaixaDeTexto 6">
          <a:extLst>
            <a:ext uri="{FF2B5EF4-FFF2-40B4-BE49-F238E27FC236}">
              <a16:creationId xmlns:a16="http://schemas.microsoft.com/office/drawing/2014/main" id="{93CC4942-8473-42EB-84D8-CC8E3D73122C}"/>
            </a:ext>
          </a:extLst>
        </xdr:cNvPr>
        <xdr:cNvSpPr txBox="1"/>
      </xdr:nvSpPr>
      <xdr:spPr>
        <a:xfrm>
          <a:off x="213360" y="3695224"/>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Primários</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8" name="CaixaDeTexto 7">
          <a:extLst>
            <a:ext uri="{FF2B5EF4-FFF2-40B4-BE49-F238E27FC236}">
              <a16:creationId xmlns:a16="http://schemas.microsoft.com/office/drawing/2014/main" id="{14D7E0FD-1524-4614-8495-05600274374E}"/>
            </a:ext>
          </a:extLst>
        </xdr:cNvPr>
        <xdr:cNvSpPr txBox="1"/>
      </xdr:nvSpPr>
      <xdr:spPr>
        <a:xfrm>
          <a:off x="2097808" y="3631653"/>
          <a:ext cx="6151419" cy="502218"/>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ysClr val="windowText" lastClr="000000"/>
              </a:solidFill>
              <a:latin typeface="Votorantim Sans Black" panose="02010A03030202050203"/>
            </a:rPr>
            <a:t>Inclui lingote e VAP</a:t>
          </a: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20" name="CaixaDeTexto 19">
          <a:extLst>
            <a:ext uri="{FF2B5EF4-FFF2-40B4-BE49-F238E27FC236}">
              <a16:creationId xmlns:a16="http://schemas.microsoft.com/office/drawing/2014/main" id="{F1534CE3-44BF-4026-A24A-33510A878249}"/>
            </a:ext>
          </a:extLst>
        </xdr:cNvPr>
        <xdr:cNvSpPr txBox="1"/>
      </xdr:nvSpPr>
      <xdr:spPr>
        <a:xfrm>
          <a:off x="213359" y="4246721"/>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Transformados</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21" name="CaixaDeTexto 20">
          <a:extLst>
            <a:ext uri="{FF2B5EF4-FFF2-40B4-BE49-F238E27FC236}">
              <a16:creationId xmlns:a16="http://schemas.microsoft.com/office/drawing/2014/main" id="{A81B7FA0-F5CD-49E0-8355-5E2942AAB0C4}"/>
            </a:ext>
          </a:extLst>
        </xdr:cNvPr>
        <xdr:cNvSpPr txBox="1"/>
      </xdr:nvSpPr>
      <xdr:spPr>
        <a:xfrm>
          <a:off x="2097808" y="4186266"/>
          <a:ext cx="6151419" cy="511122"/>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latin typeface="Votorantim Sans Black" panose="02010A03030202050203"/>
              <a:ea typeface="+mn-ea"/>
              <a:cs typeface="+mn-cs"/>
            </a:rPr>
            <a:t>Inclui folhas, chapas e extrudados</a:t>
          </a: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22" name="CaixaDeTexto 21">
          <a:extLst>
            <a:ext uri="{FF2B5EF4-FFF2-40B4-BE49-F238E27FC236}">
              <a16:creationId xmlns:a16="http://schemas.microsoft.com/office/drawing/2014/main" id="{C38B3629-6073-4978-BB55-3F590A19B4C8}"/>
            </a:ext>
          </a:extLst>
        </xdr:cNvPr>
        <xdr:cNvSpPr txBox="1"/>
      </xdr:nvSpPr>
      <xdr:spPr>
        <a:xfrm>
          <a:off x="213359" y="4813935"/>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Reciclagem</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23" name="CaixaDeTexto 22">
          <a:extLst>
            <a:ext uri="{FF2B5EF4-FFF2-40B4-BE49-F238E27FC236}">
              <a16:creationId xmlns:a16="http://schemas.microsoft.com/office/drawing/2014/main" id="{5F938F06-9B51-4D29-A3A6-BC51AFB54FD3}"/>
            </a:ext>
          </a:extLst>
        </xdr:cNvPr>
        <xdr:cNvSpPr txBox="1"/>
      </xdr:nvSpPr>
      <xdr:spPr>
        <a:xfrm>
          <a:off x="2097808" y="4767722"/>
          <a:ext cx="6151419" cy="48875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vendas e serviços</a:t>
          </a:r>
          <a:endParaRPr lang="pt-BR">
            <a:effectLst/>
            <a:latin typeface="Votorantim Sans Black" panose="02010A03030202050203"/>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24" name="CaixaDeTexto 23">
          <a:extLst>
            <a:ext uri="{FF2B5EF4-FFF2-40B4-BE49-F238E27FC236}">
              <a16:creationId xmlns:a16="http://schemas.microsoft.com/office/drawing/2014/main" id="{F0191FBC-45DC-46C7-83EA-6C56BEA24F17}"/>
            </a:ext>
          </a:extLst>
        </xdr:cNvPr>
        <xdr:cNvSpPr txBox="1"/>
      </xdr:nvSpPr>
      <xdr:spPr>
        <a:xfrm>
          <a:off x="213360" y="5379243"/>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Outros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25" name="CaixaDeTexto 24">
          <a:extLst>
            <a:ext uri="{FF2B5EF4-FFF2-40B4-BE49-F238E27FC236}">
              <a16:creationId xmlns:a16="http://schemas.microsoft.com/office/drawing/2014/main" id="{2003D3AA-98B1-4E08-AB29-08FBDFA061C3}"/>
            </a:ext>
          </a:extLst>
        </xdr:cNvPr>
        <xdr:cNvSpPr txBox="1"/>
      </xdr:nvSpPr>
      <xdr:spPr>
        <a:xfrm>
          <a:off x="2097808" y="5334000"/>
          <a:ext cx="6139874" cy="509910"/>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a:t>
          </a:r>
          <a:r>
            <a:rPr lang="pt-BR" sz="1100" i="1">
              <a:solidFill>
                <a:schemeClr val="dk1"/>
              </a:solidFill>
              <a:effectLst/>
              <a:latin typeface="Votorantim Sans Black" panose="02010A03030202050203"/>
              <a:ea typeface="+mn-ea"/>
              <a:cs typeface="+mn-cs"/>
            </a:rPr>
            <a:t>trading</a:t>
          </a:r>
          <a:r>
            <a:rPr lang="pt-BR" sz="1100">
              <a:solidFill>
                <a:schemeClr val="dk1"/>
              </a:solidFill>
              <a:effectLst/>
              <a:latin typeface="Votorantim Sans Black" panose="02010A03030202050203"/>
              <a:ea typeface="+mn-ea"/>
              <a:cs typeface="+mn-cs"/>
            </a:rPr>
            <a:t> de lingote, alumina e outros</a:t>
          </a:r>
          <a:endParaRPr lang="pt-BR">
            <a:effectLst/>
            <a:latin typeface="Votorantim Sans Black" panose="02010A03030202050203"/>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8434" name="Text Box 2">
          <a:extLst>
            <a:ext uri="{FF2B5EF4-FFF2-40B4-BE49-F238E27FC236}">
              <a16:creationId xmlns:a16="http://schemas.microsoft.com/office/drawing/2014/main" id="{7FC7CA38-79A4-42D4-B8F4-CE1AE80B5409}"/>
            </a:ext>
          </a:extLst>
        </xdr:cNvPr>
        <xdr:cNvSpPr txBox="1">
          <a:spLocks noChangeArrowheads="1"/>
        </xdr:cNvSpPr>
      </xdr:nvSpPr>
      <xdr:spPr bwMode="auto">
        <a:xfrm>
          <a:off x="173182" y="388896"/>
          <a:ext cx="2593490" cy="339283"/>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Premissas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280774" name="Picture 2">
          <a:extLst>
            <a:ext uri="{FF2B5EF4-FFF2-40B4-BE49-F238E27FC236}">
              <a16:creationId xmlns:a16="http://schemas.microsoft.com/office/drawing/2014/main" id="{004C7FB0-7E5D-4B4B-B0EB-6F7EAC5C0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280775" name="Agrupar 11">
          <a:hlinkClick xmlns:r="http://schemas.openxmlformats.org/officeDocument/2006/relationships" r:id="rId2"/>
          <a:extLst>
            <a:ext uri="{FF2B5EF4-FFF2-40B4-BE49-F238E27FC236}">
              <a16:creationId xmlns:a16="http://schemas.microsoft.com/office/drawing/2014/main" id="{7A6E227C-2A6D-4D27-A434-07E354B07EB7}"/>
            </a:ext>
          </a:extLst>
        </xdr:cNvPr>
        <xdr:cNvGrpSpPr>
          <a:grpSpLocks/>
        </xdr:cNvGrpSpPr>
      </xdr:nvGrpSpPr>
      <xdr:grpSpPr bwMode="auto">
        <a:xfrm>
          <a:off x="8371417" y="57150"/>
          <a:ext cx="941916" cy="596900"/>
          <a:chOff x="11133666" y="131229"/>
          <a:chExt cx="928738" cy="609603"/>
        </a:xfrm>
      </xdr:grpSpPr>
      <xdr:sp macro="" textlink="">
        <xdr:nvSpPr>
          <xdr:cNvPr id="14" name="Seta: Curva para Cima 13" descr="Menu">
            <a:extLst>
              <a:ext uri="{FF2B5EF4-FFF2-40B4-BE49-F238E27FC236}">
                <a16:creationId xmlns:a16="http://schemas.microsoft.com/office/drawing/2014/main" id="{BAFEE8B7-5DB3-412E-8B36-EFA332BE1C2B}"/>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78D287DC-4C09-40D1-BF0F-42CD5241665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5</xdr:row>
      <xdr:rowOff>28575</xdr:rowOff>
    </xdr:from>
    <xdr:to>
      <xdr:col>10</xdr:col>
      <xdr:colOff>323850</xdr:colOff>
      <xdr:row>30</xdr:row>
      <xdr:rowOff>114300</xdr:rowOff>
    </xdr:to>
    <xdr:sp macro="" textlink="">
      <xdr:nvSpPr>
        <xdr:cNvPr id="281748" name="Retângulo 2">
          <a:extLst>
            <a:ext uri="{FF2B5EF4-FFF2-40B4-BE49-F238E27FC236}">
              <a16:creationId xmlns:a16="http://schemas.microsoft.com/office/drawing/2014/main" id="{C893EA89-8CE6-43C7-838F-A693064F3A9E}"/>
            </a:ext>
          </a:extLst>
        </xdr:cNvPr>
        <xdr:cNvSpPr>
          <a:spLocks noChangeArrowheads="1"/>
        </xdr:cNvSpPr>
      </xdr:nvSpPr>
      <xdr:spPr bwMode="auto">
        <a:xfrm>
          <a:off x="752475" y="1447800"/>
          <a:ext cx="7096125" cy="4124325"/>
        </a:xfrm>
        <a:prstGeom prst="rect">
          <a:avLst/>
        </a:prstGeom>
        <a:solidFill>
          <a:srgbClr val="FFFFFF"/>
        </a:solidFill>
        <a:ln w="19050" algn="ctr">
          <a:solidFill>
            <a:srgbClr val="00599C"/>
          </a:solidFill>
          <a:prstDash val="sysDot"/>
          <a:round/>
          <a:headEnd/>
          <a:tailEnd/>
        </a:ln>
      </xdr:spPr>
    </xdr:sp>
    <xdr:clientData/>
  </xdr:twoCellAnchor>
  <xdr:oneCellAnchor>
    <xdr:from>
      <xdr:col>3</xdr:col>
      <xdr:colOff>113030</xdr:colOff>
      <xdr:row>17</xdr:row>
      <xdr:rowOff>0</xdr:rowOff>
    </xdr:from>
    <xdr:ext cx="211945" cy="448955"/>
    <xdr:sp macro="" textlink="">
      <xdr:nvSpPr>
        <xdr:cNvPr id="23553" name="Rectangle 12">
          <a:extLst>
            <a:ext uri="{FF2B5EF4-FFF2-40B4-BE49-F238E27FC236}">
              <a16:creationId xmlns:a16="http://schemas.microsoft.com/office/drawing/2014/main" id="{BF7C0005-4A65-43EA-890C-67A2537F52C3}"/>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3</xdr:col>
      <xdr:colOff>113030</xdr:colOff>
      <xdr:row>17</xdr:row>
      <xdr:rowOff>0</xdr:rowOff>
    </xdr:from>
    <xdr:ext cx="211945" cy="448955"/>
    <xdr:sp macro="" textlink="">
      <xdr:nvSpPr>
        <xdr:cNvPr id="23554" name="Rectangle 13">
          <a:extLst>
            <a:ext uri="{FF2B5EF4-FFF2-40B4-BE49-F238E27FC236}">
              <a16:creationId xmlns:a16="http://schemas.microsoft.com/office/drawing/2014/main" id="{CAA4A5FA-5A72-4D5A-B80F-97F9FE9C18B4}"/>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11</xdr:col>
      <xdr:colOff>9525</xdr:colOff>
      <xdr:row>2</xdr:row>
      <xdr:rowOff>390525</xdr:rowOff>
    </xdr:to>
    <xdr:sp macro="" textlink="">
      <xdr:nvSpPr>
        <xdr:cNvPr id="281751" name="Retângulo 6">
          <a:extLst>
            <a:ext uri="{FF2B5EF4-FFF2-40B4-BE49-F238E27FC236}">
              <a16:creationId xmlns:a16="http://schemas.microsoft.com/office/drawing/2014/main" id="{1C678AB7-2BD0-49C3-9681-974FEDD7FA67}"/>
            </a:ext>
          </a:extLst>
        </xdr:cNvPr>
        <xdr:cNvSpPr>
          <a:spLocks noChangeArrowheads="1"/>
        </xdr:cNvSpPr>
      </xdr:nvSpPr>
      <xdr:spPr bwMode="auto">
        <a:xfrm>
          <a:off x="0" y="0"/>
          <a:ext cx="85248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2225441" cy="306188"/>
    <xdr:sp macro="" textlink="">
      <xdr:nvSpPr>
        <xdr:cNvPr id="23601" name="Text Box 49">
          <a:extLst>
            <a:ext uri="{FF2B5EF4-FFF2-40B4-BE49-F238E27FC236}">
              <a16:creationId xmlns:a16="http://schemas.microsoft.com/office/drawing/2014/main" id="{5FF11F86-5046-4CDF-BDE7-CAFE9EF58DE0}"/>
            </a:ext>
          </a:extLst>
        </xdr:cNvPr>
        <xdr:cNvSpPr txBox="1">
          <a:spLocks noChangeArrowheads="1"/>
        </xdr:cNvSpPr>
      </xdr:nvSpPr>
      <xdr:spPr bwMode="auto">
        <a:xfrm>
          <a:off x="13426" y="373380"/>
          <a:ext cx="189487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Processo Produtivo</a:t>
          </a:r>
        </a:p>
      </xdr:txBody>
    </xdr:sp>
    <xdr:clientData/>
  </xdr:oneCellAnchor>
  <xdr:twoCellAnchor>
    <xdr:from>
      <xdr:col>11</xdr:col>
      <xdr:colOff>142875</xdr:colOff>
      <xdr:row>0</xdr:row>
      <xdr:rowOff>19050</xdr:rowOff>
    </xdr:from>
    <xdr:to>
      <xdr:col>12</xdr:col>
      <xdr:colOff>409575</xdr:colOff>
      <xdr:row>2</xdr:row>
      <xdr:rowOff>314325</xdr:rowOff>
    </xdr:to>
    <xdr:grpSp>
      <xdr:nvGrpSpPr>
        <xdr:cNvPr id="281753" name="Agrupar 11">
          <a:hlinkClick xmlns:r="http://schemas.openxmlformats.org/officeDocument/2006/relationships" r:id="rId1"/>
          <a:extLst>
            <a:ext uri="{FF2B5EF4-FFF2-40B4-BE49-F238E27FC236}">
              <a16:creationId xmlns:a16="http://schemas.microsoft.com/office/drawing/2014/main" id="{56834CA7-3A1C-4414-8819-D30BA807F5D0}"/>
            </a:ext>
          </a:extLst>
        </xdr:cNvPr>
        <xdr:cNvGrpSpPr>
          <a:grpSpLocks/>
        </xdr:cNvGrpSpPr>
      </xdr:nvGrpSpPr>
      <xdr:grpSpPr bwMode="auto">
        <a:xfrm>
          <a:off x="8595783" y="19050"/>
          <a:ext cx="901700" cy="609600"/>
          <a:chOff x="11133666" y="131229"/>
          <a:chExt cx="928738" cy="609603"/>
        </a:xfrm>
      </xdr:grpSpPr>
      <xdr:sp macro="" textlink="">
        <xdr:nvSpPr>
          <xdr:cNvPr id="13" name="Seta: Curva para Cima 12" descr="Menu">
            <a:extLst>
              <a:ext uri="{FF2B5EF4-FFF2-40B4-BE49-F238E27FC236}">
                <a16:creationId xmlns:a16="http://schemas.microsoft.com/office/drawing/2014/main" id="{4ECFDD4C-8BD0-45B3-9764-E7D0EA3C7C5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4" name="CaixaDeTexto 13">
            <a:extLst>
              <a:ext uri="{FF2B5EF4-FFF2-40B4-BE49-F238E27FC236}">
                <a16:creationId xmlns:a16="http://schemas.microsoft.com/office/drawing/2014/main" id="{E1FABC57-727C-4EB8-BF08-0F8FD243B8B3}"/>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2</xdr:col>
      <xdr:colOff>123825</xdr:colOff>
      <xdr:row>5</xdr:row>
      <xdr:rowOff>66675</xdr:rowOff>
    </xdr:from>
    <xdr:to>
      <xdr:col>10</xdr:col>
      <xdr:colOff>285750</xdr:colOff>
      <xdr:row>30</xdr:row>
      <xdr:rowOff>95250</xdr:rowOff>
    </xdr:to>
    <xdr:pic>
      <xdr:nvPicPr>
        <xdr:cNvPr id="281754" name="Picture 1">
          <a:extLst>
            <a:ext uri="{FF2B5EF4-FFF2-40B4-BE49-F238E27FC236}">
              <a16:creationId xmlns:a16="http://schemas.microsoft.com/office/drawing/2014/main" id="{B438C614-907E-43F1-94EC-CC2B29597F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1485900"/>
          <a:ext cx="7010400"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590550</xdr:colOff>
      <xdr:row>2</xdr:row>
      <xdr:rowOff>114300</xdr:rowOff>
    </xdr:to>
    <xdr:pic>
      <xdr:nvPicPr>
        <xdr:cNvPr id="281755" name="Picture 2">
          <a:extLst>
            <a:ext uri="{FF2B5EF4-FFF2-40B4-BE49-F238E27FC236}">
              <a16:creationId xmlns:a16="http://schemas.microsoft.com/office/drawing/2014/main" id="{620E72B1-3DC0-4C10-A1D2-D2B2492E88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45</xdr:row>
      <xdr:rowOff>85725</xdr:rowOff>
    </xdr:from>
    <xdr:to>
      <xdr:col>11</xdr:col>
      <xdr:colOff>504825</xdr:colOff>
      <xdr:row>61</xdr:row>
      <xdr:rowOff>200705</xdr:rowOff>
    </xdr:to>
    <xdr:pic>
      <xdr:nvPicPr>
        <xdr:cNvPr id="3" name="Imagem 2">
          <a:extLst>
            <a:ext uri="{FF2B5EF4-FFF2-40B4-BE49-F238E27FC236}">
              <a16:creationId xmlns:a16="http://schemas.microsoft.com/office/drawing/2014/main" id="{905C123D-048E-B14E-B1FC-55DAAEC909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 y="12534900"/>
          <a:ext cx="7772400" cy="3772580"/>
        </a:xfrm>
        <a:prstGeom prst="rect">
          <a:avLst/>
        </a:prstGeom>
      </xdr:spPr>
    </xdr:pic>
    <xdr:clientData/>
  </xdr:twoCellAnchor>
  <xdr:twoCellAnchor>
    <xdr:from>
      <xdr:col>2</xdr:col>
      <xdr:colOff>19050</xdr:colOff>
      <xdr:row>44</xdr:row>
      <xdr:rowOff>104775</xdr:rowOff>
    </xdr:from>
    <xdr:to>
      <xdr:col>11</xdr:col>
      <xdr:colOff>581025</xdr:colOff>
      <xdr:row>62</xdr:row>
      <xdr:rowOff>66675</xdr:rowOff>
    </xdr:to>
    <xdr:sp macro="" textlink="">
      <xdr:nvSpPr>
        <xdr:cNvPr id="368" name="Retângulo 2">
          <a:extLst>
            <a:ext uri="{FF2B5EF4-FFF2-40B4-BE49-F238E27FC236}">
              <a16:creationId xmlns:a16="http://schemas.microsoft.com/office/drawing/2014/main" id="{2E0A016B-660E-4CF2-A269-5F3220126B10}"/>
            </a:ext>
          </a:extLst>
        </xdr:cNvPr>
        <xdr:cNvSpPr>
          <a:spLocks noChangeArrowheads="1"/>
        </xdr:cNvSpPr>
      </xdr:nvSpPr>
      <xdr:spPr bwMode="auto">
        <a:xfrm>
          <a:off x="838200" y="12325350"/>
          <a:ext cx="7791450" cy="4076700"/>
        </a:xfrm>
        <a:prstGeom prst="rect">
          <a:avLst/>
        </a:prstGeom>
        <a:noFill/>
        <a:ln w="19050" algn="ctr">
          <a:solidFill>
            <a:srgbClr val="00599C"/>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181767</xdr:colOff>
      <xdr:row>0</xdr:row>
      <xdr:rowOff>8731</xdr:rowOff>
    </xdr:from>
    <xdr:to>
      <xdr:col>27</xdr:col>
      <xdr:colOff>1083467</xdr:colOff>
      <xdr:row>2</xdr:row>
      <xdr:rowOff>145256</xdr:rowOff>
    </xdr:to>
    <xdr:sp macro="" textlink="">
      <xdr:nvSpPr>
        <xdr:cNvPr id="5" name="Retângulo 6">
          <a:extLst>
            <a:ext uri="{FF2B5EF4-FFF2-40B4-BE49-F238E27FC236}">
              <a16:creationId xmlns:a16="http://schemas.microsoft.com/office/drawing/2014/main" id="{B7BAA140-1DA5-44D7-9E07-3F9D0B35D612}"/>
            </a:ext>
          </a:extLst>
        </xdr:cNvPr>
        <xdr:cNvSpPr>
          <a:spLocks noChangeArrowheads="1"/>
        </xdr:cNvSpPr>
      </xdr:nvSpPr>
      <xdr:spPr bwMode="auto">
        <a:xfrm>
          <a:off x="181767" y="8731"/>
          <a:ext cx="27607419"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161593</xdr:colOff>
      <xdr:row>1</xdr:row>
      <xdr:rowOff>218598</xdr:rowOff>
    </xdr:from>
    <xdr:ext cx="1616533" cy="296620"/>
    <xdr:sp macro="" textlink="">
      <xdr:nvSpPr>
        <xdr:cNvPr id="6" name="Text Box 49">
          <a:extLst>
            <a:ext uri="{FF2B5EF4-FFF2-40B4-BE49-F238E27FC236}">
              <a16:creationId xmlns:a16="http://schemas.microsoft.com/office/drawing/2014/main" id="{1C2AEF53-A78F-4CD0-A496-E3F808A980C5}"/>
            </a:ext>
          </a:extLst>
        </xdr:cNvPr>
        <xdr:cNvSpPr txBox="1">
          <a:spLocks noChangeArrowheads="1"/>
        </xdr:cNvSpPr>
      </xdr:nvSpPr>
      <xdr:spPr bwMode="auto">
        <a:xfrm>
          <a:off x="340187" y="385286"/>
          <a:ext cx="161653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Indicadores ESG</a:t>
          </a:r>
        </a:p>
      </xdr:txBody>
    </xdr:sp>
    <xdr:clientData/>
  </xdr:oneCellAnchor>
  <xdr:twoCellAnchor editAs="oneCell">
    <xdr:from>
      <xdr:col>1</xdr:col>
      <xdr:colOff>148167</xdr:colOff>
      <xdr:row>0</xdr:row>
      <xdr:rowOff>11906</xdr:rowOff>
    </xdr:from>
    <xdr:to>
      <xdr:col>2</xdr:col>
      <xdr:colOff>380206</xdr:colOff>
      <xdr:row>1</xdr:row>
      <xdr:rowOff>277018</xdr:rowOff>
    </xdr:to>
    <xdr:pic>
      <xdr:nvPicPr>
        <xdr:cNvPr id="7" name="Picture 2">
          <a:extLst>
            <a:ext uri="{FF2B5EF4-FFF2-40B4-BE49-F238E27FC236}">
              <a16:creationId xmlns:a16="http://schemas.microsoft.com/office/drawing/2014/main" id="{763839FF-03BA-4F37-95A6-7C1E2FDCC2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61" y="11906"/>
          <a:ext cx="1267883"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214307</xdr:colOff>
      <xdr:row>0</xdr:row>
      <xdr:rowOff>59531</xdr:rowOff>
    </xdr:from>
    <xdr:to>
      <xdr:col>30</xdr:col>
      <xdr:colOff>50452</xdr:colOff>
      <xdr:row>2</xdr:row>
      <xdr:rowOff>189818</xdr:rowOff>
    </xdr:to>
    <xdr:grpSp>
      <xdr:nvGrpSpPr>
        <xdr:cNvPr id="8" name="Agrupar 6">
          <a:hlinkClick xmlns:r="http://schemas.openxmlformats.org/officeDocument/2006/relationships" r:id="rId2"/>
          <a:extLst>
            <a:ext uri="{FF2B5EF4-FFF2-40B4-BE49-F238E27FC236}">
              <a16:creationId xmlns:a16="http://schemas.microsoft.com/office/drawing/2014/main" id="{73452414-E329-4147-AB36-280DF74696FA}"/>
            </a:ext>
          </a:extLst>
        </xdr:cNvPr>
        <xdr:cNvGrpSpPr>
          <a:grpSpLocks/>
        </xdr:cNvGrpSpPr>
      </xdr:nvGrpSpPr>
      <xdr:grpSpPr bwMode="auto">
        <a:xfrm>
          <a:off x="25538107" y="59531"/>
          <a:ext cx="1068045" cy="717662"/>
          <a:chOff x="14839505" y="182940"/>
          <a:chExt cx="908715" cy="609603"/>
        </a:xfrm>
      </xdr:grpSpPr>
      <xdr:sp macro="" textlink="">
        <xdr:nvSpPr>
          <xdr:cNvPr id="9" name="Seta: Curva para Cima 8" descr="Menu">
            <a:extLst>
              <a:ext uri="{FF2B5EF4-FFF2-40B4-BE49-F238E27FC236}">
                <a16:creationId xmlns:a16="http://schemas.microsoft.com/office/drawing/2014/main" id="{8466ED02-3D0C-085F-E7AB-114A3F822184}"/>
              </a:ext>
            </a:extLst>
          </xdr:cNvPr>
          <xdr:cNvSpPr/>
        </xdr:nvSpPr>
        <xdr:spPr bwMode="auto">
          <a:xfrm rot="16200000">
            <a:off x="14889222" y="133223"/>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0" name="CaixaDeTexto 9">
            <a:hlinkClick xmlns:r="http://schemas.openxmlformats.org/officeDocument/2006/relationships" r:id="rId2"/>
            <a:extLst>
              <a:ext uri="{FF2B5EF4-FFF2-40B4-BE49-F238E27FC236}">
                <a16:creationId xmlns:a16="http://schemas.microsoft.com/office/drawing/2014/main" id="{5F1E4C5D-C6D1-1688-7991-6B5297620C3E}"/>
              </a:ext>
            </a:extLst>
          </xdr:cNvPr>
          <xdr:cNvSpPr txBox="1"/>
        </xdr:nvSpPr>
        <xdr:spPr>
          <a:xfrm rot="600355">
            <a:off x="14899373" y="2560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9523</xdr:colOff>
      <xdr:row>0</xdr:row>
      <xdr:rowOff>0</xdr:rowOff>
    </xdr:from>
    <xdr:to>
      <xdr:col>25</xdr:col>
      <xdr:colOff>27214</xdr:colOff>
      <xdr:row>4</xdr:row>
      <xdr:rowOff>154214</xdr:rowOff>
    </xdr:to>
    <xdr:sp macro="" textlink="">
      <xdr:nvSpPr>
        <xdr:cNvPr id="2" name="Retângulo 6">
          <a:extLst>
            <a:ext uri="{FF2B5EF4-FFF2-40B4-BE49-F238E27FC236}">
              <a16:creationId xmlns:a16="http://schemas.microsoft.com/office/drawing/2014/main" id="{1ABFD6C4-2E59-4466-91FA-AED50A926E13}"/>
            </a:ext>
          </a:extLst>
        </xdr:cNvPr>
        <xdr:cNvSpPr>
          <a:spLocks noChangeArrowheads="1"/>
        </xdr:cNvSpPr>
      </xdr:nvSpPr>
      <xdr:spPr bwMode="auto">
        <a:xfrm>
          <a:off x="9523" y="0"/>
          <a:ext cx="12549870" cy="807357"/>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102536</xdr:colOff>
      <xdr:row>2</xdr:row>
      <xdr:rowOff>133740</xdr:rowOff>
    </xdr:from>
    <xdr:ext cx="2348207" cy="296620"/>
    <xdr:sp macro="" textlink="">
      <xdr:nvSpPr>
        <xdr:cNvPr id="30" name="Text Box 2">
          <a:extLst>
            <a:ext uri="{FF2B5EF4-FFF2-40B4-BE49-F238E27FC236}">
              <a16:creationId xmlns:a16="http://schemas.microsoft.com/office/drawing/2014/main" id="{D537CA21-2839-4A1F-9A94-200D2AB685DA}"/>
            </a:ext>
          </a:extLst>
        </xdr:cNvPr>
        <xdr:cNvSpPr txBox="1">
          <a:spLocks noChangeArrowheads="1"/>
        </xdr:cNvSpPr>
      </xdr:nvSpPr>
      <xdr:spPr bwMode="auto">
        <a:xfrm>
          <a:off x="102536" y="467115"/>
          <a:ext cx="2348207"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Capacidades e Utilização</a:t>
          </a:r>
        </a:p>
      </xdr:txBody>
    </xdr:sp>
    <xdr:clientData/>
  </xdr:oneCellAnchor>
  <xdr:oneCellAnchor>
    <xdr:from>
      <xdr:col>0</xdr:col>
      <xdr:colOff>118382</xdr:colOff>
      <xdr:row>0</xdr:row>
      <xdr:rowOff>81643</xdr:rowOff>
    </xdr:from>
    <xdr:ext cx="1312334" cy="440871"/>
    <xdr:pic>
      <xdr:nvPicPr>
        <xdr:cNvPr id="4" name="Picture 2">
          <a:extLst>
            <a:ext uri="{FF2B5EF4-FFF2-40B4-BE49-F238E27FC236}">
              <a16:creationId xmlns:a16="http://schemas.microsoft.com/office/drawing/2014/main" id="{3862DD63-3DE5-414A-A3F4-C0A2A695F0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82" y="81643"/>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117929</xdr:colOff>
      <xdr:row>0</xdr:row>
      <xdr:rowOff>18143</xdr:rowOff>
    </xdr:from>
    <xdr:to>
      <xdr:col>26</xdr:col>
      <xdr:colOff>350157</xdr:colOff>
      <xdr:row>4</xdr:row>
      <xdr:rowOff>53180</xdr:rowOff>
    </xdr:to>
    <xdr:grpSp>
      <xdr:nvGrpSpPr>
        <xdr:cNvPr id="3" name="Agrupar 6">
          <a:hlinkClick xmlns:r="http://schemas.openxmlformats.org/officeDocument/2006/relationships" r:id="rId2"/>
          <a:extLst>
            <a:ext uri="{FF2B5EF4-FFF2-40B4-BE49-F238E27FC236}">
              <a16:creationId xmlns:a16="http://schemas.microsoft.com/office/drawing/2014/main" id="{D903F52D-1B79-4C8B-9182-77BA9502F829}"/>
            </a:ext>
          </a:extLst>
        </xdr:cNvPr>
        <xdr:cNvGrpSpPr>
          <a:grpSpLocks/>
        </xdr:cNvGrpSpPr>
      </xdr:nvGrpSpPr>
      <xdr:grpSpPr bwMode="auto">
        <a:xfrm>
          <a:off x="12027354" y="18143"/>
          <a:ext cx="875166" cy="698612"/>
          <a:chOff x="11133666" y="131229"/>
          <a:chExt cx="928738" cy="609603"/>
        </a:xfrm>
      </xdr:grpSpPr>
      <xdr:sp macro="" textlink="">
        <xdr:nvSpPr>
          <xdr:cNvPr id="5" name="Seta: Curva para Cima 4" descr="Menu">
            <a:extLst>
              <a:ext uri="{FF2B5EF4-FFF2-40B4-BE49-F238E27FC236}">
                <a16:creationId xmlns:a16="http://schemas.microsoft.com/office/drawing/2014/main" id="{7B02E1A4-BCD6-23AF-867C-65730F91378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8D7BF44-F0C9-6BBF-C8DA-0CC5E3BE78D7}"/>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465138</xdr:colOff>
      <xdr:row>63</xdr:row>
      <xdr:rowOff>153988</xdr:rowOff>
    </xdr:from>
    <xdr:to>
      <xdr:col>2</xdr:col>
      <xdr:colOff>471488</xdr:colOff>
      <xdr:row>63</xdr:row>
      <xdr:rowOff>153988</xdr:rowOff>
    </xdr:to>
    <xdr:sp macro="" textlink="">
      <xdr:nvSpPr>
        <xdr:cNvPr id="68" name="Rectangle 81">
          <a:extLst>
            <a:ext uri="{FF2B5EF4-FFF2-40B4-BE49-F238E27FC236}">
              <a16:creationId xmlns:a16="http://schemas.microsoft.com/office/drawing/2014/main" id="{6800EB44-C751-4C25-BADC-1896E484C733}"/>
            </a:ext>
          </a:extLst>
        </xdr:cNvPr>
        <xdr:cNvSpPr>
          <a:spLocks noChangeAspect="1" noChangeArrowheads="1"/>
        </xdr:cNvSpPr>
      </xdr:nvSpPr>
      <xdr:spPr bwMode="gray">
        <a:xfrm>
          <a:off x="2224088" y="10307638"/>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1160974</xdr:colOff>
      <xdr:row>71</xdr:row>
      <xdr:rowOff>67159</xdr:rowOff>
    </xdr:from>
    <xdr:to>
      <xdr:col>9</xdr:col>
      <xdr:colOff>917222</xdr:colOff>
      <xdr:row>77</xdr:row>
      <xdr:rowOff>136880</xdr:rowOff>
    </xdr:to>
    <xdr:sp macro="" textlink="">
      <xdr:nvSpPr>
        <xdr:cNvPr id="274" name="Retângulo 82">
          <a:extLst>
            <a:ext uri="{FF2B5EF4-FFF2-40B4-BE49-F238E27FC236}">
              <a16:creationId xmlns:a16="http://schemas.microsoft.com/office/drawing/2014/main" id="{AB284890-1E04-45BA-B980-E29302D87CBC}"/>
            </a:ext>
          </a:extLst>
        </xdr:cNvPr>
        <xdr:cNvSpPr/>
      </xdr:nvSpPr>
      <xdr:spPr>
        <a:xfrm>
          <a:off x="3736252" y="11878159"/>
          <a:ext cx="6818859" cy="10433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353208</xdr:colOff>
      <xdr:row>70</xdr:row>
      <xdr:rowOff>109477</xdr:rowOff>
    </xdr:from>
    <xdr:to>
      <xdr:col>3</xdr:col>
      <xdr:colOff>643841</xdr:colOff>
      <xdr:row>76</xdr:row>
      <xdr:rowOff>2556</xdr:rowOff>
    </xdr:to>
    <xdr:sp macro="" textlink="">
      <xdr:nvSpPr>
        <xdr:cNvPr id="273" name="Freeform 101">
          <a:extLst>
            <a:ext uri="{FF2B5EF4-FFF2-40B4-BE49-F238E27FC236}">
              <a16:creationId xmlns:a16="http://schemas.microsoft.com/office/drawing/2014/main" id="{768CA613-3ACC-4D94-87B8-C2A34C8E81FA}"/>
            </a:ext>
          </a:extLst>
        </xdr:cNvPr>
        <xdr:cNvSpPr>
          <a:spLocks noChangeAspect="1"/>
        </xdr:cNvSpPr>
      </xdr:nvSpPr>
      <xdr:spPr bwMode="gray">
        <a:xfrm>
          <a:off x="2113065" y="11666477"/>
          <a:ext cx="961919" cy="872793"/>
        </a:xfrm>
        <a:custGeom>
          <a:avLst/>
          <a:gdLst>
            <a:gd name="T0" fmla="*/ 580 w 107"/>
            <a:gd name="T1" fmla="*/ 210 h 104"/>
            <a:gd name="T2" fmla="*/ 545 w 107"/>
            <a:gd name="T3" fmla="*/ 199 h 104"/>
            <a:gd name="T4" fmla="*/ 580 w 107"/>
            <a:gd name="T5" fmla="*/ 165 h 104"/>
            <a:gd name="T6" fmla="*/ 574 w 107"/>
            <a:gd name="T7" fmla="*/ 125 h 104"/>
            <a:gd name="T8" fmla="*/ 540 w 107"/>
            <a:gd name="T9" fmla="*/ 125 h 104"/>
            <a:gd name="T10" fmla="*/ 506 w 107"/>
            <a:gd name="T11" fmla="*/ 91 h 104"/>
            <a:gd name="T12" fmla="*/ 466 w 107"/>
            <a:gd name="T13" fmla="*/ 68 h 104"/>
            <a:gd name="T14" fmla="*/ 426 w 107"/>
            <a:gd name="T15" fmla="*/ 57 h 104"/>
            <a:gd name="T16" fmla="*/ 386 w 107"/>
            <a:gd name="T17" fmla="*/ 34 h 104"/>
            <a:gd name="T18" fmla="*/ 347 w 107"/>
            <a:gd name="T19" fmla="*/ 23 h 104"/>
            <a:gd name="T20" fmla="*/ 313 w 107"/>
            <a:gd name="T21" fmla="*/ 23 h 104"/>
            <a:gd name="T22" fmla="*/ 273 w 107"/>
            <a:gd name="T23" fmla="*/ 0 h 104"/>
            <a:gd name="T24" fmla="*/ 244 w 107"/>
            <a:gd name="T25" fmla="*/ 23 h 104"/>
            <a:gd name="T26" fmla="*/ 210 w 107"/>
            <a:gd name="T27" fmla="*/ 34 h 104"/>
            <a:gd name="T28" fmla="*/ 176 w 107"/>
            <a:gd name="T29" fmla="*/ 68 h 104"/>
            <a:gd name="T30" fmla="*/ 142 w 107"/>
            <a:gd name="T31" fmla="*/ 102 h 104"/>
            <a:gd name="T32" fmla="*/ 108 w 107"/>
            <a:gd name="T33" fmla="*/ 153 h 104"/>
            <a:gd name="T34" fmla="*/ 68 w 107"/>
            <a:gd name="T35" fmla="*/ 199 h 104"/>
            <a:gd name="T36" fmla="*/ 28 w 107"/>
            <a:gd name="T37" fmla="*/ 255 h 104"/>
            <a:gd name="T38" fmla="*/ 0 w 107"/>
            <a:gd name="T39" fmla="*/ 306 h 104"/>
            <a:gd name="T40" fmla="*/ 34 w 107"/>
            <a:gd name="T41" fmla="*/ 289 h 104"/>
            <a:gd name="T42" fmla="*/ 80 w 107"/>
            <a:gd name="T43" fmla="*/ 289 h 104"/>
            <a:gd name="T44" fmla="*/ 114 w 107"/>
            <a:gd name="T45" fmla="*/ 340 h 104"/>
            <a:gd name="T46" fmla="*/ 148 w 107"/>
            <a:gd name="T47" fmla="*/ 352 h 104"/>
            <a:gd name="T48" fmla="*/ 188 w 107"/>
            <a:gd name="T49" fmla="*/ 374 h 104"/>
            <a:gd name="T50" fmla="*/ 222 w 107"/>
            <a:gd name="T51" fmla="*/ 397 h 104"/>
            <a:gd name="T52" fmla="*/ 256 w 107"/>
            <a:gd name="T53" fmla="*/ 425 h 104"/>
            <a:gd name="T54" fmla="*/ 290 w 107"/>
            <a:gd name="T55" fmla="*/ 471 h 104"/>
            <a:gd name="T56" fmla="*/ 324 w 107"/>
            <a:gd name="T57" fmla="*/ 505 h 104"/>
            <a:gd name="T58" fmla="*/ 318 w 107"/>
            <a:gd name="T59" fmla="*/ 545 h 104"/>
            <a:gd name="T60" fmla="*/ 313 w 107"/>
            <a:gd name="T61" fmla="*/ 590 h 104"/>
            <a:gd name="T62" fmla="*/ 347 w 107"/>
            <a:gd name="T63" fmla="*/ 573 h 104"/>
            <a:gd name="T64" fmla="*/ 375 w 107"/>
            <a:gd name="T65" fmla="*/ 545 h 104"/>
            <a:gd name="T66" fmla="*/ 398 w 107"/>
            <a:gd name="T67" fmla="*/ 494 h 104"/>
            <a:gd name="T68" fmla="*/ 426 w 107"/>
            <a:gd name="T69" fmla="*/ 460 h 104"/>
            <a:gd name="T70" fmla="*/ 460 w 107"/>
            <a:gd name="T71" fmla="*/ 425 h 104"/>
            <a:gd name="T72" fmla="*/ 494 w 107"/>
            <a:gd name="T73" fmla="*/ 386 h 104"/>
            <a:gd name="T74" fmla="*/ 528 w 107"/>
            <a:gd name="T75" fmla="*/ 352 h 104"/>
            <a:gd name="T76" fmla="*/ 545 w 107"/>
            <a:gd name="T77" fmla="*/ 289 h 104"/>
            <a:gd name="T78" fmla="*/ 580 w 107"/>
            <a:gd name="T79" fmla="*/ 233 h 104"/>
            <a:gd name="T80" fmla="*/ 608 w 107"/>
            <a:gd name="T81" fmla="*/ 187 h 10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07" h="104">
              <a:moveTo>
                <a:pt x="107" y="33"/>
              </a:moveTo>
              <a:lnTo>
                <a:pt x="102" y="37"/>
              </a:lnTo>
              <a:lnTo>
                <a:pt x="99" y="37"/>
              </a:lnTo>
              <a:lnTo>
                <a:pt x="96" y="35"/>
              </a:lnTo>
              <a:lnTo>
                <a:pt x="99" y="33"/>
              </a:lnTo>
              <a:lnTo>
                <a:pt x="102" y="29"/>
              </a:lnTo>
              <a:lnTo>
                <a:pt x="104" y="25"/>
              </a:lnTo>
              <a:lnTo>
                <a:pt x="101" y="22"/>
              </a:lnTo>
              <a:lnTo>
                <a:pt x="98" y="25"/>
              </a:lnTo>
              <a:lnTo>
                <a:pt x="95" y="22"/>
              </a:lnTo>
              <a:lnTo>
                <a:pt x="91" y="18"/>
              </a:lnTo>
              <a:lnTo>
                <a:pt x="89" y="16"/>
              </a:lnTo>
              <a:lnTo>
                <a:pt x="85" y="14"/>
              </a:lnTo>
              <a:lnTo>
                <a:pt x="82" y="12"/>
              </a:lnTo>
              <a:lnTo>
                <a:pt x="77" y="10"/>
              </a:lnTo>
              <a:lnTo>
                <a:pt x="75" y="10"/>
              </a:lnTo>
              <a:lnTo>
                <a:pt x="71" y="8"/>
              </a:lnTo>
              <a:lnTo>
                <a:pt x="68" y="6"/>
              </a:lnTo>
              <a:lnTo>
                <a:pt x="65" y="4"/>
              </a:lnTo>
              <a:lnTo>
                <a:pt x="61" y="4"/>
              </a:lnTo>
              <a:lnTo>
                <a:pt x="57" y="4"/>
              </a:lnTo>
              <a:lnTo>
                <a:pt x="55" y="4"/>
              </a:lnTo>
              <a:lnTo>
                <a:pt x="51" y="1"/>
              </a:lnTo>
              <a:lnTo>
                <a:pt x="48" y="0"/>
              </a:lnTo>
              <a:lnTo>
                <a:pt x="47" y="1"/>
              </a:lnTo>
              <a:lnTo>
                <a:pt x="43" y="4"/>
              </a:lnTo>
              <a:lnTo>
                <a:pt x="41" y="4"/>
              </a:lnTo>
              <a:lnTo>
                <a:pt x="37" y="6"/>
              </a:lnTo>
              <a:lnTo>
                <a:pt x="34" y="10"/>
              </a:lnTo>
              <a:lnTo>
                <a:pt x="31" y="12"/>
              </a:lnTo>
              <a:lnTo>
                <a:pt x="28" y="16"/>
              </a:lnTo>
              <a:lnTo>
                <a:pt x="25" y="18"/>
              </a:lnTo>
              <a:lnTo>
                <a:pt x="22" y="22"/>
              </a:lnTo>
              <a:lnTo>
                <a:pt x="19" y="27"/>
              </a:lnTo>
              <a:lnTo>
                <a:pt x="15" y="30"/>
              </a:lnTo>
              <a:lnTo>
                <a:pt x="12" y="35"/>
              </a:lnTo>
              <a:lnTo>
                <a:pt x="9" y="39"/>
              </a:lnTo>
              <a:lnTo>
                <a:pt x="5" y="45"/>
              </a:lnTo>
              <a:lnTo>
                <a:pt x="1" y="50"/>
              </a:lnTo>
              <a:lnTo>
                <a:pt x="0" y="54"/>
              </a:lnTo>
              <a:lnTo>
                <a:pt x="3" y="54"/>
              </a:lnTo>
              <a:lnTo>
                <a:pt x="6" y="51"/>
              </a:lnTo>
              <a:lnTo>
                <a:pt x="9" y="50"/>
              </a:lnTo>
              <a:lnTo>
                <a:pt x="14" y="51"/>
              </a:lnTo>
              <a:lnTo>
                <a:pt x="17" y="54"/>
              </a:lnTo>
              <a:lnTo>
                <a:pt x="20" y="60"/>
              </a:lnTo>
              <a:lnTo>
                <a:pt x="23" y="62"/>
              </a:lnTo>
              <a:lnTo>
                <a:pt x="26" y="62"/>
              </a:lnTo>
              <a:lnTo>
                <a:pt x="29" y="64"/>
              </a:lnTo>
              <a:lnTo>
                <a:pt x="33" y="66"/>
              </a:lnTo>
              <a:lnTo>
                <a:pt x="35" y="68"/>
              </a:lnTo>
              <a:lnTo>
                <a:pt x="39" y="70"/>
              </a:lnTo>
              <a:lnTo>
                <a:pt x="42" y="72"/>
              </a:lnTo>
              <a:lnTo>
                <a:pt x="45" y="75"/>
              </a:lnTo>
              <a:lnTo>
                <a:pt x="48" y="79"/>
              </a:lnTo>
              <a:lnTo>
                <a:pt x="51" y="83"/>
              </a:lnTo>
              <a:lnTo>
                <a:pt x="55" y="84"/>
              </a:lnTo>
              <a:lnTo>
                <a:pt x="57" y="89"/>
              </a:lnTo>
              <a:lnTo>
                <a:pt x="59" y="93"/>
              </a:lnTo>
              <a:lnTo>
                <a:pt x="56" y="96"/>
              </a:lnTo>
              <a:lnTo>
                <a:pt x="55" y="100"/>
              </a:lnTo>
              <a:lnTo>
                <a:pt x="55" y="104"/>
              </a:lnTo>
              <a:lnTo>
                <a:pt x="57" y="104"/>
              </a:lnTo>
              <a:lnTo>
                <a:pt x="61" y="101"/>
              </a:lnTo>
              <a:lnTo>
                <a:pt x="63" y="100"/>
              </a:lnTo>
              <a:lnTo>
                <a:pt x="66" y="96"/>
              </a:lnTo>
              <a:lnTo>
                <a:pt x="68" y="91"/>
              </a:lnTo>
              <a:lnTo>
                <a:pt x="70" y="87"/>
              </a:lnTo>
              <a:lnTo>
                <a:pt x="71" y="83"/>
              </a:lnTo>
              <a:lnTo>
                <a:pt x="75" y="81"/>
              </a:lnTo>
              <a:lnTo>
                <a:pt x="77" y="77"/>
              </a:lnTo>
              <a:lnTo>
                <a:pt x="81" y="75"/>
              </a:lnTo>
              <a:lnTo>
                <a:pt x="84" y="72"/>
              </a:lnTo>
              <a:lnTo>
                <a:pt x="87" y="68"/>
              </a:lnTo>
              <a:lnTo>
                <a:pt x="90" y="66"/>
              </a:lnTo>
              <a:lnTo>
                <a:pt x="93" y="62"/>
              </a:lnTo>
              <a:lnTo>
                <a:pt x="95" y="58"/>
              </a:lnTo>
              <a:lnTo>
                <a:pt x="96" y="51"/>
              </a:lnTo>
              <a:lnTo>
                <a:pt x="98" y="47"/>
              </a:lnTo>
              <a:lnTo>
                <a:pt x="102" y="41"/>
              </a:lnTo>
              <a:lnTo>
                <a:pt x="105" y="37"/>
              </a:lnTo>
              <a:lnTo>
                <a:pt x="107" y="33"/>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0</xdr:col>
      <xdr:colOff>0</xdr:colOff>
      <xdr:row>48</xdr:row>
      <xdr:rowOff>34071</xdr:rowOff>
    </xdr:from>
    <xdr:to>
      <xdr:col>2</xdr:col>
      <xdr:colOff>509498</xdr:colOff>
      <xdr:row>58</xdr:row>
      <xdr:rowOff>102943</xdr:rowOff>
    </xdr:to>
    <xdr:sp macro="" textlink="">
      <xdr:nvSpPr>
        <xdr:cNvPr id="97" name="Freeform 82">
          <a:extLst>
            <a:ext uri="{FF2B5EF4-FFF2-40B4-BE49-F238E27FC236}">
              <a16:creationId xmlns:a16="http://schemas.microsoft.com/office/drawing/2014/main" id="{4D26727A-C26F-486B-9FF3-72B710A7E415}"/>
            </a:ext>
          </a:extLst>
        </xdr:cNvPr>
        <xdr:cNvSpPr>
          <a:spLocks noChangeAspect="1"/>
        </xdr:cNvSpPr>
      </xdr:nvSpPr>
      <xdr:spPr bwMode="gray">
        <a:xfrm>
          <a:off x="0" y="7998785"/>
          <a:ext cx="2269355" cy="1701729"/>
        </a:xfrm>
        <a:custGeom>
          <a:avLst/>
          <a:gdLst>
            <a:gd name="T0" fmla="*/ 1186 w 267"/>
            <a:gd name="T1" fmla="*/ 210 h 214"/>
            <a:gd name="T2" fmla="*/ 1152 w 267"/>
            <a:gd name="T3" fmla="*/ 278 h 214"/>
            <a:gd name="T4" fmla="*/ 1078 w 267"/>
            <a:gd name="T5" fmla="*/ 255 h 214"/>
            <a:gd name="T6" fmla="*/ 1038 w 267"/>
            <a:gd name="T7" fmla="*/ 318 h 214"/>
            <a:gd name="T8" fmla="*/ 987 w 267"/>
            <a:gd name="T9" fmla="*/ 244 h 214"/>
            <a:gd name="T10" fmla="*/ 976 w 267"/>
            <a:gd name="T11" fmla="*/ 125 h 214"/>
            <a:gd name="T12" fmla="*/ 931 w 267"/>
            <a:gd name="T13" fmla="*/ 45 h 214"/>
            <a:gd name="T14" fmla="*/ 868 w 267"/>
            <a:gd name="T15" fmla="*/ 23 h 214"/>
            <a:gd name="T16" fmla="*/ 789 w 267"/>
            <a:gd name="T17" fmla="*/ 91 h 214"/>
            <a:gd name="T18" fmla="*/ 709 w 267"/>
            <a:gd name="T19" fmla="*/ 153 h 214"/>
            <a:gd name="T20" fmla="*/ 601 w 267"/>
            <a:gd name="T21" fmla="*/ 114 h 214"/>
            <a:gd name="T22" fmla="*/ 562 w 267"/>
            <a:gd name="T23" fmla="*/ 68 h 214"/>
            <a:gd name="T24" fmla="*/ 511 w 267"/>
            <a:gd name="T25" fmla="*/ 57 h 214"/>
            <a:gd name="T26" fmla="*/ 443 w 267"/>
            <a:gd name="T27" fmla="*/ 68 h 214"/>
            <a:gd name="T28" fmla="*/ 386 w 267"/>
            <a:gd name="T29" fmla="*/ 57 h 214"/>
            <a:gd name="T30" fmla="*/ 323 w 267"/>
            <a:gd name="T31" fmla="*/ 108 h 214"/>
            <a:gd name="T32" fmla="*/ 386 w 267"/>
            <a:gd name="T33" fmla="*/ 136 h 214"/>
            <a:gd name="T34" fmla="*/ 312 w 267"/>
            <a:gd name="T35" fmla="*/ 199 h 214"/>
            <a:gd name="T36" fmla="*/ 357 w 267"/>
            <a:gd name="T37" fmla="*/ 318 h 214"/>
            <a:gd name="T38" fmla="*/ 340 w 267"/>
            <a:gd name="T39" fmla="*/ 539 h 214"/>
            <a:gd name="T40" fmla="*/ 278 w 267"/>
            <a:gd name="T41" fmla="*/ 608 h 214"/>
            <a:gd name="T42" fmla="*/ 159 w 267"/>
            <a:gd name="T43" fmla="*/ 636 h 214"/>
            <a:gd name="T44" fmla="*/ 91 w 267"/>
            <a:gd name="T45" fmla="*/ 704 h 214"/>
            <a:gd name="T46" fmla="*/ 51 w 267"/>
            <a:gd name="T47" fmla="*/ 835 h 214"/>
            <a:gd name="T48" fmla="*/ 0 w 267"/>
            <a:gd name="T49" fmla="*/ 897 h 214"/>
            <a:gd name="T50" fmla="*/ 57 w 267"/>
            <a:gd name="T51" fmla="*/ 999 h 214"/>
            <a:gd name="T52" fmla="*/ 91 w 267"/>
            <a:gd name="T53" fmla="*/ 1096 h 214"/>
            <a:gd name="T54" fmla="*/ 159 w 267"/>
            <a:gd name="T55" fmla="*/ 1118 h 214"/>
            <a:gd name="T56" fmla="*/ 284 w 267"/>
            <a:gd name="T57" fmla="*/ 1084 h 214"/>
            <a:gd name="T58" fmla="*/ 306 w 267"/>
            <a:gd name="T59" fmla="*/ 1164 h 214"/>
            <a:gd name="T60" fmla="*/ 431 w 267"/>
            <a:gd name="T61" fmla="*/ 1204 h 214"/>
            <a:gd name="T62" fmla="*/ 522 w 267"/>
            <a:gd name="T63" fmla="*/ 1181 h 214"/>
            <a:gd name="T64" fmla="*/ 590 w 267"/>
            <a:gd name="T65" fmla="*/ 1158 h 214"/>
            <a:gd name="T66" fmla="*/ 658 w 267"/>
            <a:gd name="T67" fmla="*/ 1062 h 214"/>
            <a:gd name="T68" fmla="*/ 732 w 267"/>
            <a:gd name="T69" fmla="*/ 1073 h 214"/>
            <a:gd name="T70" fmla="*/ 783 w 267"/>
            <a:gd name="T71" fmla="*/ 1045 h 214"/>
            <a:gd name="T72" fmla="*/ 834 w 267"/>
            <a:gd name="T73" fmla="*/ 1016 h 214"/>
            <a:gd name="T74" fmla="*/ 885 w 267"/>
            <a:gd name="T75" fmla="*/ 942 h 214"/>
            <a:gd name="T76" fmla="*/ 959 w 267"/>
            <a:gd name="T77" fmla="*/ 942 h 214"/>
            <a:gd name="T78" fmla="*/ 1027 w 267"/>
            <a:gd name="T79" fmla="*/ 977 h 214"/>
            <a:gd name="T80" fmla="*/ 1197 w 267"/>
            <a:gd name="T81" fmla="*/ 977 h 214"/>
            <a:gd name="T82" fmla="*/ 1294 w 267"/>
            <a:gd name="T83" fmla="*/ 988 h 214"/>
            <a:gd name="T84" fmla="*/ 1345 w 267"/>
            <a:gd name="T85" fmla="*/ 942 h 214"/>
            <a:gd name="T86" fmla="*/ 1356 w 267"/>
            <a:gd name="T87" fmla="*/ 789 h 214"/>
            <a:gd name="T88" fmla="*/ 1458 w 267"/>
            <a:gd name="T89" fmla="*/ 375 h 214"/>
            <a:gd name="T90" fmla="*/ 1407 w 267"/>
            <a:gd name="T91" fmla="*/ 329 h 214"/>
            <a:gd name="T92" fmla="*/ 1328 w 267"/>
            <a:gd name="T93" fmla="*/ 301 h 214"/>
            <a:gd name="T94" fmla="*/ 1294 w 267"/>
            <a:gd name="T95" fmla="*/ 210 h 2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67" h="214">
              <a:moveTo>
                <a:pt x="227" y="31"/>
              </a:moveTo>
              <a:lnTo>
                <a:pt x="214" y="31"/>
              </a:lnTo>
              <a:lnTo>
                <a:pt x="211" y="32"/>
              </a:lnTo>
              <a:lnTo>
                <a:pt x="209" y="37"/>
              </a:lnTo>
              <a:lnTo>
                <a:pt x="208" y="41"/>
              </a:lnTo>
              <a:lnTo>
                <a:pt x="205" y="43"/>
              </a:lnTo>
              <a:lnTo>
                <a:pt x="206" y="48"/>
              </a:lnTo>
              <a:lnTo>
                <a:pt x="203" y="49"/>
              </a:lnTo>
              <a:lnTo>
                <a:pt x="200" y="49"/>
              </a:lnTo>
              <a:lnTo>
                <a:pt x="197" y="45"/>
              </a:lnTo>
              <a:lnTo>
                <a:pt x="193" y="45"/>
              </a:lnTo>
              <a:lnTo>
                <a:pt x="190" y="45"/>
              </a:lnTo>
              <a:lnTo>
                <a:pt x="187" y="48"/>
              </a:lnTo>
              <a:lnTo>
                <a:pt x="186" y="51"/>
              </a:lnTo>
              <a:lnTo>
                <a:pt x="184" y="56"/>
              </a:lnTo>
              <a:lnTo>
                <a:pt x="183" y="56"/>
              </a:lnTo>
              <a:lnTo>
                <a:pt x="180" y="53"/>
              </a:lnTo>
              <a:lnTo>
                <a:pt x="177" y="51"/>
              </a:lnTo>
              <a:lnTo>
                <a:pt x="174" y="48"/>
              </a:lnTo>
              <a:lnTo>
                <a:pt x="174" y="43"/>
              </a:lnTo>
              <a:lnTo>
                <a:pt x="175" y="39"/>
              </a:lnTo>
              <a:lnTo>
                <a:pt x="174" y="35"/>
              </a:lnTo>
              <a:lnTo>
                <a:pt x="174" y="27"/>
              </a:lnTo>
              <a:lnTo>
                <a:pt x="172" y="22"/>
              </a:lnTo>
              <a:lnTo>
                <a:pt x="169" y="20"/>
              </a:lnTo>
              <a:lnTo>
                <a:pt x="165" y="16"/>
              </a:lnTo>
              <a:lnTo>
                <a:pt x="165" y="12"/>
              </a:lnTo>
              <a:lnTo>
                <a:pt x="164" y="8"/>
              </a:lnTo>
              <a:lnTo>
                <a:pt x="162" y="4"/>
              </a:lnTo>
              <a:lnTo>
                <a:pt x="162" y="0"/>
              </a:lnTo>
              <a:lnTo>
                <a:pt x="159" y="0"/>
              </a:lnTo>
              <a:lnTo>
                <a:pt x="153" y="4"/>
              </a:lnTo>
              <a:lnTo>
                <a:pt x="147" y="4"/>
              </a:lnTo>
              <a:lnTo>
                <a:pt x="144" y="12"/>
              </a:lnTo>
              <a:lnTo>
                <a:pt x="142" y="16"/>
              </a:lnTo>
              <a:lnTo>
                <a:pt x="139" y="16"/>
              </a:lnTo>
              <a:lnTo>
                <a:pt x="136" y="19"/>
              </a:lnTo>
              <a:lnTo>
                <a:pt x="133" y="19"/>
              </a:lnTo>
              <a:lnTo>
                <a:pt x="131" y="22"/>
              </a:lnTo>
              <a:lnTo>
                <a:pt x="125" y="27"/>
              </a:lnTo>
              <a:lnTo>
                <a:pt x="122" y="24"/>
              </a:lnTo>
              <a:lnTo>
                <a:pt x="112" y="24"/>
              </a:lnTo>
              <a:lnTo>
                <a:pt x="110" y="22"/>
              </a:lnTo>
              <a:lnTo>
                <a:pt x="106" y="20"/>
              </a:lnTo>
              <a:lnTo>
                <a:pt x="104" y="20"/>
              </a:lnTo>
              <a:lnTo>
                <a:pt x="100" y="20"/>
              </a:lnTo>
              <a:lnTo>
                <a:pt x="99" y="16"/>
              </a:lnTo>
              <a:lnTo>
                <a:pt x="99" y="12"/>
              </a:lnTo>
              <a:lnTo>
                <a:pt x="99" y="8"/>
              </a:lnTo>
              <a:lnTo>
                <a:pt x="96" y="4"/>
              </a:lnTo>
              <a:lnTo>
                <a:pt x="92" y="8"/>
              </a:lnTo>
              <a:lnTo>
                <a:pt x="90" y="10"/>
              </a:lnTo>
              <a:lnTo>
                <a:pt x="86" y="10"/>
              </a:lnTo>
              <a:lnTo>
                <a:pt x="83" y="8"/>
              </a:lnTo>
              <a:lnTo>
                <a:pt x="80" y="8"/>
              </a:lnTo>
              <a:lnTo>
                <a:pt x="78" y="12"/>
              </a:lnTo>
              <a:lnTo>
                <a:pt x="77" y="12"/>
              </a:lnTo>
              <a:lnTo>
                <a:pt x="74" y="12"/>
              </a:lnTo>
              <a:lnTo>
                <a:pt x="71" y="12"/>
              </a:lnTo>
              <a:lnTo>
                <a:pt x="68" y="10"/>
              </a:lnTo>
              <a:lnTo>
                <a:pt x="64" y="10"/>
              </a:lnTo>
              <a:lnTo>
                <a:pt x="61" y="10"/>
              </a:lnTo>
              <a:lnTo>
                <a:pt x="58" y="14"/>
              </a:lnTo>
              <a:lnTo>
                <a:pt x="57" y="19"/>
              </a:lnTo>
              <a:lnTo>
                <a:pt x="58" y="22"/>
              </a:lnTo>
              <a:lnTo>
                <a:pt x="61" y="22"/>
              </a:lnTo>
              <a:lnTo>
                <a:pt x="64" y="24"/>
              </a:lnTo>
              <a:lnTo>
                <a:pt x="68" y="24"/>
              </a:lnTo>
              <a:lnTo>
                <a:pt x="68" y="29"/>
              </a:lnTo>
              <a:lnTo>
                <a:pt x="64" y="31"/>
              </a:lnTo>
              <a:lnTo>
                <a:pt x="61" y="29"/>
              </a:lnTo>
              <a:lnTo>
                <a:pt x="55" y="35"/>
              </a:lnTo>
              <a:lnTo>
                <a:pt x="57" y="39"/>
              </a:lnTo>
              <a:lnTo>
                <a:pt x="57" y="43"/>
              </a:lnTo>
              <a:lnTo>
                <a:pt x="58" y="48"/>
              </a:lnTo>
              <a:lnTo>
                <a:pt x="63" y="56"/>
              </a:lnTo>
              <a:lnTo>
                <a:pt x="63" y="75"/>
              </a:lnTo>
              <a:lnTo>
                <a:pt x="61" y="81"/>
              </a:lnTo>
              <a:lnTo>
                <a:pt x="61" y="91"/>
              </a:lnTo>
              <a:lnTo>
                <a:pt x="60" y="95"/>
              </a:lnTo>
              <a:lnTo>
                <a:pt x="60" y="99"/>
              </a:lnTo>
              <a:lnTo>
                <a:pt x="58" y="104"/>
              </a:lnTo>
              <a:lnTo>
                <a:pt x="52" y="107"/>
              </a:lnTo>
              <a:lnTo>
                <a:pt x="49" y="107"/>
              </a:lnTo>
              <a:lnTo>
                <a:pt x="44" y="107"/>
              </a:lnTo>
              <a:lnTo>
                <a:pt x="41" y="110"/>
              </a:lnTo>
              <a:lnTo>
                <a:pt x="38" y="112"/>
              </a:lnTo>
              <a:lnTo>
                <a:pt x="28" y="112"/>
              </a:lnTo>
              <a:lnTo>
                <a:pt x="26" y="114"/>
              </a:lnTo>
              <a:lnTo>
                <a:pt x="23" y="118"/>
              </a:lnTo>
              <a:lnTo>
                <a:pt x="20" y="120"/>
              </a:lnTo>
              <a:lnTo>
                <a:pt x="16" y="124"/>
              </a:lnTo>
              <a:lnTo>
                <a:pt x="12" y="133"/>
              </a:lnTo>
              <a:lnTo>
                <a:pt x="10" y="137"/>
              </a:lnTo>
              <a:lnTo>
                <a:pt x="10" y="141"/>
              </a:lnTo>
              <a:lnTo>
                <a:pt x="9" y="147"/>
              </a:lnTo>
              <a:lnTo>
                <a:pt x="5" y="147"/>
              </a:lnTo>
              <a:lnTo>
                <a:pt x="2" y="149"/>
              </a:lnTo>
              <a:lnTo>
                <a:pt x="1" y="153"/>
              </a:lnTo>
              <a:lnTo>
                <a:pt x="0" y="158"/>
              </a:lnTo>
              <a:lnTo>
                <a:pt x="0" y="162"/>
              </a:lnTo>
              <a:lnTo>
                <a:pt x="5" y="170"/>
              </a:lnTo>
              <a:lnTo>
                <a:pt x="7" y="174"/>
              </a:lnTo>
              <a:lnTo>
                <a:pt x="10" y="176"/>
              </a:lnTo>
              <a:lnTo>
                <a:pt x="12" y="180"/>
              </a:lnTo>
              <a:lnTo>
                <a:pt x="15" y="187"/>
              </a:lnTo>
              <a:lnTo>
                <a:pt x="14" y="191"/>
              </a:lnTo>
              <a:lnTo>
                <a:pt x="16" y="193"/>
              </a:lnTo>
              <a:lnTo>
                <a:pt x="20" y="193"/>
              </a:lnTo>
              <a:lnTo>
                <a:pt x="23" y="193"/>
              </a:lnTo>
              <a:lnTo>
                <a:pt x="26" y="195"/>
              </a:lnTo>
              <a:lnTo>
                <a:pt x="28" y="197"/>
              </a:lnTo>
              <a:lnTo>
                <a:pt x="32" y="199"/>
              </a:lnTo>
              <a:lnTo>
                <a:pt x="38" y="199"/>
              </a:lnTo>
              <a:lnTo>
                <a:pt x="41" y="197"/>
              </a:lnTo>
              <a:lnTo>
                <a:pt x="50" y="191"/>
              </a:lnTo>
              <a:lnTo>
                <a:pt x="54" y="193"/>
              </a:lnTo>
              <a:lnTo>
                <a:pt x="52" y="197"/>
              </a:lnTo>
              <a:lnTo>
                <a:pt x="52" y="201"/>
              </a:lnTo>
              <a:lnTo>
                <a:pt x="54" y="205"/>
              </a:lnTo>
              <a:lnTo>
                <a:pt x="54" y="214"/>
              </a:lnTo>
              <a:lnTo>
                <a:pt x="63" y="214"/>
              </a:lnTo>
              <a:lnTo>
                <a:pt x="66" y="212"/>
              </a:lnTo>
              <a:lnTo>
                <a:pt x="76" y="212"/>
              </a:lnTo>
              <a:lnTo>
                <a:pt x="78" y="214"/>
              </a:lnTo>
              <a:lnTo>
                <a:pt x="85" y="214"/>
              </a:lnTo>
              <a:lnTo>
                <a:pt x="88" y="209"/>
              </a:lnTo>
              <a:lnTo>
                <a:pt x="92" y="208"/>
              </a:lnTo>
              <a:lnTo>
                <a:pt x="96" y="208"/>
              </a:lnTo>
              <a:lnTo>
                <a:pt x="99" y="205"/>
              </a:lnTo>
              <a:lnTo>
                <a:pt x="100" y="201"/>
              </a:lnTo>
              <a:lnTo>
                <a:pt x="104" y="204"/>
              </a:lnTo>
              <a:lnTo>
                <a:pt x="110" y="199"/>
              </a:lnTo>
              <a:lnTo>
                <a:pt x="113" y="193"/>
              </a:lnTo>
              <a:lnTo>
                <a:pt x="112" y="191"/>
              </a:lnTo>
              <a:lnTo>
                <a:pt x="116" y="187"/>
              </a:lnTo>
              <a:lnTo>
                <a:pt x="119" y="187"/>
              </a:lnTo>
              <a:lnTo>
                <a:pt x="122" y="187"/>
              </a:lnTo>
              <a:lnTo>
                <a:pt x="125" y="187"/>
              </a:lnTo>
              <a:lnTo>
                <a:pt x="129" y="189"/>
              </a:lnTo>
              <a:lnTo>
                <a:pt x="131" y="187"/>
              </a:lnTo>
              <a:lnTo>
                <a:pt x="134" y="187"/>
              </a:lnTo>
              <a:lnTo>
                <a:pt x="135" y="189"/>
              </a:lnTo>
              <a:lnTo>
                <a:pt x="138" y="184"/>
              </a:lnTo>
              <a:lnTo>
                <a:pt x="139" y="180"/>
              </a:lnTo>
              <a:lnTo>
                <a:pt x="140" y="176"/>
              </a:lnTo>
              <a:lnTo>
                <a:pt x="144" y="179"/>
              </a:lnTo>
              <a:lnTo>
                <a:pt x="147" y="179"/>
              </a:lnTo>
              <a:lnTo>
                <a:pt x="150" y="176"/>
              </a:lnTo>
              <a:lnTo>
                <a:pt x="152" y="172"/>
              </a:lnTo>
              <a:lnTo>
                <a:pt x="153" y="168"/>
              </a:lnTo>
              <a:lnTo>
                <a:pt x="156" y="166"/>
              </a:lnTo>
              <a:lnTo>
                <a:pt x="159" y="168"/>
              </a:lnTo>
              <a:lnTo>
                <a:pt x="162" y="164"/>
              </a:lnTo>
              <a:lnTo>
                <a:pt x="165" y="166"/>
              </a:lnTo>
              <a:lnTo>
                <a:pt x="169" y="166"/>
              </a:lnTo>
              <a:lnTo>
                <a:pt x="172" y="168"/>
              </a:lnTo>
              <a:lnTo>
                <a:pt x="175" y="170"/>
              </a:lnTo>
              <a:lnTo>
                <a:pt x="178" y="172"/>
              </a:lnTo>
              <a:lnTo>
                <a:pt x="181" y="172"/>
              </a:lnTo>
              <a:lnTo>
                <a:pt x="184" y="172"/>
              </a:lnTo>
              <a:lnTo>
                <a:pt x="187" y="174"/>
              </a:lnTo>
              <a:lnTo>
                <a:pt x="206" y="174"/>
              </a:lnTo>
              <a:lnTo>
                <a:pt x="211" y="172"/>
              </a:lnTo>
              <a:lnTo>
                <a:pt x="215" y="172"/>
              </a:lnTo>
              <a:lnTo>
                <a:pt x="220" y="174"/>
              </a:lnTo>
              <a:lnTo>
                <a:pt x="223" y="174"/>
              </a:lnTo>
              <a:lnTo>
                <a:pt x="228" y="174"/>
              </a:lnTo>
              <a:lnTo>
                <a:pt x="233" y="172"/>
              </a:lnTo>
              <a:lnTo>
                <a:pt x="235" y="172"/>
              </a:lnTo>
              <a:lnTo>
                <a:pt x="237" y="170"/>
              </a:lnTo>
              <a:lnTo>
                <a:pt x="237" y="166"/>
              </a:lnTo>
              <a:lnTo>
                <a:pt x="242" y="153"/>
              </a:lnTo>
              <a:lnTo>
                <a:pt x="243" y="151"/>
              </a:lnTo>
              <a:lnTo>
                <a:pt x="239" y="143"/>
              </a:lnTo>
              <a:lnTo>
                <a:pt x="239" y="139"/>
              </a:lnTo>
              <a:lnTo>
                <a:pt x="267" y="68"/>
              </a:lnTo>
              <a:lnTo>
                <a:pt x="267" y="64"/>
              </a:lnTo>
              <a:lnTo>
                <a:pt x="262" y="66"/>
              </a:lnTo>
              <a:lnTo>
                <a:pt x="257" y="66"/>
              </a:lnTo>
              <a:lnTo>
                <a:pt x="255" y="64"/>
              </a:lnTo>
              <a:lnTo>
                <a:pt x="253" y="60"/>
              </a:lnTo>
              <a:lnTo>
                <a:pt x="251" y="58"/>
              </a:lnTo>
              <a:lnTo>
                <a:pt x="248" y="58"/>
              </a:lnTo>
              <a:lnTo>
                <a:pt x="245" y="58"/>
              </a:lnTo>
              <a:lnTo>
                <a:pt x="241" y="58"/>
              </a:lnTo>
              <a:lnTo>
                <a:pt x="237" y="56"/>
              </a:lnTo>
              <a:lnTo>
                <a:pt x="234" y="53"/>
              </a:lnTo>
              <a:lnTo>
                <a:pt x="234" y="49"/>
              </a:lnTo>
              <a:lnTo>
                <a:pt x="231" y="45"/>
              </a:lnTo>
              <a:lnTo>
                <a:pt x="229" y="41"/>
              </a:lnTo>
              <a:lnTo>
                <a:pt x="228" y="37"/>
              </a:lnTo>
              <a:lnTo>
                <a:pt x="227" y="32"/>
              </a:lnTo>
              <a:lnTo>
                <a:pt x="227" y="3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8</xdr:col>
      <xdr:colOff>1209468</xdr:colOff>
      <xdr:row>60</xdr:row>
      <xdr:rowOff>96202</xdr:rowOff>
    </xdr:from>
    <xdr:to>
      <xdr:col>8</xdr:col>
      <xdr:colOff>2257243</xdr:colOff>
      <xdr:row>65</xdr:row>
      <xdr:rowOff>15893</xdr:rowOff>
    </xdr:to>
    <xdr:pic>
      <xdr:nvPicPr>
        <xdr:cNvPr id="98" name="Imagem 85">
          <a:extLst>
            <a:ext uri="{FF2B5EF4-FFF2-40B4-BE49-F238E27FC236}">
              <a16:creationId xmlns:a16="http://schemas.microsoft.com/office/drawing/2014/main" id="{DF02E025-C7D8-4D36-8391-7493148C8C02}"/>
            </a:ext>
          </a:extLst>
        </xdr:cNvPr>
        <xdr:cNvPicPr>
          <a:picLocks/>
        </xdr:cNvPicPr>
      </xdr:nvPicPr>
      <xdr:blipFill>
        <a:blip xmlns:r="http://schemas.openxmlformats.org/officeDocument/2006/relationships" r:embed="rId1"/>
        <a:stretch>
          <a:fillRect/>
        </a:stretch>
      </xdr:blipFill>
      <xdr:spPr>
        <a:xfrm>
          <a:off x="8321468" y="10020345"/>
          <a:ext cx="1021671" cy="681691"/>
        </a:xfrm>
        <a:prstGeom prst="rect">
          <a:avLst/>
        </a:prstGeom>
      </xdr:spPr>
    </xdr:pic>
    <xdr:clientData/>
  </xdr:twoCellAnchor>
  <xdr:twoCellAnchor editAs="oneCell">
    <xdr:from>
      <xdr:col>7</xdr:col>
      <xdr:colOff>263407</xdr:colOff>
      <xdr:row>60</xdr:row>
      <xdr:rowOff>86066</xdr:rowOff>
    </xdr:from>
    <xdr:to>
      <xdr:col>8</xdr:col>
      <xdr:colOff>171518</xdr:colOff>
      <xdr:row>65</xdr:row>
      <xdr:rowOff>15893</xdr:rowOff>
    </xdr:to>
    <xdr:pic>
      <xdr:nvPicPr>
        <xdr:cNvPr id="99" name="Imagem 86">
          <a:extLst>
            <a:ext uri="{FF2B5EF4-FFF2-40B4-BE49-F238E27FC236}">
              <a16:creationId xmlns:a16="http://schemas.microsoft.com/office/drawing/2014/main" id="{2F47A329-4C9F-49AF-8AAE-5475C49BBA17}"/>
            </a:ext>
          </a:extLst>
        </xdr:cNvPr>
        <xdr:cNvPicPr>
          <a:picLocks/>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205193" y="10010209"/>
          <a:ext cx="1022536" cy="691827"/>
        </a:xfrm>
        <a:prstGeom prst="rect">
          <a:avLst/>
        </a:prstGeom>
      </xdr:spPr>
    </xdr:pic>
    <xdr:clientData/>
  </xdr:twoCellAnchor>
  <xdr:twoCellAnchor editAs="oneCell">
    <xdr:from>
      <xdr:col>6</xdr:col>
      <xdr:colOff>849154</xdr:colOff>
      <xdr:row>66</xdr:row>
      <xdr:rowOff>15519</xdr:rowOff>
    </xdr:from>
    <xdr:to>
      <xdr:col>7</xdr:col>
      <xdr:colOff>750915</xdr:colOff>
      <xdr:row>70</xdr:row>
      <xdr:rowOff>59035</xdr:rowOff>
    </xdr:to>
    <xdr:pic>
      <xdr:nvPicPr>
        <xdr:cNvPr id="100" name="Imagem 87">
          <a:extLst>
            <a:ext uri="{FF2B5EF4-FFF2-40B4-BE49-F238E27FC236}">
              <a16:creationId xmlns:a16="http://schemas.microsoft.com/office/drawing/2014/main" id="{5B95F70D-3DFF-47D2-89E9-36ADF66BB2E5}"/>
            </a:ext>
          </a:extLst>
        </xdr:cNvPr>
        <xdr:cNvPicPr preferRelativeResize="0">
          <a:picLocks/>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20725" y="10919376"/>
          <a:ext cx="1022536" cy="681691"/>
        </a:xfrm>
        <a:prstGeom prst="rect">
          <a:avLst/>
        </a:prstGeom>
      </xdr:spPr>
    </xdr:pic>
    <xdr:clientData/>
  </xdr:twoCellAnchor>
  <xdr:twoCellAnchor>
    <xdr:from>
      <xdr:col>3</xdr:col>
      <xdr:colOff>64270</xdr:colOff>
      <xdr:row>64</xdr:row>
      <xdr:rowOff>32930</xdr:rowOff>
    </xdr:from>
    <xdr:to>
      <xdr:col>3</xdr:col>
      <xdr:colOff>73257</xdr:colOff>
      <xdr:row>64</xdr:row>
      <xdr:rowOff>34331</xdr:rowOff>
    </xdr:to>
    <xdr:sp macro="" textlink="">
      <xdr:nvSpPr>
        <xdr:cNvPr id="101" name="Rectangle 81">
          <a:extLst>
            <a:ext uri="{FF2B5EF4-FFF2-40B4-BE49-F238E27FC236}">
              <a16:creationId xmlns:a16="http://schemas.microsoft.com/office/drawing/2014/main" id="{E9267787-5697-4F5C-ACB6-9BED56D0825E}"/>
            </a:ext>
          </a:extLst>
        </xdr:cNvPr>
        <xdr:cNvSpPr>
          <a:spLocks noChangeAspect="1" noChangeArrowheads="1"/>
        </xdr:cNvSpPr>
      </xdr:nvSpPr>
      <xdr:spPr bwMode="gray">
        <a:xfrm>
          <a:off x="2495413" y="1061021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374414</xdr:colOff>
      <xdr:row>46</xdr:row>
      <xdr:rowOff>0</xdr:rowOff>
    </xdr:from>
    <xdr:to>
      <xdr:col>1</xdr:col>
      <xdr:colOff>1147343</xdr:colOff>
      <xdr:row>51</xdr:row>
      <xdr:rowOff>18329</xdr:rowOff>
    </xdr:to>
    <xdr:sp macro="" textlink="">
      <xdr:nvSpPr>
        <xdr:cNvPr id="102" name="Freeform 83">
          <a:extLst>
            <a:ext uri="{FF2B5EF4-FFF2-40B4-BE49-F238E27FC236}">
              <a16:creationId xmlns:a16="http://schemas.microsoft.com/office/drawing/2014/main" id="{FDA8379F-F536-42A3-B7ED-92315D8211F7}"/>
            </a:ext>
          </a:extLst>
        </xdr:cNvPr>
        <xdr:cNvSpPr>
          <a:spLocks noChangeAspect="1"/>
        </xdr:cNvSpPr>
      </xdr:nvSpPr>
      <xdr:spPr bwMode="gray">
        <a:xfrm>
          <a:off x="528628" y="7638143"/>
          <a:ext cx="772929" cy="834757"/>
        </a:xfrm>
        <a:custGeom>
          <a:avLst/>
          <a:gdLst>
            <a:gd name="T0" fmla="*/ 505 w 91"/>
            <a:gd name="T1" fmla="*/ 454 h 105"/>
            <a:gd name="T2" fmla="*/ 471 w 91"/>
            <a:gd name="T3" fmla="*/ 454 h 105"/>
            <a:gd name="T4" fmla="*/ 431 w 91"/>
            <a:gd name="T5" fmla="*/ 454 h 105"/>
            <a:gd name="T6" fmla="*/ 408 w 91"/>
            <a:gd name="T7" fmla="*/ 488 h 105"/>
            <a:gd name="T8" fmla="*/ 386 w 91"/>
            <a:gd name="T9" fmla="*/ 522 h 105"/>
            <a:gd name="T10" fmla="*/ 374 w 91"/>
            <a:gd name="T11" fmla="*/ 562 h 105"/>
            <a:gd name="T12" fmla="*/ 340 w 91"/>
            <a:gd name="T13" fmla="*/ 534 h 105"/>
            <a:gd name="T14" fmla="*/ 306 w 91"/>
            <a:gd name="T15" fmla="*/ 534 h 105"/>
            <a:gd name="T16" fmla="*/ 278 w 91"/>
            <a:gd name="T17" fmla="*/ 573 h 105"/>
            <a:gd name="T18" fmla="*/ 261 w 91"/>
            <a:gd name="T19" fmla="*/ 596 h 105"/>
            <a:gd name="T20" fmla="*/ 227 w 91"/>
            <a:gd name="T21" fmla="*/ 573 h 105"/>
            <a:gd name="T22" fmla="*/ 210 w 91"/>
            <a:gd name="T23" fmla="*/ 522 h 105"/>
            <a:gd name="T24" fmla="*/ 210 w 91"/>
            <a:gd name="T25" fmla="*/ 477 h 105"/>
            <a:gd name="T26" fmla="*/ 210 w 91"/>
            <a:gd name="T27" fmla="*/ 431 h 105"/>
            <a:gd name="T28" fmla="*/ 181 w 91"/>
            <a:gd name="T29" fmla="*/ 392 h 105"/>
            <a:gd name="T30" fmla="*/ 164 w 91"/>
            <a:gd name="T31" fmla="*/ 346 h 105"/>
            <a:gd name="T32" fmla="*/ 147 w 91"/>
            <a:gd name="T33" fmla="*/ 301 h 105"/>
            <a:gd name="T34" fmla="*/ 130 w 91"/>
            <a:gd name="T35" fmla="*/ 278 h 105"/>
            <a:gd name="T36" fmla="*/ 125 w 91"/>
            <a:gd name="T37" fmla="*/ 267 h 105"/>
            <a:gd name="T38" fmla="*/ 68 w 91"/>
            <a:gd name="T39" fmla="*/ 267 h 105"/>
            <a:gd name="T40" fmla="*/ 34 w 91"/>
            <a:gd name="T41" fmla="*/ 244 h 105"/>
            <a:gd name="T42" fmla="*/ 45 w 91"/>
            <a:gd name="T43" fmla="*/ 199 h 105"/>
            <a:gd name="T44" fmla="*/ 45 w 91"/>
            <a:gd name="T45" fmla="*/ 153 h 105"/>
            <a:gd name="T46" fmla="*/ 0 w 91"/>
            <a:gd name="T47" fmla="*/ 131 h 105"/>
            <a:gd name="T48" fmla="*/ 28 w 91"/>
            <a:gd name="T49" fmla="*/ 108 h 105"/>
            <a:gd name="T50" fmla="*/ 68 w 91"/>
            <a:gd name="T51" fmla="*/ 131 h 105"/>
            <a:gd name="T52" fmla="*/ 102 w 91"/>
            <a:gd name="T53" fmla="*/ 136 h 105"/>
            <a:gd name="T54" fmla="*/ 142 w 91"/>
            <a:gd name="T55" fmla="*/ 136 h 105"/>
            <a:gd name="T56" fmla="*/ 170 w 91"/>
            <a:gd name="T57" fmla="*/ 153 h 105"/>
            <a:gd name="T58" fmla="*/ 210 w 91"/>
            <a:gd name="T59" fmla="*/ 119 h 105"/>
            <a:gd name="T60" fmla="*/ 232 w 91"/>
            <a:gd name="T61" fmla="*/ 119 h 105"/>
            <a:gd name="T62" fmla="*/ 272 w 91"/>
            <a:gd name="T63" fmla="*/ 102 h 105"/>
            <a:gd name="T64" fmla="*/ 306 w 91"/>
            <a:gd name="T65" fmla="*/ 79 h 105"/>
            <a:gd name="T66" fmla="*/ 340 w 91"/>
            <a:gd name="T67" fmla="*/ 45 h 105"/>
            <a:gd name="T68" fmla="*/ 363 w 91"/>
            <a:gd name="T69" fmla="*/ 11 h 105"/>
            <a:gd name="T70" fmla="*/ 397 w 91"/>
            <a:gd name="T71" fmla="*/ 11 h 105"/>
            <a:gd name="T72" fmla="*/ 408 w 91"/>
            <a:gd name="T73" fmla="*/ 57 h 105"/>
            <a:gd name="T74" fmla="*/ 442 w 91"/>
            <a:gd name="T75" fmla="*/ 79 h 105"/>
            <a:gd name="T76" fmla="*/ 431 w 91"/>
            <a:gd name="T77" fmla="*/ 131 h 105"/>
            <a:gd name="T78" fmla="*/ 420 w 91"/>
            <a:gd name="T79" fmla="*/ 159 h 105"/>
            <a:gd name="T80" fmla="*/ 420 w 91"/>
            <a:gd name="T81" fmla="*/ 204 h 105"/>
            <a:gd name="T82" fmla="*/ 408 w 91"/>
            <a:gd name="T83" fmla="*/ 255 h 105"/>
            <a:gd name="T84" fmla="*/ 442 w 91"/>
            <a:gd name="T85" fmla="*/ 278 h 105"/>
            <a:gd name="T86" fmla="*/ 442 w 91"/>
            <a:gd name="T87" fmla="*/ 324 h 105"/>
            <a:gd name="T88" fmla="*/ 476 w 91"/>
            <a:gd name="T89" fmla="*/ 346 h 105"/>
            <a:gd name="T90" fmla="*/ 505 w 91"/>
            <a:gd name="T91" fmla="*/ 369 h 105"/>
            <a:gd name="T92" fmla="*/ 505 w 91"/>
            <a:gd name="T93" fmla="*/ 409 h 10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91" h="105">
              <a:moveTo>
                <a:pt x="91" y="76"/>
              </a:moveTo>
              <a:lnTo>
                <a:pt x="89" y="80"/>
              </a:lnTo>
              <a:lnTo>
                <a:pt x="86" y="80"/>
              </a:lnTo>
              <a:lnTo>
                <a:pt x="83" y="80"/>
              </a:lnTo>
              <a:lnTo>
                <a:pt x="80" y="80"/>
              </a:lnTo>
              <a:lnTo>
                <a:pt x="76" y="80"/>
              </a:lnTo>
              <a:lnTo>
                <a:pt x="74" y="82"/>
              </a:lnTo>
              <a:lnTo>
                <a:pt x="72" y="86"/>
              </a:lnTo>
              <a:lnTo>
                <a:pt x="70" y="91"/>
              </a:lnTo>
              <a:lnTo>
                <a:pt x="68" y="92"/>
              </a:lnTo>
              <a:lnTo>
                <a:pt x="69" y="96"/>
              </a:lnTo>
              <a:lnTo>
                <a:pt x="66" y="99"/>
              </a:lnTo>
              <a:lnTo>
                <a:pt x="63" y="99"/>
              </a:lnTo>
              <a:lnTo>
                <a:pt x="60" y="94"/>
              </a:lnTo>
              <a:lnTo>
                <a:pt x="57" y="94"/>
              </a:lnTo>
              <a:lnTo>
                <a:pt x="54" y="94"/>
              </a:lnTo>
              <a:lnTo>
                <a:pt x="50" y="96"/>
              </a:lnTo>
              <a:lnTo>
                <a:pt x="49" y="101"/>
              </a:lnTo>
              <a:lnTo>
                <a:pt x="48" y="105"/>
              </a:lnTo>
              <a:lnTo>
                <a:pt x="46" y="105"/>
              </a:lnTo>
              <a:lnTo>
                <a:pt x="43" y="103"/>
              </a:lnTo>
              <a:lnTo>
                <a:pt x="40" y="101"/>
              </a:lnTo>
              <a:lnTo>
                <a:pt x="37" y="96"/>
              </a:lnTo>
              <a:lnTo>
                <a:pt x="37" y="92"/>
              </a:lnTo>
              <a:lnTo>
                <a:pt x="38" y="88"/>
              </a:lnTo>
              <a:lnTo>
                <a:pt x="37" y="84"/>
              </a:lnTo>
              <a:lnTo>
                <a:pt x="37" y="80"/>
              </a:lnTo>
              <a:lnTo>
                <a:pt x="37" y="76"/>
              </a:lnTo>
              <a:lnTo>
                <a:pt x="35" y="72"/>
              </a:lnTo>
              <a:lnTo>
                <a:pt x="32" y="69"/>
              </a:lnTo>
              <a:lnTo>
                <a:pt x="29" y="65"/>
              </a:lnTo>
              <a:lnTo>
                <a:pt x="29" y="61"/>
              </a:lnTo>
              <a:lnTo>
                <a:pt x="28" y="57"/>
              </a:lnTo>
              <a:lnTo>
                <a:pt x="26" y="53"/>
              </a:lnTo>
              <a:lnTo>
                <a:pt x="26" y="49"/>
              </a:lnTo>
              <a:lnTo>
                <a:pt x="23" y="49"/>
              </a:lnTo>
              <a:lnTo>
                <a:pt x="22" y="47"/>
              </a:lnTo>
              <a:lnTo>
                <a:pt x="15" y="47"/>
              </a:lnTo>
              <a:lnTo>
                <a:pt x="12" y="47"/>
              </a:lnTo>
              <a:lnTo>
                <a:pt x="8" y="46"/>
              </a:lnTo>
              <a:lnTo>
                <a:pt x="6" y="43"/>
              </a:lnTo>
              <a:lnTo>
                <a:pt x="6" y="39"/>
              </a:lnTo>
              <a:lnTo>
                <a:pt x="8" y="35"/>
              </a:lnTo>
              <a:lnTo>
                <a:pt x="9" y="31"/>
              </a:lnTo>
              <a:lnTo>
                <a:pt x="8" y="27"/>
              </a:lnTo>
              <a:lnTo>
                <a:pt x="4" y="24"/>
              </a:lnTo>
              <a:lnTo>
                <a:pt x="0" y="23"/>
              </a:lnTo>
              <a:lnTo>
                <a:pt x="0" y="20"/>
              </a:lnTo>
              <a:lnTo>
                <a:pt x="5" y="19"/>
              </a:lnTo>
              <a:lnTo>
                <a:pt x="9" y="21"/>
              </a:lnTo>
              <a:lnTo>
                <a:pt x="12" y="23"/>
              </a:lnTo>
              <a:lnTo>
                <a:pt x="15" y="23"/>
              </a:lnTo>
              <a:lnTo>
                <a:pt x="18" y="24"/>
              </a:lnTo>
              <a:lnTo>
                <a:pt x="22" y="24"/>
              </a:lnTo>
              <a:lnTo>
                <a:pt x="25" y="24"/>
              </a:lnTo>
              <a:lnTo>
                <a:pt x="28" y="27"/>
              </a:lnTo>
              <a:lnTo>
                <a:pt x="30" y="27"/>
              </a:lnTo>
              <a:lnTo>
                <a:pt x="34" y="23"/>
              </a:lnTo>
              <a:lnTo>
                <a:pt x="37" y="21"/>
              </a:lnTo>
              <a:lnTo>
                <a:pt x="38" y="21"/>
              </a:lnTo>
              <a:lnTo>
                <a:pt x="41" y="21"/>
              </a:lnTo>
              <a:lnTo>
                <a:pt x="44" y="18"/>
              </a:lnTo>
              <a:lnTo>
                <a:pt x="48" y="18"/>
              </a:lnTo>
              <a:lnTo>
                <a:pt x="50" y="16"/>
              </a:lnTo>
              <a:lnTo>
                <a:pt x="54" y="14"/>
              </a:lnTo>
              <a:lnTo>
                <a:pt x="57" y="10"/>
              </a:lnTo>
              <a:lnTo>
                <a:pt x="60" y="8"/>
              </a:lnTo>
              <a:lnTo>
                <a:pt x="63" y="6"/>
              </a:lnTo>
              <a:lnTo>
                <a:pt x="64" y="2"/>
              </a:lnTo>
              <a:lnTo>
                <a:pt x="68" y="0"/>
              </a:lnTo>
              <a:lnTo>
                <a:pt x="70" y="2"/>
              </a:lnTo>
              <a:lnTo>
                <a:pt x="70" y="6"/>
              </a:lnTo>
              <a:lnTo>
                <a:pt x="72" y="10"/>
              </a:lnTo>
              <a:lnTo>
                <a:pt x="75" y="10"/>
              </a:lnTo>
              <a:lnTo>
                <a:pt x="78" y="14"/>
              </a:lnTo>
              <a:lnTo>
                <a:pt x="78" y="18"/>
              </a:lnTo>
              <a:lnTo>
                <a:pt x="76" y="23"/>
              </a:lnTo>
              <a:lnTo>
                <a:pt x="76" y="27"/>
              </a:lnTo>
              <a:lnTo>
                <a:pt x="74" y="28"/>
              </a:lnTo>
              <a:lnTo>
                <a:pt x="72" y="33"/>
              </a:lnTo>
              <a:lnTo>
                <a:pt x="74" y="36"/>
              </a:lnTo>
              <a:lnTo>
                <a:pt x="72" y="41"/>
              </a:lnTo>
              <a:lnTo>
                <a:pt x="72" y="45"/>
              </a:lnTo>
              <a:lnTo>
                <a:pt x="75" y="49"/>
              </a:lnTo>
              <a:lnTo>
                <a:pt x="78" y="49"/>
              </a:lnTo>
              <a:lnTo>
                <a:pt x="78" y="53"/>
              </a:lnTo>
              <a:lnTo>
                <a:pt x="78" y="57"/>
              </a:lnTo>
              <a:lnTo>
                <a:pt x="81" y="61"/>
              </a:lnTo>
              <a:lnTo>
                <a:pt x="84" y="61"/>
              </a:lnTo>
              <a:lnTo>
                <a:pt x="88" y="64"/>
              </a:lnTo>
              <a:lnTo>
                <a:pt x="89" y="65"/>
              </a:lnTo>
              <a:lnTo>
                <a:pt x="91" y="69"/>
              </a:lnTo>
              <a:lnTo>
                <a:pt x="89" y="72"/>
              </a:lnTo>
              <a:lnTo>
                <a:pt x="91" y="7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2856</xdr:colOff>
      <xdr:row>46</xdr:row>
      <xdr:rowOff>128461</xdr:rowOff>
    </xdr:from>
    <xdr:to>
      <xdr:col>3</xdr:col>
      <xdr:colOff>649959</xdr:colOff>
      <xdr:row>50</xdr:row>
      <xdr:rowOff>151809</xdr:rowOff>
    </xdr:to>
    <xdr:sp macro="" textlink="">
      <xdr:nvSpPr>
        <xdr:cNvPr id="103" name="Freeform 85">
          <a:extLst>
            <a:ext uri="{FF2B5EF4-FFF2-40B4-BE49-F238E27FC236}">
              <a16:creationId xmlns:a16="http://schemas.microsoft.com/office/drawing/2014/main" id="{17E03A11-FBE0-43D0-AF45-203D32315747}"/>
            </a:ext>
          </a:extLst>
        </xdr:cNvPr>
        <xdr:cNvSpPr>
          <a:spLocks noChangeAspect="1"/>
        </xdr:cNvSpPr>
      </xdr:nvSpPr>
      <xdr:spPr bwMode="gray">
        <a:xfrm>
          <a:off x="2433999" y="7766604"/>
          <a:ext cx="647103" cy="676491"/>
        </a:xfrm>
        <a:custGeom>
          <a:avLst/>
          <a:gdLst>
            <a:gd name="T0" fmla="*/ 6 w 76"/>
            <a:gd name="T1" fmla="*/ 170 h 85"/>
            <a:gd name="T2" fmla="*/ 45 w 76"/>
            <a:gd name="T3" fmla="*/ 188 h 85"/>
            <a:gd name="T4" fmla="*/ 85 w 76"/>
            <a:gd name="T5" fmla="*/ 188 h 85"/>
            <a:gd name="T6" fmla="*/ 119 w 76"/>
            <a:gd name="T7" fmla="*/ 170 h 85"/>
            <a:gd name="T8" fmla="*/ 153 w 76"/>
            <a:gd name="T9" fmla="*/ 188 h 85"/>
            <a:gd name="T10" fmla="*/ 188 w 76"/>
            <a:gd name="T11" fmla="*/ 170 h 85"/>
            <a:gd name="T12" fmla="*/ 216 w 76"/>
            <a:gd name="T13" fmla="*/ 148 h 85"/>
            <a:gd name="T14" fmla="*/ 233 w 76"/>
            <a:gd name="T15" fmla="*/ 102 h 85"/>
            <a:gd name="T16" fmla="*/ 244 w 76"/>
            <a:gd name="T17" fmla="*/ 51 h 85"/>
            <a:gd name="T18" fmla="*/ 279 w 76"/>
            <a:gd name="T19" fmla="*/ 28 h 85"/>
            <a:gd name="T20" fmla="*/ 290 w 76"/>
            <a:gd name="T21" fmla="*/ 0 h 85"/>
            <a:gd name="T22" fmla="*/ 324 w 76"/>
            <a:gd name="T23" fmla="*/ 28 h 85"/>
            <a:gd name="T24" fmla="*/ 341 w 76"/>
            <a:gd name="T25" fmla="*/ 80 h 85"/>
            <a:gd name="T26" fmla="*/ 341 w 76"/>
            <a:gd name="T27" fmla="*/ 125 h 85"/>
            <a:gd name="T28" fmla="*/ 358 w 76"/>
            <a:gd name="T29" fmla="*/ 170 h 85"/>
            <a:gd name="T30" fmla="*/ 387 w 76"/>
            <a:gd name="T31" fmla="*/ 216 h 85"/>
            <a:gd name="T32" fmla="*/ 421 w 76"/>
            <a:gd name="T33" fmla="*/ 233 h 85"/>
            <a:gd name="T34" fmla="*/ 421 w 76"/>
            <a:gd name="T35" fmla="*/ 278 h 85"/>
            <a:gd name="T36" fmla="*/ 404 w 76"/>
            <a:gd name="T37" fmla="*/ 313 h 85"/>
            <a:gd name="T38" fmla="*/ 369 w 76"/>
            <a:gd name="T39" fmla="*/ 352 h 85"/>
            <a:gd name="T40" fmla="*/ 335 w 76"/>
            <a:gd name="T41" fmla="*/ 386 h 85"/>
            <a:gd name="T42" fmla="*/ 301 w 76"/>
            <a:gd name="T43" fmla="*/ 426 h 85"/>
            <a:gd name="T44" fmla="*/ 290 w 76"/>
            <a:gd name="T45" fmla="*/ 460 h 85"/>
            <a:gd name="T46" fmla="*/ 256 w 76"/>
            <a:gd name="T47" fmla="*/ 483 h 85"/>
            <a:gd name="T48" fmla="*/ 216 w 76"/>
            <a:gd name="T49" fmla="*/ 460 h 85"/>
            <a:gd name="T50" fmla="*/ 199 w 76"/>
            <a:gd name="T51" fmla="*/ 409 h 85"/>
            <a:gd name="T52" fmla="*/ 165 w 76"/>
            <a:gd name="T53" fmla="*/ 375 h 85"/>
            <a:gd name="T54" fmla="*/ 165 w 76"/>
            <a:gd name="T55" fmla="*/ 330 h 85"/>
            <a:gd name="T56" fmla="*/ 125 w 76"/>
            <a:gd name="T57" fmla="*/ 290 h 85"/>
            <a:gd name="T58" fmla="*/ 102 w 76"/>
            <a:gd name="T59" fmla="*/ 267 h 85"/>
            <a:gd name="T60" fmla="*/ 74 w 76"/>
            <a:gd name="T61" fmla="*/ 244 h 85"/>
            <a:gd name="T62" fmla="*/ 40 w 76"/>
            <a:gd name="T63" fmla="*/ 216 h 85"/>
            <a:gd name="T64" fmla="*/ 17 w 76"/>
            <a:gd name="T65" fmla="*/ 199 h 85"/>
            <a:gd name="T66" fmla="*/ 0 w 76"/>
            <a:gd name="T67" fmla="*/ 170 h 85"/>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76" h="85">
              <a:moveTo>
                <a:pt x="0" y="30"/>
              </a:moveTo>
              <a:lnTo>
                <a:pt x="1" y="30"/>
              </a:lnTo>
              <a:lnTo>
                <a:pt x="5" y="30"/>
              </a:lnTo>
              <a:lnTo>
                <a:pt x="8" y="33"/>
              </a:lnTo>
              <a:lnTo>
                <a:pt x="11" y="33"/>
              </a:lnTo>
              <a:lnTo>
                <a:pt x="15" y="33"/>
              </a:lnTo>
              <a:lnTo>
                <a:pt x="18" y="30"/>
              </a:lnTo>
              <a:lnTo>
                <a:pt x="21" y="30"/>
              </a:lnTo>
              <a:lnTo>
                <a:pt x="24" y="30"/>
              </a:lnTo>
              <a:lnTo>
                <a:pt x="27" y="33"/>
              </a:lnTo>
              <a:lnTo>
                <a:pt x="30" y="33"/>
              </a:lnTo>
              <a:lnTo>
                <a:pt x="33" y="30"/>
              </a:lnTo>
              <a:lnTo>
                <a:pt x="36" y="30"/>
              </a:lnTo>
              <a:lnTo>
                <a:pt x="38" y="26"/>
              </a:lnTo>
              <a:lnTo>
                <a:pt x="39" y="22"/>
              </a:lnTo>
              <a:lnTo>
                <a:pt x="41" y="18"/>
              </a:lnTo>
              <a:lnTo>
                <a:pt x="43" y="14"/>
              </a:lnTo>
              <a:lnTo>
                <a:pt x="43" y="9"/>
              </a:lnTo>
              <a:lnTo>
                <a:pt x="46" y="5"/>
              </a:lnTo>
              <a:lnTo>
                <a:pt x="49" y="5"/>
              </a:lnTo>
              <a:lnTo>
                <a:pt x="49" y="1"/>
              </a:lnTo>
              <a:lnTo>
                <a:pt x="51" y="0"/>
              </a:lnTo>
              <a:lnTo>
                <a:pt x="56" y="1"/>
              </a:lnTo>
              <a:lnTo>
                <a:pt x="57" y="5"/>
              </a:lnTo>
              <a:lnTo>
                <a:pt x="59" y="9"/>
              </a:lnTo>
              <a:lnTo>
                <a:pt x="60" y="14"/>
              </a:lnTo>
              <a:lnTo>
                <a:pt x="60" y="18"/>
              </a:lnTo>
              <a:lnTo>
                <a:pt x="60" y="22"/>
              </a:lnTo>
              <a:lnTo>
                <a:pt x="62" y="26"/>
              </a:lnTo>
              <a:lnTo>
                <a:pt x="63" y="30"/>
              </a:lnTo>
              <a:lnTo>
                <a:pt x="65" y="35"/>
              </a:lnTo>
              <a:lnTo>
                <a:pt x="68" y="38"/>
              </a:lnTo>
              <a:lnTo>
                <a:pt x="71" y="38"/>
              </a:lnTo>
              <a:lnTo>
                <a:pt x="74" y="41"/>
              </a:lnTo>
              <a:lnTo>
                <a:pt x="76" y="45"/>
              </a:lnTo>
              <a:lnTo>
                <a:pt x="74" y="49"/>
              </a:lnTo>
              <a:lnTo>
                <a:pt x="74" y="54"/>
              </a:lnTo>
              <a:lnTo>
                <a:pt x="71" y="55"/>
              </a:lnTo>
              <a:lnTo>
                <a:pt x="68" y="58"/>
              </a:lnTo>
              <a:lnTo>
                <a:pt x="65" y="62"/>
              </a:lnTo>
              <a:lnTo>
                <a:pt x="62" y="66"/>
              </a:lnTo>
              <a:lnTo>
                <a:pt x="59" y="68"/>
              </a:lnTo>
              <a:lnTo>
                <a:pt x="57" y="72"/>
              </a:lnTo>
              <a:lnTo>
                <a:pt x="53" y="75"/>
              </a:lnTo>
              <a:lnTo>
                <a:pt x="51" y="76"/>
              </a:lnTo>
              <a:lnTo>
                <a:pt x="51" y="81"/>
              </a:lnTo>
              <a:lnTo>
                <a:pt x="48" y="83"/>
              </a:lnTo>
              <a:lnTo>
                <a:pt x="45" y="85"/>
              </a:lnTo>
              <a:lnTo>
                <a:pt x="41" y="85"/>
              </a:lnTo>
              <a:lnTo>
                <a:pt x="38" y="81"/>
              </a:lnTo>
              <a:lnTo>
                <a:pt x="36" y="76"/>
              </a:lnTo>
              <a:lnTo>
                <a:pt x="35" y="72"/>
              </a:lnTo>
              <a:lnTo>
                <a:pt x="32" y="70"/>
              </a:lnTo>
              <a:lnTo>
                <a:pt x="29" y="66"/>
              </a:lnTo>
              <a:lnTo>
                <a:pt x="29" y="62"/>
              </a:lnTo>
              <a:lnTo>
                <a:pt x="29" y="58"/>
              </a:lnTo>
              <a:lnTo>
                <a:pt x="25" y="55"/>
              </a:lnTo>
              <a:lnTo>
                <a:pt x="22" y="51"/>
              </a:lnTo>
              <a:lnTo>
                <a:pt x="21" y="47"/>
              </a:lnTo>
              <a:lnTo>
                <a:pt x="18" y="47"/>
              </a:lnTo>
              <a:lnTo>
                <a:pt x="16" y="43"/>
              </a:lnTo>
              <a:lnTo>
                <a:pt x="13" y="43"/>
              </a:lnTo>
              <a:lnTo>
                <a:pt x="10" y="41"/>
              </a:lnTo>
              <a:lnTo>
                <a:pt x="7" y="38"/>
              </a:lnTo>
              <a:lnTo>
                <a:pt x="3" y="38"/>
              </a:lnTo>
              <a:lnTo>
                <a:pt x="3" y="35"/>
              </a:lnTo>
              <a:lnTo>
                <a:pt x="1" y="30"/>
              </a:lnTo>
              <a:lnTo>
                <a:pt x="0"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1446939</xdr:colOff>
      <xdr:row>55</xdr:row>
      <xdr:rowOff>143919</xdr:rowOff>
    </xdr:from>
    <xdr:to>
      <xdr:col>3</xdr:col>
      <xdr:colOff>624494</xdr:colOff>
      <xdr:row>63</xdr:row>
      <xdr:rowOff>149996</xdr:rowOff>
    </xdr:to>
    <xdr:sp macro="" textlink="">
      <xdr:nvSpPr>
        <xdr:cNvPr id="104" name="Freeform 86">
          <a:extLst>
            <a:ext uri="{FF2B5EF4-FFF2-40B4-BE49-F238E27FC236}">
              <a16:creationId xmlns:a16="http://schemas.microsoft.com/office/drawing/2014/main" id="{7A70CDD3-B5C9-4965-AE90-20CC0259A8CE}"/>
            </a:ext>
          </a:extLst>
        </xdr:cNvPr>
        <xdr:cNvSpPr>
          <a:spLocks noChangeAspect="1"/>
        </xdr:cNvSpPr>
      </xdr:nvSpPr>
      <xdr:spPr bwMode="gray">
        <a:xfrm>
          <a:off x="1601153" y="9251633"/>
          <a:ext cx="1454484" cy="1312363"/>
        </a:xfrm>
        <a:custGeom>
          <a:avLst/>
          <a:gdLst>
            <a:gd name="T0" fmla="*/ 273 w 171"/>
            <a:gd name="T1" fmla="*/ 45 h 165"/>
            <a:gd name="T2" fmla="*/ 250 w 171"/>
            <a:gd name="T3" fmla="*/ 102 h 165"/>
            <a:gd name="T4" fmla="*/ 182 w 171"/>
            <a:gd name="T5" fmla="*/ 114 h 165"/>
            <a:gd name="T6" fmla="*/ 114 w 171"/>
            <a:gd name="T7" fmla="*/ 102 h 165"/>
            <a:gd name="T8" fmla="*/ 40 w 171"/>
            <a:gd name="T9" fmla="*/ 114 h 165"/>
            <a:gd name="T10" fmla="*/ 0 w 171"/>
            <a:gd name="T11" fmla="*/ 114 h 165"/>
            <a:gd name="T12" fmla="*/ 0 w 171"/>
            <a:gd name="T13" fmla="*/ 148 h 165"/>
            <a:gd name="T14" fmla="*/ 6 w 171"/>
            <a:gd name="T15" fmla="*/ 221 h 165"/>
            <a:gd name="T16" fmla="*/ 28 w 171"/>
            <a:gd name="T17" fmla="*/ 295 h 165"/>
            <a:gd name="T18" fmla="*/ 79 w 171"/>
            <a:gd name="T19" fmla="*/ 329 h 165"/>
            <a:gd name="T20" fmla="*/ 125 w 171"/>
            <a:gd name="T21" fmla="*/ 341 h 165"/>
            <a:gd name="T22" fmla="*/ 131 w 171"/>
            <a:gd name="T23" fmla="*/ 386 h 165"/>
            <a:gd name="T24" fmla="*/ 148 w 171"/>
            <a:gd name="T25" fmla="*/ 460 h 165"/>
            <a:gd name="T26" fmla="*/ 114 w 171"/>
            <a:gd name="T27" fmla="*/ 505 h 165"/>
            <a:gd name="T28" fmla="*/ 79 w 171"/>
            <a:gd name="T29" fmla="*/ 568 h 165"/>
            <a:gd name="T30" fmla="*/ 102 w 171"/>
            <a:gd name="T31" fmla="*/ 625 h 165"/>
            <a:gd name="T32" fmla="*/ 85 w 171"/>
            <a:gd name="T33" fmla="*/ 710 h 165"/>
            <a:gd name="T34" fmla="*/ 131 w 171"/>
            <a:gd name="T35" fmla="*/ 767 h 165"/>
            <a:gd name="T36" fmla="*/ 193 w 171"/>
            <a:gd name="T37" fmla="*/ 784 h 165"/>
            <a:gd name="T38" fmla="*/ 244 w 171"/>
            <a:gd name="T39" fmla="*/ 784 h 165"/>
            <a:gd name="T40" fmla="*/ 273 w 171"/>
            <a:gd name="T41" fmla="*/ 840 h 165"/>
            <a:gd name="T42" fmla="*/ 318 w 171"/>
            <a:gd name="T43" fmla="*/ 880 h 165"/>
            <a:gd name="T44" fmla="*/ 335 w 171"/>
            <a:gd name="T45" fmla="*/ 926 h 165"/>
            <a:gd name="T46" fmla="*/ 386 w 171"/>
            <a:gd name="T47" fmla="*/ 903 h 165"/>
            <a:gd name="T48" fmla="*/ 443 w 171"/>
            <a:gd name="T49" fmla="*/ 863 h 165"/>
            <a:gd name="T50" fmla="*/ 505 w 171"/>
            <a:gd name="T51" fmla="*/ 880 h 165"/>
            <a:gd name="T52" fmla="*/ 574 w 171"/>
            <a:gd name="T53" fmla="*/ 886 h 165"/>
            <a:gd name="T54" fmla="*/ 636 w 171"/>
            <a:gd name="T55" fmla="*/ 880 h 165"/>
            <a:gd name="T56" fmla="*/ 676 w 171"/>
            <a:gd name="T57" fmla="*/ 886 h 165"/>
            <a:gd name="T58" fmla="*/ 687 w 171"/>
            <a:gd name="T59" fmla="*/ 937 h 165"/>
            <a:gd name="T60" fmla="*/ 710 w 171"/>
            <a:gd name="T61" fmla="*/ 886 h 165"/>
            <a:gd name="T62" fmla="*/ 744 w 171"/>
            <a:gd name="T63" fmla="*/ 818 h 165"/>
            <a:gd name="T64" fmla="*/ 778 w 171"/>
            <a:gd name="T65" fmla="*/ 744 h 165"/>
            <a:gd name="T66" fmla="*/ 829 w 171"/>
            <a:gd name="T67" fmla="*/ 721 h 165"/>
            <a:gd name="T68" fmla="*/ 869 w 171"/>
            <a:gd name="T69" fmla="*/ 664 h 165"/>
            <a:gd name="T70" fmla="*/ 897 w 171"/>
            <a:gd name="T71" fmla="*/ 613 h 165"/>
            <a:gd name="T72" fmla="*/ 920 w 171"/>
            <a:gd name="T73" fmla="*/ 545 h 165"/>
            <a:gd name="T74" fmla="*/ 931 w 171"/>
            <a:gd name="T75" fmla="*/ 471 h 165"/>
            <a:gd name="T76" fmla="*/ 920 w 171"/>
            <a:gd name="T77" fmla="*/ 403 h 165"/>
            <a:gd name="T78" fmla="*/ 920 w 171"/>
            <a:gd name="T79" fmla="*/ 329 h 165"/>
            <a:gd name="T80" fmla="*/ 931 w 171"/>
            <a:gd name="T81" fmla="*/ 273 h 165"/>
            <a:gd name="T82" fmla="*/ 965 w 171"/>
            <a:gd name="T83" fmla="*/ 199 h 165"/>
            <a:gd name="T84" fmla="*/ 920 w 171"/>
            <a:gd name="T85" fmla="*/ 199 h 165"/>
            <a:gd name="T86" fmla="*/ 840 w 171"/>
            <a:gd name="T87" fmla="*/ 210 h 165"/>
            <a:gd name="T88" fmla="*/ 761 w 171"/>
            <a:gd name="T89" fmla="*/ 199 h 165"/>
            <a:gd name="T90" fmla="*/ 676 w 171"/>
            <a:gd name="T91" fmla="*/ 199 h 165"/>
            <a:gd name="T92" fmla="*/ 602 w 171"/>
            <a:gd name="T93" fmla="*/ 199 h 165"/>
            <a:gd name="T94" fmla="*/ 517 w 171"/>
            <a:gd name="T95" fmla="*/ 199 h 165"/>
            <a:gd name="T96" fmla="*/ 443 w 171"/>
            <a:gd name="T97" fmla="*/ 187 h 165"/>
            <a:gd name="T98" fmla="*/ 397 w 171"/>
            <a:gd name="T99" fmla="*/ 165 h 165"/>
            <a:gd name="T100" fmla="*/ 352 w 171"/>
            <a:gd name="T101" fmla="*/ 114 h 165"/>
            <a:gd name="T102" fmla="*/ 324 w 171"/>
            <a:gd name="T103" fmla="*/ 68 h 165"/>
            <a:gd name="T104" fmla="*/ 301 w 171"/>
            <a:gd name="T105" fmla="*/ 6 h 1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71" h="165">
              <a:moveTo>
                <a:pt x="52" y="0"/>
              </a:moveTo>
              <a:lnTo>
                <a:pt x="49" y="4"/>
              </a:lnTo>
              <a:lnTo>
                <a:pt x="48" y="8"/>
              </a:lnTo>
              <a:lnTo>
                <a:pt x="46" y="12"/>
              </a:lnTo>
              <a:lnTo>
                <a:pt x="46" y="16"/>
              </a:lnTo>
              <a:lnTo>
                <a:pt x="44" y="18"/>
              </a:lnTo>
              <a:lnTo>
                <a:pt x="42" y="18"/>
              </a:lnTo>
              <a:lnTo>
                <a:pt x="37" y="20"/>
              </a:lnTo>
              <a:lnTo>
                <a:pt x="32" y="20"/>
              </a:lnTo>
              <a:lnTo>
                <a:pt x="29" y="20"/>
              </a:lnTo>
              <a:lnTo>
                <a:pt x="24" y="18"/>
              </a:lnTo>
              <a:lnTo>
                <a:pt x="20" y="18"/>
              </a:lnTo>
              <a:lnTo>
                <a:pt x="15" y="20"/>
              </a:lnTo>
              <a:lnTo>
                <a:pt x="12" y="20"/>
              </a:lnTo>
              <a:lnTo>
                <a:pt x="7" y="20"/>
              </a:lnTo>
              <a:lnTo>
                <a:pt x="4" y="20"/>
              </a:lnTo>
              <a:lnTo>
                <a:pt x="1" y="20"/>
              </a:lnTo>
              <a:lnTo>
                <a:pt x="0" y="20"/>
              </a:lnTo>
              <a:lnTo>
                <a:pt x="0" y="21"/>
              </a:lnTo>
              <a:lnTo>
                <a:pt x="0" y="23"/>
              </a:lnTo>
              <a:lnTo>
                <a:pt x="0" y="26"/>
              </a:lnTo>
              <a:lnTo>
                <a:pt x="1" y="31"/>
              </a:lnTo>
              <a:lnTo>
                <a:pt x="3" y="35"/>
              </a:lnTo>
              <a:lnTo>
                <a:pt x="1" y="39"/>
              </a:lnTo>
              <a:lnTo>
                <a:pt x="0" y="43"/>
              </a:lnTo>
              <a:lnTo>
                <a:pt x="1" y="48"/>
              </a:lnTo>
              <a:lnTo>
                <a:pt x="5" y="52"/>
              </a:lnTo>
              <a:lnTo>
                <a:pt x="8" y="54"/>
              </a:lnTo>
              <a:lnTo>
                <a:pt x="11" y="56"/>
              </a:lnTo>
              <a:lnTo>
                <a:pt x="14" y="58"/>
              </a:lnTo>
              <a:lnTo>
                <a:pt x="17" y="56"/>
              </a:lnTo>
              <a:lnTo>
                <a:pt x="18" y="60"/>
              </a:lnTo>
              <a:lnTo>
                <a:pt x="22" y="60"/>
              </a:lnTo>
              <a:lnTo>
                <a:pt x="24" y="60"/>
              </a:lnTo>
              <a:lnTo>
                <a:pt x="23" y="64"/>
              </a:lnTo>
              <a:lnTo>
                <a:pt x="23" y="68"/>
              </a:lnTo>
              <a:lnTo>
                <a:pt x="24" y="73"/>
              </a:lnTo>
              <a:lnTo>
                <a:pt x="26" y="77"/>
              </a:lnTo>
              <a:lnTo>
                <a:pt x="26" y="81"/>
              </a:lnTo>
              <a:lnTo>
                <a:pt x="24" y="85"/>
              </a:lnTo>
              <a:lnTo>
                <a:pt x="22" y="87"/>
              </a:lnTo>
              <a:lnTo>
                <a:pt x="20" y="89"/>
              </a:lnTo>
              <a:lnTo>
                <a:pt x="18" y="92"/>
              </a:lnTo>
              <a:lnTo>
                <a:pt x="17" y="96"/>
              </a:lnTo>
              <a:lnTo>
                <a:pt x="14" y="100"/>
              </a:lnTo>
              <a:lnTo>
                <a:pt x="15" y="102"/>
              </a:lnTo>
              <a:lnTo>
                <a:pt x="18" y="106"/>
              </a:lnTo>
              <a:lnTo>
                <a:pt x="18" y="110"/>
              </a:lnTo>
              <a:lnTo>
                <a:pt x="17" y="114"/>
              </a:lnTo>
              <a:lnTo>
                <a:pt x="17" y="121"/>
              </a:lnTo>
              <a:lnTo>
                <a:pt x="15" y="125"/>
              </a:lnTo>
              <a:lnTo>
                <a:pt x="17" y="129"/>
              </a:lnTo>
              <a:lnTo>
                <a:pt x="18" y="133"/>
              </a:lnTo>
              <a:lnTo>
                <a:pt x="23" y="135"/>
              </a:lnTo>
              <a:lnTo>
                <a:pt x="28" y="135"/>
              </a:lnTo>
              <a:lnTo>
                <a:pt x="30" y="135"/>
              </a:lnTo>
              <a:lnTo>
                <a:pt x="34" y="138"/>
              </a:lnTo>
              <a:lnTo>
                <a:pt x="37" y="138"/>
              </a:lnTo>
              <a:lnTo>
                <a:pt x="40" y="138"/>
              </a:lnTo>
              <a:lnTo>
                <a:pt x="43" y="138"/>
              </a:lnTo>
              <a:lnTo>
                <a:pt x="48" y="139"/>
              </a:lnTo>
              <a:lnTo>
                <a:pt x="48" y="144"/>
              </a:lnTo>
              <a:lnTo>
                <a:pt x="48" y="148"/>
              </a:lnTo>
              <a:lnTo>
                <a:pt x="50" y="152"/>
              </a:lnTo>
              <a:lnTo>
                <a:pt x="53" y="155"/>
              </a:lnTo>
              <a:lnTo>
                <a:pt x="56" y="155"/>
              </a:lnTo>
              <a:lnTo>
                <a:pt x="57" y="159"/>
              </a:lnTo>
              <a:lnTo>
                <a:pt x="57" y="163"/>
              </a:lnTo>
              <a:lnTo>
                <a:pt x="59" y="163"/>
              </a:lnTo>
              <a:lnTo>
                <a:pt x="62" y="163"/>
              </a:lnTo>
              <a:lnTo>
                <a:pt x="65" y="161"/>
              </a:lnTo>
              <a:lnTo>
                <a:pt x="68" y="159"/>
              </a:lnTo>
              <a:lnTo>
                <a:pt x="71" y="155"/>
              </a:lnTo>
              <a:lnTo>
                <a:pt x="75" y="152"/>
              </a:lnTo>
              <a:lnTo>
                <a:pt x="78" y="152"/>
              </a:lnTo>
              <a:lnTo>
                <a:pt x="83" y="152"/>
              </a:lnTo>
              <a:lnTo>
                <a:pt x="85" y="152"/>
              </a:lnTo>
              <a:lnTo>
                <a:pt x="89" y="155"/>
              </a:lnTo>
              <a:lnTo>
                <a:pt x="93" y="156"/>
              </a:lnTo>
              <a:lnTo>
                <a:pt x="97" y="156"/>
              </a:lnTo>
              <a:lnTo>
                <a:pt x="101" y="156"/>
              </a:lnTo>
              <a:lnTo>
                <a:pt x="104" y="156"/>
              </a:lnTo>
              <a:lnTo>
                <a:pt x="107" y="156"/>
              </a:lnTo>
              <a:lnTo>
                <a:pt x="112" y="155"/>
              </a:lnTo>
              <a:lnTo>
                <a:pt x="115" y="155"/>
              </a:lnTo>
              <a:lnTo>
                <a:pt x="119" y="152"/>
              </a:lnTo>
              <a:lnTo>
                <a:pt x="119" y="156"/>
              </a:lnTo>
              <a:lnTo>
                <a:pt x="119" y="161"/>
              </a:lnTo>
              <a:lnTo>
                <a:pt x="119" y="165"/>
              </a:lnTo>
              <a:lnTo>
                <a:pt x="121" y="165"/>
              </a:lnTo>
              <a:lnTo>
                <a:pt x="125" y="165"/>
              </a:lnTo>
              <a:lnTo>
                <a:pt x="126" y="161"/>
              </a:lnTo>
              <a:lnTo>
                <a:pt x="125" y="156"/>
              </a:lnTo>
              <a:lnTo>
                <a:pt x="126" y="152"/>
              </a:lnTo>
              <a:lnTo>
                <a:pt x="129" y="148"/>
              </a:lnTo>
              <a:lnTo>
                <a:pt x="131" y="144"/>
              </a:lnTo>
              <a:lnTo>
                <a:pt x="134" y="139"/>
              </a:lnTo>
              <a:lnTo>
                <a:pt x="135" y="135"/>
              </a:lnTo>
              <a:lnTo>
                <a:pt x="137" y="131"/>
              </a:lnTo>
              <a:lnTo>
                <a:pt x="140" y="131"/>
              </a:lnTo>
              <a:lnTo>
                <a:pt x="144" y="129"/>
              </a:lnTo>
              <a:lnTo>
                <a:pt x="146" y="127"/>
              </a:lnTo>
              <a:lnTo>
                <a:pt x="146" y="123"/>
              </a:lnTo>
              <a:lnTo>
                <a:pt x="150" y="119"/>
              </a:lnTo>
              <a:lnTo>
                <a:pt x="153" y="117"/>
              </a:lnTo>
              <a:lnTo>
                <a:pt x="156" y="117"/>
              </a:lnTo>
              <a:lnTo>
                <a:pt x="158" y="113"/>
              </a:lnTo>
              <a:lnTo>
                <a:pt x="158" y="108"/>
              </a:lnTo>
              <a:lnTo>
                <a:pt x="159" y="104"/>
              </a:lnTo>
              <a:lnTo>
                <a:pt x="162" y="100"/>
              </a:lnTo>
              <a:lnTo>
                <a:pt x="162" y="96"/>
              </a:lnTo>
              <a:lnTo>
                <a:pt x="162" y="92"/>
              </a:lnTo>
              <a:lnTo>
                <a:pt x="164" y="87"/>
              </a:lnTo>
              <a:lnTo>
                <a:pt x="164" y="83"/>
              </a:lnTo>
              <a:lnTo>
                <a:pt x="162" y="79"/>
              </a:lnTo>
              <a:lnTo>
                <a:pt x="162" y="75"/>
              </a:lnTo>
              <a:lnTo>
                <a:pt x="162" y="71"/>
              </a:lnTo>
              <a:lnTo>
                <a:pt x="162" y="67"/>
              </a:lnTo>
              <a:lnTo>
                <a:pt x="164" y="62"/>
              </a:lnTo>
              <a:lnTo>
                <a:pt x="162" y="58"/>
              </a:lnTo>
              <a:lnTo>
                <a:pt x="162" y="54"/>
              </a:lnTo>
              <a:lnTo>
                <a:pt x="162" y="50"/>
              </a:lnTo>
              <a:lnTo>
                <a:pt x="164" y="48"/>
              </a:lnTo>
              <a:lnTo>
                <a:pt x="165" y="43"/>
              </a:lnTo>
              <a:lnTo>
                <a:pt x="167" y="39"/>
              </a:lnTo>
              <a:lnTo>
                <a:pt x="170" y="35"/>
              </a:lnTo>
              <a:lnTo>
                <a:pt x="171" y="35"/>
              </a:lnTo>
              <a:lnTo>
                <a:pt x="167" y="35"/>
              </a:lnTo>
              <a:lnTo>
                <a:pt x="162" y="35"/>
              </a:lnTo>
              <a:lnTo>
                <a:pt x="158" y="37"/>
              </a:lnTo>
              <a:lnTo>
                <a:pt x="153" y="37"/>
              </a:lnTo>
              <a:lnTo>
                <a:pt x="148" y="37"/>
              </a:lnTo>
              <a:lnTo>
                <a:pt x="144" y="37"/>
              </a:lnTo>
              <a:lnTo>
                <a:pt x="139" y="35"/>
              </a:lnTo>
              <a:lnTo>
                <a:pt x="134" y="35"/>
              </a:lnTo>
              <a:lnTo>
                <a:pt x="128" y="35"/>
              </a:lnTo>
              <a:lnTo>
                <a:pt x="123" y="35"/>
              </a:lnTo>
              <a:lnTo>
                <a:pt x="119" y="35"/>
              </a:lnTo>
              <a:lnTo>
                <a:pt x="115" y="35"/>
              </a:lnTo>
              <a:lnTo>
                <a:pt x="111" y="35"/>
              </a:lnTo>
              <a:lnTo>
                <a:pt x="106" y="35"/>
              </a:lnTo>
              <a:lnTo>
                <a:pt x="100" y="35"/>
              </a:lnTo>
              <a:lnTo>
                <a:pt x="95" y="35"/>
              </a:lnTo>
              <a:lnTo>
                <a:pt x="91" y="35"/>
              </a:lnTo>
              <a:lnTo>
                <a:pt x="85" y="35"/>
              </a:lnTo>
              <a:lnTo>
                <a:pt x="81" y="33"/>
              </a:lnTo>
              <a:lnTo>
                <a:pt x="78" y="33"/>
              </a:lnTo>
              <a:lnTo>
                <a:pt x="75" y="35"/>
              </a:lnTo>
              <a:lnTo>
                <a:pt x="72" y="33"/>
              </a:lnTo>
              <a:lnTo>
                <a:pt x="70" y="29"/>
              </a:lnTo>
              <a:lnTo>
                <a:pt x="67" y="29"/>
              </a:lnTo>
              <a:lnTo>
                <a:pt x="65" y="25"/>
              </a:lnTo>
              <a:lnTo>
                <a:pt x="62" y="20"/>
              </a:lnTo>
              <a:lnTo>
                <a:pt x="59" y="20"/>
              </a:lnTo>
              <a:lnTo>
                <a:pt x="57" y="16"/>
              </a:lnTo>
              <a:lnTo>
                <a:pt x="57" y="12"/>
              </a:lnTo>
              <a:lnTo>
                <a:pt x="56" y="8"/>
              </a:lnTo>
              <a:lnTo>
                <a:pt x="55" y="4"/>
              </a:lnTo>
              <a:lnTo>
                <a:pt x="53" y="1"/>
              </a:lnTo>
              <a:lnTo>
                <a:pt x="52"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853675</xdr:colOff>
      <xdr:row>50</xdr:row>
      <xdr:rowOff>157803</xdr:rowOff>
    </xdr:from>
    <xdr:to>
      <xdr:col>4</xdr:col>
      <xdr:colOff>525296</xdr:colOff>
      <xdr:row>58</xdr:row>
      <xdr:rowOff>12617</xdr:rowOff>
    </xdr:to>
    <xdr:sp macro="" textlink="">
      <xdr:nvSpPr>
        <xdr:cNvPr id="105" name="Freeform 87">
          <a:extLst>
            <a:ext uri="{FF2B5EF4-FFF2-40B4-BE49-F238E27FC236}">
              <a16:creationId xmlns:a16="http://schemas.microsoft.com/office/drawing/2014/main" id="{3E37AF80-1AFC-4F5B-A3F6-C26C4C0B75BE}"/>
            </a:ext>
          </a:extLst>
        </xdr:cNvPr>
        <xdr:cNvSpPr>
          <a:spLocks noChangeAspect="1"/>
        </xdr:cNvSpPr>
      </xdr:nvSpPr>
      <xdr:spPr bwMode="gray">
        <a:xfrm>
          <a:off x="3284818" y="8449089"/>
          <a:ext cx="841835" cy="1161099"/>
        </a:xfrm>
        <a:custGeom>
          <a:avLst/>
          <a:gdLst>
            <a:gd name="T0" fmla="*/ 187 w 99"/>
            <a:gd name="T1" fmla="*/ 34 h 146"/>
            <a:gd name="T2" fmla="*/ 182 w 99"/>
            <a:gd name="T3" fmla="*/ 97 h 146"/>
            <a:gd name="T4" fmla="*/ 159 w 99"/>
            <a:gd name="T5" fmla="*/ 131 h 146"/>
            <a:gd name="T6" fmla="*/ 148 w 99"/>
            <a:gd name="T7" fmla="*/ 176 h 146"/>
            <a:gd name="T8" fmla="*/ 131 w 99"/>
            <a:gd name="T9" fmla="*/ 221 h 146"/>
            <a:gd name="T10" fmla="*/ 97 w 99"/>
            <a:gd name="T11" fmla="*/ 256 h 146"/>
            <a:gd name="T12" fmla="*/ 74 w 99"/>
            <a:gd name="T13" fmla="*/ 301 h 146"/>
            <a:gd name="T14" fmla="*/ 40 w 99"/>
            <a:gd name="T15" fmla="*/ 312 h 146"/>
            <a:gd name="T16" fmla="*/ 6 w 99"/>
            <a:gd name="T17" fmla="*/ 335 h 146"/>
            <a:gd name="T18" fmla="*/ 6 w 99"/>
            <a:gd name="T19" fmla="*/ 352 h 146"/>
            <a:gd name="T20" fmla="*/ 34 w 99"/>
            <a:gd name="T21" fmla="*/ 352 h 146"/>
            <a:gd name="T22" fmla="*/ 62 w 99"/>
            <a:gd name="T23" fmla="*/ 375 h 146"/>
            <a:gd name="T24" fmla="*/ 85 w 99"/>
            <a:gd name="T25" fmla="*/ 409 h 146"/>
            <a:gd name="T26" fmla="*/ 85 w 99"/>
            <a:gd name="T27" fmla="*/ 454 h 146"/>
            <a:gd name="T28" fmla="*/ 74 w 99"/>
            <a:gd name="T29" fmla="*/ 500 h 146"/>
            <a:gd name="T30" fmla="*/ 62 w 99"/>
            <a:gd name="T31" fmla="*/ 551 h 146"/>
            <a:gd name="T32" fmla="*/ 97 w 99"/>
            <a:gd name="T33" fmla="*/ 568 h 146"/>
            <a:gd name="T34" fmla="*/ 119 w 99"/>
            <a:gd name="T35" fmla="*/ 608 h 146"/>
            <a:gd name="T36" fmla="*/ 159 w 99"/>
            <a:gd name="T37" fmla="*/ 608 h 146"/>
            <a:gd name="T38" fmla="*/ 148 w 99"/>
            <a:gd name="T39" fmla="*/ 647 h 146"/>
            <a:gd name="T40" fmla="*/ 131 w 99"/>
            <a:gd name="T41" fmla="*/ 687 h 146"/>
            <a:gd name="T42" fmla="*/ 131 w 99"/>
            <a:gd name="T43" fmla="*/ 732 h 146"/>
            <a:gd name="T44" fmla="*/ 159 w 99"/>
            <a:gd name="T45" fmla="*/ 767 h 146"/>
            <a:gd name="T46" fmla="*/ 176 w 99"/>
            <a:gd name="T47" fmla="*/ 801 h 146"/>
            <a:gd name="T48" fmla="*/ 199 w 99"/>
            <a:gd name="T49" fmla="*/ 829 h 146"/>
            <a:gd name="T50" fmla="*/ 227 w 99"/>
            <a:gd name="T51" fmla="*/ 778 h 146"/>
            <a:gd name="T52" fmla="*/ 216 w 99"/>
            <a:gd name="T53" fmla="*/ 732 h 146"/>
            <a:gd name="T54" fmla="*/ 227 w 99"/>
            <a:gd name="T55" fmla="*/ 687 h 146"/>
            <a:gd name="T56" fmla="*/ 238 w 99"/>
            <a:gd name="T57" fmla="*/ 642 h 146"/>
            <a:gd name="T58" fmla="*/ 261 w 99"/>
            <a:gd name="T59" fmla="*/ 579 h 146"/>
            <a:gd name="T60" fmla="*/ 295 w 99"/>
            <a:gd name="T61" fmla="*/ 568 h 146"/>
            <a:gd name="T62" fmla="*/ 329 w 99"/>
            <a:gd name="T63" fmla="*/ 556 h 146"/>
            <a:gd name="T64" fmla="*/ 363 w 99"/>
            <a:gd name="T65" fmla="*/ 522 h 146"/>
            <a:gd name="T66" fmla="*/ 403 w 99"/>
            <a:gd name="T67" fmla="*/ 511 h 146"/>
            <a:gd name="T68" fmla="*/ 443 w 99"/>
            <a:gd name="T69" fmla="*/ 511 h 146"/>
            <a:gd name="T70" fmla="*/ 477 w 99"/>
            <a:gd name="T71" fmla="*/ 500 h 146"/>
            <a:gd name="T72" fmla="*/ 471 w 99"/>
            <a:gd name="T73" fmla="*/ 454 h 146"/>
            <a:gd name="T74" fmla="*/ 460 w 99"/>
            <a:gd name="T75" fmla="*/ 420 h 146"/>
            <a:gd name="T76" fmla="*/ 477 w 99"/>
            <a:gd name="T77" fmla="*/ 375 h 146"/>
            <a:gd name="T78" fmla="*/ 477 w 99"/>
            <a:gd name="T79" fmla="*/ 329 h 146"/>
            <a:gd name="T80" fmla="*/ 460 w 99"/>
            <a:gd name="T81" fmla="*/ 290 h 146"/>
            <a:gd name="T82" fmla="*/ 488 w 99"/>
            <a:gd name="T83" fmla="*/ 244 h 146"/>
            <a:gd name="T84" fmla="*/ 528 w 99"/>
            <a:gd name="T85" fmla="*/ 210 h 146"/>
            <a:gd name="T86" fmla="*/ 562 w 99"/>
            <a:gd name="T87" fmla="*/ 199 h 146"/>
            <a:gd name="T88" fmla="*/ 562 w 99"/>
            <a:gd name="T89" fmla="*/ 165 h 146"/>
            <a:gd name="T90" fmla="*/ 534 w 99"/>
            <a:gd name="T91" fmla="*/ 165 h 146"/>
            <a:gd name="T92" fmla="*/ 500 w 99"/>
            <a:gd name="T93" fmla="*/ 142 h 146"/>
            <a:gd name="T94" fmla="*/ 460 w 99"/>
            <a:gd name="T95" fmla="*/ 131 h 146"/>
            <a:gd name="T96" fmla="*/ 426 w 99"/>
            <a:gd name="T97" fmla="*/ 131 h 146"/>
            <a:gd name="T98" fmla="*/ 392 w 99"/>
            <a:gd name="T99" fmla="*/ 131 h 146"/>
            <a:gd name="T100" fmla="*/ 358 w 99"/>
            <a:gd name="T101" fmla="*/ 153 h 146"/>
            <a:gd name="T102" fmla="*/ 324 w 99"/>
            <a:gd name="T103" fmla="*/ 153 h 146"/>
            <a:gd name="T104" fmla="*/ 324 w 99"/>
            <a:gd name="T105" fmla="*/ 108 h 146"/>
            <a:gd name="T106" fmla="*/ 324 w 99"/>
            <a:gd name="T107" fmla="*/ 57 h 146"/>
            <a:gd name="T108" fmla="*/ 290 w 99"/>
            <a:gd name="T109" fmla="*/ 34 h 146"/>
            <a:gd name="T110" fmla="*/ 250 w 99"/>
            <a:gd name="T111" fmla="*/ 34 h 146"/>
            <a:gd name="T112" fmla="*/ 216 w 99"/>
            <a:gd name="T113" fmla="*/ 6 h 14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99" h="146">
              <a:moveTo>
                <a:pt x="35" y="0"/>
              </a:moveTo>
              <a:lnTo>
                <a:pt x="33" y="6"/>
              </a:lnTo>
              <a:lnTo>
                <a:pt x="33" y="13"/>
              </a:lnTo>
              <a:lnTo>
                <a:pt x="32" y="17"/>
              </a:lnTo>
              <a:lnTo>
                <a:pt x="31" y="21"/>
              </a:lnTo>
              <a:lnTo>
                <a:pt x="28" y="23"/>
              </a:lnTo>
              <a:lnTo>
                <a:pt x="26" y="27"/>
              </a:lnTo>
              <a:lnTo>
                <a:pt x="26" y="31"/>
              </a:lnTo>
              <a:lnTo>
                <a:pt x="25" y="35"/>
              </a:lnTo>
              <a:lnTo>
                <a:pt x="23" y="39"/>
              </a:lnTo>
              <a:lnTo>
                <a:pt x="20" y="43"/>
              </a:lnTo>
              <a:lnTo>
                <a:pt x="17" y="45"/>
              </a:lnTo>
              <a:lnTo>
                <a:pt x="15" y="49"/>
              </a:lnTo>
              <a:lnTo>
                <a:pt x="13" y="53"/>
              </a:lnTo>
              <a:lnTo>
                <a:pt x="11" y="53"/>
              </a:lnTo>
              <a:lnTo>
                <a:pt x="7" y="55"/>
              </a:lnTo>
              <a:lnTo>
                <a:pt x="5" y="55"/>
              </a:lnTo>
              <a:lnTo>
                <a:pt x="1" y="59"/>
              </a:lnTo>
              <a:lnTo>
                <a:pt x="0" y="62"/>
              </a:lnTo>
              <a:lnTo>
                <a:pt x="1" y="62"/>
              </a:lnTo>
              <a:lnTo>
                <a:pt x="3" y="62"/>
              </a:lnTo>
              <a:lnTo>
                <a:pt x="6" y="62"/>
              </a:lnTo>
              <a:lnTo>
                <a:pt x="7" y="66"/>
              </a:lnTo>
              <a:lnTo>
                <a:pt x="11" y="66"/>
              </a:lnTo>
              <a:lnTo>
                <a:pt x="13" y="67"/>
              </a:lnTo>
              <a:lnTo>
                <a:pt x="15" y="72"/>
              </a:lnTo>
              <a:lnTo>
                <a:pt x="15" y="76"/>
              </a:lnTo>
              <a:lnTo>
                <a:pt x="15" y="80"/>
              </a:lnTo>
              <a:lnTo>
                <a:pt x="15" y="84"/>
              </a:lnTo>
              <a:lnTo>
                <a:pt x="13" y="88"/>
              </a:lnTo>
              <a:lnTo>
                <a:pt x="12" y="92"/>
              </a:lnTo>
              <a:lnTo>
                <a:pt x="11" y="97"/>
              </a:lnTo>
              <a:lnTo>
                <a:pt x="13" y="98"/>
              </a:lnTo>
              <a:lnTo>
                <a:pt x="17" y="100"/>
              </a:lnTo>
              <a:lnTo>
                <a:pt x="18" y="105"/>
              </a:lnTo>
              <a:lnTo>
                <a:pt x="21" y="107"/>
              </a:lnTo>
              <a:lnTo>
                <a:pt x="25" y="107"/>
              </a:lnTo>
              <a:lnTo>
                <a:pt x="28" y="107"/>
              </a:lnTo>
              <a:lnTo>
                <a:pt x="29" y="111"/>
              </a:lnTo>
              <a:lnTo>
                <a:pt x="26" y="114"/>
              </a:lnTo>
              <a:lnTo>
                <a:pt x="23" y="117"/>
              </a:lnTo>
              <a:lnTo>
                <a:pt x="23" y="121"/>
              </a:lnTo>
              <a:lnTo>
                <a:pt x="21" y="125"/>
              </a:lnTo>
              <a:lnTo>
                <a:pt x="23" y="129"/>
              </a:lnTo>
              <a:lnTo>
                <a:pt x="26" y="131"/>
              </a:lnTo>
              <a:lnTo>
                <a:pt x="28" y="135"/>
              </a:lnTo>
              <a:lnTo>
                <a:pt x="28" y="139"/>
              </a:lnTo>
              <a:lnTo>
                <a:pt x="31" y="141"/>
              </a:lnTo>
              <a:lnTo>
                <a:pt x="32" y="146"/>
              </a:lnTo>
              <a:lnTo>
                <a:pt x="35" y="146"/>
              </a:lnTo>
              <a:lnTo>
                <a:pt x="38" y="141"/>
              </a:lnTo>
              <a:lnTo>
                <a:pt x="40" y="137"/>
              </a:lnTo>
              <a:lnTo>
                <a:pt x="38" y="133"/>
              </a:lnTo>
              <a:lnTo>
                <a:pt x="38" y="129"/>
              </a:lnTo>
              <a:lnTo>
                <a:pt x="36" y="125"/>
              </a:lnTo>
              <a:lnTo>
                <a:pt x="40" y="121"/>
              </a:lnTo>
              <a:lnTo>
                <a:pt x="41" y="117"/>
              </a:lnTo>
              <a:lnTo>
                <a:pt x="42" y="113"/>
              </a:lnTo>
              <a:lnTo>
                <a:pt x="42" y="107"/>
              </a:lnTo>
              <a:lnTo>
                <a:pt x="46" y="102"/>
              </a:lnTo>
              <a:lnTo>
                <a:pt x="49" y="100"/>
              </a:lnTo>
              <a:lnTo>
                <a:pt x="52" y="100"/>
              </a:lnTo>
              <a:lnTo>
                <a:pt x="55" y="98"/>
              </a:lnTo>
              <a:lnTo>
                <a:pt x="58" y="98"/>
              </a:lnTo>
              <a:lnTo>
                <a:pt x="62" y="94"/>
              </a:lnTo>
              <a:lnTo>
                <a:pt x="64" y="92"/>
              </a:lnTo>
              <a:lnTo>
                <a:pt x="68" y="90"/>
              </a:lnTo>
              <a:lnTo>
                <a:pt x="71" y="90"/>
              </a:lnTo>
              <a:lnTo>
                <a:pt x="75" y="92"/>
              </a:lnTo>
              <a:lnTo>
                <a:pt x="78" y="90"/>
              </a:lnTo>
              <a:lnTo>
                <a:pt x="81" y="90"/>
              </a:lnTo>
              <a:lnTo>
                <a:pt x="84" y="88"/>
              </a:lnTo>
              <a:lnTo>
                <a:pt x="84" y="84"/>
              </a:lnTo>
              <a:lnTo>
                <a:pt x="83" y="80"/>
              </a:lnTo>
              <a:lnTo>
                <a:pt x="80" y="78"/>
              </a:lnTo>
              <a:lnTo>
                <a:pt x="81" y="74"/>
              </a:lnTo>
              <a:lnTo>
                <a:pt x="84" y="69"/>
              </a:lnTo>
              <a:lnTo>
                <a:pt x="84" y="66"/>
              </a:lnTo>
              <a:lnTo>
                <a:pt x="84" y="62"/>
              </a:lnTo>
              <a:lnTo>
                <a:pt x="84" y="58"/>
              </a:lnTo>
              <a:lnTo>
                <a:pt x="84" y="53"/>
              </a:lnTo>
              <a:lnTo>
                <a:pt x="81" y="51"/>
              </a:lnTo>
              <a:lnTo>
                <a:pt x="84" y="47"/>
              </a:lnTo>
              <a:lnTo>
                <a:pt x="86" y="43"/>
              </a:lnTo>
              <a:lnTo>
                <a:pt x="89" y="39"/>
              </a:lnTo>
              <a:lnTo>
                <a:pt x="93" y="37"/>
              </a:lnTo>
              <a:lnTo>
                <a:pt x="95" y="37"/>
              </a:lnTo>
              <a:lnTo>
                <a:pt x="99" y="35"/>
              </a:lnTo>
              <a:lnTo>
                <a:pt x="99" y="31"/>
              </a:lnTo>
              <a:lnTo>
                <a:pt x="99" y="29"/>
              </a:lnTo>
              <a:lnTo>
                <a:pt x="97" y="29"/>
              </a:lnTo>
              <a:lnTo>
                <a:pt x="94" y="29"/>
              </a:lnTo>
              <a:lnTo>
                <a:pt x="91" y="27"/>
              </a:lnTo>
              <a:lnTo>
                <a:pt x="88" y="25"/>
              </a:lnTo>
              <a:lnTo>
                <a:pt x="84" y="25"/>
              </a:lnTo>
              <a:lnTo>
                <a:pt x="81" y="23"/>
              </a:lnTo>
              <a:lnTo>
                <a:pt x="78" y="23"/>
              </a:lnTo>
              <a:lnTo>
                <a:pt x="75" y="23"/>
              </a:lnTo>
              <a:lnTo>
                <a:pt x="72" y="23"/>
              </a:lnTo>
              <a:lnTo>
                <a:pt x="69" y="23"/>
              </a:lnTo>
              <a:lnTo>
                <a:pt x="66" y="27"/>
              </a:lnTo>
              <a:lnTo>
                <a:pt x="63" y="27"/>
              </a:lnTo>
              <a:lnTo>
                <a:pt x="60" y="29"/>
              </a:lnTo>
              <a:lnTo>
                <a:pt x="57" y="27"/>
              </a:lnTo>
              <a:lnTo>
                <a:pt x="57" y="23"/>
              </a:lnTo>
              <a:lnTo>
                <a:pt x="57" y="19"/>
              </a:lnTo>
              <a:lnTo>
                <a:pt x="58" y="14"/>
              </a:lnTo>
              <a:lnTo>
                <a:pt x="57" y="10"/>
              </a:lnTo>
              <a:lnTo>
                <a:pt x="53" y="9"/>
              </a:lnTo>
              <a:lnTo>
                <a:pt x="51" y="6"/>
              </a:lnTo>
              <a:lnTo>
                <a:pt x="47" y="6"/>
              </a:lnTo>
              <a:lnTo>
                <a:pt x="44" y="6"/>
              </a:lnTo>
              <a:lnTo>
                <a:pt x="41" y="2"/>
              </a:lnTo>
              <a:lnTo>
                <a:pt x="38" y="1"/>
              </a:lnTo>
              <a:lnTo>
                <a:pt x="35"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1142774</xdr:colOff>
      <xdr:row>52</xdr:row>
      <xdr:rowOff>53927</xdr:rowOff>
    </xdr:from>
    <xdr:to>
      <xdr:col>4</xdr:col>
      <xdr:colOff>712535</xdr:colOff>
      <xdr:row>58</xdr:row>
      <xdr:rowOff>84045</xdr:rowOff>
    </xdr:to>
    <xdr:sp macro="" textlink="">
      <xdr:nvSpPr>
        <xdr:cNvPr id="27" name="Freeform 88">
          <a:extLst>
            <a:ext uri="{FF2B5EF4-FFF2-40B4-BE49-F238E27FC236}">
              <a16:creationId xmlns:a16="http://schemas.microsoft.com/office/drawing/2014/main" id="{005466BE-3FFB-4072-A265-65EFA65F3F1E}"/>
            </a:ext>
          </a:extLst>
        </xdr:cNvPr>
        <xdr:cNvSpPr>
          <a:spLocks noChangeAspect="1"/>
        </xdr:cNvSpPr>
      </xdr:nvSpPr>
      <xdr:spPr bwMode="gray">
        <a:xfrm>
          <a:off x="3573917" y="8671784"/>
          <a:ext cx="739975" cy="1009832"/>
        </a:xfrm>
        <a:custGeom>
          <a:avLst/>
          <a:gdLst>
            <a:gd name="T0" fmla="*/ 432 w 87"/>
            <a:gd name="T1" fmla="*/ 505 h 127"/>
            <a:gd name="T2" fmla="*/ 471 w 87"/>
            <a:gd name="T3" fmla="*/ 483 h 127"/>
            <a:gd name="T4" fmla="*/ 471 w 87"/>
            <a:gd name="T5" fmla="*/ 431 h 127"/>
            <a:gd name="T6" fmla="*/ 494 w 87"/>
            <a:gd name="T7" fmla="*/ 409 h 127"/>
            <a:gd name="T8" fmla="*/ 483 w 87"/>
            <a:gd name="T9" fmla="*/ 363 h 127"/>
            <a:gd name="T10" fmla="*/ 466 w 87"/>
            <a:gd name="T11" fmla="*/ 329 h 127"/>
            <a:gd name="T12" fmla="*/ 443 w 87"/>
            <a:gd name="T13" fmla="*/ 284 h 127"/>
            <a:gd name="T14" fmla="*/ 443 w 87"/>
            <a:gd name="T15" fmla="*/ 233 h 127"/>
            <a:gd name="T16" fmla="*/ 454 w 87"/>
            <a:gd name="T17" fmla="*/ 182 h 127"/>
            <a:gd name="T18" fmla="*/ 432 w 87"/>
            <a:gd name="T19" fmla="*/ 136 h 127"/>
            <a:gd name="T20" fmla="*/ 432 w 87"/>
            <a:gd name="T21" fmla="*/ 91 h 127"/>
            <a:gd name="T22" fmla="*/ 426 w 87"/>
            <a:gd name="T23" fmla="*/ 45 h 127"/>
            <a:gd name="T24" fmla="*/ 443 w 87"/>
            <a:gd name="T25" fmla="*/ 6 h 127"/>
            <a:gd name="T26" fmla="*/ 426 w 87"/>
            <a:gd name="T27" fmla="*/ 6 h 127"/>
            <a:gd name="T28" fmla="*/ 392 w 87"/>
            <a:gd name="T29" fmla="*/ 0 h 127"/>
            <a:gd name="T30" fmla="*/ 369 w 87"/>
            <a:gd name="T31" fmla="*/ 6 h 127"/>
            <a:gd name="T32" fmla="*/ 358 w 87"/>
            <a:gd name="T33" fmla="*/ 45 h 127"/>
            <a:gd name="T34" fmla="*/ 318 w 87"/>
            <a:gd name="T35" fmla="*/ 57 h 127"/>
            <a:gd name="T36" fmla="*/ 290 w 87"/>
            <a:gd name="T37" fmla="*/ 102 h 127"/>
            <a:gd name="T38" fmla="*/ 290 w 87"/>
            <a:gd name="T39" fmla="*/ 136 h 127"/>
            <a:gd name="T40" fmla="*/ 290 w 87"/>
            <a:gd name="T41" fmla="*/ 182 h 127"/>
            <a:gd name="T42" fmla="*/ 290 w 87"/>
            <a:gd name="T43" fmla="*/ 233 h 127"/>
            <a:gd name="T44" fmla="*/ 261 w 87"/>
            <a:gd name="T45" fmla="*/ 284 h 127"/>
            <a:gd name="T46" fmla="*/ 290 w 87"/>
            <a:gd name="T47" fmla="*/ 318 h 127"/>
            <a:gd name="T48" fmla="*/ 273 w 87"/>
            <a:gd name="T49" fmla="*/ 352 h 127"/>
            <a:gd name="T50" fmla="*/ 238 w 87"/>
            <a:gd name="T51" fmla="*/ 363 h 127"/>
            <a:gd name="T52" fmla="*/ 187 w 87"/>
            <a:gd name="T53" fmla="*/ 352 h 127"/>
            <a:gd name="T54" fmla="*/ 153 w 87"/>
            <a:gd name="T55" fmla="*/ 375 h 127"/>
            <a:gd name="T56" fmla="*/ 119 w 87"/>
            <a:gd name="T57" fmla="*/ 403 h 127"/>
            <a:gd name="T58" fmla="*/ 79 w 87"/>
            <a:gd name="T59" fmla="*/ 409 h 127"/>
            <a:gd name="T60" fmla="*/ 45 w 87"/>
            <a:gd name="T61" fmla="*/ 448 h 127"/>
            <a:gd name="T62" fmla="*/ 40 w 87"/>
            <a:gd name="T63" fmla="*/ 505 h 127"/>
            <a:gd name="T64" fmla="*/ 6 w 87"/>
            <a:gd name="T65" fmla="*/ 556 h 127"/>
            <a:gd name="T66" fmla="*/ 17 w 87"/>
            <a:gd name="T67" fmla="*/ 602 h 127"/>
            <a:gd name="T68" fmla="*/ 17 w 87"/>
            <a:gd name="T69" fmla="*/ 653 h 127"/>
            <a:gd name="T70" fmla="*/ 6 w 87"/>
            <a:gd name="T71" fmla="*/ 670 h 127"/>
            <a:gd name="T72" fmla="*/ 45 w 87"/>
            <a:gd name="T73" fmla="*/ 698 h 127"/>
            <a:gd name="T74" fmla="*/ 79 w 87"/>
            <a:gd name="T75" fmla="*/ 721 h 127"/>
            <a:gd name="T76" fmla="*/ 119 w 87"/>
            <a:gd name="T77" fmla="*/ 710 h 127"/>
            <a:gd name="T78" fmla="*/ 153 w 87"/>
            <a:gd name="T79" fmla="*/ 681 h 127"/>
            <a:gd name="T80" fmla="*/ 187 w 87"/>
            <a:gd name="T81" fmla="*/ 659 h 127"/>
            <a:gd name="T82" fmla="*/ 182 w 87"/>
            <a:gd name="T83" fmla="*/ 613 h 127"/>
            <a:gd name="T84" fmla="*/ 210 w 87"/>
            <a:gd name="T85" fmla="*/ 590 h 127"/>
            <a:gd name="T86" fmla="*/ 244 w 87"/>
            <a:gd name="T87" fmla="*/ 590 h 127"/>
            <a:gd name="T88" fmla="*/ 284 w 87"/>
            <a:gd name="T89" fmla="*/ 602 h 127"/>
            <a:gd name="T90" fmla="*/ 318 w 87"/>
            <a:gd name="T91" fmla="*/ 590 h 127"/>
            <a:gd name="T92" fmla="*/ 363 w 87"/>
            <a:gd name="T93" fmla="*/ 562 h 127"/>
            <a:gd name="T94" fmla="*/ 397 w 87"/>
            <a:gd name="T95" fmla="*/ 539 h 127"/>
            <a:gd name="T96" fmla="*/ 409 w 87"/>
            <a:gd name="T97" fmla="*/ 528 h 12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87" h="127">
              <a:moveTo>
                <a:pt x="73" y="93"/>
              </a:moveTo>
              <a:lnTo>
                <a:pt x="76" y="89"/>
              </a:lnTo>
              <a:lnTo>
                <a:pt x="80" y="89"/>
              </a:lnTo>
              <a:lnTo>
                <a:pt x="83" y="85"/>
              </a:lnTo>
              <a:lnTo>
                <a:pt x="83" y="81"/>
              </a:lnTo>
              <a:lnTo>
                <a:pt x="83" y="76"/>
              </a:lnTo>
              <a:lnTo>
                <a:pt x="86" y="72"/>
              </a:lnTo>
              <a:lnTo>
                <a:pt x="87" y="72"/>
              </a:lnTo>
              <a:lnTo>
                <a:pt x="85" y="68"/>
              </a:lnTo>
              <a:lnTo>
                <a:pt x="85" y="64"/>
              </a:lnTo>
              <a:lnTo>
                <a:pt x="85" y="60"/>
              </a:lnTo>
              <a:lnTo>
                <a:pt x="82" y="58"/>
              </a:lnTo>
              <a:lnTo>
                <a:pt x="80" y="53"/>
              </a:lnTo>
              <a:lnTo>
                <a:pt x="78" y="50"/>
              </a:lnTo>
              <a:lnTo>
                <a:pt x="76" y="45"/>
              </a:lnTo>
              <a:lnTo>
                <a:pt x="78" y="41"/>
              </a:lnTo>
              <a:lnTo>
                <a:pt x="78" y="37"/>
              </a:lnTo>
              <a:lnTo>
                <a:pt x="80" y="32"/>
              </a:lnTo>
              <a:lnTo>
                <a:pt x="76" y="28"/>
              </a:lnTo>
              <a:lnTo>
                <a:pt x="76" y="24"/>
              </a:lnTo>
              <a:lnTo>
                <a:pt x="76" y="20"/>
              </a:lnTo>
              <a:lnTo>
                <a:pt x="76" y="16"/>
              </a:lnTo>
              <a:lnTo>
                <a:pt x="75" y="12"/>
              </a:lnTo>
              <a:lnTo>
                <a:pt x="75" y="8"/>
              </a:lnTo>
              <a:lnTo>
                <a:pt x="76" y="4"/>
              </a:lnTo>
              <a:lnTo>
                <a:pt x="78" y="1"/>
              </a:lnTo>
              <a:lnTo>
                <a:pt x="77" y="1"/>
              </a:lnTo>
              <a:lnTo>
                <a:pt x="75" y="1"/>
              </a:lnTo>
              <a:lnTo>
                <a:pt x="72" y="0"/>
              </a:lnTo>
              <a:lnTo>
                <a:pt x="69" y="0"/>
              </a:lnTo>
              <a:lnTo>
                <a:pt x="65" y="0"/>
              </a:lnTo>
              <a:lnTo>
                <a:pt x="65" y="1"/>
              </a:lnTo>
              <a:lnTo>
                <a:pt x="65" y="5"/>
              </a:lnTo>
              <a:lnTo>
                <a:pt x="63" y="8"/>
              </a:lnTo>
              <a:lnTo>
                <a:pt x="59" y="8"/>
              </a:lnTo>
              <a:lnTo>
                <a:pt x="56" y="10"/>
              </a:lnTo>
              <a:lnTo>
                <a:pt x="53" y="14"/>
              </a:lnTo>
              <a:lnTo>
                <a:pt x="51" y="18"/>
              </a:lnTo>
              <a:lnTo>
                <a:pt x="48" y="22"/>
              </a:lnTo>
              <a:lnTo>
                <a:pt x="51" y="24"/>
              </a:lnTo>
              <a:lnTo>
                <a:pt x="51" y="28"/>
              </a:lnTo>
              <a:lnTo>
                <a:pt x="51" y="32"/>
              </a:lnTo>
              <a:lnTo>
                <a:pt x="51" y="37"/>
              </a:lnTo>
              <a:lnTo>
                <a:pt x="51" y="41"/>
              </a:lnTo>
              <a:lnTo>
                <a:pt x="48" y="45"/>
              </a:lnTo>
              <a:lnTo>
                <a:pt x="46" y="50"/>
              </a:lnTo>
              <a:lnTo>
                <a:pt x="50" y="52"/>
              </a:lnTo>
              <a:lnTo>
                <a:pt x="51" y="56"/>
              </a:lnTo>
              <a:lnTo>
                <a:pt x="51" y="60"/>
              </a:lnTo>
              <a:lnTo>
                <a:pt x="48" y="62"/>
              </a:lnTo>
              <a:lnTo>
                <a:pt x="45" y="62"/>
              </a:lnTo>
              <a:lnTo>
                <a:pt x="42" y="64"/>
              </a:lnTo>
              <a:lnTo>
                <a:pt x="37" y="62"/>
              </a:lnTo>
              <a:lnTo>
                <a:pt x="33" y="62"/>
              </a:lnTo>
              <a:lnTo>
                <a:pt x="30" y="64"/>
              </a:lnTo>
              <a:lnTo>
                <a:pt x="27" y="66"/>
              </a:lnTo>
              <a:lnTo>
                <a:pt x="24" y="71"/>
              </a:lnTo>
              <a:lnTo>
                <a:pt x="21" y="71"/>
              </a:lnTo>
              <a:lnTo>
                <a:pt x="18" y="72"/>
              </a:lnTo>
              <a:lnTo>
                <a:pt x="14" y="72"/>
              </a:lnTo>
              <a:lnTo>
                <a:pt x="11" y="75"/>
              </a:lnTo>
              <a:lnTo>
                <a:pt x="8" y="79"/>
              </a:lnTo>
              <a:lnTo>
                <a:pt x="8" y="85"/>
              </a:lnTo>
              <a:lnTo>
                <a:pt x="7" y="89"/>
              </a:lnTo>
              <a:lnTo>
                <a:pt x="5" y="93"/>
              </a:lnTo>
              <a:lnTo>
                <a:pt x="1" y="98"/>
              </a:lnTo>
              <a:lnTo>
                <a:pt x="3" y="102"/>
              </a:lnTo>
              <a:lnTo>
                <a:pt x="3" y="106"/>
              </a:lnTo>
              <a:lnTo>
                <a:pt x="5" y="110"/>
              </a:lnTo>
              <a:lnTo>
                <a:pt x="3" y="115"/>
              </a:lnTo>
              <a:lnTo>
                <a:pt x="0" y="118"/>
              </a:lnTo>
              <a:lnTo>
                <a:pt x="1" y="118"/>
              </a:lnTo>
              <a:lnTo>
                <a:pt x="5" y="120"/>
              </a:lnTo>
              <a:lnTo>
                <a:pt x="8" y="123"/>
              </a:lnTo>
              <a:lnTo>
                <a:pt x="11" y="125"/>
              </a:lnTo>
              <a:lnTo>
                <a:pt x="14" y="127"/>
              </a:lnTo>
              <a:lnTo>
                <a:pt x="18" y="127"/>
              </a:lnTo>
              <a:lnTo>
                <a:pt x="21" y="125"/>
              </a:lnTo>
              <a:lnTo>
                <a:pt x="24" y="120"/>
              </a:lnTo>
              <a:lnTo>
                <a:pt x="27" y="120"/>
              </a:lnTo>
              <a:lnTo>
                <a:pt x="32" y="120"/>
              </a:lnTo>
              <a:lnTo>
                <a:pt x="33" y="116"/>
              </a:lnTo>
              <a:lnTo>
                <a:pt x="33" y="112"/>
              </a:lnTo>
              <a:lnTo>
                <a:pt x="32" y="108"/>
              </a:lnTo>
              <a:lnTo>
                <a:pt x="33" y="104"/>
              </a:lnTo>
              <a:lnTo>
                <a:pt x="37" y="104"/>
              </a:lnTo>
              <a:lnTo>
                <a:pt x="40" y="104"/>
              </a:lnTo>
              <a:lnTo>
                <a:pt x="43" y="104"/>
              </a:lnTo>
              <a:lnTo>
                <a:pt x="46" y="104"/>
              </a:lnTo>
              <a:lnTo>
                <a:pt x="50" y="106"/>
              </a:lnTo>
              <a:lnTo>
                <a:pt x="53" y="106"/>
              </a:lnTo>
              <a:lnTo>
                <a:pt x="56" y="104"/>
              </a:lnTo>
              <a:lnTo>
                <a:pt x="59" y="99"/>
              </a:lnTo>
              <a:lnTo>
                <a:pt x="64" y="99"/>
              </a:lnTo>
              <a:lnTo>
                <a:pt x="67" y="98"/>
              </a:lnTo>
              <a:lnTo>
                <a:pt x="70" y="95"/>
              </a:lnTo>
              <a:lnTo>
                <a:pt x="72" y="94"/>
              </a:lnTo>
              <a:lnTo>
                <a:pt x="72" y="93"/>
              </a:lnTo>
              <a:lnTo>
                <a:pt x="73" y="93"/>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highlight>
              <a:srgbClr val="FFFF00"/>
            </a:highlight>
            <a:latin typeface="Calibri" panose="020F0502020204030204"/>
          </a:endParaRPr>
        </a:p>
      </xdr:txBody>
    </xdr:sp>
    <xdr:clientData/>
  </xdr:twoCellAnchor>
  <xdr:twoCellAnchor>
    <xdr:from>
      <xdr:col>4</xdr:col>
      <xdr:colOff>932730</xdr:colOff>
      <xdr:row>53</xdr:row>
      <xdr:rowOff>137147</xdr:rowOff>
    </xdr:from>
    <xdr:to>
      <xdr:col>6</xdr:col>
      <xdr:colOff>213391</xdr:colOff>
      <xdr:row>55</xdr:row>
      <xdr:rowOff>104703</xdr:rowOff>
    </xdr:to>
    <xdr:sp macro="" textlink="">
      <xdr:nvSpPr>
        <xdr:cNvPr id="107" name="Freeform 89">
          <a:extLst>
            <a:ext uri="{FF2B5EF4-FFF2-40B4-BE49-F238E27FC236}">
              <a16:creationId xmlns:a16="http://schemas.microsoft.com/office/drawing/2014/main" id="{2707F90A-424B-4E48-B449-A9B9B4E2C080}"/>
            </a:ext>
          </a:extLst>
        </xdr:cNvPr>
        <xdr:cNvSpPr>
          <a:spLocks noChangeAspect="1"/>
        </xdr:cNvSpPr>
      </xdr:nvSpPr>
      <xdr:spPr bwMode="gray">
        <a:xfrm>
          <a:off x="4534087" y="8918290"/>
          <a:ext cx="450875" cy="294127"/>
        </a:xfrm>
        <a:custGeom>
          <a:avLst/>
          <a:gdLst>
            <a:gd name="T0" fmla="*/ 301 w 53"/>
            <a:gd name="T1" fmla="*/ 170 h 37"/>
            <a:gd name="T2" fmla="*/ 301 w 53"/>
            <a:gd name="T3" fmla="*/ 165 h 37"/>
            <a:gd name="T4" fmla="*/ 301 w 53"/>
            <a:gd name="T5" fmla="*/ 142 h 37"/>
            <a:gd name="T6" fmla="*/ 301 w 53"/>
            <a:gd name="T7" fmla="*/ 114 h 37"/>
            <a:gd name="T8" fmla="*/ 295 w 53"/>
            <a:gd name="T9" fmla="*/ 91 h 37"/>
            <a:gd name="T10" fmla="*/ 284 w 53"/>
            <a:gd name="T11" fmla="*/ 74 h 37"/>
            <a:gd name="T12" fmla="*/ 267 w 53"/>
            <a:gd name="T13" fmla="*/ 57 h 37"/>
            <a:gd name="T14" fmla="*/ 244 w 53"/>
            <a:gd name="T15" fmla="*/ 45 h 37"/>
            <a:gd name="T16" fmla="*/ 233 w 53"/>
            <a:gd name="T17" fmla="*/ 45 h 37"/>
            <a:gd name="T18" fmla="*/ 210 w 53"/>
            <a:gd name="T19" fmla="*/ 34 h 37"/>
            <a:gd name="T20" fmla="*/ 193 w 53"/>
            <a:gd name="T21" fmla="*/ 34 h 37"/>
            <a:gd name="T22" fmla="*/ 176 w 53"/>
            <a:gd name="T23" fmla="*/ 34 h 37"/>
            <a:gd name="T24" fmla="*/ 159 w 53"/>
            <a:gd name="T25" fmla="*/ 34 h 37"/>
            <a:gd name="T26" fmla="*/ 136 w 53"/>
            <a:gd name="T27" fmla="*/ 34 h 37"/>
            <a:gd name="T28" fmla="*/ 119 w 53"/>
            <a:gd name="T29" fmla="*/ 11 h 37"/>
            <a:gd name="T30" fmla="*/ 114 w 53"/>
            <a:gd name="T31" fmla="*/ 0 h 37"/>
            <a:gd name="T32" fmla="*/ 97 w 53"/>
            <a:gd name="T33" fmla="*/ 11 h 37"/>
            <a:gd name="T34" fmla="*/ 74 w 53"/>
            <a:gd name="T35" fmla="*/ 23 h 37"/>
            <a:gd name="T36" fmla="*/ 68 w 53"/>
            <a:gd name="T37" fmla="*/ 45 h 37"/>
            <a:gd name="T38" fmla="*/ 57 w 53"/>
            <a:gd name="T39" fmla="*/ 74 h 37"/>
            <a:gd name="T40" fmla="*/ 51 w 53"/>
            <a:gd name="T41" fmla="*/ 91 h 37"/>
            <a:gd name="T42" fmla="*/ 34 w 53"/>
            <a:gd name="T43" fmla="*/ 91 h 37"/>
            <a:gd name="T44" fmla="*/ 11 w 53"/>
            <a:gd name="T45" fmla="*/ 108 h 37"/>
            <a:gd name="T46" fmla="*/ 0 w 53"/>
            <a:gd name="T47" fmla="*/ 125 h 37"/>
            <a:gd name="T48" fmla="*/ 11 w 53"/>
            <a:gd name="T49" fmla="*/ 153 h 37"/>
            <a:gd name="T50" fmla="*/ 34 w 53"/>
            <a:gd name="T51" fmla="*/ 165 h 37"/>
            <a:gd name="T52" fmla="*/ 51 w 53"/>
            <a:gd name="T53" fmla="*/ 153 h 37"/>
            <a:gd name="T54" fmla="*/ 68 w 53"/>
            <a:gd name="T55" fmla="*/ 153 h 37"/>
            <a:gd name="T56" fmla="*/ 85 w 53"/>
            <a:gd name="T57" fmla="*/ 142 h 37"/>
            <a:gd name="T58" fmla="*/ 102 w 53"/>
            <a:gd name="T59" fmla="*/ 125 h 37"/>
            <a:gd name="T60" fmla="*/ 114 w 53"/>
            <a:gd name="T61" fmla="*/ 153 h 37"/>
            <a:gd name="T62" fmla="*/ 97 w 53"/>
            <a:gd name="T63" fmla="*/ 165 h 37"/>
            <a:gd name="T64" fmla="*/ 97 w 53"/>
            <a:gd name="T65" fmla="*/ 187 h 37"/>
            <a:gd name="T66" fmla="*/ 114 w 53"/>
            <a:gd name="T67" fmla="*/ 199 h 37"/>
            <a:gd name="T68" fmla="*/ 131 w 53"/>
            <a:gd name="T69" fmla="*/ 187 h 37"/>
            <a:gd name="T70" fmla="*/ 148 w 53"/>
            <a:gd name="T71" fmla="*/ 199 h 37"/>
            <a:gd name="T72" fmla="*/ 165 w 53"/>
            <a:gd name="T73" fmla="*/ 210 h 37"/>
            <a:gd name="T74" fmla="*/ 176 w 53"/>
            <a:gd name="T75" fmla="*/ 199 h 37"/>
            <a:gd name="T76" fmla="*/ 176 w 53"/>
            <a:gd name="T77" fmla="*/ 176 h 37"/>
            <a:gd name="T78" fmla="*/ 193 w 53"/>
            <a:gd name="T79" fmla="*/ 165 h 37"/>
            <a:gd name="T80" fmla="*/ 210 w 53"/>
            <a:gd name="T81" fmla="*/ 176 h 37"/>
            <a:gd name="T82" fmla="*/ 233 w 53"/>
            <a:gd name="T83" fmla="*/ 176 h 37"/>
            <a:gd name="T84" fmla="*/ 244 w 53"/>
            <a:gd name="T85" fmla="*/ 165 h 37"/>
            <a:gd name="T86" fmla="*/ 267 w 53"/>
            <a:gd name="T87" fmla="*/ 187 h 37"/>
            <a:gd name="T88" fmla="*/ 284 w 53"/>
            <a:gd name="T89" fmla="*/ 187 h 37"/>
            <a:gd name="T90" fmla="*/ 301 w 53"/>
            <a:gd name="T91" fmla="*/ 176 h 37"/>
            <a:gd name="T92" fmla="*/ 301 w 53"/>
            <a:gd name="T93" fmla="*/ 170 h 3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53" h="37">
              <a:moveTo>
                <a:pt x="53" y="30"/>
              </a:moveTo>
              <a:lnTo>
                <a:pt x="53" y="29"/>
              </a:lnTo>
              <a:lnTo>
                <a:pt x="53" y="25"/>
              </a:lnTo>
              <a:lnTo>
                <a:pt x="53" y="20"/>
              </a:lnTo>
              <a:lnTo>
                <a:pt x="52" y="16"/>
              </a:lnTo>
              <a:lnTo>
                <a:pt x="50" y="13"/>
              </a:lnTo>
              <a:lnTo>
                <a:pt x="47" y="10"/>
              </a:lnTo>
              <a:lnTo>
                <a:pt x="43" y="8"/>
              </a:lnTo>
              <a:lnTo>
                <a:pt x="41" y="8"/>
              </a:lnTo>
              <a:lnTo>
                <a:pt x="37" y="6"/>
              </a:lnTo>
              <a:lnTo>
                <a:pt x="34" y="6"/>
              </a:lnTo>
              <a:lnTo>
                <a:pt x="31" y="6"/>
              </a:lnTo>
              <a:lnTo>
                <a:pt x="28" y="6"/>
              </a:lnTo>
              <a:lnTo>
                <a:pt x="24" y="6"/>
              </a:lnTo>
              <a:lnTo>
                <a:pt x="21" y="2"/>
              </a:lnTo>
              <a:lnTo>
                <a:pt x="20" y="0"/>
              </a:lnTo>
              <a:lnTo>
                <a:pt x="17" y="2"/>
              </a:lnTo>
              <a:lnTo>
                <a:pt x="13" y="4"/>
              </a:lnTo>
              <a:lnTo>
                <a:pt x="12" y="8"/>
              </a:lnTo>
              <a:lnTo>
                <a:pt x="10" y="13"/>
              </a:lnTo>
              <a:lnTo>
                <a:pt x="9" y="16"/>
              </a:lnTo>
              <a:lnTo>
                <a:pt x="6" y="16"/>
              </a:lnTo>
              <a:lnTo>
                <a:pt x="2" y="19"/>
              </a:lnTo>
              <a:lnTo>
                <a:pt x="0" y="22"/>
              </a:lnTo>
              <a:lnTo>
                <a:pt x="2" y="27"/>
              </a:lnTo>
              <a:lnTo>
                <a:pt x="6" y="29"/>
              </a:lnTo>
              <a:lnTo>
                <a:pt x="9" y="27"/>
              </a:lnTo>
              <a:lnTo>
                <a:pt x="12" y="27"/>
              </a:lnTo>
              <a:lnTo>
                <a:pt x="15" y="25"/>
              </a:lnTo>
              <a:lnTo>
                <a:pt x="18" y="22"/>
              </a:lnTo>
              <a:lnTo>
                <a:pt x="20" y="27"/>
              </a:lnTo>
              <a:lnTo>
                <a:pt x="17" y="29"/>
              </a:lnTo>
              <a:lnTo>
                <a:pt x="17" y="33"/>
              </a:lnTo>
              <a:lnTo>
                <a:pt x="20" y="35"/>
              </a:lnTo>
              <a:lnTo>
                <a:pt x="23" y="33"/>
              </a:lnTo>
              <a:lnTo>
                <a:pt x="26" y="35"/>
              </a:lnTo>
              <a:lnTo>
                <a:pt x="29" y="37"/>
              </a:lnTo>
              <a:lnTo>
                <a:pt x="31" y="35"/>
              </a:lnTo>
              <a:lnTo>
                <a:pt x="31" y="31"/>
              </a:lnTo>
              <a:lnTo>
                <a:pt x="34" y="29"/>
              </a:lnTo>
              <a:lnTo>
                <a:pt x="37" y="31"/>
              </a:lnTo>
              <a:lnTo>
                <a:pt x="41" y="31"/>
              </a:lnTo>
              <a:lnTo>
                <a:pt x="43" y="29"/>
              </a:lnTo>
              <a:lnTo>
                <a:pt x="47" y="33"/>
              </a:lnTo>
              <a:lnTo>
                <a:pt x="50" y="33"/>
              </a:lnTo>
              <a:lnTo>
                <a:pt x="53" y="31"/>
              </a:lnTo>
              <a:lnTo>
                <a:pt x="53"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609177</xdr:colOff>
      <xdr:row>52</xdr:row>
      <xdr:rowOff>53927</xdr:rowOff>
    </xdr:from>
    <xdr:to>
      <xdr:col>4</xdr:col>
      <xdr:colOff>1110982</xdr:colOff>
      <xdr:row>56</xdr:row>
      <xdr:rowOff>53464</xdr:rowOff>
    </xdr:to>
    <xdr:sp macro="" textlink="">
      <xdr:nvSpPr>
        <xdr:cNvPr id="108" name="Freeform 90">
          <a:extLst>
            <a:ext uri="{FF2B5EF4-FFF2-40B4-BE49-F238E27FC236}">
              <a16:creationId xmlns:a16="http://schemas.microsoft.com/office/drawing/2014/main" id="{901BDE56-F739-4345-A578-3ECF24CE5457}"/>
            </a:ext>
          </a:extLst>
        </xdr:cNvPr>
        <xdr:cNvSpPr>
          <a:spLocks noChangeAspect="1"/>
        </xdr:cNvSpPr>
      </xdr:nvSpPr>
      <xdr:spPr bwMode="gray">
        <a:xfrm>
          <a:off x="4210534" y="8671784"/>
          <a:ext cx="501805" cy="652680"/>
        </a:xfrm>
        <a:custGeom>
          <a:avLst/>
          <a:gdLst>
            <a:gd name="T0" fmla="*/ 216 w 59"/>
            <a:gd name="T1" fmla="*/ 307 h 82"/>
            <a:gd name="T2" fmla="*/ 256 w 59"/>
            <a:gd name="T3" fmla="*/ 267 h 82"/>
            <a:gd name="T4" fmla="*/ 278 w 59"/>
            <a:gd name="T5" fmla="*/ 244 h 82"/>
            <a:gd name="T6" fmla="*/ 301 w 59"/>
            <a:gd name="T7" fmla="*/ 199 h 82"/>
            <a:gd name="T8" fmla="*/ 335 w 59"/>
            <a:gd name="T9" fmla="*/ 176 h 82"/>
            <a:gd name="T10" fmla="*/ 307 w 59"/>
            <a:gd name="T11" fmla="*/ 165 h 82"/>
            <a:gd name="T12" fmla="*/ 273 w 59"/>
            <a:gd name="T13" fmla="*/ 136 h 82"/>
            <a:gd name="T14" fmla="*/ 244 w 59"/>
            <a:gd name="T15" fmla="*/ 102 h 82"/>
            <a:gd name="T16" fmla="*/ 210 w 59"/>
            <a:gd name="T17" fmla="*/ 68 h 82"/>
            <a:gd name="T18" fmla="*/ 170 w 59"/>
            <a:gd name="T19" fmla="*/ 28 h 82"/>
            <a:gd name="T20" fmla="*/ 119 w 59"/>
            <a:gd name="T21" fmla="*/ 6 h 82"/>
            <a:gd name="T22" fmla="*/ 85 w 59"/>
            <a:gd name="T23" fmla="*/ 0 h 82"/>
            <a:gd name="T24" fmla="*/ 51 w 59"/>
            <a:gd name="T25" fmla="*/ 6 h 82"/>
            <a:gd name="T26" fmla="*/ 17 w 59"/>
            <a:gd name="T27" fmla="*/ 6 h 82"/>
            <a:gd name="T28" fmla="*/ 11 w 59"/>
            <a:gd name="T29" fmla="*/ 6 h 82"/>
            <a:gd name="T30" fmla="*/ 0 w 59"/>
            <a:gd name="T31" fmla="*/ 45 h 82"/>
            <a:gd name="T32" fmla="*/ 6 w 59"/>
            <a:gd name="T33" fmla="*/ 91 h 82"/>
            <a:gd name="T34" fmla="*/ 6 w 59"/>
            <a:gd name="T35" fmla="*/ 136 h 82"/>
            <a:gd name="T36" fmla="*/ 23 w 59"/>
            <a:gd name="T37" fmla="*/ 188 h 82"/>
            <a:gd name="T38" fmla="*/ 17 w 59"/>
            <a:gd name="T39" fmla="*/ 233 h 82"/>
            <a:gd name="T40" fmla="*/ 17 w 59"/>
            <a:gd name="T41" fmla="*/ 284 h 82"/>
            <a:gd name="T42" fmla="*/ 34 w 59"/>
            <a:gd name="T43" fmla="*/ 330 h 82"/>
            <a:gd name="T44" fmla="*/ 51 w 59"/>
            <a:gd name="T45" fmla="*/ 364 h 82"/>
            <a:gd name="T46" fmla="*/ 57 w 59"/>
            <a:gd name="T47" fmla="*/ 415 h 82"/>
            <a:gd name="T48" fmla="*/ 57 w 59"/>
            <a:gd name="T49" fmla="*/ 409 h 82"/>
            <a:gd name="T50" fmla="*/ 85 w 59"/>
            <a:gd name="T51" fmla="*/ 426 h 82"/>
            <a:gd name="T52" fmla="*/ 119 w 59"/>
            <a:gd name="T53" fmla="*/ 415 h 82"/>
            <a:gd name="T54" fmla="*/ 159 w 59"/>
            <a:gd name="T55" fmla="*/ 449 h 82"/>
            <a:gd name="T56" fmla="*/ 182 w 59"/>
            <a:gd name="T57" fmla="*/ 460 h 82"/>
            <a:gd name="T58" fmla="*/ 216 w 59"/>
            <a:gd name="T59" fmla="*/ 432 h 82"/>
            <a:gd name="T60" fmla="*/ 216 w 59"/>
            <a:gd name="T61" fmla="*/ 386 h 82"/>
            <a:gd name="T62" fmla="*/ 227 w 59"/>
            <a:gd name="T63" fmla="*/ 341 h 8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59" h="82">
              <a:moveTo>
                <a:pt x="41" y="58"/>
              </a:moveTo>
              <a:lnTo>
                <a:pt x="38" y="54"/>
              </a:lnTo>
              <a:lnTo>
                <a:pt x="41" y="50"/>
              </a:lnTo>
              <a:lnTo>
                <a:pt x="45" y="47"/>
              </a:lnTo>
              <a:lnTo>
                <a:pt x="48" y="47"/>
              </a:lnTo>
              <a:lnTo>
                <a:pt x="49" y="43"/>
              </a:lnTo>
              <a:lnTo>
                <a:pt x="50" y="39"/>
              </a:lnTo>
              <a:lnTo>
                <a:pt x="53" y="35"/>
              </a:lnTo>
              <a:lnTo>
                <a:pt x="56" y="33"/>
              </a:lnTo>
              <a:lnTo>
                <a:pt x="59" y="31"/>
              </a:lnTo>
              <a:lnTo>
                <a:pt x="57" y="29"/>
              </a:lnTo>
              <a:lnTo>
                <a:pt x="54" y="29"/>
              </a:lnTo>
              <a:lnTo>
                <a:pt x="50" y="26"/>
              </a:lnTo>
              <a:lnTo>
                <a:pt x="48" y="24"/>
              </a:lnTo>
              <a:lnTo>
                <a:pt x="46" y="20"/>
              </a:lnTo>
              <a:lnTo>
                <a:pt x="43" y="18"/>
              </a:lnTo>
              <a:lnTo>
                <a:pt x="40" y="14"/>
              </a:lnTo>
              <a:lnTo>
                <a:pt x="37" y="12"/>
              </a:lnTo>
              <a:lnTo>
                <a:pt x="34" y="9"/>
              </a:lnTo>
              <a:lnTo>
                <a:pt x="30" y="5"/>
              </a:lnTo>
              <a:lnTo>
                <a:pt x="24" y="4"/>
              </a:lnTo>
              <a:lnTo>
                <a:pt x="21" y="1"/>
              </a:lnTo>
              <a:lnTo>
                <a:pt x="18" y="0"/>
              </a:lnTo>
              <a:lnTo>
                <a:pt x="15" y="0"/>
              </a:lnTo>
              <a:lnTo>
                <a:pt x="12" y="1"/>
              </a:lnTo>
              <a:lnTo>
                <a:pt x="9" y="1"/>
              </a:lnTo>
              <a:lnTo>
                <a:pt x="6" y="1"/>
              </a:lnTo>
              <a:lnTo>
                <a:pt x="3" y="1"/>
              </a:lnTo>
              <a:lnTo>
                <a:pt x="2" y="1"/>
              </a:lnTo>
              <a:lnTo>
                <a:pt x="1" y="4"/>
              </a:lnTo>
              <a:lnTo>
                <a:pt x="0" y="8"/>
              </a:lnTo>
              <a:lnTo>
                <a:pt x="0" y="12"/>
              </a:lnTo>
              <a:lnTo>
                <a:pt x="1" y="16"/>
              </a:lnTo>
              <a:lnTo>
                <a:pt x="1" y="20"/>
              </a:lnTo>
              <a:lnTo>
                <a:pt x="1" y="24"/>
              </a:lnTo>
              <a:lnTo>
                <a:pt x="1" y="29"/>
              </a:lnTo>
              <a:lnTo>
                <a:pt x="4" y="33"/>
              </a:lnTo>
              <a:lnTo>
                <a:pt x="3" y="37"/>
              </a:lnTo>
              <a:lnTo>
                <a:pt x="3" y="41"/>
              </a:lnTo>
              <a:lnTo>
                <a:pt x="1" y="45"/>
              </a:lnTo>
              <a:lnTo>
                <a:pt x="3" y="50"/>
              </a:lnTo>
              <a:lnTo>
                <a:pt x="4" y="54"/>
              </a:lnTo>
              <a:lnTo>
                <a:pt x="6" y="58"/>
              </a:lnTo>
              <a:lnTo>
                <a:pt x="9" y="60"/>
              </a:lnTo>
              <a:lnTo>
                <a:pt x="9" y="64"/>
              </a:lnTo>
              <a:lnTo>
                <a:pt x="9" y="68"/>
              </a:lnTo>
              <a:lnTo>
                <a:pt x="10" y="73"/>
              </a:lnTo>
              <a:lnTo>
                <a:pt x="9" y="73"/>
              </a:lnTo>
              <a:lnTo>
                <a:pt x="10" y="72"/>
              </a:lnTo>
              <a:lnTo>
                <a:pt x="12" y="75"/>
              </a:lnTo>
              <a:lnTo>
                <a:pt x="15" y="75"/>
              </a:lnTo>
              <a:lnTo>
                <a:pt x="18" y="73"/>
              </a:lnTo>
              <a:lnTo>
                <a:pt x="21" y="73"/>
              </a:lnTo>
              <a:lnTo>
                <a:pt x="24" y="75"/>
              </a:lnTo>
              <a:lnTo>
                <a:pt x="28" y="79"/>
              </a:lnTo>
              <a:lnTo>
                <a:pt x="31" y="82"/>
              </a:lnTo>
              <a:lnTo>
                <a:pt x="32" y="81"/>
              </a:lnTo>
              <a:lnTo>
                <a:pt x="35" y="76"/>
              </a:lnTo>
              <a:lnTo>
                <a:pt x="38" y="76"/>
              </a:lnTo>
              <a:lnTo>
                <a:pt x="38" y="73"/>
              </a:lnTo>
              <a:lnTo>
                <a:pt x="38" y="68"/>
              </a:lnTo>
              <a:lnTo>
                <a:pt x="40" y="64"/>
              </a:lnTo>
              <a:lnTo>
                <a:pt x="40" y="60"/>
              </a:lnTo>
              <a:lnTo>
                <a:pt x="41" y="58"/>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976171</xdr:colOff>
      <xdr:row>57</xdr:row>
      <xdr:rowOff>40043</xdr:rowOff>
    </xdr:from>
    <xdr:to>
      <xdr:col>6</xdr:col>
      <xdr:colOff>204404</xdr:colOff>
      <xdr:row>59</xdr:row>
      <xdr:rowOff>31409</xdr:rowOff>
    </xdr:to>
    <xdr:sp macro="" textlink="">
      <xdr:nvSpPr>
        <xdr:cNvPr id="109" name="Freeform 91">
          <a:extLst>
            <a:ext uri="{FF2B5EF4-FFF2-40B4-BE49-F238E27FC236}">
              <a16:creationId xmlns:a16="http://schemas.microsoft.com/office/drawing/2014/main" id="{06F66F4A-525E-4658-9B6F-4D29CBB6ED36}"/>
            </a:ext>
          </a:extLst>
        </xdr:cNvPr>
        <xdr:cNvSpPr>
          <a:spLocks noChangeAspect="1"/>
        </xdr:cNvSpPr>
      </xdr:nvSpPr>
      <xdr:spPr bwMode="gray">
        <a:xfrm>
          <a:off x="4577528" y="9474329"/>
          <a:ext cx="398447" cy="317937"/>
        </a:xfrm>
        <a:custGeom>
          <a:avLst/>
          <a:gdLst>
            <a:gd name="T0" fmla="*/ 0 w 47"/>
            <a:gd name="T1" fmla="*/ 34 h 40"/>
            <a:gd name="T2" fmla="*/ 17 w 47"/>
            <a:gd name="T3" fmla="*/ 11 h 40"/>
            <a:gd name="T4" fmla="*/ 34 w 47"/>
            <a:gd name="T5" fmla="*/ 11 h 40"/>
            <a:gd name="T6" fmla="*/ 51 w 47"/>
            <a:gd name="T7" fmla="*/ 11 h 40"/>
            <a:gd name="T8" fmla="*/ 68 w 47"/>
            <a:gd name="T9" fmla="*/ 34 h 40"/>
            <a:gd name="T10" fmla="*/ 91 w 47"/>
            <a:gd name="T11" fmla="*/ 45 h 40"/>
            <a:gd name="T12" fmla="*/ 102 w 47"/>
            <a:gd name="T13" fmla="*/ 45 h 40"/>
            <a:gd name="T14" fmla="*/ 125 w 47"/>
            <a:gd name="T15" fmla="*/ 45 h 40"/>
            <a:gd name="T16" fmla="*/ 141 w 47"/>
            <a:gd name="T17" fmla="*/ 45 h 40"/>
            <a:gd name="T18" fmla="*/ 158 w 47"/>
            <a:gd name="T19" fmla="*/ 34 h 40"/>
            <a:gd name="T20" fmla="*/ 175 w 47"/>
            <a:gd name="T21" fmla="*/ 23 h 40"/>
            <a:gd name="T22" fmla="*/ 192 w 47"/>
            <a:gd name="T23" fmla="*/ 0 h 40"/>
            <a:gd name="T24" fmla="*/ 209 w 47"/>
            <a:gd name="T25" fmla="*/ 0 h 40"/>
            <a:gd name="T26" fmla="*/ 232 w 47"/>
            <a:gd name="T27" fmla="*/ 0 h 40"/>
            <a:gd name="T28" fmla="*/ 243 w 47"/>
            <a:gd name="T29" fmla="*/ 0 h 40"/>
            <a:gd name="T30" fmla="*/ 266 w 47"/>
            <a:gd name="T31" fmla="*/ 11 h 40"/>
            <a:gd name="T32" fmla="*/ 260 w 47"/>
            <a:gd name="T33" fmla="*/ 17 h 40"/>
            <a:gd name="T34" fmla="*/ 255 w 47"/>
            <a:gd name="T35" fmla="*/ 23 h 40"/>
            <a:gd name="T36" fmla="*/ 238 w 47"/>
            <a:gd name="T37" fmla="*/ 45 h 40"/>
            <a:gd name="T38" fmla="*/ 215 w 47"/>
            <a:gd name="T39" fmla="*/ 68 h 40"/>
            <a:gd name="T40" fmla="*/ 198 w 47"/>
            <a:gd name="T41" fmla="*/ 79 h 40"/>
            <a:gd name="T42" fmla="*/ 187 w 47"/>
            <a:gd name="T43" fmla="*/ 102 h 40"/>
            <a:gd name="T44" fmla="*/ 164 w 47"/>
            <a:gd name="T45" fmla="*/ 114 h 40"/>
            <a:gd name="T46" fmla="*/ 158 w 47"/>
            <a:gd name="T47" fmla="*/ 136 h 40"/>
            <a:gd name="T48" fmla="*/ 141 w 47"/>
            <a:gd name="T49" fmla="*/ 148 h 40"/>
            <a:gd name="T50" fmla="*/ 141 w 47"/>
            <a:gd name="T51" fmla="*/ 148 h 40"/>
            <a:gd name="T52" fmla="*/ 130 w 47"/>
            <a:gd name="T53" fmla="*/ 159 h 40"/>
            <a:gd name="T54" fmla="*/ 113 w 47"/>
            <a:gd name="T55" fmla="*/ 159 h 40"/>
            <a:gd name="T56" fmla="*/ 96 w 47"/>
            <a:gd name="T57" fmla="*/ 182 h 40"/>
            <a:gd name="T58" fmla="*/ 79 w 47"/>
            <a:gd name="T59" fmla="*/ 204 h 40"/>
            <a:gd name="T60" fmla="*/ 68 w 47"/>
            <a:gd name="T61" fmla="*/ 227 h 40"/>
            <a:gd name="T62" fmla="*/ 62 w 47"/>
            <a:gd name="T63" fmla="*/ 227 h 40"/>
            <a:gd name="T64" fmla="*/ 45 w 47"/>
            <a:gd name="T65" fmla="*/ 227 h 40"/>
            <a:gd name="T66" fmla="*/ 23 w 47"/>
            <a:gd name="T67" fmla="*/ 216 h 40"/>
            <a:gd name="T68" fmla="*/ 6 w 47"/>
            <a:gd name="T69" fmla="*/ 204 h 40"/>
            <a:gd name="T70" fmla="*/ 0 w 47"/>
            <a:gd name="T71" fmla="*/ 182 h 40"/>
            <a:gd name="T72" fmla="*/ 0 w 47"/>
            <a:gd name="T73" fmla="*/ 159 h 40"/>
            <a:gd name="T74" fmla="*/ 17 w 47"/>
            <a:gd name="T75" fmla="*/ 159 h 40"/>
            <a:gd name="T76" fmla="*/ 23 w 47"/>
            <a:gd name="T77" fmla="*/ 136 h 40"/>
            <a:gd name="T78" fmla="*/ 34 w 47"/>
            <a:gd name="T79" fmla="*/ 114 h 40"/>
            <a:gd name="T80" fmla="*/ 34 w 47"/>
            <a:gd name="T81" fmla="*/ 91 h 40"/>
            <a:gd name="T82" fmla="*/ 17 w 47"/>
            <a:gd name="T83" fmla="*/ 79 h 40"/>
            <a:gd name="T84" fmla="*/ 0 w 47"/>
            <a:gd name="T85" fmla="*/ 40 h 40"/>
            <a:gd name="T86" fmla="*/ 0 w 47"/>
            <a:gd name="T87" fmla="*/ 34 h 40"/>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7" h="40">
              <a:moveTo>
                <a:pt x="0" y="6"/>
              </a:moveTo>
              <a:lnTo>
                <a:pt x="3" y="2"/>
              </a:lnTo>
              <a:lnTo>
                <a:pt x="6" y="2"/>
              </a:lnTo>
              <a:lnTo>
                <a:pt x="9" y="2"/>
              </a:lnTo>
              <a:lnTo>
                <a:pt x="12" y="6"/>
              </a:lnTo>
              <a:lnTo>
                <a:pt x="16" y="8"/>
              </a:lnTo>
              <a:lnTo>
                <a:pt x="18" y="8"/>
              </a:lnTo>
              <a:lnTo>
                <a:pt x="22" y="8"/>
              </a:lnTo>
              <a:lnTo>
                <a:pt x="25" y="8"/>
              </a:lnTo>
              <a:lnTo>
                <a:pt x="28" y="6"/>
              </a:lnTo>
              <a:lnTo>
                <a:pt x="31" y="4"/>
              </a:lnTo>
              <a:lnTo>
                <a:pt x="34" y="0"/>
              </a:lnTo>
              <a:lnTo>
                <a:pt x="37" y="0"/>
              </a:lnTo>
              <a:lnTo>
                <a:pt x="41" y="0"/>
              </a:lnTo>
              <a:lnTo>
                <a:pt x="43" y="0"/>
              </a:lnTo>
              <a:lnTo>
                <a:pt x="47" y="2"/>
              </a:lnTo>
              <a:lnTo>
                <a:pt x="46" y="3"/>
              </a:lnTo>
              <a:lnTo>
                <a:pt x="45" y="4"/>
              </a:lnTo>
              <a:lnTo>
                <a:pt x="42" y="8"/>
              </a:lnTo>
              <a:lnTo>
                <a:pt x="38" y="12"/>
              </a:lnTo>
              <a:lnTo>
                <a:pt x="35" y="14"/>
              </a:lnTo>
              <a:lnTo>
                <a:pt x="33" y="18"/>
              </a:lnTo>
              <a:lnTo>
                <a:pt x="29" y="20"/>
              </a:lnTo>
              <a:lnTo>
                <a:pt x="28" y="24"/>
              </a:lnTo>
              <a:lnTo>
                <a:pt x="25" y="26"/>
              </a:lnTo>
              <a:lnTo>
                <a:pt x="23" y="28"/>
              </a:lnTo>
              <a:lnTo>
                <a:pt x="20" y="28"/>
              </a:lnTo>
              <a:lnTo>
                <a:pt x="17" y="32"/>
              </a:lnTo>
              <a:lnTo>
                <a:pt x="14" y="36"/>
              </a:lnTo>
              <a:lnTo>
                <a:pt x="12" y="40"/>
              </a:lnTo>
              <a:lnTo>
                <a:pt x="11" y="40"/>
              </a:lnTo>
              <a:lnTo>
                <a:pt x="8" y="40"/>
              </a:lnTo>
              <a:lnTo>
                <a:pt x="4" y="38"/>
              </a:lnTo>
              <a:lnTo>
                <a:pt x="1" y="36"/>
              </a:lnTo>
              <a:lnTo>
                <a:pt x="0" y="32"/>
              </a:lnTo>
              <a:lnTo>
                <a:pt x="0" y="28"/>
              </a:lnTo>
              <a:lnTo>
                <a:pt x="3" y="28"/>
              </a:lnTo>
              <a:lnTo>
                <a:pt x="4" y="24"/>
              </a:lnTo>
              <a:lnTo>
                <a:pt x="6" y="20"/>
              </a:lnTo>
              <a:lnTo>
                <a:pt x="6" y="16"/>
              </a:lnTo>
              <a:lnTo>
                <a:pt x="3" y="14"/>
              </a:lnTo>
              <a:lnTo>
                <a:pt x="0" y="7"/>
              </a:lnTo>
              <a:lnTo>
                <a:pt x="0"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1091845</xdr:colOff>
      <xdr:row>56</xdr:row>
      <xdr:rowOff>140301</xdr:rowOff>
    </xdr:from>
    <xdr:to>
      <xdr:col>4</xdr:col>
      <xdr:colOff>1078028</xdr:colOff>
      <xdr:row>64</xdr:row>
      <xdr:rowOff>74946</xdr:rowOff>
    </xdr:to>
    <xdr:sp macro="" textlink="">
      <xdr:nvSpPr>
        <xdr:cNvPr id="110" name="Freeform 92">
          <a:extLst>
            <a:ext uri="{FF2B5EF4-FFF2-40B4-BE49-F238E27FC236}">
              <a16:creationId xmlns:a16="http://schemas.microsoft.com/office/drawing/2014/main" id="{C1E11A6E-B2FE-4582-9309-F87E7EB5B08C}"/>
            </a:ext>
          </a:extLst>
        </xdr:cNvPr>
        <xdr:cNvSpPr>
          <a:spLocks noChangeAspect="1"/>
        </xdr:cNvSpPr>
      </xdr:nvSpPr>
      <xdr:spPr bwMode="gray">
        <a:xfrm>
          <a:off x="3522988" y="9411301"/>
          <a:ext cx="1156397" cy="1240931"/>
        </a:xfrm>
        <a:custGeom>
          <a:avLst/>
          <a:gdLst>
            <a:gd name="T0" fmla="*/ 460 w 136"/>
            <a:gd name="T1" fmla="*/ 778 h 156"/>
            <a:gd name="T2" fmla="*/ 488 w 136"/>
            <a:gd name="T3" fmla="*/ 733 h 156"/>
            <a:gd name="T4" fmla="*/ 517 w 136"/>
            <a:gd name="T5" fmla="*/ 659 h 156"/>
            <a:gd name="T6" fmla="*/ 460 w 136"/>
            <a:gd name="T7" fmla="*/ 636 h 156"/>
            <a:gd name="T8" fmla="*/ 392 w 136"/>
            <a:gd name="T9" fmla="*/ 625 h 156"/>
            <a:gd name="T10" fmla="*/ 335 w 136"/>
            <a:gd name="T11" fmla="*/ 579 h 156"/>
            <a:gd name="T12" fmla="*/ 278 w 136"/>
            <a:gd name="T13" fmla="*/ 528 h 156"/>
            <a:gd name="T14" fmla="*/ 227 w 136"/>
            <a:gd name="T15" fmla="*/ 540 h 156"/>
            <a:gd name="T16" fmla="*/ 170 w 136"/>
            <a:gd name="T17" fmla="*/ 494 h 156"/>
            <a:gd name="T18" fmla="*/ 108 w 136"/>
            <a:gd name="T19" fmla="*/ 517 h 156"/>
            <a:gd name="T20" fmla="*/ 51 w 136"/>
            <a:gd name="T21" fmla="*/ 579 h 156"/>
            <a:gd name="T22" fmla="*/ 11 w 136"/>
            <a:gd name="T23" fmla="*/ 568 h 156"/>
            <a:gd name="T24" fmla="*/ 40 w 136"/>
            <a:gd name="T25" fmla="*/ 517 h 156"/>
            <a:gd name="T26" fmla="*/ 6 w 136"/>
            <a:gd name="T27" fmla="*/ 471 h 156"/>
            <a:gd name="T28" fmla="*/ 23 w 136"/>
            <a:gd name="T29" fmla="*/ 415 h 156"/>
            <a:gd name="T30" fmla="*/ 11 w 136"/>
            <a:gd name="T31" fmla="*/ 341 h 156"/>
            <a:gd name="T32" fmla="*/ 6 w 136"/>
            <a:gd name="T33" fmla="*/ 284 h 156"/>
            <a:gd name="T34" fmla="*/ 11 w 136"/>
            <a:gd name="T35" fmla="*/ 244 h 156"/>
            <a:gd name="T36" fmla="*/ 6 w 136"/>
            <a:gd name="T37" fmla="*/ 199 h 156"/>
            <a:gd name="T38" fmla="*/ 40 w 136"/>
            <a:gd name="T39" fmla="*/ 142 h 156"/>
            <a:gd name="T40" fmla="*/ 85 w 136"/>
            <a:gd name="T41" fmla="*/ 165 h 156"/>
            <a:gd name="T42" fmla="*/ 136 w 136"/>
            <a:gd name="T43" fmla="*/ 187 h 156"/>
            <a:gd name="T44" fmla="*/ 187 w 136"/>
            <a:gd name="T45" fmla="*/ 153 h 156"/>
            <a:gd name="T46" fmla="*/ 227 w 136"/>
            <a:gd name="T47" fmla="*/ 108 h 156"/>
            <a:gd name="T48" fmla="*/ 244 w 136"/>
            <a:gd name="T49" fmla="*/ 62 h 156"/>
            <a:gd name="T50" fmla="*/ 295 w 136"/>
            <a:gd name="T51" fmla="*/ 62 h 156"/>
            <a:gd name="T52" fmla="*/ 346 w 136"/>
            <a:gd name="T53" fmla="*/ 62 h 156"/>
            <a:gd name="T54" fmla="*/ 409 w 136"/>
            <a:gd name="T55" fmla="*/ 23 h 156"/>
            <a:gd name="T56" fmla="*/ 437 w 136"/>
            <a:gd name="T57" fmla="*/ 0 h 156"/>
            <a:gd name="T58" fmla="*/ 483 w 136"/>
            <a:gd name="T59" fmla="*/ 40 h 156"/>
            <a:gd name="T60" fmla="*/ 517 w 136"/>
            <a:gd name="T61" fmla="*/ 85 h 156"/>
            <a:gd name="T62" fmla="*/ 568 w 136"/>
            <a:gd name="T63" fmla="*/ 23 h 156"/>
            <a:gd name="T64" fmla="*/ 630 w 136"/>
            <a:gd name="T65" fmla="*/ 11 h 156"/>
            <a:gd name="T66" fmla="*/ 681 w 136"/>
            <a:gd name="T67" fmla="*/ 40 h 156"/>
            <a:gd name="T68" fmla="*/ 698 w 136"/>
            <a:gd name="T69" fmla="*/ 74 h 156"/>
            <a:gd name="T70" fmla="*/ 738 w 136"/>
            <a:gd name="T71" fmla="*/ 153 h 156"/>
            <a:gd name="T72" fmla="*/ 698 w 136"/>
            <a:gd name="T73" fmla="*/ 199 h 156"/>
            <a:gd name="T74" fmla="*/ 727 w 136"/>
            <a:gd name="T75" fmla="*/ 261 h 156"/>
            <a:gd name="T76" fmla="*/ 772 w 136"/>
            <a:gd name="T77" fmla="*/ 273 h 156"/>
            <a:gd name="T78" fmla="*/ 744 w 136"/>
            <a:gd name="T79" fmla="*/ 307 h 156"/>
            <a:gd name="T80" fmla="*/ 710 w 136"/>
            <a:gd name="T81" fmla="*/ 363 h 156"/>
            <a:gd name="T82" fmla="*/ 676 w 136"/>
            <a:gd name="T83" fmla="*/ 363 h 156"/>
            <a:gd name="T84" fmla="*/ 647 w 136"/>
            <a:gd name="T85" fmla="*/ 403 h 156"/>
            <a:gd name="T86" fmla="*/ 619 w 136"/>
            <a:gd name="T87" fmla="*/ 471 h 156"/>
            <a:gd name="T88" fmla="*/ 613 w 136"/>
            <a:gd name="T89" fmla="*/ 557 h 156"/>
            <a:gd name="T90" fmla="*/ 613 w 136"/>
            <a:gd name="T91" fmla="*/ 636 h 156"/>
            <a:gd name="T92" fmla="*/ 602 w 136"/>
            <a:gd name="T93" fmla="*/ 710 h 156"/>
            <a:gd name="T94" fmla="*/ 585 w 136"/>
            <a:gd name="T95" fmla="*/ 767 h 156"/>
            <a:gd name="T96" fmla="*/ 568 w 136"/>
            <a:gd name="T97" fmla="*/ 841 h 156"/>
            <a:gd name="T98" fmla="*/ 539 w 136"/>
            <a:gd name="T99" fmla="*/ 886 h 156"/>
            <a:gd name="T100" fmla="*/ 505 w 136"/>
            <a:gd name="T101" fmla="*/ 841 h 15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36" h="156">
              <a:moveTo>
                <a:pt x="86" y="145"/>
              </a:moveTo>
              <a:lnTo>
                <a:pt x="85" y="142"/>
              </a:lnTo>
              <a:lnTo>
                <a:pt x="81" y="137"/>
              </a:lnTo>
              <a:lnTo>
                <a:pt x="81" y="133"/>
              </a:lnTo>
              <a:lnTo>
                <a:pt x="83" y="129"/>
              </a:lnTo>
              <a:lnTo>
                <a:pt x="86" y="129"/>
              </a:lnTo>
              <a:lnTo>
                <a:pt x="89" y="125"/>
              </a:lnTo>
              <a:lnTo>
                <a:pt x="92" y="120"/>
              </a:lnTo>
              <a:lnTo>
                <a:pt x="91" y="116"/>
              </a:lnTo>
              <a:lnTo>
                <a:pt x="87" y="114"/>
              </a:lnTo>
              <a:lnTo>
                <a:pt x="83" y="116"/>
              </a:lnTo>
              <a:lnTo>
                <a:pt x="81" y="112"/>
              </a:lnTo>
              <a:lnTo>
                <a:pt x="77" y="114"/>
              </a:lnTo>
              <a:lnTo>
                <a:pt x="74" y="112"/>
              </a:lnTo>
              <a:lnTo>
                <a:pt x="69" y="110"/>
              </a:lnTo>
              <a:lnTo>
                <a:pt x="67" y="106"/>
              </a:lnTo>
              <a:lnTo>
                <a:pt x="63" y="104"/>
              </a:lnTo>
              <a:lnTo>
                <a:pt x="59" y="102"/>
              </a:lnTo>
              <a:lnTo>
                <a:pt x="57" y="102"/>
              </a:lnTo>
              <a:lnTo>
                <a:pt x="52" y="98"/>
              </a:lnTo>
              <a:lnTo>
                <a:pt x="49" y="93"/>
              </a:lnTo>
              <a:lnTo>
                <a:pt x="46" y="93"/>
              </a:lnTo>
              <a:lnTo>
                <a:pt x="43" y="95"/>
              </a:lnTo>
              <a:lnTo>
                <a:pt x="40" y="95"/>
              </a:lnTo>
              <a:lnTo>
                <a:pt x="33" y="93"/>
              </a:lnTo>
              <a:lnTo>
                <a:pt x="33" y="89"/>
              </a:lnTo>
              <a:lnTo>
                <a:pt x="30" y="87"/>
              </a:lnTo>
              <a:lnTo>
                <a:pt x="25" y="87"/>
              </a:lnTo>
              <a:lnTo>
                <a:pt x="23" y="89"/>
              </a:lnTo>
              <a:lnTo>
                <a:pt x="19" y="91"/>
              </a:lnTo>
              <a:lnTo>
                <a:pt x="16" y="95"/>
              </a:lnTo>
              <a:lnTo>
                <a:pt x="13" y="98"/>
              </a:lnTo>
              <a:lnTo>
                <a:pt x="9" y="102"/>
              </a:lnTo>
              <a:lnTo>
                <a:pt x="7" y="102"/>
              </a:lnTo>
              <a:lnTo>
                <a:pt x="4" y="104"/>
              </a:lnTo>
              <a:lnTo>
                <a:pt x="2" y="100"/>
              </a:lnTo>
              <a:lnTo>
                <a:pt x="2" y="98"/>
              </a:lnTo>
              <a:lnTo>
                <a:pt x="5" y="95"/>
              </a:lnTo>
              <a:lnTo>
                <a:pt x="7" y="91"/>
              </a:lnTo>
              <a:lnTo>
                <a:pt x="7" y="87"/>
              </a:lnTo>
              <a:lnTo>
                <a:pt x="4" y="85"/>
              </a:lnTo>
              <a:lnTo>
                <a:pt x="1" y="83"/>
              </a:lnTo>
              <a:lnTo>
                <a:pt x="1" y="79"/>
              </a:lnTo>
              <a:lnTo>
                <a:pt x="1" y="74"/>
              </a:lnTo>
              <a:lnTo>
                <a:pt x="4" y="73"/>
              </a:lnTo>
              <a:lnTo>
                <a:pt x="4" y="69"/>
              </a:lnTo>
              <a:lnTo>
                <a:pt x="4" y="64"/>
              </a:lnTo>
              <a:lnTo>
                <a:pt x="2" y="60"/>
              </a:lnTo>
              <a:lnTo>
                <a:pt x="0" y="58"/>
              </a:lnTo>
              <a:lnTo>
                <a:pt x="2" y="54"/>
              </a:lnTo>
              <a:lnTo>
                <a:pt x="1" y="50"/>
              </a:lnTo>
              <a:lnTo>
                <a:pt x="4" y="48"/>
              </a:lnTo>
              <a:lnTo>
                <a:pt x="5" y="43"/>
              </a:lnTo>
              <a:lnTo>
                <a:pt x="2" y="43"/>
              </a:lnTo>
              <a:lnTo>
                <a:pt x="0" y="43"/>
              </a:lnTo>
              <a:lnTo>
                <a:pt x="0" y="40"/>
              </a:lnTo>
              <a:lnTo>
                <a:pt x="1" y="35"/>
              </a:lnTo>
              <a:lnTo>
                <a:pt x="2" y="31"/>
              </a:lnTo>
              <a:lnTo>
                <a:pt x="5" y="29"/>
              </a:lnTo>
              <a:lnTo>
                <a:pt x="7" y="25"/>
              </a:lnTo>
              <a:lnTo>
                <a:pt x="9" y="25"/>
              </a:lnTo>
              <a:lnTo>
                <a:pt x="12" y="27"/>
              </a:lnTo>
              <a:lnTo>
                <a:pt x="15" y="29"/>
              </a:lnTo>
              <a:lnTo>
                <a:pt x="18" y="31"/>
              </a:lnTo>
              <a:lnTo>
                <a:pt x="21" y="33"/>
              </a:lnTo>
              <a:lnTo>
                <a:pt x="24" y="33"/>
              </a:lnTo>
              <a:lnTo>
                <a:pt x="27" y="31"/>
              </a:lnTo>
              <a:lnTo>
                <a:pt x="30" y="27"/>
              </a:lnTo>
              <a:lnTo>
                <a:pt x="33" y="27"/>
              </a:lnTo>
              <a:lnTo>
                <a:pt x="38" y="27"/>
              </a:lnTo>
              <a:lnTo>
                <a:pt x="40" y="23"/>
              </a:lnTo>
              <a:lnTo>
                <a:pt x="40" y="19"/>
              </a:lnTo>
              <a:lnTo>
                <a:pt x="38" y="15"/>
              </a:lnTo>
              <a:lnTo>
                <a:pt x="40" y="11"/>
              </a:lnTo>
              <a:lnTo>
                <a:pt x="43" y="11"/>
              </a:lnTo>
              <a:lnTo>
                <a:pt x="46" y="11"/>
              </a:lnTo>
              <a:lnTo>
                <a:pt x="49" y="11"/>
              </a:lnTo>
              <a:lnTo>
                <a:pt x="52" y="11"/>
              </a:lnTo>
              <a:lnTo>
                <a:pt x="55" y="12"/>
              </a:lnTo>
              <a:lnTo>
                <a:pt x="58" y="12"/>
              </a:lnTo>
              <a:lnTo>
                <a:pt x="61" y="11"/>
              </a:lnTo>
              <a:lnTo>
                <a:pt x="65" y="7"/>
              </a:lnTo>
              <a:lnTo>
                <a:pt x="69" y="7"/>
              </a:lnTo>
              <a:lnTo>
                <a:pt x="72" y="4"/>
              </a:lnTo>
              <a:lnTo>
                <a:pt x="75" y="2"/>
              </a:lnTo>
              <a:lnTo>
                <a:pt x="77" y="0"/>
              </a:lnTo>
              <a:lnTo>
                <a:pt x="80" y="0"/>
              </a:lnTo>
              <a:lnTo>
                <a:pt x="81" y="4"/>
              </a:lnTo>
              <a:lnTo>
                <a:pt x="85" y="7"/>
              </a:lnTo>
              <a:lnTo>
                <a:pt x="85" y="11"/>
              </a:lnTo>
              <a:lnTo>
                <a:pt x="86" y="15"/>
              </a:lnTo>
              <a:lnTo>
                <a:pt x="91" y="15"/>
              </a:lnTo>
              <a:lnTo>
                <a:pt x="94" y="11"/>
              </a:lnTo>
              <a:lnTo>
                <a:pt x="98" y="8"/>
              </a:lnTo>
              <a:lnTo>
                <a:pt x="100" y="4"/>
              </a:lnTo>
              <a:lnTo>
                <a:pt x="103" y="2"/>
              </a:lnTo>
              <a:lnTo>
                <a:pt x="108" y="0"/>
              </a:lnTo>
              <a:lnTo>
                <a:pt x="111" y="2"/>
              </a:lnTo>
              <a:lnTo>
                <a:pt x="114" y="4"/>
              </a:lnTo>
              <a:lnTo>
                <a:pt x="117" y="4"/>
              </a:lnTo>
              <a:lnTo>
                <a:pt x="120" y="7"/>
              </a:lnTo>
              <a:lnTo>
                <a:pt x="122" y="11"/>
              </a:lnTo>
              <a:lnTo>
                <a:pt x="124" y="12"/>
              </a:lnTo>
              <a:lnTo>
                <a:pt x="123" y="13"/>
              </a:lnTo>
              <a:lnTo>
                <a:pt x="126" y="21"/>
              </a:lnTo>
              <a:lnTo>
                <a:pt x="130" y="23"/>
              </a:lnTo>
              <a:lnTo>
                <a:pt x="130" y="27"/>
              </a:lnTo>
              <a:lnTo>
                <a:pt x="128" y="31"/>
              </a:lnTo>
              <a:lnTo>
                <a:pt x="126" y="35"/>
              </a:lnTo>
              <a:lnTo>
                <a:pt x="123" y="35"/>
              </a:lnTo>
              <a:lnTo>
                <a:pt x="123" y="40"/>
              </a:lnTo>
              <a:lnTo>
                <a:pt x="125" y="44"/>
              </a:lnTo>
              <a:lnTo>
                <a:pt x="128" y="46"/>
              </a:lnTo>
              <a:lnTo>
                <a:pt x="131" y="48"/>
              </a:lnTo>
              <a:lnTo>
                <a:pt x="134" y="48"/>
              </a:lnTo>
              <a:lnTo>
                <a:pt x="136" y="48"/>
              </a:lnTo>
              <a:lnTo>
                <a:pt x="134" y="52"/>
              </a:lnTo>
              <a:lnTo>
                <a:pt x="131" y="54"/>
              </a:lnTo>
              <a:lnTo>
                <a:pt x="128" y="56"/>
              </a:lnTo>
              <a:lnTo>
                <a:pt x="126" y="60"/>
              </a:lnTo>
              <a:lnTo>
                <a:pt x="125" y="64"/>
              </a:lnTo>
              <a:lnTo>
                <a:pt x="123" y="69"/>
              </a:lnTo>
              <a:lnTo>
                <a:pt x="120" y="69"/>
              </a:lnTo>
              <a:lnTo>
                <a:pt x="119" y="64"/>
              </a:lnTo>
              <a:lnTo>
                <a:pt x="115" y="64"/>
              </a:lnTo>
              <a:lnTo>
                <a:pt x="114" y="69"/>
              </a:lnTo>
              <a:lnTo>
                <a:pt x="114" y="71"/>
              </a:lnTo>
              <a:lnTo>
                <a:pt x="113" y="75"/>
              </a:lnTo>
              <a:lnTo>
                <a:pt x="109" y="79"/>
              </a:lnTo>
              <a:lnTo>
                <a:pt x="109" y="83"/>
              </a:lnTo>
              <a:lnTo>
                <a:pt x="109" y="87"/>
              </a:lnTo>
              <a:lnTo>
                <a:pt x="108" y="93"/>
              </a:lnTo>
              <a:lnTo>
                <a:pt x="108" y="98"/>
              </a:lnTo>
              <a:lnTo>
                <a:pt x="106" y="104"/>
              </a:lnTo>
              <a:lnTo>
                <a:pt x="106" y="108"/>
              </a:lnTo>
              <a:lnTo>
                <a:pt x="108" y="112"/>
              </a:lnTo>
              <a:lnTo>
                <a:pt x="108" y="116"/>
              </a:lnTo>
              <a:lnTo>
                <a:pt x="106" y="120"/>
              </a:lnTo>
              <a:lnTo>
                <a:pt x="106" y="125"/>
              </a:lnTo>
              <a:lnTo>
                <a:pt x="105" y="127"/>
              </a:lnTo>
              <a:lnTo>
                <a:pt x="103" y="131"/>
              </a:lnTo>
              <a:lnTo>
                <a:pt x="103" y="135"/>
              </a:lnTo>
              <a:lnTo>
                <a:pt x="103" y="139"/>
              </a:lnTo>
              <a:lnTo>
                <a:pt x="102" y="143"/>
              </a:lnTo>
              <a:lnTo>
                <a:pt x="100" y="148"/>
              </a:lnTo>
              <a:lnTo>
                <a:pt x="99" y="152"/>
              </a:lnTo>
              <a:lnTo>
                <a:pt x="95" y="154"/>
              </a:lnTo>
              <a:lnTo>
                <a:pt x="95" y="156"/>
              </a:lnTo>
              <a:lnTo>
                <a:pt x="94" y="156"/>
              </a:lnTo>
              <a:lnTo>
                <a:pt x="91" y="152"/>
              </a:lnTo>
              <a:lnTo>
                <a:pt x="89" y="148"/>
              </a:lnTo>
              <a:lnTo>
                <a:pt x="87" y="148"/>
              </a:lnTo>
              <a:lnTo>
                <a:pt x="86" y="145"/>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439912</xdr:colOff>
      <xdr:row>64</xdr:row>
      <xdr:rowOff>10519</xdr:rowOff>
    </xdr:from>
    <xdr:to>
      <xdr:col>4</xdr:col>
      <xdr:colOff>729011</xdr:colOff>
      <xdr:row>66</xdr:row>
      <xdr:rowOff>97125</xdr:rowOff>
    </xdr:to>
    <xdr:sp macro="" textlink="">
      <xdr:nvSpPr>
        <xdr:cNvPr id="111" name="Freeform 93">
          <a:extLst>
            <a:ext uri="{FF2B5EF4-FFF2-40B4-BE49-F238E27FC236}">
              <a16:creationId xmlns:a16="http://schemas.microsoft.com/office/drawing/2014/main" id="{E360BA19-582C-4678-8103-8015A1B080A5}"/>
            </a:ext>
          </a:extLst>
        </xdr:cNvPr>
        <xdr:cNvSpPr>
          <a:spLocks noChangeAspect="1"/>
        </xdr:cNvSpPr>
      </xdr:nvSpPr>
      <xdr:spPr bwMode="gray">
        <a:xfrm>
          <a:off x="4041269" y="10587805"/>
          <a:ext cx="289099" cy="413177"/>
        </a:xfrm>
        <a:custGeom>
          <a:avLst/>
          <a:gdLst>
            <a:gd name="T0" fmla="*/ 85 w 34"/>
            <a:gd name="T1" fmla="*/ 284 h 52"/>
            <a:gd name="T2" fmla="*/ 114 w 34"/>
            <a:gd name="T3" fmla="*/ 267 h 52"/>
            <a:gd name="T4" fmla="*/ 125 w 34"/>
            <a:gd name="T5" fmla="*/ 244 h 52"/>
            <a:gd name="T6" fmla="*/ 125 w 34"/>
            <a:gd name="T7" fmla="*/ 221 h 52"/>
            <a:gd name="T8" fmla="*/ 136 w 34"/>
            <a:gd name="T9" fmla="*/ 199 h 52"/>
            <a:gd name="T10" fmla="*/ 159 w 34"/>
            <a:gd name="T11" fmla="*/ 176 h 52"/>
            <a:gd name="T12" fmla="*/ 176 w 34"/>
            <a:gd name="T13" fmla="*/ 165 h 52"/>
            <a:gd name="T14" fmla="*/ 193 w 34"/>
            <a:gd name="T15" fmla="*/ 142 h 52"/>
            <a:gd name="T16" fmla="*/ 182 w 34"/>
            <a:gd name="T17" fmla="*/ 113 h 52"/>
            <a:gd name="T18" fmla="*/ 182 w 34"/>
            <a:gd name="T19" fmla="*/ 96 h 52"/>
            <a:gd name="T20" fmla="*/ 182 w 34"/>
            <a:gd name="T21" fmla="*/ 68 h 52"/>
            <a:gd name="T22" fmla="*/ 193 w 34"/>
            <a:gd name="T23" fmla="*/ 45 h 52"/>
            <a:gd name="T24" fmla="*/ 193 w 34"/>
            <a:gd name="T25" fmla="*/ 45 h 52"/>
            <a:gd name="T26" fmla="*/ 176 w 34"/>
            <a:gd name="T27" fmla="*/ 23 h 52"/>
            <a:gd name="T28" fmla="*/ 165 w 34"/>
            <a:gd name="T29" fmla="*/ 0 h 52"/>
            <a:gd name="T30" fmla="*/ 153 w 34"/>
            <a:gd name="T31" fmla="*/ 0 h 52"/>
            <a:gd name="T32" fmla="*/ 159 w 34"/>
            <a:gd name="T33" fmla="*/ 0 h 52"/>
            <a:gd name="T34" fmla="*/ 136 w 34"/>
            <a:gd name="T35" fmla="*/ 0 h 52"/>
            <a:gd name="T36" fmla="*/ 119 w 34"/>
            <a:gd name="T37" fmla="*/ 0 h 52"/>
            <a:gd name="T38" fmla="*/ 102 w 34"/>
            <a:gd name="T39" fmla="*/ 6 h 52"/>
            <a:gd name="T40" fmla="*/ 91 w 34"/>
            <a:gd name="T41" fmla="*/ 34 h 52"/>
            <a:gd name="T42" fmla="*/ 91 w 34"/>
            <a:gd name="T43" fmla="*/ 51 h 52"/>
            <a:gd name="T44" fmla="*/ 91 w 34"/>
            <a:gd name="T45" fmla="*/ 79 h 52"/>
            <a:gd name="T46" fmla="*/ 91 w 34"/>
            <a:gd name="T47" fmla="*/ 102 h 52"/>
            <a:gd name="T48" fmla="*/ 91 w 34"/>
            <a:gd name="T49" fmla="*/ 130 h 52"/>
            <a:gd name="T50" fmla="*/ 85 w 34"/>
            <a:gd name="T51" fmla="*/ 148 h 52"/>
            <a:gd name="T52" fmla="*/ 68 w 34"/>
            <a:gd name="T53" fmla="*/ 165 h 52"/>
            <a:gd name="T54" fmla="*/ 57 w 34"/>
            <a:gd name="T55" fmla="*/ 187 h 52"/>
            <a:gd name="T56" fmla="*/ 40 w 34"/>
            <a:gd name="T57" fmla="*/ 210 h 52"/>
            <a:gd name="T58" fmla="*/ 17 w 34"/>
            <a:gd name="T59" fmla="*/ 199 h 52"/>
            <a:gd name="T60" fmla="*/ 0 w 34"/>
            <a:gd name="T61" fmla="*/ 221 h 52"/>
            <a:gd name="T62" fmla="*/ 0 w 34"/>
            <a:gd name="T63" fmla="*/ 244 h 52"/>
            <a:gd name="T64" fmla="*/ 0 w 34"/>
            <a:gd name="T65" fmla="*/ 261 h 52"/>
            <a:gd name="T66" fmla="*/ 11 w 34"/>
            <a:gd name="T67" fmla="*/ 284 h 52"/>
            <a:gd name="T68" fmla="*/ 40 w 34"/>
            <a:gd name="T69" fmla="*/ 295 h 52"/>
            <a:gd name="T70" fmla="*/ 57 w 34"/>
            <a:gd name="T71" fmla="*/ 295 h 52"/>
            <a:gd name="T72" fmla="*/ 68 w 34"/>
            <a:gd name="T73" fmla="*/ 295 h 52"/>
            <a:gd name="T74" fmla="*/ 74 w 34"/>
            <a:gd name="T75" fmla="*/ 295 h 52"/>
            <a:gd name="T76" fmla="*/ 85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5" y="50"/>
              </a:moveTo>
              <a:lnTo>
                <a:pt x="20" y="47"/>
              </a:lnTo>
              <a:lnTo>
                <a:pt x="22" y="43"/>
              </a:lnTo>
              <a:lnTo>
                <a:pt x="22" y="39"/>
              </a:lnTo>
              <a:lnTo>
                <a:pt x="24" y="35"/>
              </a:lnTo>
              <a:lnTo>
                <a:pt x="28" y="31"/>
              </a:lnTo>
              <a:lnTo>
                <a:pt x="31" y="29"/>
              </a:lnTo>
              <a:lnTo>
                <a:pt x="34" y="25"/>
              </a:lnTo>
              <a:lnTo>
                <a:pt x="32" y="20"/>
              </a:lnTo>
              <a:lnTo>
                <a:pt x="32" y="17"/>
              </a:lnTo>
              <a:lnTo>
                <a:pt x="32" y="12"/>
              </a:lnTo>
              <a:lnTo>
                <a:pt x="34" y="8"/>
              </a:lnTo>
              <a:lnTo>
                <a:pt x="31" y="4"/>
              </a:lnTo>
              <a:lnTo>
                <a:pt x="29" y="0"/>
              </a:lnTo>
              <a:lnTo>
                <a:pt x="27" y="0"/>
              </a:lnTo>
              <a:lnTo>
                <a:pt x="28" y="0"/>
              </a:lnTo>
              <a:lnTo>
                <a:pt x="24" y="0"/>
              </a:lnTo>
              <a:lnTo>
                <a:pt x="21" y="0"/>
              </a:lnTo>
              <a:lnTo>
                <a:pt x="18" y="1"/>
              </a:lnTo>
              <a:lnTo>
                <a:pt x="16" y="6"/>
              </a:lnTo>
              <a:lnTo>
                <a:pt x="16" y="9"/>
              </a:lnTo>
              <a:lnTo>
                <a:pt x="16" y="14"/>
              </a:lnTo>
              <a:lnTo>
                <a:pt x="16" y="18"/>
              </a:lnTo>
              <a:lnTo>
                <a:pt x="16" y="23"/>
              </a:lnTo>
              <a:lnTo>
                <a:pt x="15" y="26"/>
              </a:lnTo>
              <a:lnTo>
                <a:pt x="12" y="29"/>
              </a:lnTo>
              <a:lnTo>
                <a:pt x="10" y="33"/>
              </a:lnTo>
              <a:lnTo>
                <a:pt x="7" y="37"/>
              </a:lnTo>
              <a:lnTo>
                <a:pt x="3" y="35"/>
              </a:lnTo>
              <a:lnTo>
                <a:pt x="0" y="39"/>
              </a:lnTo>
              <a:lnTo>
                <a:pt x="0" y="43"/>
              </a:lnTo>
              <a:lnTo>
                <a:pt x="0" y="46"/>
              </a:lnTo>
              <a:lnTo>
                <a:pt x="2" y="50"/>
              </a:lnTo>
              <a:lnTo>
                <a:pt x="7" y="52"/>
              </a:lnTo>
              <a:lnTo>
                <a:pt x="10" y="52"/>
              </a:lnTo>
              <a:lnTo>
                <a:pt x="12" y="52"/>
              </a:lnTo>
              <a:lnTo>
                <a:pt x="13" y="52"/>
              </a:lnTo>
              <a:lnTo>
                <a:pt x="15" y="50"/>
              </a:lnTo>
              <a:close/>
            </a:path>
          </a:pathLst>
        </a:custGeom>
        <a:solidFill>
          <a:srgbClr val="C0C0C0"/>
        </a:solidFill>
        <a:ln w="9525">
          <a:solidFill>
            <a:srgbClr val="969696"/>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74419</xdr:colOff>
      <xdr:row>66</xdr:row>
      <xdr:rowOff>42502</xdr:rowOff>
    </xdr:from>
    <xdr:to>
      <xdr:col>4</xdr:col>
      <xdr:colOff>550759</xdr:colOff>
      <xdr:row>67</xdr:row>
      <xdr:rowOff>141128</xdr:rowOff>
    </xdr:to>
    <xdr:sp macro="" textlink="">
      <xdr:nvSpPr>
        <xdr:cNvPr id="112" name="Freeform 94">
          <a:extLst>
            <a:ext uri="{FF2B5EF4-FFF2-40B4-BE49-F238E27FC236}">
              <a16:creationId xmlns:a16="http://schemas.microsoft.com/office/drawing/2014/main" id="{CA70A9A3-A7B6-431F-9223-0B4AFAAE455F}"/>
            </a:ext>
          </a:extLst>
        </xdr:cNvPr>
        <xdr:cNvSpPr>
          <a:spLocks noChangeAspect="1"/>
        </xdr:cNvSpPr>
      </xdr:nvSpPr>
      <xdr:spPr bwMode="gray">
        <a:xfrm>
          <a:off x="3675776" y="109463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ADCFE3"/>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226819</xdr:colOff>
      <xdr:row>67</xdr:row>
      <xdr:rowOff>31616</xdr:rowOff>
    </xdr:from>
    <xdr:to>
      <xdr:col>4</xdr:col>
      <xdr:colOff>703159</xdr:colOff>
      <xdr:row>68</xdr:row>
      <xdr:rowOff>130242</xdr:rowOff>
    </xdr:to>
    <xdr:sp macro="" textlink="">
      <xdr:nvSpPr>
        <xdr:cNvPr id="113" name="Freeform 95">
          <a:extLst>
            <a:ext uri="{FF2B5EF4-FFF2-40B4-BE49-F238E27FC236}">
              <a16:creationId xmlns:a16="http://schemas.microsoft.com/office/drawing/2014/main" id="{487CBF2C-B22E-4546-8302-BD0942A5D4BD}"/>
            </a:ext>
          </a:extLst>
        </xdr:cNvPr>
        <xdr:cNvSpPr>
          <a:spLocks noChangeAspect="1"/>
        </xdr:cNvSpPr>
      </xdr:nvSpPr>
      <xdr:spPr bwMode="gray">
        <a:xfrm>
          <a:off x="3828176" y="110987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488181</xdr:colOff>
      <xdr:row>61</xdr:row>
      <xdr:rowOff>15768</xdr:rowOff>
    </xdr:from>
    <xdr:to>
      <xdr:col>4</xdr:col>
      <xdr:colOff>712534</xdr:colOff>
      <xdr:row>67</xdr:row>
      <xdr:rowOff>108913</xdr:rowOff>
    </xdr:to>
    <xdr:sp macro="" textlink="">
      <xdr:nvSpPr>
        <xdr:cNvPr id="114" name="Freeform 96">
          <a:extLst>
            <a:ext uri="{FF2B5EF4-FFF2-40B4-BE49-F238E27FC236}">
              <a16:creationId xmlns:a16="http://schemas.microsoft.com/office/drawing/2014/main" id="{448408FF-26B2-425E-97F9-42B935EE7952}"/>
            </a:ext>
          </a:extLst>
        </xdr:cNvPr>
        <xdr:cNvSpPr>
          <a:spLocks noChangeAspect="1"/>
        </xdr:cNvSpPr>
      </xdr:nvSpPr>
      <xdr:spPr bwMode="gray">
        <a:xfrm>
          <a:off x="2919324" y="10103197"/>
          <a:ext cx="1394567" cy="1072859"/>
        </a:xfrm>
        <a:custGeom>
          <a:avLst/>
          <a:gdLst>
            <a:gd name="T0" fmla="*/ 863 w 164"/>
            <a:gd name="T1" fmla="*/ 340 h 135"/>
            <a:gd name="T2" fmla="*/ 840 w 164"/>
            <a:gd name="T3" fmla="*/ 403 h 135"/>
            <a:gd name="T4" fmla="*/ 840 w 164"/>
            <a:gd name="T5" fmla="*/ 471 h 135"/>
            <a:gd name="T6" fmla="*/ 806 w 164"/>
            <a:gd name="T7" fmla="*/ 528 h 135"/>
            <a:gd name="T8" fmla="*/ 749 w 164"/>
            <a:gd name="T9" fmla="*/ 567 h 135"/>
            <a:gd name="T10" fmla="*/ 755 w 164"/>
            <a:gd name="T11" fmla="*/ 601 h 135"/>
            <a:gd name="T12" fmla="*/ 727 w 164"/>
            <a:gd name="T13" fmla="*/ 658 h 135"/>
            <a:gd name="T14" fmla="*/ 664 w 164"/>
            <a:gd name="T15" fmla="*/ 692 h 135"/>
            <a:gd name="T16" fmla="*/ 607 w 164"/>
            <a:gd name="T17" fmla="*/ 709 h 135"/>
            <a:gd name="T18" fmla="*/ 562 w 164"/>
            <a:gd name="T19" fmla="*/ 709 h 135"/>
            <a:gd name="T20" fmla="*/ 522 w 164"/>
            <a:gd name="T21" fmla="*/ 732 h 135"/>
            <a:gd name="T22" fmla="*/ 477 w 164"/>
            <a:gd name="T23" fmla="*/ 743 h 135"/>
            <a:gd name="T24" fmla="*/ 426 w 164"/>
            <a:gd name="T25" fmla="*/ 766 h 135"/>
            <a:gd name="T26" fmla="*/ 375 w 164"/>
            <a:gd name="T27" fmla="*/ 755 h 135"/>
            <a:gd name="T28" fmla="*/ 358 w 164"/>
            <a:gd name="T29" fmla="*/ 692 h 135"/>
            <a:gd name="T30" fmla="*/ 329 w 164"/>
            <a:gd name="T31" fmla="*/ 635 h 135"/>
            <a:gd name="T32" fmla="*/ 318 w 164"/>
            <a:gd name="T33" fmla="*/ 567 h 135"/>
            <a:gd name="T34" fmla="*/ 284 w 164"/>
            <a:gd name="T35" fmla="*/ 505 h 135"/>
            <a:gd name="T36" fmla="*/ 233 w 164"/>
            <a:gd name="T37" fmla="*/ 516 h 135"/>
            <a:gd name="T38" fmla="*/ 182 w 164"/>
            <a:gd name="T39" fmla="*/ 528 h 135"/>
            <a:gd name="T40" fmla="*/ 136 w 164"/>
            <a:gd name="T41" fmla="*/ 505 h 135"/>
            <a:gd name="T42" fmla="*/ 102 w 164"/>
            <a:gd name="T43" fmla="*/ 494 h 135"/>
            <a:gd name="T44" fmla="*/ 45 w 164"/>
            <a:gd name="T45" fmla="*/ 482 h 135"/>
            <a:gd name="T46" fmla="*/ 0 w 164"/>
            <a:gd name="T47" fmla="*/ 528 h 135"/>
            <a:gd name="T48" fmla="*/ 11 w 164"/>
            <a:gd name="T49" fmla="*/ 460 h 135"/>
            <a:gd name="T50" fmla="*/ 34 w 164"/>
            <a:gd name="T51" fmla="*/ 420 h 135"/>
            <a:gd name="T52" fmla="*/ 79 w 164"/>
            <a:gd name="T53" fmla="*/ 374 h 135"/>
            <a:gd name="T54" fmla="*/ 136 w 164"/>
            <a:gd name="T55" fmla="*/ 363 h 135"/>
            <a:gd name="T56" fmla="*/ 187 w 164"/>
            <a:gd name="T57" fmla="*/ 363 h 135"/>
            <a:gd name="T58" fmla="*/ 261 w 164"/>
            <a:gd name="T59" fmla="*/ 352 h 135"/>
            <a:gd name="T60" fmla="*/ 312 w 164"/>
            <a:gd name="T61" fmla="*/ 318 h 135"/>
            <a:gd name="T62" fmla="*/ 312 w 164"/>
            <a:gd name="T63" fmla="*/ 255 h 135"/>
            <a:gd name="T64" fmla="*/ 301 w 164"/>
            <a:gd name="T65" fmla="*/ 182 h 135"/>
            <a:gd name="T66" fmla="*/ 346 w 164"/>
            <a:gd name="T67" fmla="*/ 136 h 135"/>
            <a:gd name="T68" fmla="*/ 363 w 164"/>
            <a:gd name="T69" fmla="*/ 68 h 135"/>
            <a:gd name="T70" fmla="*/ 397 w 164"/>
            <a:gd name="T71" fmla="*/ 45 h 135"/>
            <a:gd name="T72" fmla="*/ 414 w 164"/>
            <a:gd name="T73" fmla="*/ 68 h 135"/>
            <a:gd name="T74" fmla="*/ 448 w 164"/>
            <a:gd name="T75" fmla="*/ 79 h 135"/>
            <a:gd name="T76" fmla="*/ 517 w 164"/>
            <a:gd name="T77" fmla="*/ 23 h 135"/>
            <a:gd name="T78" fmla="*/ 573 w 164"/>
            <a:gd name="T79" fmla="*/ 0 h 135"/>
            <a:gd name="T80" fmla="*/ 630 w 164"/>
            <a:gd name="T81" fmla="*/ 45 h 135"/>
            <a:gd name="T82" fmla="*/ 681 w 164"/>
            <a:gd name="T83" fmla="*/ 34 h 135"/>
            <a:gd name="T84" fmla="*/ 738 w 164"/>
            <a:gd name="T85" fmla="*/ 79 h 135"/>
            <a:gd name="T86" fmla="*/ 795 w 164"/>
            <a:gd name="T87" fmla="*/ 125 h 135"/>
            <a:gd name="T88" fmla="*/ 863 w 164"/>
            <a:gd name="T89" fmla="*/ 136 h 135"/>
            <a:gd name="T90" fmla="*/ 920 w 164"/>
            <a:gd name="T91" fmla="*/ 165 h 135"/>
            <a:gd name="T92" fmla="*/ 891 w 164"/>
            <a:gd name="T93" fmla="*/ 233 h 135"/>
            <a:gd name="T94" fmla="*/ 863 w 164"/>
            <a:gd name="T95" fmla="*/ 284 h 135"/>
            <a:gd name="T96" fmla="*/ 903 w 164"/>
            <a:gd name="T97" fmla="*/ 340 h 13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64" h="135">
              <a:moveTo>
                <a:pt x="159" y="60"/>
              </a:moveTo>
              <a:lnTo>
                <a:pt x="156" y="60"/>
              </a:lnTo>
              <a:lnTo>
                <a:pt x="152" y="60"/>
              </a:lnTo>
              <a:lnTo>
                <a:pt x="149" y="62"/>
              </a:lnTo>
              <a:lnTo>
                <a:pt x="148" y="67"/>
              </a:lnTo>
              <a:lnTo>
                <a:pt x="148" y="71"/>
              </a:lnTo>
              <a:lnTo>
                <a:pt x="148" y="75"/>
              </a:lnTo>
              <a:lnTo>
                <a:pt x="148" y="79"/>
              </a:lnTo>
              <a:lnTo>
                <a:pt x="148" y="83"/>
              </a:lnTo>
              <a:lnTo>
                <a:pt x="146" y="87"/>
              </a:lnTo>
              <a:lnTo>
                <a:pt x="143" y="89"/>
              </a:lnTo>
              <a:lnTo>
                <a:pt x="142" y="93"/>
              </a:lnTo>
              <a:lnTo>
                <a:pt x="139" y="97"/>
              </a:lnTo>
              <a:lnTo>
                <a:pt x="135" y="96"/>
              </a:lnTo>
              <a:lnTo>
                <a:pt x="132" y="100"/>
              </a:lnTo>
              <a:lnTo>
                <a:pt x="132" y="104"/>
              </a:lnTo>
              <a:lnTo>
                <a:pt x="132" y="106"/>
              </a:lnTo>
              <a:lnTo>
                <a:pt x="133" y="106"/>
              </a:lnTo>
              <a:lnTo>
                <a:pt x="131" y="108"/>
              </a:lnTo>
              <a:lnTo>
                <a:pt x="129" y="112"/>
              </a:lnTo>
              <a:lnTo>
                <a:pt x="128" y="116"/>
              </a:lnTo>
              <a:lnTo>
                <a:pt x="125" y="121"/>
              </a:lnTo>
              <a:lnTo>
                <a:pt x="120" y="122"/>
              </a:lnTo>
              <a:lnTo>
                <a:pt x="117" y="122"/>
              </a:lnTo>
              <a:lnTo>
                <a:pt x="114" y="125"/>
              </a:lnTo>
              <a:lnTo>
                <a:pt x="111" y="125"/>
              </a:lnTo>
              <a:lnTo>
                <a:pt x="107" y="125"/>
              </a:lnTo>
              <a:lnTo>
                <a:pt x="105" y="125"/>
              </a:lnTo>
              <a:lnTo>
                <a:pt x="101" y="122"/>
              </a:lnTo>
              <a:lnTo>
                <a:pt x="99" y="125"/>
              </a:lnTo>
              <a:lnTo>
                <a:pt x="95" y="125"/>
              </a:lnTo>
              <a:lnTo>
                <a:pt x="93" y="129"/>
              </a:lnTo>
              <a:lnTo>
                <a:pt x="92" y="129"/>
              </a:lnTo>
              <a:lnTo>
                <a:pt x="91" y="129"/>
              </a:lnTo>
              <a:lnTo>
                <a:pt x="87" y="129"/>
              </a:lnTo>
              <a:lnTo>
                <a:pt x="84" y="131"/>
              </a:lnTo>
              <a:lnTo>
                <a:pt x="81" y="133"/>
              </a:lnTo>
              <a:lnTo>
                <a:pt x="78" y="135"/>
              </a:lnTo>
              <a:lnTo>
                <a:pt x="75" y="135"/>
              </a:lnTo>
              <a:lnTo>
                <a:pt x="72" y="133"/>
              </a:lnTo>
              <a:lnTo>
                <a:pt x="69" y="135"/>
              </a:lnTo>
              <a:lnTo>
                <a:pt x="66" y="133"/>
              </a:lnTo>
              <a:lnTo>
                <a:pt x="64" y="129"/>
              </a:lnTo>
              <a:lnTo>
                <a:pt x="61" y="126"/>
              </a:lnTo>
              <a:lnTo>
                <a:pt x="63" y="122"/>
              </a:lnTo>
              <a:lnTo>
                <a:pt x="61" y="118"/>
              </a:lnTo>
              <a:lnTo>
                <a:pt x="61" y="114"/>
              </a:lnTo>
              <a:lnTo>
                <a:pt x="58" y="112"/>
              </a:lnTo>
              <a:lnTo>
                <a:pt x="56" y="108"/>
              </a:lnTo>
              <a:lnTo>
                <a:pt x="56" y="104"/>
              </a:lnTo>
              <a:lnTo>
                <a:pt x="56" y="100"/>
              </a:lnTo>
              <a:lnTo>
                <a:pt x="53" y="97"/>
              </a:lnTo>
              <a:lnTo>
                <a:pt x="52" y="93"/>
              </a:lnTo>
              <a:lnTo>
                <a:pt x="50" y="89"/>
              </a:lnTo>
              <a:lnTo>
                <a:pt x="48" y="89"/>
              </a:lnTo>
              <a:lnTo>
                <a:pt x="44" y="91"/>
              </a:lnTo>
              <a:lnTo>
                <a:pt x="41" y="91"/>
              </a:lnTo>
              <a:lnTo>
                <a:pt x="38" y="91"/>
              </a:lnTo>
              <a:lnTo>
                <a:pt x="35" y="95"/>
              </a:lnTo>
              <a:lnTo>
                <a:pt x="32" y="93"/>
              </a:lnTo>
              <a:lnTo>
                <a:pt x="29" y="91"/>
              </a:lnTo>
              <a:lnTo>
                <a:pt x="26" y="93"/>
              </a:lnTo>
              <a:lnTo>
                <a:pt x="24" y="89"/>
              </a:lnTo>
              <a:lnTo>
                <a:pt x="24" y="85"/>
              </a:lnTo>
              <a:lnTo>
                <a:pt x="21" y="85"/>
              </a:lnTo>
              <a:lnTo>
                <a:pt x="18" y="87"/>
              </a:lnTo>
              <a:lnTo>
                <a:pt x="14" y="87"/>
              </a:lnTo>
              <a:lnTo>
                <a:pt x="12" y="85"/>
              </a:lnTo>
              <a:lnTo>
                <a:pt x="8" y="85"/>
              </a:lnTo>
              <a:lnTo>
                <a:pt x="6" y="89"/>
              </a:lnTo>
              <a:lnTo>
                <a:pt x="2" y="91"/>
              </a:lnTo>
              <a:lnTo>
                <a:pt x="0" y="93"/>
              </a:lnTo>
              <a:lnTo>
                <a:pt x="2" y="87"/>
              </a:lnTo>
              <a:lnTo>
                <a:pt x="1" y="83"/>
              </a:lnTo>
              <a:lnTo>
                <a:pt x="2" y="81"/>
              </a:lnTo>
              <a:lnTo>
                <a:pt x="6" y="79"/>
              </a:lnTo>
              <a:lnTo>
                <a:pt x="6" y="74"/>
              </a:lnTo>
              <a:lnTo>
                <a:pt x="8" y="71"/>
              </a:lnTo>
              <a:lnTo>
                <a:pt x="12" y="68"/>
              </a:lnTo>
              <a:lnTo>
                <a:pt x="14" y="66"/>
              </a:lnTo>
              <a:lnTo>
                <a:pt x="18" y="64"/>
              </a:lnTo>
              <a:lnTo>
                <a:pt x="21" y="64"/>
              </a:lnTo>
              <a:lnTo>
                <a:pt x="24" y="64"/>
              </a:lnTo>
              <a:lnTo>
                <a:pt x="28" y="66"/>
              </a:lnTo>
              <a:lnTo>
                <a:pt x="30" y="64"/>
              </a:lnTo>
              <a:lnTo>
                <a:pt x="33" y="64"/>
              </a:lnTo>
              <a:lnTo>
                <a:pt x="36" y="62"/>
              </a:lnTo>
              <a:lnTo>
                <a:pt x="40" y="64"/>
              </a:lnTo>
              <a:lnTo>
                <a:pt x="46" y="62"/>
              </a:lnTo>
              <a:lnTo>
                <a:pt x="50" y="62"/>
              </a:lnTo>
              <a:lnTo>
                <a:pt x="53" y="60"/>
              </a:lnTo>
              <a:lnTo>
                <a:pt x="55" y="56"/>
              </a:lnTo>
              <a:lnTo>
                <a:pt x="56" y="51"/>
              </a:lnTo>
              <a:lnTo>
                <a:pt x="53" y="49"/>
              </a:lnTo>
              <a:lnTo>
                <a:pt x="55" y="45"/>
              </a:lnTo>
              <a:lnTo>
                <a:pt x="58" y="41"/>
              </a:lnTo>
              <a:lnTo>
                <a:pt x="55" y="37"/>
              </a:lnTo>
              <a:lnTo>
                <a:pt x="53" y="32"/>
              </a:lnTo>
              <a:lnTo>
                <a:pt x="55" y="29"/>
              </a:lnTo>
              <a:lnTo>
                <a:pt x="58" y="24"/>
              </a:lnTo>
              <a:lnTo>
                <a:pt x="61" y="24"/>
              </a:lnTo>
              <a:lnTo>
                <a:pt x="64" y="20"/>
              </a:lnTo>
              <a:lnTo>
                <a:pt x="64" y="16"/>
              </a:lnTo>
              <a:lnTo>
                <a:pt x="64" y="12"/>
              </a:lnTo>
              <a:lnTo>
                <a:pt x="67" y="12"/>
              </a:lnTo>
              <a:lnTo>
                <a:pt x="67" y="8"/>
              </a:lnTo>
              <a:lnTo>
                <a:pt x="70" y="8"/>
              </a:lnTo>
              <a:lnTo>
                <a:pt x="73" y="10"/>
              </a:lnTo>
              <a:lnTo>
                <a:pt x="73" y="12"/>
              </a:lnTo>
              <a:lnTo>
                <a:pt x="75" y="16"/>
              </a:lnTo>
              <a:lnTo>
                <a:pt x="78" y="14"/>
              </a:lnTo>
              <a:lnTo>
                <a:pt x="79" y="14"/>
              </a:lnTo>
              <a:lnTo>
                <a:pt x="84" y="10"/>
              </a:lnTo>
              <a:lnTo>
                <a:pt x="87" y="8"/>
              </a:lnTo>
              <a:lnTo>
                <a:pt x="91" y="4"/>
              </a:lnTo>
              <a:lnTo>
                <a:pt x="94" y="2"/>
              </a:lnTo>
              <a:lnTo>
                <a:pt x="97" y="0"/>
              </a:lnTo>
              <a:lnTo>
                <a:pt x="101" y="0"/>
              </a:lnTo>
              <a:lnTo>
                <a:pt x="105" y="2"/>
              </a:lnTo>
              <a:lnTo>
                <a:pt x="105" y="6"/>
              </a:lnTo>
              <a:lnTo>
                <a:pt x="111" y="8"/>
              </a:lnTo>
              <a:lnTo>
                <a:pt x="114" y="8"/>
              </a:lnTo>
              <a:lnTo>
                <a:pt x="117" y="6"/>
              </a:lnTo>
              <a:lnTo>
                <a:pt x="120" y="6"/>
              </a:lnTo>
              <a:lnTo>
                <a:pt x="123" y="10"/>
              </a:lnTo>
              <a:lnTo>
                <a:pt x="128" y="14"/>
              </a:lnTo>
              <a:lnTo>
                <a:pt x="130" y="14"/>
              </a:lnTo>
              <a:lnTo>
                <a:pt x="134" y="16"/>
              </a:lnTo>
              <a:lnTo>
                <a:pt x="139" y="19"/>
              </a:lnTo>
              <a:lnTo>
                <a:pt x="140" y="22"/>
              </a:lnTo>
              <a:lnTo>
                <a:pt x="144" y="24"/>
              </a:lnTo>
              <a:lnTo>
                <a:pt x="148" y="27"/>
              </a:lnTo>
              <a:lnTo>
                <a:pt x="152" y="24"/>
              </a:lnTo>
              <a:lnTo>
                <a:pt x="154" y="29"/>
              </a:lnTo>
              <a:lnTo>
                <a:pt x="159" y="27"/>
              </a:lnTo>
              <a:lnTo>
                <a:pt x="162" y="29"/>
              </a:lnTo>
              <a:lnTo>
                <a:pt x="164" y="33"/>
              </a:lnTo>
              <a:lnTo>
                <a:pt x="160" y="37"/>
              </a:lnTo>
              <a:lnTo>
                <a:pt x="157" y="41"/>
              </a:lnTo>
              <a:lnTo>
                <a:pt x="154" y="41"/>
              </a:lnTo>
              <a:lnTo>
                <a:pt x="152" y="46"/>
              </a:lnTo>
              <a:lnTo>
                <a:pt x="152" y="50"/>
              </a:lnTo>
              <a:lnTo>
                <a:pt x="156" y="54"/>
              </a:lnTo>
              <a:lnTo>
                <a:pt x="157" y="58"/>
              </a:lnTo>
              <a:lnTo>
                <a:pt x="159" y="6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292170</xdr:colOff>
      <xdr:row>63</xdr:row>
      <xdr:rowOff>46350</xdr:rowOff>
    </xdr:from>
    <xdr:to>
      <xdr:col>3</xdr:col>
      <xdr:colOff>504660</xdr:colOff>
      <xdr:row>68</xdr:row>
      <xdr:rowOff>120704</xdr:rowOff>
    </xdr:to>
    <xdr:sp macro="" textlink="">
      <xdr:nvSpPr>
        <xdr:cNvPr id="115" name="Freeform 97">
          <a:extLst>
            <a:ext uri="{FF2B5EF4-FFF2-40B4-BE49-F238E27FC236}">
              <a16:creationId xmlns:a16="http://schemas.microsoft.com/office/drawing/2014/main" id="{BD0E174F-06A4-49C1-828C-7D8B273CD187}"/>
            </a:ext>
          </a:extLst>
        </xdr:cNvPr>
        <xdr:cNvSpPr>
          <a:spLocks noChangeAspect="1"/>
        </xdr:cNvSpPr>
      </xdr:nvSpPr>
      <xdr:spPr bwMode="gray">
        <a:xfrm>
          <a:off x="2052027" y="10460350"/>
          <a:ext cx="883776" cy="890783"/>
        </a:xfrm>
        <a:custGeom>
          <a:avLst/>
          <a:gdLst>
            <a:gd name="T0" fmla="*/ 403 w 104"/>
            <a:gd name="T1" fmla="*/ 80 h 112"/>
            <a:gd name="T2" fmla="*/ 437 w 104"/>
            <a:gd name="T3" fmla="*/ 114 h 112"/>
            <a:gd name="T4" fmla="*/ 471 w 104"/>
            <a:gd name="T5" fmla="*/ 125 h 112"/>
            <a:gd name="T6" fmla="*/ 505 w 104"/>
            <a:gd name="T7" fmla="*/ 165 h 112"/>
            <a:gd name="T8" fmla="*/ 545 w 104"/>
            <a:gd name="T9" fmla="*/ 165 h 112"/>
            <a:gd name="T10" fmla="*/ 579 w 104"/>
            <a:gd name="T11" fmla="*/ 170 h 112"/>
            <a:gd name="T12" fmla="*/ 579 w 104"/>
            <a:gd name="T13" fmla="*/ 221 h 112"/>
            <a:gd name="T14" fmla="*/ 579 w 104"/>
            <a:gd name="T15" fmla="*/ 267 h 112"/>
            <a:gd name="T16" fmla="*/ 562 w 104"/>
            <a:gd name="T17" fmla="*/ 290 h 112"/>
            <a:gd name="T18" fmla="*/ 522 w 104"/>
            <a:gd name="T19" fmla="*/ 329 h 112"/>
            <a:gd name="T20" fmla="*/ 505 w 104"/>
            <a:gd name="T21" fmla="*/ 375 h 112"/>
            <a:gd name="T22" fmla="*/ 488 w 104"/>
            <a:gd name="T23" fmla="*/ 409 h 112"/>
            <a:gd name="T24" fmla="*/ 471 w 104"/>
            <a:gd name="T25" fmla="*/ 449 h 112"/>
            <a:gd name="T26" fmla="*/ 437 w 104"/>
            <a:gd name="T27" fmla="*/ 471 h 112"/>
            <a:gd name="T28" fmla="*/ 408 w 104"/>
            <a:gd name="T29" fmla="*/ 494 h 112"/>
            <a:gd name="T30" fmla="*/ 374 w 104"/>
            <a:gd name="T31" fmla="*/ 517 h 112"/>
            <a:gd name="T32" fmla="*/ 369 w 104"/>
            <a:gd name="T33" fmla="*/ 568 h 112"/>
            <a:gd name="T34" fmla="*/ 340 w 104"/>
            <a:gd name="T35" fmla="*/ 591 h 112"/>
            <a:gd name="T36" fmla="*/ 318 w 104"/>
            <a:gd name="T37" fmla="*/ 625 h 112"/>
            <a:gd name="T38" fmla="*/ 306 w 104"/>
            <a:gd name="T39" fmla="*/ 613 h 112"/>
            <a:gd name="T40" fmla="*/ 272 w 104"/>
            <a:gd name="T41" fmla="*/ 613 h 112"/>
            <a:gd name="T42" fmla="*/ 238 w 104"/>
            <a:gd name="T43" fmla="*/ 602 h 112"/>
            <a:gd name="T44" fmla="*/ 227 w 104"/>
            <a:gd name="T45" fmla="*/ 551 h 112"/>
            <a:gd name="T46" fmla="*/ 210 w 104"/>
            <a:gd name="T47" fmla="*/ 505 h 112"/>
            <a:gd name="T48" fmla="*/ 187 w 104"/>
            <a:gd name="T49" fmla="*/ 460 h 112"/>
            <a:gd name="T50" fmla="*/ 153 w 104"/>
            <a:gd name="T51" fmla="*/ 449 h 112"/>
            <a:gd name="T52" fmla="*/ 119 w 104"/>
            <a:gd name="T53" fmla="*/ 471 h 112"/>
            <a:gd name="T54" fmla="*/ 85 w 104"/>
            <a:gd name="T55" fmla="*/ 460 h 112"/>
            <a:gd name="T56" fmla="*/ 51 w 104"/>
            <a:gd name="T57" fmla="*/ 460 h 112"/>
            <a:gd name="T58" fmla="*/ 23 w 104"/>
            <a:gd name="T59" fmla="*/ 437 h 112"/>
            <a:gd name="T60" fmla="*/ 17 w 104"/>
            <a:gd name="T61" fmla="*/ 386 h 112"/>
            <a:gd name="T62" fmla="*/ 23 w 104"/>
            <a:gd name="T63" fmla="*/ 341 h 112"/>
            <a:gd name="T64" fmla="*/ 17 w 104"/>
            <a:gd name="T65" fmla="*/ 290 h 112"/>
            <a:gd name="T66" fmla="*/ 0 w 104"/>
            <a:gd name="T67" fmla="*/ 244 h 112"/>
            <a:gd name="T68" fmla="*/ 6 w 104"/>
            <a:gd name="T69" fmla="*/ 199 h 112"/>
            <a:gd name="T70" fmla="*/ 34 w 104"/>
            <a:gd name="T71" fmla="*/ 153 h 112"/>
            <a:gd name="T72" fmla="*/ 34 w 104"/>
            <a:gd name="T73" fmla="*/ 102 h 112"/>
            <a:gd name="T74" fmla="*/ 34 w 104"/>
            <a:gd name="T75" fmla="*/ 57 h 112"/>
            <a:gd name="T76" fmla="*/ 68 w 104"/>
            <a:gd name="T77" fmla="*/ 45 h 112"/>
            <a:gd name="T78" fmla="*/ 102 w 104"/>
            <a:gd name="T79" fmla="*/ 6 h 112"/>
            <a:gd name="T80" fmla="*/ 142 w 104"/>
            <a:gd name="T81" fmla="*/ 0 h 112"/>
            <a:gd name="T82" fmla="*/ 182 w 104"/>
            <a:gd name="T83" fmla="*/ 0 h 112"/>
            <a:gd name="T84" fmla="*/ 227 w 104"/>
            <a:gd name="T85" fmla="*/ 23 h 112"/>
            <a:gd name="T86" fmla="*/ 272 w 104"/>
            <a:gd name="T87" fmla="*/ 23 h 112"/>
            <a:gd name="T88" fmla="*/ 306 w 104"/>
            <a:gd name="T89" fmla="*/ 23 h 112"/>
            <a:gd name="T90" fmla="*/ 346 w 104"/>
            <a:gd name="T91" fmla="*/ 6 h 112"/>
            <a:gd name="T92" fmla="*/ 369 w 104"/>
            <a:gd name="T93" fmla="*/ 23 h 112"/>
            <a:gd name="T94" fmla="*/ 369 w 104"/>
            <a:gd name="T95" fmla="*/ 68 h 112"/>
            <a:gd name="T96" fmla="*/ 403 w 104"/>
            <a:gd name="T97" fmla="*/ 68 h 112"/>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04" h="112">
              <a:moveTo>
                <a:pt x="71" y="12"/>
              </a:moveTo>
              <a:lnTo>
                <a:pt x="71" y="14"/>
              </a:lnTo>
              <a:lnTo>
                <a:pt x="74" y="18"/>
              </a:lnTo>
              <a:lnTo>
                <a:pt x="77" y="20"/>
              </a:lnTo>
              <a:lnTo>
                <a:pt x="80" y="22"/>
              </a:lnTo>
              <a:lnTo>
                <a:pt x="83" y="22"/>
              </a:lnTo>
              <a:lnTo>
                <a:pt x="86" y="24"/>
              </a:lnTo>
              <a:lnTo>
                <a:pt x="89" y="29"/>
              </a:lnTo>
              <a:lnTo>
                <a:pt x="92" y="29"/>
              </a:lnTo>
              <a:lnTo>
                <a:pt x="96" y="29"/>
              </a:lnTo>
              <a:lnTo>
                <a:pt x="99" y="29"/>
              </a:lnTo>
              <a:lnTo>
                <a:pt x="102" y="30"/>
              </a:lnTo>
              <a:lnTo>
                <a:pt x="104" y="35"/>
              </a:lnTo>
              <a:lnTo>
                <a:pt x="102" y="39"/>
              </a:lnTo>
              <a:lnTo>
                <a:pt x="104" y="43"/>
              </a:lnTo>
              <a:lnTo>
                <a:pt x="102" y="47"/>
              </a:lnTo>
              <a:lnTo>
                <a:pt x="102" y="50"/>
              </a:lnTo>
              <a:lnTo>
                <a:pt x="99" y="51"/>
              </a:lnTo>
              <a:lnTo>
                <a:pt x="95" y="54"/>
              </a:lnTo>
              <a:lnTo>
                <a:pt x="92" y="58"/>
              </a:lnTo>
              <a:lnTo>
                <a:pt x="91" y="63"/>
              </a:lnTo>
              <a:lnTo>
                <a:pt x="89" y="66"/>
              </a:lnTo>
              <a:lnTo>
                <a:pt x="86" y="68"/>
              </a:lnTo>
              <a:lnTo>
                <a:pt x="86" y="72"/>
              </a:lnTo>
              <a:lnTo>
                <a:pt x="86" y="77"/>
              </a:lnTo>
              <a:lnTo>
                <a:pt x="83" y="79"/>
              </a:lnTo>
              <a:lnTo>
                <a:pt x="79" y="81"/>
              </a:lnTo>
              <a:lnTo>
                <a:pt x="77" y="83"/>
              </a:lnTo>
              <a:lnTo>
                <a:pt x="74" y="87"/>
              </a:lnTo>
              <a:lnTo>
                <a:pt x="72" y="87"/>
              </a:lnTo>
              <a:lnTo>
                <a:pt x="69" y="89"/>
              </a:lnTo>
              <a:lnTo>
                <a:pt x="66" y="91"/>
              </a:lnTo>
              <a:lnTo>
                <a:pt x="65" y="95"/>
              </a:lnTo>
              <a:lnTo>
                <a:pt x="65" y="100"/>
              </a:lnTo>
              <a:lnTo>
                <a:pt x="61" y="100"/>
              </a:lnTo>
              <a:lnTo>
                <a:pt x="60" y="104"/>
              </a:lnTo>
              <a:lnTo>
                <a:pt x="60" y="108"/>
              </a:lnTo>
              <a:lnTo>
                <a:pt x="56" y="110"/>
              </a:lnTo>
              <a:lnTo>
                <a:pt x="54" y="112"/>
              </a:lnTo>
              <a:lnTo>
                <a:pt x="54" y="108"/>
              </a:lnTo>
              <a:lnTo>
                <a:pt x="51" y="106"/>
              </a:lnTo>
              <a:lnTo>
                <a:pt x="48" y="108"/>
              </a:lnTo>
              <a:lnTo>
                <a:pt x="44" y="108"/>
              </a:lnTo>
              <a:lnTo>
                <a:pt x="42" y="106"/>
              </a:lnTo>
              <a:lnTo>
                <a:pt x="40" y="102"/>
              </a:lnTo>
              <a:lnTo>
                <a:pt x="40" y="97"/>
              </a:lnTo>
              <a:lnTo>
                <a:pt x="40" y="93"/>
              </a:lnTo>
              <a:lnTo>
                <a:pt x="37" y="89"/>
              </a:lnTo>
              <a:lnTo>
                <a:pt x="35" y="85"/>
              </a:lnTo>
              <a:lnTo>
                <a:pt x="33" y="81"/>
              </a:lnTo>
              <a:lnTo>
                <a:pt x="31" y="81"/>
              </a:lnTo>
              <a:lnTo>
                <a:pt x="27" y="79"/>
              </a:lnTo>
              <a:lnTo>
                <a:pt x="25" y="81"/>
              </a:lnTo>
              <a:lnTo>
                <a:pt x="21" y="83"/>
              </a:lnTo>
              <a:lnTo>
                <a:pt x="18" y="81"/>
              </a:lnTo>
              <a:lnTo>
                <a:pt x="15" y="81"/>
              </a:lnTo>
              <a:lnTo>
                <a:pt x="12" y="79"/>
              </a:lnTo>
              <a:lnTo>
                <a:pt x="9" y="81"/>
              </a:lnTo>
              <a:lnTo>
                <a:pt x="6" y="81"/>
              </a:lnTo>
              <a:lnTo>
                <a:pt x="4" y="77"/>
              </a:lnTo>
              <a:lnTo>
                <a:pt x="3" y="72"/>
              </a:lnTo>
              <a:lnTo>
                <a:pt x="3" y="68"/>
              </a:lnTo>
              <a:lnTo>
                <a:pt x="3" y="64"/>
              </a:lnTo>
              <a:lnTo>
                <a:pt x="4" y="60"/>
              </a:lnTo>
              <a:lnTo>
                <a:pt x="3" y="56"/>
              </a:lnTo>
              <a:lnTo>
                <a:pt x="3" y="51"/>
              </a:lnTo>
              <a:lnTo>
                <a:pt x="0" y="47"/>
              </a:lnTo>
              <a:lnTo>
                <a:pt x="0" y="43"/>
              </a:lnTo>
              <a:lnTo>
                <a:pt x="0" y="39"/>
              </a:lnTo>
              <a:lnTo>
                <a:pt x="1" y="35"/>
              </a:lnTo>
              <a:lnTo>
                <a:pt x="4" y="31"/>
              </a:lnTo>
              <a:lnTo>
                <a:pt x="6" y="27"/>
              </a:lnTo>
              <a:lnTo>
                <a:pt x="6" y="22"/>
              </a:lnTo>
              <a:lnTo>
                <a:pt x="6" y="18"/>
              </a:lnTo>
              <a:lnTo>
                <a:pt x="4" y="10"/>
              </a:lnTo>
              <a:lnTo>
                <a:pt x="6" y="10"/>
              </a:lnTo>
              <a:lnTo>
                <a:pt x="9" y="10"/>
              </a:lnTo>
              <a:lnTo>
                <a:pt x="12" y="8"/>
              </a:lnTo>
              <a:lnTo>
                <a:pt x="15" y="6"/>
              </a:lnTo>
              <a:lnTo>
                <a:pt x="18" y="1"/>
              </a:lnTo>
              <a:lnTo>
                <a:pt x="21" y="0"/>
              </a:lnTo>
              <a:lnTo>
                <a:pt x="25" y="0"/>
              </a:lnTo>
              <a:lnTo>
                <a:pt x="29" y="0"/>
              </a:lnTo>
              <a:lnTo>
                <a:pt x="32" y="0"/>
              </a:lnTo>
              <a:lnTo>
                <a:pt x="35" y="1"/>
              </a:lnTo>
              <a:lnTo>
                <a:pt x="40" y="4"/>
              </a:lnTo>
              <a:lnTo>
                <a:pt x="43" y="4"/>
              </a:lnTo>
              <a:lnTo>
                <a:pt x="48" y="4"/>
              </a:lnTo>
              <a:lnTo>
                <a:pt x="51" y="4"/>
              </a:lnTo>
              <a:lnTo>
                <a:pt x="54" y="4"/>
              </a:lnTo>
              <a:lnTo>
                <a:pt x="58" y="1"/>
              </a:lnTo>
              <a:lnTo>
                <a:pt x="61" y="1"/>
              </a:lnTo>
              <a:lnTo>
                <a:pt x="65" y="0"/>
              </a:lnTo>
              <a:lnTo>
                <a:pt x="65" y="4"/>
              </a:lnTo>
              <a:lnTo>
                <a:pt x="65" y="8"/>
              </a:lnTo>
              <a:lnTo>
                <a:pt x="65" y="12"/>
              </a:lnTo>
              <a:lnTo>
                <a:pt x="68" y="12"/>
              </a:lnTo>
              <a:lnTo>
                <a:pt x="71" y="12"/>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241025</xdr:colOff>
      <xdr:row>65</xdr:row>
      <xdr:rowOff>30714</xdr:rowOff>
    </xdr:from>
    <xdr:to>
      <xdr:col>4</xdr:col>
      <xdr:colOff>116362</xdr:colOff>
      <xdr:row>69</xdr:row>
      <xdr:rowOff>84874</xdr:rowOff>
    </xdr:to>
    <xdr:sp macro="" textlink="">
      <xdr:nvSpPr>
        <xdr:cNvPr id="116" name="Freeform 98">
          <a:extLst>
            <a:ext uri="{FF2B5EF4-FFF2-40B4-BE49-F238E27FC236}">
              <a16:creationId xmlns:a16="http://schemas.microsoft.com/office/drawing/2014/main" id="{0BAD9416-2F6A-46BF-B0FC-EA8C1D1F431E}"/>
            </a:ext>
          </a:extLst>
        </xdr:cNvPr>
        <xdr:cNvSpPr>
          <a:spLocks noChangeAspect="1"/>
        </xdr:cNvSpPr>
      </xdr:nvSpPr>
      <xdr:spPr bwMode="gray">
        <a:xfrm>
          <a:off x="2672168" y="10771285"/>
          <a:ext cx="1045551" cy="707303"/>
        </a:xfrm>
        <a:custGeom>
          <a:avLst/>
          <a:gdLst>
            <a:gd name="T0" fmla="*/ 176 w 123"/>
            <a:gd name="T1" fmla="*/ 34 h 89"/>
            <a:gd name="T2" fmla="*/ 210 w 123"/>
            <a:gd name="T3" fmla="*/ 0 h 89"/>
            <a:gd name="T4" fmla="*/ 244 w 123"/>
            <a:gd name="T5" fmla="*/ 11 h 89"/>
            <a:gd name="T6" fmla="*/ 284 w 123"/>
            <a:gd name="T7" fmla="*/ 0 h 89"/>
            <a:gd name="T8" fmla="*/ 301 w 123"/>
            <a:gd name="T9" fmla="*/ 23 h 89"/>
            <a:gd name="T10" fmla="*/ 329 w 123"/>
            <a:gd name="T11" fmla="*/ 34 h 89"/>
            <a:gd name="T12" fmla="*/ 363 w 123"/>
            <a:gd name="T13" fmla="*/ 62 h 89"/>
            <a:gd name="T14" fmla="*/ 403 w 123"/>
            <a:gd name="T15" fmla="*/ 34 h 89"/>
            <a:gd name="T16" fmla="*/ 437 w 123"/>
            <a:gd name="T17" fmla="*/ 23 h 89"/>
            <a:gd name="T18" fmla="*/ 465 w 123"/>
            <a:gd name="T19" fmla="*/ 45 h 89"/>
            <a:gd name="T20" fmla="*/ 488 w 123"/>
            <a:gd name="T21" fmla="*/ 85 h 89"/>
            <a:gd name="T22" fmla="*/ 488 w 123"/>
            <a:gd name="T23" fmla="*/ 131 h 89"/>
            <a:gd name="T24" fmla="*/ 516 w 123"/>
            <a:gd name="T25" fmla="*/ 165 h 89"/>
            <a:gd name="T26" fmla="*/ 528 w 123"/>
            <a:gd name="T27" fmla="*/ 216 h 89"/>
            <a:gd name="T28" fmla="*/ 533 w 123"/>
            <a:gd name="T29" fmla="*/ 250 h 89"/>
            <a:gd name="T30" fmla="*/ 562 w 123"/>
            <a:gd name="T31" fmla="*/ 289 h 89"/>
            <a:gd name="T32" fmla="*/ 596 w 123"/>
            <a:gd name="T33" fmla="*/ 289 h 89"/>
            <a:gd name="T34" fmla="*/ 636 w 123"/>
            <a:gd name="T35" fmla="*/ 272 h 89"/>
            <a:gd name="T36" fmla="*/ 670 w 123"/>
            <a:gd name="T37" fmla="*/ 250 h 89"/>
            <a:gd name="T38" fmla="*/ 698 w 123"/>
            <a:gd name="T39" fmla="*/ 250 h 89"/>
            <a:gd name="T40" fmla="*/ 698 w 123"/>
            <a:gd name="T41" fmla="*/ 272 h 89"/>
            <a:gd name="T42" fmla="*/ 675 w 123"/>
            <a:gd name="T43" fmla="*/ 312 h 89"/>
            <a:gd name="T44" fmla="*/ 675 w 123"/>
            <a:gd name="T45" fmla="*/ 346 h 89"/>
            <a:gd name="T46" fmla="*/ 636 w 123"/>
            <a:gd name="T47" fmla="*/ 346 h 89"/>
            <a:gd name="T48" fmla="*/ 607 w 123"/>
            <a:gd name="T49" fmla="*/ 386 h 89"/>
            <a:gd name="T50" fmla="*/ 556 w 123"/>
            <a:gd name="T51" fmla="*/ 386 h 89"/>
            <a:gd name="T52" fmla="*/ 505 w 123"/>
            <a:gd name="T53" fmla="*/ 409 h 89"/>
            <a:gd name="T54" fmla="*/ 465 w 123"/>
            <a:gd name="T55" fmla="*/ 431 h 89"/>
            <a:gd name="T56" fmla="*/ 437 w 123"/>
            <a:gd name="T57" fmla="*/ 471 h 89"/>
            <a:gd name="T58" fmla="*/ 403 w 123"/>
            <a:gd name="T59" fmla="*/ 505 h 89"/>
            <a:gd name="T60" fmla="*/ 392 w 123"/>
            <a:gd name="T61" fmla="*/ 482 h 89"/>
            <a:gd name="T62" fmla="*/ 363 w 123"/>
            <a:gd name="T63" fmla="*/ 494 h 89"/>
            <a:gd name="T64" fmla="*/ 335 w 123"/>
            <a:gd name="T65" fmla="*/ 454 h 89"/>
            <a:gd name="T66" fmla="*/ 301 w 123"/>
            <a:gd name="T67" fmla="*/ 454 h 89"/>
            <a:gd name="T68" fmla="*/ 301 w 123"/>
            <a:gd name="T69" fmla="*/ 409 h 89"/>
            <a:gd name="T70" fmla="*/ 284 w 123"/>
            <a:gd name="T71" fmla="*/ 369 h 89"/>
            <a:gd name="T72" fmla="*/ 284 w 123"/>
            <a:gd name="T73" fmla="*/ 323 h 89"/>
            <a:gd name="T74" fmla="*/ 238 w 123"/>
            <a:gd name="T75" fmla="*/ 289 h 89"/>
            <a:gd name="T76" fmla="*/ 204 w 123"/>
            <a:gd name="T77" fmla="*/ 301 h 89"/>
            <a:gd name="T78" fmla="*/ 170 w 123"/>
            <a:gd name="T79" fmla="*/ 272 h 89"/>
            <a:gd name="T80" fmla="*/ 131 w 123"/>
            <a:gd name="T81" fmla="*/ 267 h 89"/>
            <a:gd name="T82" fmla="*/ 96 w 123"/>
            <a:gd name="T83" fmla="*/ 250 h 89"/>
            <a:gd name="T84" fmla="*/ 62 w 123"/>
            <a:gd name="T85" fmla="*/ 267 h 89"/>
            <a:gd name="T86" fmla="*/ 23 w 123"/>
            <a:gd name="T87" fmla="*/ 272 h 89"/>
            <a:gd name="T88" fmla="*/ 0 w 123"/>
            <a:gd name="T89" fmla="*/ 267 h 89"/>
            <a:gd name="T90" fmla="*/ 23 w 123"/>
            <a:gd name="T91" fmla="*/ 238 h 89"/>
            <a:gd name="T92" fmla="*/ 62 w 123"/>
            <a:gd name="T93" fmla="*/ 216 h 89"/>
            <a:gd name="T94" fmla="*/ 79 w 123"/>
            <a:gd name="T95" fmla="*/ 182 h 89"/>
            <a:gd name="T96" fmla="*/ 96 w 123"/>
            <a:gd name="T97" fmla="*/ 142 h 89"/>
            <a:gd name="T98" fmla="*/ 113 w 123"/>
            <a:gd name="T99" fmla="*/ 96 h 89"/>
            <a:gd name="T100" fmla="*/ 148 w 123"/>
            <a:gd name="T101" fmla="*/ 62 h 89"/>
            <a:gd name="T102" fmla="*/ 170 w 123"/>
            <a:gd name="T103" fmla="*/ 45 h 8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23" h="89">
              <a:moveTo>
                <a:pt x="28" y="8"/>
              </a:moveTo>
              <a:lnTo>
                <a:pt x="31" y="6"/>
              </a:lnTo>
              <a:lnTo>
                <a:pt x="34" y="4"/>
              </a:lnTo>
              <a:lnTo>
                <a:pt x="37" y="0"/>
              </a:lnTo>
              <a:lnTo>
                <a:pt x="41" y="0"/>
              </a:lnTo>
              <a:lnTo>
                <a:pt x="43" y="2"/>
              </a:lnTo>
              <a:lnTo>
                <a:pt x="47" y="2"/>
              </a:lnTo>
              <a:lnTo>
                <a:pt x="50" y="0"/>
              </a:lnTo>
              <a:lnTo>
                <a:pt x="53" y="0"/>
              </a:lnTo>
              <a:lnTo>
                <a:pt x="53" y="4"/>
              </a:lnTo>
              <a:lnTo>
                <a:pt x="55" y="8"/>
              </a:lnTo>
              <a:lnTo>
                <a:pt x="58" y="6"/>
              </a:lnTo>
              <a:lnTo>
                <a:pt x="61" y="8"/>
              </a:lnTo>
              <a:lnTo>
                <a:pt x="64" y="11"/>
              </a:lnTo>
              <a:lnTo>
                <a:pt x="68" y="6"/>
              </a:lnTo>
              <a:lnTo>
                <a:pt x="71" y="6"/>
              </a:lnTo>
              <a:lnTo>
                <a:pt x="74" y="6"/>
              </a:lnTo>
              <a:lnTo>
                <a:pt x="77" y="4"/>
              </a:lnTo>
              <a:lnTo>
                <a:pt x="80" y="4"/>
              </a:lnTo>
              <a:lnTo>
                <a:pt x="82" y="8"/>
              </a:lnTo>
              <a:lnTo>
                <a:pt x="83" y="12"/>
              </a:lnTo>
              <a:lnTo>
                <a:pt x="86" y="15"/>
              </a:lnTo>
              <a:lnTo>
                <a:pt x="86" y="19"/>
              </a:lnTo>
              <a:lnTo>
                <a:pt x="86" y="23"/>
              </a:lnTo>
              <a:lnTo>
                <a:pt x="88" y="27"/>
              </a:lnTo>
              <a:lnTo>
                <a:pt x="91" y="29"/>
              </a:lnTo>
              <a:lnTo>
                <a:pt x="91" y="34"/>
              </a:lnTo>
              <a:lnTo>
                <a:pt x="93" y="38"/>
              </a:lnTo>
              <a:lnTo>
                <a:pt x="91" y="42"/>
              </a:lnTo>
              <a:lnTo>
                <a:pt x="94" y="44"/>
              </a:lnTo>
              <a:lnTo>
                <a:pt x="96" y="48"/>
              </a:lnTo>
              <a:lnTo>
                <a:pt x="99" y="51"/>
              </a:lnTo>
              <a:lnTo>
                <a:pt x="102" y="48"/>
              </a:lnTo>
              <a:lnTo>
                <a:pt x="105" y="51"/>
              </a:lnTo>
              <a:lnTo>
                <a:pt x="109" y="51"/>
              </a:lnTo>
              <a:lnTo>
                <a:pt x="112" y="48"/>
              </a:lnTo>
              <a:lnTo>
                <a:pt x="115" y="47"/>
              </a:lnTo>
              <a:lnTo>
                <a:pt x="118" y="44"/>
              </a:lnTo>
              <a:lnTo>
                <a:pt x="121" y="44"/>
              </a:lnTo>
              <a:lnTo>
                <a:pt x="123" y="44"/>
              </a:lnTo>
              <a:lnTo>
                <a:pt x="123" y="48"/>
              </a:lnTo>
              <a:lnTo>
                <a:pt x="119" y="51"/>
              </a:lnTo>
              <a:lnTo>
                <a:pt x="119" y="55"/>
              </a:lnTo>
              <a:lnTo>
                <a:pt x="121" y="57"/>
              </a:lnTo>
              <a:lnTo>
                <a:pt x="119" y="61"/>
              </a:lnTo>
              <a:lnTo>
                <a:pt x="116" y="61"/>
              </a:lnTo>
              <a:lnTo>
                <a:pt x="112" y="61"/>
              </a:lnTo>
              <a:lnTo>
                <a:pt x="108" y="64"/>
              </a:lnTo>
              <a:lnTo>
                <a:pt x="107" y="68"/>
              </a:lnTo>
              <a:lnTo>
                <a:pt x="102" y="68"/>
              </a:lnTo>
              <a:lnTo>
                <a:pt x="98" y="68"/>
              </a:lnTo>
              <a:lnTo>
                <a:pt x="93" y="68"/>
              </a:lnTo>
              <a:lnTo>
                <a:pt x="89" y="72"/>
              </a:lnTo>
              <a:lnTo>
                <a:pt x="86" y="74"/>
              </a:lnTo>
              <a:lnTo>
                <a:pt x="82" y="76"/>
              </a:lnTo>
              <a:lnTo>
                <a:pt x="80" y="80"/>
              </a:lnTo>
              <a:lnTo>
                <a:pt x="77" y="83"/>
              </a:lnTo>
              <a:lnTo>
                <a:pt x="74" y="87"/>
              </a:lnTo>
              <a:lnTo>
                <a:pt x="71" y="89"/>
              </a:lnTo>
              <a:lnTo>
                <a:pt x="71" y="87"/>
              </a:lnTo>
              <a:lnTo>
                <a:pt x="69" y="85"/>
              </a:lnTo>
              <a:lnTo>
                <a:pt x="68" y="85"/>
              </a:lnTo>
              <a:lnTo>
                <a:pt x="64" y="87"/>
              </a:lnTo>
              <a:lnTo>
                <a:pt x="63" y="83"/>
              </a:lnTo>
              <a:lnTo>
                <a:pt x="59" y="80"/>
              </a:lnTo>
              <a:lnTo>
                <a:pt x="57" y="80"/>
              </a:lnTo>
              <a:lnTo>
                <a:pt x="53" y="80"/>
              </a:lnTo>
              <a:lnTo>
                <a:pt x="52" y="76"/>
              </a:lnTo>
              <a:lnTo>
                <a:pt x="53" y="72"/>
              </a:lnTo>
              <a:lnTo>
                <a:pt x="53" y="68"/>
              </a:lnTo>
              <a:lnTo>
                <a:pt x="50" y="65"/>
              </a:lnTo>
              <a:lnTo>
                <a:pt x="48" y="61"/>
              </a:lnTo>
              <a:lnTo>
                <a:pt x="50" y="57"/>
              </a:lnTo>
              <a:lnTo>
                <a:pt x="47" y="53"/>
              </a:lnTo>
              <a:lnTo>
                <a:pt x="42" y="51"/>
              </a:lnTo>
              <a:lnTo>
                <a:pt x="39" y="51"/>
              </a:lnTo>
              <a:lnTo>
                <a:pt x="36" y="53"/>
              </a:lnTo>
              <a:lnTo>
                <a:pt x="33" y="53"/>
              </a:lnTo>
              <a:lnTo>
                <a:pt x="30" y="48"/>
              </a:lnTo>
              <a:lnTo>
                <a:pt x="26" y="47"/>
              </a:lnTo>
              <a:lnTo>
                <a:pt x="23" y="47"/>
              </a:lnTo>
              <a:lnTo>
                <a:pt x="20" y="47"/>
              </a:lnTo>
              <a:lnTo>
                <a:pt x="17" y="44"/>
              </a:lnTo>
              <a:lnTo>
                <a:pt x="14" y="44"/>
              </a:lnTo>
              <a:lnTo>
                <a:pt x="11" y="47"/>
              </a:lnTo>
              <a:lnTo>
                <a:pt x="7" y="48"/>
              </a:lnTo>
              <a:lnTo>
                <a:pt x="4" y="48"/>
              </a:lnTo>
              <a:lnTo>
                <a:pt x="1" y="47"/>
              </a:lnTo>
              <a:lnTo>
                <a:pt x="0" y="47"/>
              </a:lnTo>
              <a:lnTo>
                <a:pt x="1" y="46"/>
              </a:lnTo>
              <a:lnTo>
                <a:pt x="4" y="42"/>
              </a:lnTo>
              <a:lnTo>
                <a:pt x="7" y="40"/>
              </a:lnTo>
              <a:lnTo>
                <a:pt x="11" y="38"/>
              </a:lnTo>
              <a:lnTo>
                <a:pt x="14" y="36"/>
              </a:lnTo>
              <a:lnTo>
                <a:pt x="14" y="32"/>
              </a:lnTo>
              <a:lnTo>
                <a:pt x="14" y="27"/>
              </a:lnTo>
              <a:lnTo>
                <a:pt x="17" y="25"/>
              </a:lnTo>
              <a:lnTo>
                <a:pt x="18" y="21"/>
              </a:lnTo>
              <a:lnTo>
                <a:pt x="20" y="17"/>
              </a:lnTo>
              <a:lnTo>
                <a:pt x="23" y="12"/>
              </a:lnTo>
              <a:lnTo>
                <a:pt x="26" y="11"/>
              </a:lnTo>
              <a:lnTo>
                <a:pt x="30" y="8"/>
              </a:lnTo>
              <a:lnTo>
                <a:pt x="28" y="8"/>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53784</xdr:colOff>
      <xdr:row>67</xdr:row>
      <xdr:rowOff>54290</xdr:rowOff>
    </xdr:from>
    <xdr:to>
      <xdr:col>3</xdr:col>
      <xdr:colOff>828211</xdr:colOff>
      <xdr:row>70</xdr:row>
      <xdr:rowOff>105065</xdr:rowOff>
    </xdr:to>
    <xdr:sp macro="" textlink="">
      <xdr:nvSpPr>
        <xdr:cNvPr id="117" name="Freeform 99">
          <a:extLst>
            <a:ext uri="{FF2B5EF4-FFF2-40B4-BE49-F238E27FC236}">
              <a16:creationId xmlns:a16="http://schemas.microsoft.com/office/drawing/2014/main" id="{298E1311-785F-448C-9865-60C9A715791E}"/>
            </a:ext>
          </a:extLst>
        </xdr:cNvPr>
        <xdr:cNvSpPr>
          <a:spLocks noChangeAspect="1"/>
        </xdr:cNvSpPr>
      </xdr:nvSpPr>
      <xdr:spPr bwMode="gray">
        <a:xfrm>
          <a:off x="2484927" y="11121433"/>
          <a:ext cx="774427" cy="540632"/>
        </a:xfrm>
        <a:custGeom>
          <a:avLst/>
          <a:gdLst>
            <a:gd name="T0" fmla="*/ 125 w 91"/>
            <a:gd name="T1" fmla="*/ 11 h 68"/>
            <a:gd name="T2" fmla="*/ 85 w 91"/>
            <a:gd name="T3" fmla="*/ 34 h 68"/>
            <a:gd name="T4" fmla="*/ 80 w 91"/>
            <a:gd name="T5" fmla="*/ 79 h 68"/>
            <a:gd name="T6" fmla="*/ 51 w 91"/>
            <a:gd name="T7" fmla="*/ 108 h 68"/>
            <a:gd name="T8" fmla="*/ 34 w 91"/>
            <a:gd name="T9" fmla="*/ 142 h 68"/>
            <a:gd name="T10" fmla="*/ 6 w 91"/>
            <a:gd name="T11" fmla="*/ 170 h 68"/>
            <a:gd name="T12" fmla="*/ 0 w 91"/>
            <a:gd name="T13" fmla="*/ 216 h 68"/>
            <a:gd name="T14" fmla="*/ 6 w 91"/>
            <a:gd name="T15" fmla="*/ 261 h 68"/>
            <a:gd name="T16" fmla="*/ 45 w 91"/>
            <a:gd name="T17" fmla="*/ 250 h 68"/>
            <a:gd name="T18" fmla="*/ 80 w 91"/>
            <a:gd name="T19" fmla="*/ 290 h 68"/>
            <a:gd name="T20" fmla="*/ 80 w 91"/>
            <a:gd name="T21" fmla="*/ 335 h 68"/>
            <a:gd name="T22" fmla="*/ 85 w 91"/>
            <a:gd name="T23" fmla="*/ 346 h 68"/>
            <a:gd name="T24" fmla="*/ 125 w 91"/>
            <a:gd name="T25" fmla="*/ 358 h 68"/>
            <a:gd name="T26" fmla="*/ 159 w 91"/>
            <a:gd name="T27" fmla="*/ 369 h 68"/>
            <a:gd name="T28" fmla="*/ 193 w 91"/>
            <a:gd name="T29" fmla="*/ 358 h 68"/>
            <a:gd name="T30" fmla="*/ 227 w 91"/>
            <a:gd name="T31" fmla="*/ 369 h 68"/>
            <a:gd name="T32" fmla="*/ 256 w 91"/>
            <a:gd name="T33" fmla="*/ 386 h 68"/>
            <a:gd name="T34" fmla="*/ 290 w 91"/>
            <a:gd name="T35" fmla="*/ 369 h 68"/>
            <a:gd name="T36" fmla="*/ 307 w 91"/>
            <a:gd name="T37" fmla="*/ 346 h 68"/>
            <a:gd name="T38" fmla="*/ 341 w 91"/>
            <a:gd name="T39" fmla="*/ 318 h 68"/>
            <a:gd name="T40" fmla="*/ 386 w 91"/>
            <a:gd name="T41" fmla="*/ 346 h 68"/>
            <a:gd name="T42" fmla="*/ 420 w 91"/>
            <a:gd name="T43" fmla="*/ 335 h 68"/>
            <a:gd name="T44" fmla="*/ 455 w 91"/>
            <a:gd name="T45" fmla="*/ 335 h 68"/>
            <a:gd name="T46" fmla="*/ 483 w 91"/>
            <a:gd name="T47" fmla="*/ 295 h 68"/>
            <a:gd name="T48" fmla="*/ 489 w 91"/>
            <a:gd name="T49" fmla="*/ 261 h 68"/>
            <a:gd name="T50" fmla="*/ 517 w 91"/>
            <a:gd name="T51" fmla="*/ 233 h 68"/>
            <a:gd name="T52" fmla="*/ 483 w 91"/>
            <a:gd name="T53" fmla="*/ 233 h 68"/>
            <a:gd name="T54" fmla="*/ 455 w 91"/>
            <a:gd name="T55" fmla="*/ 199 h 68"/>
            <a:gd name="T56" fmla="*/ 420 w 91"/>
            <a:gd name="T57" fmla="*/ 199 h 68"/>
            <a:gd name="T58" fmla="*/ 420 w 91"/>
            <a:gd name="T59" fmla="*/ 153 h 68"/>
            <a:gd name="T60" fmla="*/ 403 w 91"/>
            <a:gd name="T61" fmla="*/ 119 h 68"/>
            <a:gd name="T62" fmla="*/ 403 w 91"/>
            <a:gd name="T63" fmla="*/ 68 h 68"/>
            <a:gd name="T64" fmla="*/ 358 w 91"/>
            <a:gd name="T65" fmla="*/ 34 h 68"/>
            <a:gd name="T66" fmla="*/ 324 w 91"/>
            <a:gd name="T67" fmla="*/ 40 h 68"/>
            <a:gd name="T68" fmla="*/ 290 w 91"/>
            <a:gd name="T69" fmla="*/ 23 h 68"/>
            <a:gd name="T70" fmla="*/ 256 w 91"/>
            <a:gd name="T71" fmla="*/ 6 h 68"/>
            <a:gd name="T72" fmla="*/ 222 w 91"/>
            <a:gd name="T73" fmla="*/ 0 h 68"/>
            <a:gd name="T74" fmla="*/ 182 w 91"/>
            <a:gd name="T75" fmla="*/ 6 h 68"/>
            <a:gd name="T76" fmla="*/ 148 w 91"/>
            <a:gd name="T77" fmla="*/ 23 h 68"/>
            <a:gd name="T78" fmla="*/ 125 w 91"/>
            <a:gd name="T79" fmla="*/ 6 h 6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1" h="68">
              <a:moveTo>
                <a:pt x="23" y="2"/>
              </a:moveTo>
              <a:lnTo>
                <a:pt x="22" y="2"/>
              </a:lnTo>
              <a:lnTo>
                <a:pt x="18" y="4"/>
              </a:lnTo>
              <a:lnTo>
                <a:pt x="15" y="6"/>
              </a:lnTo>
              <a:lnTo>
                <a:pt x="14" y="10"/>
              </a:lnTo>
              <a:lnTo>
                <a:pt x="14" y="14"/>
              </a:lnTo>
              <a:lnTo>
                <a:pt x="10" y="14"/>
              </a:lnTo>
              <a:lnTo>
                <a:pt x="9" y="19"/>
              </a:lnTo>
              <a:lnTo>
                <a:pt x="9" y="23"/>
              </a:lnTo>
              <a:lnTo>
                <a:pt x="6" y="25"/>
              </a:lnTo>
              <a:lnTo>
                <a:pt x="3" y="27"/>
              </a:lnTo>
              <a:lnTo>
                <a:pt x="1" y="30"/>
              </a:lnTo>
              <a:lnTo>
                <a:pt x="0" y="34"/>
              </a:lnTo>
              <a:lnTo>
                <a:pt x="0" y="38"/>
              </a:lnTo>
              <a:lnTo>
                <a:pt x="0" y="42"/>
              </a:lnTo>
              <a:lnTo>
                <a:pt x="1" y="46"/>
              </a:lnTo>
              <a:lnTo>
                <a:pt x="5" y="46"/>
              </a:lnTo>
              <a:lnTo>
                <a:pt x="8" y="44"/>
              </a:lnTo>
              <a:lnTo>
                <a:pt x="10" y="48"/>
              </a:lnTo>
              <a:lnTo>
                <a:pt x="14" y="51"/>
              </a:lnTo>
              <a:lnTo>
                <a:pt x="14" y="54"/>
              </a:lnTo>
              <a:lnTo>
                <a:pt x="14" y="59"/>
              </a:lnTo>
              <a:lnTo>
                <a:pt x="13" y="61"/>
              </a:lnTo>
              <a:lnTo>
                <a:pt x="15" y="61"/>
              </a:lnTo>
              <a:lnTo>
                <a:pt x="18" y="61"/>
              </a:lnTo>
              <a:lnTo>
                <a:pt x="22" y="63"/>
              </a:lnTo>
              <a:lnTo>
                <a:pt x="24" y="65"/>
              </a:lnTo>
              <a:lnTo>
                <a:pt x="28" y="65"/>
              </a:lnTo>
              <a:lnTo>
                <a:pt x="30" y="63"/>
              </a:lnTo>
              <a:lnTo>
                <a:pt x="34" y="63"/>
              </a:lnTo>
              <a:lnTo>
                <a:pt x="37" y="63"/>
              </a:lnTo>
              <a:lnTo>
                <a:pt x="40" y="65"/>
              </a:lnTo>
              <a:lnTo>
                <a:pt x="42" y="65"/>
              </a:lnTo>
              <a:lnTo>
                <a:pt x="45" y="68"/>
              </a:lnTo>
              <a:lnTo>
                <a:pt x="47" y="68"/>
              </a:lnTo>
              <a:lnTo>
                <a:pt x="51" y="65"/>
              </a:lnTo>
              <a:lnTo>
                <a:pt x="51" y="61"/>
              </a:lnTo>
              <a:lnTo>
                <a:pt x="54" y="61"/>
              </a:lnTo>
              <a:lnTo>
                <a:pt x="57" y="59"/>
              </a:lnTo>
              <a:lnTo>
                <a:pt x="60" y="56"/>
              </a:lnTo>
              <a:lnTo>
                <a:pt x="63" y="59"/>
              </a:lnTo>
              <a:lnTo>
                <a:pt x="68" y="61"/>
              </a:lnTo>
              <a:lnTo>
                <a:pt x="73" y="61"/>
              </a:lnTo>
              <a:lnTo>
                <a:pt x="74" y="59"/>
              </a:lnTo>
              <a:lnTo>
                <a:pt x="77" y="56"/>
              </a:lnTo>
              <a:lnTo>
                <a:pt x="80" y="59"/>
              </a:lnTo>
              <a:lnTo>
                <a:pt x="83" y="56"/>
              </a:lnTo>
              <a:lnTo>
                <a:pt x="85" y="52"/>
              </a:lnTo>
              <a:lnTo>
                <a:pt x="83" y="48"/>
              </a:lnTo>
              <a:lnTo>
                <a:pt x="86" y="46"/>
              </a:lnTo>
              <a:lnTo>
                <a:pt x="89" y="46"/>
              </a:lnTo>
              <a:lnTo>
                <a:pt x="91" y="41"/>
              </a:lnTo>
              <a:lnTo>
                <a:pt x="88" y="40"/>
              </a:lnTo>
              <a:lnTo>
                <a:pt x="85" y="41"/>
              </a:lnTo>
              <a:lnTo>
                <a:pt x="83" y="38"/>
              </a:lnTo>
              <a:lnTo>
                <a:pt x="80" y="35"/>
              </a:lnTo>
              <a:lnTo>
                <a:pt x="77" y="35"/>
              </a:lnTo>
              <a:lnTo>
                <a:pt x="74" y="35"/>
              </a:lnTo>
              <a:lnTo>
                <a:pt x="73" y="31"/>
              </a:lnTo>
              <a:lnTo>
                <a:pt x="74" y="27"/>
              </a:lnTo>
              <a:lnTo>
                <a:pt x="74" y="23"/>
              </a:lnTo>
              <a:lnTo>
                <a:pt x="71" y="21"/>
              </a:lnTo>
              <a:lnTo>
                <a:pt x="69" y="16"/>
              </a:lnTo>
              <a:lnTo>
                <a:pt x="71" y="12"/>
              </a:lnTo>
              <a:lnTo>
                <a:pt x="68" y="7"/>
              </a:lnTo>
              <a:lnTo>
                <a:pt x="63" y="6"/>
              </a:lnTo>
              <a:lnTo>
                <a:pt x="60" y="6"/>
              </a:lnTo>
              <a:lnTo>
                <a:pt x="57" y="7"/>
              </a:lnTo>
              <a:lnTo>
                <a:pt x="54" y="7"/>
              </a:lnTo>
              <a:lnTo>
                <a:pt x="51" y="4"/>
              </a:lnTo>
              <a:lnTo>
                <a:pt x="47" y="1"/>
              </a:lnTo>
              <a:lnTo>
                <a:pt x="45" y="1"/>
              </a:lnTo>
              <a:lnTo>
                <a:pt x="42" y="1"/>
              </a:lnTo>
              <a:lnTo>
                <a:pt x="39" y="0"/>
              </a:lnTo>
              <a:lnTo>
                <a:pt x="36" y="0"/>
              </a:lnTo>
              <a:lnTo>
                <a:pt x="32" y="1"/>
              </a:lnTo>
              <a:lnTo>
                <a:pt x="29" y="4"/>
              </a:lnTo>
              <a:lnTo>
                <a:pt x="26" y="4"/>
              </a:lnTo>
              <a:lnTo>
                <a:pt x="23" y="1"/>
              </a:lnTo>
              <a:lnTo>
                <a:pt x="22" y="1"/>
              </a:lnTo>
              <a:lnTo>
                <a:pt x="23" y="2"/>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164632</xdr:colOff>
      <xdr:row>70</xdr:row>
      <xdr:rowOff>16828</xdr:rowOff>
    </xdr:from>
    <xdr:to>
      <xdr:col>3</xdr:col>
      <xdr:colOff>768295</xdr:colOff>
      <xdr:row>72</xdr:row>
      <xdr:rowOff>103434</xdr:rowOff>
    </xdr:to>
    <xdr:sp macro="" textlink="">
      <xdr:nvSpPr>
        <xdr:cNvPr id="118" name="Freeform 100">
          <a:extLst>
            <a:ext uri="{FF2B5EF4-FFF2-40B4-BE49-F238E27FC236}">
              <a16:creationId xmlns:a16="http://schemas.microsoft.com/office/drawing/2014/main" id="{0B8387CC-F547-48CC-A487-367B51410E9E}"/>
            </a:ext>
          </a:extLst>
        </xdr:cNvPr>
        <xdr:cNvSpPr>
          <a:spLocks noChangeAspect="1"/>
        </xdr:cNvSpPr>
      </xdr:nvSpPr>
      <xdr:spPr bwMode="gray">
        <a:xfrm>
          <a:off x="2595775" y="11573828"/>
          <a:ext cx="603663" cy="413177"/>
        </a:xfrm>
        <a:custGeom>
          <a:avLst/>
          <a:gdLst>
            <a:gd name="T0" fmla="*/ 6 w 71"/>
            <a:gd name="T1" fmla="*/ 23 h 52"/>
            <a:gd name="T2" fmla="*/ 23 w 71"/>
            <a:gd name="T3" fmla="*/ 23 h 52"/>
            <a:gd name="T4" fmla="*/ 40 w 71"/>
            <a:gd name="T5" fmla="*/ 23 h 52"/>
            <a:gd name="T6" fmla="*/ 57 w 71"/>
            <a:gd name="T7" fmla="*/ 34 h 52"/>
            <a:gd name="T8" fmla="*/ 74 w 71"/>
            <a:gd name="T9" fmla="*/ 45 h 52"/>
            <a:gd name="T10" fmla="*/ 91 w 71"/>
            <a:gd name="T11" fmla="*/ 45 h 52"/>
            <a:gd name="T12" fmla="*/ 108 w 71"/>
            <a:gd name="T13" fmla="*/ 34 h 52"/>
            <a:gd name="T14" fmla="*/ 125 w 71"/>
            <a:gd name="T15" fmla="*/ 34 h 52"/>
            <a:gd name="T16" fmla="*/ 142 w 71"/>
            <a:gd name="T17" fmla="*/ 34 h 52"/>
            <a:gd name="T18" fmla="*/ 159 w 71"/>
            <a:gd name="T19" fmla="*/ 45 h 52"/>
            <a:gd name="T20" fmla="*/ 170 w 71"/>
            <a:gd name="T21" fmla="*/ 45 h 52"/>
            <a:gd name="T22" fmla="*/ 187 w 71"/>
            <a:gd name="T23" fmla="*/ 57 h 52"/>
            <a:gd name="T24" fmla="*/ 199 w 71"/>
            <a:gd name="T25" fmla="*/ 57 h 52"/>
            <a:gd name="T26" fmla="*/ 221 w 71"/>
            <a:gd name="T27" fmla="*/ 45 h 52"/>
            <a:gd name="T28" fmla="*/ 221 w 71"/>
            <a:gd name="T29" fmla="*/ 23 h 52"/>
            <a:gd name="T30" fmla="*/ 233 w 71"/>
            <a:gd name="T31" fmla="*/ 23 h 52"/>
            <a:gd name="T32" fmla="*/ 250 w 71"/>
            <a:gd name="T33" fmla="*/ 11 h 52"/>
            <a:gd name="T34" fmla="*/ 272 w 71"/>
            <a:gd name="T35" fmla="*/ 0 h 52"/>
            <a:gd name="T36" fmla="*/ 289 w 71"/>
            <a:gd name="T37" fmla="*/ 11 h 52"/>
            <a:gd name="T38" fmla="*/ 312 w 71"/>
            <a:gd name="T39" fmla="*/ 23 h 52"/>
            <a:gd name="T40" fmla="*/ 341 w 71"/>
            <a:gd name="T41" fmla="*/ 23 h 52"/>
            <a:gd name="T42" fmla="*/ 346 w 71"/>
            <a:gd name="T43" fmla="*/ 11 h 52"/>
            <a:gd name="T44" fmla="*/ 363 w 71"/>
            <a:gd name="T45" fmla="*/ 0 h 52"/>
            <a:gd name="T46" fmla="*/ 380 w 71"/>
            <a:gd name="T47" fmla="*/ 11 h 52"/>
            <a:gd name="T48" fmla="*/ 392 w 71"/>
            <a:gd name="T49" fmla="*/ 34 h 52"/>
            <a:gd name="T50" fmla="*/ 403 w 71"/>
            <a:gd name="T51" fmla="*/ 57 h 52"/>
            <a:gd name="T52" fmla="*/ 392 w 71"/>
            <a:gd name="T53" fmla="*/ 79 h 52"/>
            <a:gd name="T54" fmla="*/ 403 w 71"/>
            <a:gd name="T55" fmla="*/ 108 h 52"/>
            <a:gd name="T56" fmla="*/ 403 w 71"/>
            <a:gd name="T57" fmla="*/ 130 h 52"/>
            <a:gd name="T58" fmla="*/ 392 w 71"/>
            <a:gd name="T59" fmla="*/ 153 h 52"/>
            <a:gd name="T60" fmla="*/ 380 w 71"/>
            <a:gd name="T61" fmla="*/ 176 h 52"/>
            <a:gd name="T62" fmla="*/ 380 w 71"/>
            <a:gd name="T63" fmla="*/ 199 h 52"/>
            <a:gd name="T64" fmla="*/ 369 w 71"/>
            <a:gd name="T65" fmla="*/ 238 h 52"/>
            <a:gd name="T66" fmla="*/ 346 w 71"/>
            <a:gd name="T67" fmla="*/ 244 h 52"/>
            <a:gd name="T68" fmla="*/ 324 w 71"/>
            <a:gd name="T69" fmla="*/ 272 h 52"/>
            <a:gd name="T70" fmla="*/ 324 w 71"/>
            <a:gd name="T71" fmla="*/ 278 h 52"/>
            <a:gd name="T72" fmla="*/ 295 w 71"/>
            <a:gd name="T73" fmla="*/ 295 h 52"/>
            <a:gd name="T74" fmla="*/ 278 w 71"/>
            <a:gd name="T75" fmla="*/ 295 h 52"/>
            <a:gd name="T76" fmla="*/ 261 w 71"/>
            <a:gd name="T77" fmla="*/ 284 h 52"/>
            <a:gd name="T78" fmla="*/ 278 w 71"/>
            <a:gd name="T79" fmla="*/ 272 h 52"/>
            <a:gd name="T80" fmla="*/ 295 w 71"/>
            <a:gd name="T81" fmla="*/ 244 h 52"/>
            <a:gd name="T82" fmla="*/ 307 w 71"/>
            <a:gd name="T83" fmla="*/ 221 h 52"/>
            <a:gd name="T84" fmla="*/ 289 w 71"/>
            <a:gd name="T85" fmla="*/ 210 h 52"/>
            <a:gd name="T86" fmla="*/ 272 w 71"/>
            <a:gd name="T87" fmla="*/ 221 h 52"/>
            <a:gd name="T88" fmla="*/ 255 w 71"/>
            <a:gd name="T89" fmla="*/ 210 h 52"/>
            <a:gd name="T90" fmla="*/ 233 w 71"/>
            <a:gd name="T91" fmla="*/ 187 h 52"/>
            <a:gd name="T92" fmla="*/ 221 w 71"/>
            <a:gd name="T93" fmla="*/ 176 h 52"/>
            <a:gd name="T94" fmla="*/ 199 w 71"/>
            <a:gd name="T95" fmla="*/ 165 h 52"/>
            <a:gd name="T96" fmla="*/ 187 w 71"/>
            <a:gd name="T97" fmla="*/ 153 h 52"/>
            <a:gd name="T98" fmla="*/ 159 w 71"/>
            <a:gd name="T99" fmla="*/ 142 h 52"/>
            <a:gd name="T100" fmla="*/ 142 w 71"/>
            <a:gd name="T101" fmla="*/ 142 h 52"/>
            <a:gd name="T102" fmla="*/ 125 w 71"/>
            <a:gd name="T103" fmla="*/ 130 h 52"/>
            <a:gd name="T104" fmla="*/ 108 w 71"/>
            <a:gd name="T105" fmla="*/ 119 h 52"/>
            <a:gd name="T106" fmla="*/ 91 w 71"/>
            <a:gd name="T107" fmla="*/ 108 h 52"/>
            <a:gd name="T108" fmla="*/ 62 w 71"/>
            <a:gd name="T109" fmla="*/ 108 h 52"/>
            <a:gd name="T110" fmla="*/ 51 w 71"/>
            <a:gd name="T111" fmla="*/ 108 h 52"/>
            <a:gd name="T112" fmla="*/ 34 w 71"/>
            <a:gd name="T113" fmla="*/ 108 h 52"/>
            <a:gd name="T114" fmla="*/ 11 w 71"/>
            <a:gd name="T115" fmla="*/ 96 h 52"/>
            <a:gd name="T116" fmla="*/ 0 w 71"/>
            <a:gd name="T117" fmla="*/ 79 h 52"/>
            <a:gd name="T118" fmla="*/ 6 w 71"/>
            <a:gd name="T119" fmla="*/ 57 h 52"/>
            <a:gd name="T120" fmla="*/ 6 w 71"/>
            <a:gd name="T121" fmla="*/ 34 h 52"/>
            <a:gd name="T122" fmla="*/ 11 w 71"/>
            <a:gd name="T123" fmla="*/ 23 h 52"/>
            <a:gd name="T124" fmla="*/ 6 w 71"/>
            <a:gd name="T125" fmla="*/ 23 h 52"/>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71" h="52">
              <a:moveTo>
                <a:pt x="1" y="4"/>
              </a:moveTo>
              <a:lnTo>
                <a:pt x="4" y="4"/>
              </a:lnTo>
              <a:lnTo>
                <a:pt x="7" y="4"/>
              </a:lnTo>
              <a:lnTo>
                <a:pt x="10" y="6"/>
              </a:lnTo>
              <a:lnTo>
                <a:pt x="13" y="8"/>
              </a:lnTo>
              <a:lnTo>
                <a:pt x="16" y="8"/>
              </a:lnTo>
              <a:lnTo>
                <a:pt x="19" y="6"/>
              </a:lnTo>
              <a:lnTo>
                <a:pt x="22" y="6"/>
              </a:lnTo>
              <a:lnTo>
                <a:pt x="25" y="6"/>
              </a:lnTo>
              <a:lnTo>
                <a:pt x="28" y="8"/>
              </a:lnTo>
              <a:lnTo>
                <a:pt x="30" y="8"/>
              </a:lnTo>
              <a:lnTo>
                <a:pt x="33" y="10"/>
              </a:lnTo>
              <a:lnTo>
                <a:pt x="35" y="10"/>
              </a:lnTo>
              <a:lnTo>
                <a:pt x="39" y="8"/>
              </a:lnTo>
              <a:lnTo>
                <a:pt x="39" y="4"/>
              </a:lnTo>
              <a:lnTo>
                <a:pt x="41" y="4"/>
              </a:lnTo>
              <a:lnTo>
                <a:pt x="44" y="2"/>
              </a:lnTo>
              <a:lnTo>
                <a:pt x="48" y="0"/>
              </a:lnTo>
              <a:lnTo>
                <a:pt x="51" y="2"/>
              </a:lnTo>
              <a:lnTo>
                <a:pt x="55" y="4"/>
              </a:lnTo>
              <a:lnTo>
                <a:pt x="60" y="4"/>
              </a:lnTo>
              <a:lnTo>
                <a:pt x="61" y="2"/>
              </a:lnTo>
              <a:lnTo>
                <a:pt x="64" y="0"/>
              </a:lnTo>
              <a:lnTo>
                <a:pt x="67" y="2"/>
              </a:lnTo>
              <a:lnTo>
                <a:pt x="69" y="6"/>
              </a:lnTo>
              <a:lnTo>
                <a:pt x="71" y="10"/>
              </a:lnTo>
              <a:lnTo>
                <a:pt x="69" y="14"/>
              </a:lnTo>
              <a:lnTo>
                <a:pt x="71" y="19"/>
              </a:lnTo>
              <a:lnTo>
                <a:pt x="71" y="23"/>
              </a:lnTo>
              <a:lnTo>
                <a:pt x="69" y="27"/>
              </a:lnTo>
              <a:lnTo>
                <a:pt x="67" y="31"/>
              </a:lnTo>
              <a:lnTo>
                <a:pt x="67" y="35"/>
              </a:lnTo>
              <a:lnTo>
                <a:pt x="65" y="42"/>
              </a:lnTo>
              <a:lnTo>
                <a:pt x="61" y="43"/>
              </a:lnTo>
              <a:lnTo>
                <a:pt x="57" y="48"/>
              </a:lnTo>
              <a:lnTo>
                <a:pt x="57" y="49"/>
              </a:lnTo>
              <a:lnTo>
                <a:pt x="52" y="52"/>
              </a:lnTo>
              <a:lnTo>
                <a:pt x="49" y="52"/>
              </a:lnTo>
              <a:lnTo>
                <a:pt x="46" y="50"/>
              </a:lnTo>
              <a:lnTo>
                <a:pt x="49" y="48"/>
              </a:lnTo>
              <a:lnTo>
                <a:pt x="52" y="43"/>
              </a:lnTo>
              <a:lnTo>
                <a:pt x="54" y="39"/>
              </a:lnTo>
              <a:lnTo>
                <a:pt x="51" y="37"/>
              </a:lnTo>
              <a:lnTo>
                <a:pt x="48" y="39"/>
              </a:lnTo>
              <a:lnTo>
                <a:pt x="45" y="37"/>
              </a:lnTo>
              <a:lnTo>
                <a:pt x="41" y="33"/>
              </a:lnTo>
              <a:lnTo>
                <a:pt x="39" y="31"/>
              </a:lnTo>
              <a:lnTo>
                <a:pt x="35" y="29"/>
              </a:lnTo>
              <a:lnTo>
                <a:pt x="33" y="27"/>
              </a:lnTo>
              <a:lnTo>
                <a:pt x="28" y="25"/>
              </a:lnTo>
              <a:lnTo>
                <a:pt x="25" y="25"/>
              </a:lnTo>
              <a:lnTo>
                <a:pt x="22" y="23"/>
              </a:lnTo>
              <a:lnTo>
                <a:pt x="19" y="21"/>
              </a:lnTo>
              <a:lnTo>
                <a:pt x="16" y="19"/>
              </a:lnTo>
              <a:lnTo>
                <a:pt x="11" y="19"/>
              </a:lnTo>
              <a:lnTo>
                <a:pt x="9" y="19"/>
              </a:lnTo>
              <a:lnTo>
                <a:pt x="6" y="19"/>
              </a:lnTo>
              <a:lnTo>
                <a:pt x="2" y="17"/>
              </a:lnTo>
              <a:lnTo>
                <a:pt x="0" y="14"/>
              </a:lnTo>
              <a:lnTo>
                <a:pt x="1" y="10"/>
              </a:lnTo>
              <a:lnTo>
                <a:pt x="1" y="6"/>
              </a:lnTo>
              <a:lnTo>
                <a:pt x="2" y="4"/>
              </a:lnTo>
              <a:lnTo>
                <a:pt x="1" y="4"/>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583714</xdr:colOff>
      <xdr:row>55</xdr:row>
      <xdr:rowOff>136916</xdr:rowOff>
    </xdr:from>
    <xdr:to>
      <xdr:col>6</xdr:col>
      <xdr:colOff>238856</xdr:colOff>
      <xdr:row>57</xdr:row>
      <xdr:rowOff>104471</xdr:rowOff>
    </xdr:to>
    <xdr:sp macro="" textlink="">
      <xdr:nvSpPr>
        <xdr:cNvPr id="119" name="Freeform 102">
          <a:extLst>
            <a:ext uri="{FF2B5EF4-FFF2-40B4-BE49-F238E27FC236}">
              <a16:creationId xmlns:a16="http://schemas.microsoft.com/office/drawing/2014/main" id="{74F223C1-5C9F-4FFA-A7F3-62A0ABE42F1B}"/>
            </a:ext>
          </a:extLst>
        </xdr:cNvPr>
        <xdr:cNvSpPr>
          <a:spLocks noChangeAspect="1"/>
        </xdr:cNvSpPr>
      </xdr:nvSpPr>
      <xdr:spPr bwMode="gray">
        <a:xfrm>
          <a:off x="4185071" y="9244630"/>
          <a:ext cx="825356" cy="294127"/>
        </a:xfrm>
        <a:custGeom>
          <a:avLst/>
          <a:gdLst>
            <a:gd name="T0" fmla="*/ 528 w 97"/>
            <a:gd name="T1" fmla="*/ 148 h 37"/>
            <a:gd name="T2" fmla="*/ 540 w 97"/>
            <a:gd name="T3" fmla="*/ 96 h 37"/>
            <a:gd name="T4" fmla="*/ 551 w 97"/>
            <a:gd name="T5" fmla="*/ 51 h 37"/>
            <a:gd name="T6" fmla="*/ 528 w 97"/>
            <a:gd name="T7" fmla="*/ 28 h 37"/>
            <a:gd name="T8" fmla="*/ 494 w 97"/>
            <a:gd name="T9" fmla="*/ 40 h 37"/>
            <a:gd name="T10" fmla="*/ 466 w 97"/>
            <a:gd name="T11" fmla="*/ 74 h 37"/>
            <a:gd name="T12" fmla="*/ 437 w 97"/>
            <a:gd name="T13" fmla="*/ 74 h 37"/>
            <a:gd name="T14" fmla="*/ 398 w 97"/>
            <a:gd name="T15" fmla="*/ 85 h 37"/>
            <a:gd name="T16" fmla="*/ 364 w 97"/>
            <a:gd name="T17" fmla="*/ 108 h 37"/>
            <a:gd name="T18" fmla="*/ 335 w 97"/>
            <a:gd name="T19" fmla="*/ 62 h 37"/>
            <a:gd name="T20" fmla="*/ 364 w 97"/>
            <a:gd name="T21" fmla="*/ 28 h 37"/>
            <a:gd name="T22" fmla="*/ 335 w 97"/>
            <a:gd name="T23" fmla="*/ 6 h 37"/>
            <a:gd name="T24" fmla="*/ 301 w 97"/>
            <a:gd name="T25" fmla="*/ 28 h 37"/>
            <a:gd name="T26" fmla="*/ 267 w 97"/>
            <a:gd name="T27" fmla="*/ 62 h 37"/>
            <a:gd name="T28" fmla="*/ 233 w 97"/>
            <a:gd name="T29" fmla="*/ 28 h 37"/>
            <a:gd name="T30" fmla="*/ 210 w 97"/>
            <a:gd name="T31" fmla="*/ 23 h 37"/>
            <a:gd name="T32" fmla="*/ 187 w 97"/>
            <a:gd name="T33" fmla="*/ 57 h 37"/>
            <a:gd name="T34" fmla="*/ 153 w 97"/>
            <a:gd name="T35" fmla="*/ 17 h 37"/>
            <a:gd name="T36" fmla="*/ 119 w 97"/>
            <a:gd name="T37" fmla="*/ 6 h 37"/>
            <a:gd name="T38" fmla="*/ 85 w 97"/>
            <a:gd name="T39" fmla="*/ 17 h 37"/>
            <a:gd name="T40" fmla="*/ 57 w 97"/>
            <a:gd name="T41" fmla="*/ 28 h 37"/>
            <a:gd name="T42" fmla="*/ 57 w 97"/>
            <a:gd name="T43" fmla="*/ 74 h 37"/>
            <a:gd name="T44" fmla="*/ 23 w 97"/>
            <a:gd name="T45" fmla="*/ 96 h 37"/>
            <a:gd name="T46" fmla="*/ 0 w 97"/>
            <a:gd name="T47" fmla="*/ 119 h 37"/>
            <a:gd name="T48" fmla="*/ 23 w 97"/>
            <a:gd name="T49" fmla="*/ 148 h 37"/>
            <a:gd name="T50" fmla="*/ 40 w 97"/>
            <a:gd name="T51" fmla="*/ 182 h 37"/>
            <a:gd name="T52" fmla="*/ 74 w 97"/>
            <a:gd name="T53" fmla="*/ 210 h 37"/>
            <a:gd name="T54" fmla="*/ 108 w 97"/>
            <a:gd name="T55" fmla="*/ 165 h 37"/>
            <a:gd name="T56" fmla="*/ 148 w 97"/>
            <a:gd name="T57" fmla="*/ 136 h 37"/>
            <a:gd name="T58" fmla="*/ 187 w 97"/>
            <a:gd name="T59" fmla="*/ 136 h 37"/>
            <a:gd name="T60" fmla="*/ 222 w 97"/>
            <a:gd name="T61" fmla="*/ 148 h 37"/>
            <a:gd name="T62" fmla="*/ 250 w 97"/>
            <a:gd name="T63" fmla="*/ 182 h 37"/>
            <a:gd name="T64" fmla="*/ 278 w 97"/>
            <a:gd name="T65" fmla="*/ 165 h 37"/>
            <a:gd name="T66" fmla="*/ 312 w 97"/>
            <a:gd name="T67" fmla="*/ 165 h 37"/>
            <a:gd name="T68" fmla="*/ 347 w 97"/>
            <a:gd name="T69" fmla="*/ 210 h 37"/>
            <a:gd name="T70" fmla="*/ 381 w 97"/>
            <a:gd name="T71" fmla="*/ 210 h 37"/>
            <a:gd name="T72" fmla="*/ 415 w 97"/>
            <a:gd name="T73" fmla="*/ 193 h 37"/>
            <a:gd name="T74" fmla="*/ 449 w 97"/>
            <a:gd name="T75" fmla="*/ 159 h 37"/>
            <a:gd name="T76" fmla="*/ 489 w 97"/>
            <a:gd name="T77" fmla="*/ 159 h 37"/>
            <a:gd name="T78" fmla="*/ 523 w 97"/>
            <a:gd name="T79" fmla="*/ 165 h 3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7" h="37">
              <a:moveTo>
                <a:pt x="92" y="30"/>
              </a:moveTo>
              <a:lnTo>
                <a:pt x="93" y="26"/>
              </a:lnTo>
              <a:lnTo>
                <a:pt x="93" y="21"/>
              </a:lnTo>
              <a:lnTo>
                <a:pt x="95" y="17"/>
              </a:lnTo>
              <a:lnTo>
                <a:pt x="95" y="14"/>
              </a:lnTo>
              <a:lnTo>
                <a:pt x="97" y="9"/>
              </a:lnTo>
              <a:lnTo>
                <a:pt x="97" y="5"/>
              </a:lnTo>
              <a:lnTo>
                <a:pt x="93" y="5"/>
              </a:lnTo>
              <a:lnTo>
                <a:pt x="91" y="5"/>
              </a:lnTo>
              <a:lnTo>
                <a:pt x="87" y="7"/>
              </a:lnTo>
              <a:lnTo>
                <a:pt x="86" y="11"/>
              </a:lnTo>
              <a:lnTo>
                <a:pt x="82" y="13"/>
              </a:lnTo>
              <a:lnTo>
                <a:pt x="79" y="13"/>
              </a:lnTo>
              <a:lnTo>
                <a:pt x="77" y="13"/>
              </a:lnTo>
              <a:lnTo>
                <a:pt x="73" y="13"/>
              </a:lnTo>
              <a:lnTo>
                <a:pt x="70" y="15"/>
              </a:lnTo>
              <a:lnTo>
                <a:pt x="67" y="19"/>
              </a:lnTo>
              <a:lnTo>
                <a:pt x="64" y="19"/>
              </a:lnTo>
              <a:lnTo>
                <a:pt x="61" y="15"/>
              </a:lnTo>
              <a:lnTo>
                <a:pt x="59" y="11"/>
              </a:lnTo>
              <a:lnTo>
                <a:pt x="63" y="9"/>
              </a:lnTo>
              <a:lnTo>
                <a:pt x="64" y="5"/>
              </a:lnTo>
              <a:lnTo>
                <a:pt x="63" y="1"/>
              </a:lnTo>
              <a:lnTo>
                <a:pt x="59" y="1"/>
              </a:lnTo>
              <a:lnTo>
                <a:pt x="57" y="2"/>
              </a:lnTo>
              <a:lnTo>
                <a:pt x="53" y="5"/>
              </a:lnTo>
              <a:lnTo>
                <a:pt x="50" y="9"/>
              </a:lnTo>
              <a:lnTo>
                <a:pt x="47" y="11"/>
              </a:lnTo>
              <a:lnTo>
                <a:pt x="44" y="9"/>
              </a:lnTo>
              <a:lnTo>
                <a:pt x="41" y="5"/>
              </a:lnTo>
              <a:lnTo>
                <a:pt x="40" y="4"/>
              </a:lnTo>
              <a:lnTo>
                <a:pt x="37" y="4"/>
              </a:lnTo>
              <a:lnTo>
                <a:pt x="35" y="9"/>
              </a:lnTo>
              <a:lnTo>
                <a:pt x="33" y="10"/>
              </a:lnTo>
              <a:lnTo>
                <a:pt x="30" y="7"/>
              </a:lnTo>
              <a:lnTo>
                <a:pt x="27" y="3"/>
              </a:lnTo>
              <a:lnTo>
                <a:pt x="24" y="1"/>
              </a:lnTo>
              <a:lnTo>
                <a:pt x="21" y="1"/>
              </a:lnTo>
              <a:lnTo>
                <a:pt x="18" y="3"/>
              </a:lnTo>
              <a:lnTo>
                <a:pt x="15" y="3"/>
              </a:lnTo>
              <a:lnTo>
                <a:pt x="13" y="0"/>
              </a:lnTo>
              <a:lnTo>
                <a:pt x="10" y="5"/>
              </a:lnTo>
              <a:lnTo>
                <a:pt x="10" y="9"/>
              </a:lnTo>
              <a:lnTo>
                <a:pt x="10" y="13"/>
              </a:lnTo>
              <a:lnTo>
                <a:pt x="7" y="17"/>
              </a:lnTo>
              <a:lnTo>
                <a:pt x="4" y="17"/>
              </a:lnTo>
              <a:lnTo>
                <a:pt x="1" y="21"/>
              </a:lnTo>
              <a:lnTo>
                <a:pt x="0" y="21"/>
              </a:lnTo>
              <a:lnTo>
                <a:pt x="2" y="21"/>
              </a:lnTo>
              <a:lnTo>
                <a:pt x="4" y="26"/>
              </a:lnTo>
              <a:lnTo>
                <a:pt x="7" y="28"/>
              </a:lnTo>
              <a:lnTo>
                <a:pt x="7" y="32"/>
              </a:lnTo>
              <a:lnTo>
                <a:pt x="9" y="37"/>
              </a:lnTo>
              <a:lnTo>
                <a:pt x="13" y="37"/>
              </a:lnTo>
              <a:lnTo>
                <a:pt x="16" y="32"/>
              </a:lnTo>
              <a:lnTo>
                <a:pt x="19" y="29"/>
              </a:lnTo>
              <a:lnTo>
                <a:pt x="22" y="26"/>
              </a:lnTo>
              <a:lnTo>
                <a:pt x="26" y="24"/>
              </a:lnTo>
              <a:lnTo>
                <a:pt x="30" y="21"/>
              </a:lnTo>
              <a:lnTo>
                <a:pt x="33" y="24"/>
              </a:lnTo>
              <a:lnTo>
                <a:pt x="36" y="26"/>
              </a:lnTo>
              <a:lnTo>
                <a:pt x="39" y="26"/>
              </a:lnTo>
              <a:lnTo>
                <a:pt x="43" y="28"/>
              </a:lnTo>
              <a:lnTo>
                <a:pt x="44" y="32"/>
              </a:lnTo>
              <a:lnTo>
                <a:pt x="45" y="34"/>
              </a:lnTo>
              <a:lnTo>
                <a:pt x="49" y="29"/>
              </a:lnTo>
              <a:lnTo>
                <a:pt x="52" y="29"/>
              </a:lnTo>
              <a:lnTo>
                <a:pt x="55" y="29"/>
              </a:lnTo>
              <a:lnTo>
                <a:pt x="58" y="34"/>
              </a:lnTo>
              <a:lnTo>
                <a:pt x="61" y="37"/>
              </a:lnTo>
              <a:lnTo>
                <a:pt x="64" y="37"/>
              </a:lnTo>
              <a:lnTo>
                <a:pt x="67" y="37"/>
              </a:lnTo>
              <a:lnTo>
                <a:pt x="70" y="37"/>
              </a:lnTo>
              <a:lnTo>
                <a:pt x="73" y="34"/>
              </a:lnTo>
              <a:lnTo>
                <a:pt x="77" y="32"/>
              </a:lnTo>
              <a:lnTo>
                <a:pt x="79" y="28"/>
              </a:lnTo>
              <a:lnTo>
                <a:pt x="82" y="28"/>
              </a:lnTo>
              <a:lnTo>
                <a:pt x="86" y="28"/>
              </a:lnTo>
              <a:lnTo>
                <a:pt x="89" y="28"/>
              </a:lnTo>
              <a:lnTo>
                <a:pt x="92" y="29"/>
              </a:lnTo>
              <a:lnTo>
                <a:pt x="92" y="30"/>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923743</xdr:colOff>
      <xdr:row>54</xdr:row>
      <xdr:rowOff>157341</xdr:rowOff>
    </xdr:from>
    <xdr:to>
      <xdr:col>6</xdr:col>
      <xdr:colOff>238856</xdr:colOff>
      <xdr:row>56</xdr:row>
      <xdr:rowOff>131899</xdr:rowOff>
    </xdr:to>
    <xdr:sp macro="" textlink="">
      <xdr:nvSpPr>
        <xdr:cNvPr id="120" name="Freeform 103">
          <a:extLst>
            <a:ext uri="{FF2B5EF4-FFF2-40B4-BE49-F238E27FC236}">
              <a16:creationId xmlns:a16="http://schemas.microsoft.com/office/drawing/2014/main" id="{C9EA4793-0BA2-45B7-B6C4-09891B084FAE}"/>
            </a:ext>
          </a:extLst>
        </xdr:cNvPr>
        <xdr:cNvSpPr>
          <a:spLocks noChangeAspect="1"/>
        </xdr:cNvSpPr>
      </xdr:nvSpPr>
      <xdr:spPr bwMode="gray">
        <a:xfrm>
          <a:off x="4525100" y="9101770"/>
          <a:ext cx="485327" cy="301129"/>
        </a:xfrm>
        <a:custGeom>
          <a:avLst/>
          <a:gdLst>
            <a:gd name="T0" fmla="*/ 0 w 57"/>
            <a:gd name="T1" fmla="*/ 119 h 38"/>
            <a:gd name="T2" fmla="*/ 6 w 57"/>
            <a:gd name="T3" fmla="*/ 108 h 38"/>
            <a:gd name="T4" fmla="*/ 6 w 57"/>
            <a:gd name="T5" fmla="*/ 85 h 38"/>
            <a:gd name="T6" fmla="*/ 11 w 57"/>
            <a:gd name="T7" fmla="*/ 57 h 38"/>
            <a:gd name="T8" fmla="*/ 11 w 57"/>
            <a:gd name="T9" fmla="*/ 34 h 38"/>
            <a:gd name="T10" fmla="*/ 23 w 57"/>
            <a:gd name="T11" fmla="*/ 23 h 38"/>
            <a:gd name="T12" fmla="*/ 40 w 57"/>
            <a:gd name="T13" fmla="*/ 34 h 38"/>
            <a:gd name="T14" fmla="*/ 57 w 57"/>
            <a:gd name="T15" fmla="*/ 23 h 38"/>
            <a:gd name="T16" fmla="*/ 74 w 57"/>
            <a:gd name="T17" fmla="*/ 23 h 38"/>
            <a:gd name="T18" fmla="*/ 97 w 57"/>
            <a:gd name="T19" fmla="*/ 11 h 38"/>
            <a:gd name="T20" fmla="*/ 108 w 57"/>
            <a:gd name="T21" fmla="*/ 0 h 38"/>
            <a:gd name="T22" fmla="*/ 119 w 57"/>
            <a:gd name="T23" fmla="*/ 23 h 38"/>
            <a:gd name="T24" fmla="*/ 102 w 57"/>
            <a:gd name="T25" fmla="*/ 34 h 38"/>
            <a:gd name="T26" fmla="*/ 102 w 57"/>
            <a:gd name="T27" fmla="*/ 57 h 38"/>
            <a:gd name="T28" fmla="*/ 119 w 57"/>
            <a:gd name="T29" fmla="*/ 68 h 38"/>
            <a:gd name="T30" fmla="*/ 136 w 57"/>
            <a:gd name="T31" fmla="*/ 57 h 38"/>
            <a:gd name="T32" fmla="*/ 153 w 57"/>
            <a:gd name="T33" fmla="*/ 68 h 38"/>
            <a:gd name="T34" fmla="*/ 171 w 57"/>
            <a:gd name="T35" fmla="*/ 85 h 38"/>
            <a:gd name="T36" fmla="*/ 182 w 57"/>
            <a:gd name="T37" fmla="*/ 68 h 38"/>
            <a:gd name="T38" fmla="*/ 182 w 57"/>
            <a:gd name="T39" fmla="*/ 45 h 38"/>
            <a:gd name="T40" fmla="*/ 199 w 57"/>
            <a:gd name="T41" fmla="*/ 34 h 38"/>
            <a:gd name="T42" fmla="*/ 216 w 57"/>
            <a:gd name="T43" fmla="*/ 45 h 38"/>
            <a:gd name="T44" fmla="*/ 233 w 57"/>
            <a:gd name="T45" fmla="*/ 45 h 38"/>
            <a:gd name="T46" fmla="*/ 250 w 57"/>
            <a:gd name="T47" fmla="*/ 34 h 38"/>
            <a:gd name="T48" fmla="*/ 267 w 57"/>
            <a:gd name="T49" fmla="*/ 57 h 38"/>
            <a:gd name="T50" fmla="*/ 290 w 57"/>
            <a:gd name="T51" fmla="*/ 57 h 38"/>
            <a:gd name="T52" fmla="*/ 301 w 57"/>
            <a:gd name="T53" fmla="*/ 45 h 38"/>
            <a:gd name="T54" fmla="*/ 301 w 57"/>
            <a:gd name="T55" fmla="*/ 57 h 38"/>
            <a:gd name="T56" fmla="*/ 301 w 57"/>
            <a:gd name="T57" fmla="*/ 45 h 38"/>
            <a:gd name="T58" fmla="*/ 313 w 57"/>
            <a:gd name="T59" fmla="*/ 68 h 38"/>
            <a:gd name="T60" fmla="*/ 324 w 57"/>
            <a:gd name="T61" fmla="*/ 96 h 38"/>
            <a:gd name="T62" fmla="*/ 324 w 57"/>
            <a:gd name="T63" fmla="*/ 119 h 38"/>
            <a:gd name="T64" fmla="*/ 324 w 57"/>
            <a:gd name="T65" fmla="*/ 130 h 38"/>
            <a:gd name="T66" fmla="*/ 301 w 57"/>
            <a:gd name="T67" fmla="*/ 130 h 38"/>
            <a:gd name="T68" fmla="*/ 290 w 57"/>
            <a:gd name="T69" fmla="*/ 130 h 38"/>
            <a:gd name="T70" fmla="*/ 267 w 57"/>
            <a:gd name="T71" fmla="*/ 141 h 38"/>
            <a:gd name="T72" fmla="*/ 261 w 57"/>
            <a:gd name="T73" fmla="*/ 164 h 38"/>
            <a:gd name="T74" fmla="*/ 239 w 57"/>
            <a:gd name="T75" fmla="*/ 181 h 38"/>
            <a:gd name="T76" fmla="*/ 227 w 57"/>
            <a:gd name="T77" fmla="*/ 181 h 38"/>
            <a:gd name="T78" fmla="*/ 210 w 57"/>
            <a:gd name="T79" fmla="*/ 181 h 38"/>
            <a:gd name="T80" fmla="*/ 188 w 57"/>
            <a:gd name="T81" fmla="*/ 181 h 38"/>
            <a:gd name="T82" fmla="*/ 171 w 57"/>
            <a:gd name="T83" fmla="*/ 187 h 38"/>
            <a:gd name="T84" fmla="*/ 153 w 57"/>
            <a:gd name="T85" fmla="*/ 215 h 38"/>
            <a:gd name="T86" fmla="*/ 136 w 57"/>
            <a:gd name="T87" fmla="*/ 215 h 38"/>
            <a:gd name="T88" fmla="*/ 119 w 57"/>
            <a:gd name="T89" fmla="*/ 187 h 38"/>
            <a:gd name="T90" fmla="*/ 108 w 57"/>
            <a:gd name="T91" fmla="*/ 164 h 38"/>
            <a:gd name="T92" fmla="*/ 131 w 57"/>
            <a:gd name="T93" fmla="*/ 158 h 38"/>
            <a:gd name="T94" fmla="*/ 136 w 57"/>
            <a:gd name="T95" fmla="*/ 130 h 38"/>
            <a:gd name="T96" fmla="*/ 131 w 57"/>
            <a:gd name="T97" fmla="*/ 108 h 38"/>
            <a:gd name="T98" fmla="*/ 108 w 57"/>
            <a:gd name="T99" fmla="*/ 108 h 38"/>
            <a:gd name="T100" fmla="*/ 97 w 57"/>
            <a:gd name="T101" fmla="*/ 119 h 38"/>
            <a:gd name="T102" fmla="*/ 74 w 57"/>
            <a:gd name="T103" fmla="*/ 130 h 38"/>
            <a:gd name="T104" fmla="*/ 57 w 57"/>
            <a:gd name="T105" fmla="*/ 158 h 38"/>
            <a:gd name="T106" fmla="*/ 40 w 57"/>
            <a:gd name="T107" fmla="*/ 164 h 38"/>
            <a:gd name="T108" fmla="*/ 23 w 57"/>
            <a:gd name="T109" fmla="*/ 158 h 38"/>
            <a:gd name="T110" fmla="*/ 6 w 57"/>
            <a:gd name="T111" fmla="*/ 130 h 38"/>
            <a:gd name="T112" fmla="*/ 0 w 57"/>
            <a:gd name="T113" fmla="*/ 119 h 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57" h="38">
              <a:moveTo>
                <a:pt x="0" y="21"/>
              </a:moveTo>
              <a:lnTo>
                <a:pt x="1" y="19"/>
              </a:lnTo>
              <a:lnTo>
                <a:pt x="1" y="15"/>
              </a:lnTo>
              <a:lnTo>
                <a:pt x="2" y="10"/>
              </a:lnTo>
              <a:lnTo>
                <a:pt x="2" y="6"/>
              </a:lnTo>
              <a:lnTo>
                <a:pt x="4" y="4"/>
              </a:lnTo>
              <a:lnTo>
                <a:pt x="7" y="6"/>
              </a:lnTo>
              <a:lnTo>
                <a:pt x="10" y="4"/>
              </a:lnTo>
              <a:lnTo>
                <a:pt x="13" y="4"/>
              </a:lnTo>
              <a:lnTo>
                <a:pt x="17" y="2"/>
              </a:lnTo>
              <a:lnTo>
                <a:pt x="19" y="0"/>
              </a:lnTo>
              <a:lnTo>
                <a:pt x="21" y="4"/>
              </a:lnTo>
              <a:lnTo>
                <a:pt x="18" y="6"/>
              </a:lnTo>
              <a:lnTo>
                <a:pt x="18" y="10"/>
              </a:lnTo>
              <a:lnTo>
                <a:pt x="21" y="12"/>
              </a:lnTo>
              <a:lnTo>
                <a:pt x="24" y="10"/>
              </a:lnTo>
              <a:lnTo>
                <a:pt x="27" y="12"/>
              </a:lnTo>
              <a:lnTo>
                <a:pt x="30" y="15"/>
              </a:lnTo>
              <a:lnTo>
                <a:pt x="32" y="12"/>
              </a:lnTo>
              <a:lnTo>
                <a:pt x="32" y="8"/>
              </a:lnTo>
              <a:lnTo>
                <a:pt x="35" y="6"/>
              </a:lnTo>
              <a:lnTo>
                <a:pt x="38" y="8"/>
              </a:lnTo>
              <a:lnTo>
                <a:pt x="41" y="8"/>
              </a:lnTo>
              <a:lnTo>
                <a:pt x="44" y="6"/>
              </a:lnTo>
              <a:lnTo>
                <a:pt x="47" y="10"/>
              </a:lnTo>
              <a:lnTo>
                <a:pt x="51" y="10"/>
              </a:lnTo>
              <a:lnTo>
                <a:pt x="53" y="8"/>
              </a:lnTo>
              <a:lnTo>
                <a:pt x="53" y="10"/>
              </a:lnTo>
              <a:lnTo>
                <a:pt x="53" y="8"/>
              </a:lnTo>
              <a:lnTo>
                <a:pt x="55" y="12"/>
              </a:lnTo>
              <a:lnTo>
                <a:pt x="57" y="17"/>
              </a:lnTo>
              <a:lnTo>
                <a:pt x="57" y="21"/>
              </a:lnTo>
              <a:lnTo>
                <a:pt x="57" y="23"/>
              </a:lnTo>
              <a:lnTo>
                <a:pt x="53" y="23"/>
              </a:lnTo>
              <a:lnTo>
                <a:pt x="51" y="23"/>
              </a:lnTo>
              <a:lnTo>
                <a:pt x="47" y="25"/>
              </a:lnTo>
              <a:lnTo>
                <a:pt x="46" y="29"/>
              </a:lnTo>
              <a:lnTo>
                <a:pt x="42" y="32"/>
              </a:lnTo>
              <a:lnTo>
                <a:pt x="40" y="32"/>
              </a:lnTo>
              <a:lnTo>
                <a:pt x="37" y="32"/>
              </a:lnTo>
              <a:lnTo>
                <a:pt x="33" y="32"/>
              </a:lnTo>
              <a:lnTo>
                <a:pt x="30" y="33"/>
              </a:lnTo>
              <a:lnTo>
                <a:pt x="27" y="38"/>
              </a:lnTo>
              <a:lnTo>
                <a:pt x="24" y="38"/>
              </a:lnTo>
              <a:lnTo>
                <a:pt x="21" y="33"/>
              </a:lnTo>
              <a:lnTo>
                <a:pt x="19" y="29"/>
              </a:lnTo>
              <a:lnTo>
                <a:pt x="23" y="28"/>
              </a:lnTo>
              <a:lnTo>
                <a:pt x="24" y="23"/>
              </a:lnTo>
              <a:lnTo>
                <a:pt x="23" y="19"/>
              </a:lnTo>
              <a:lnTo>
                <a:pt x="19" y="19"/>
              </a:lnTo>
              <a:lnTo>
                <a:pt x="17" y="21"/>
              </a:lnTo>
              <a:lnTo>
                <a:pt x="13" y="23"/>
              </a:lnTo>
              <a:lnTo>
                <a:pt x="10" y="28"/>
              </a:lnTo>
              <a:lnTo>
                <a:pt x="7" y="29"/>
              </a:lnTo>
              <a:lnTo>
                <a:pt x="4" y="28"/>
              </a:lnTo>
              <a:lnTo>
                <a:pt x="1" y="23"/>
              </a:lnTo>
              <a:lnTo>
                <a:pt x="0" y="2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146871</xdr:colOff>
      <xdr:row>47</xdr:row>
      <xdr:rowOff>154651</xdr:rowOff>
    </xdr:from>
    <xdr:to>
      <xdr:col>3</xdr:col>
      <xdr:colOff>1150264</xdr:colOff>
      <xdr:row>57</xdr:row>
      <xdr:rowOff>111475</xdr:rowOff>
    </xdr:to>
    <xdr:sp macro="" textlink="">
      <xdr:nvSpPr>
        <xdr:cNvPr id="121" name="Freeform 104">
          <a:extLst>
            <a:ext uri="{FF2B5EF4-FFF2-40B4-BE49-F238E27FC236}">
              <a16:creationId xmlns:a16="http://schemas.microsoft.com/office/drawing/2014/main" id="{9EC8DEF8-9CA6-4495-A858-1178DF4C1323}"/>
            </a:ext>
          </a:extLst>
        </xdr:cNvPr>
        <xdr:cNvSpPr>
          <a:spLocks noChangeAspect="1"/>
        </xdr:cNvSpPr>
      </xdr:nvSpPr>
      <xdr:spPr bwMode="gray">
        <a:xfrm>
          <a:off x="1906728" y="7956080"/>
          <a:ext cx="1674679" cy="1589681"/>
        </a:xfrm>
        <a:custGeom>
          <a:avLst/>
          <a:gdLst>
            <a:gd name="T0" fmla="*/ 709 w 197"/>
            <a:gd name="T1" fmla="*/ 233 h 200"/>
            <a:gd name="T2" fmla="*/ 766 w 197"/>
            <a:gd name="T3" fmla="*/ 244 h 200"/>
            <a:gd name="T4" fmla="*/ 840 w 197"/>
            <a:gd name="T5" fmla="*/ 261 h 200"/>
            <a:gd name="T6" fmla="*/ 908 w 197"/>
            <a:gd name="T7" fmla="*/ 261 h 200"/>
            <a:gd name="T8" fmla="*/ 880 w 197"/>
            <a:gd name="T9" fmla="*/ 358 h 200"/>
            <a:gd name="T10" fmla="*/ 925 w 197"/>
            <a:gd name="T11" fmla="*/ 341 h 200"/>
            <a:gd name="T12" fmla="*/ 993 w 197"/>
            <a:gd name="T13" fmla="*/ 295 h 200"/>
            <a:gd name="T14" fmla="*/ 1067 w 197"/>
            <a:gd name="T15" fmla="*/ 329 h 200"/>
            <a:gd name="T16" fmla="*/ 1118 w 197"/>
            <a:gd name="T17" fmla="*/ 341 h 200"/>
            <a:gd name="T18" fmla="*/ 1101 w 197"/>
            <a:gd name="T19" fmla="*/ 437 h 200"/>
            <a:gd name="T20" fmla="*/ 1067 w 197"/>
            <a:gd name="T21" fmla="*/ 522 h 200"/>
            <a:gd name="T22" fmla="*/ 1010 w 197"/>
            <a:gd name="T23" fmla="*/ 602 h 200"/>
            <a:gd name="T24" fmla="*/ 959 w 197"/>
            <a:gd name="T25" fmla="*/ 664 h 200"/>
            <a:gd name="T26" fmla="*/ 891 w 197"/>
            <a:gd name="T27" fmla="*/ 698 h 200"/>
            <a:gd name="T28" fmla="*/ 942 w 197"/>
            <a:gd name="T29" fmla="*/ 743 h 200"/>
            <a:gd name="T30" fmla="*/ 902 w 197"/>
            <a:gd name="T31" fmla="*/ 829 h 200"/>
            <a:gd name="T32" fmla="*/ 840 w 197"/>
            <a:gd name="T33" fmla="*/ 874 h 200"/>
            <a:gd name="T34" fmla="*/ 840 w 197"/>
            <a:gd name="T35" fmla="*/ 970 h 200"/>
            <a:gd name="T36" fmla="*/ 789 w 197"/>
            <a:gd name="T37" fmla="*/ 1050 h 200"/>
            <a:gd name="T38" fmla="*/ 743 w 197"/>
            <a:gd name="T39" fmla="*/ 1124 h 200"/>
            <a:gd name="T40" fmla="*/ 636 w 197"/>
            <a:gd name="T41" fmla="*/ 1135 h 200"/>
            <a:gd name="T42" fmla="*/ 522 w 197"/>
            <a:gd name="T43" fmla="*/ 1124 h 200"/>
            <a:gd name="T44" fmla="*/ 426 w 197"/>
            <a:gd name="T45" fmla="*/ 1124 h 200"/>
            <a:gd name="T46" fmla="*/ 312 w 197"/>
            <a:gd name="T47" fmla="*/ 1124 h 200"/>
            <a:gd name="T48" fmla="*/ 227 w 197"/>
            <a:gd name="T49" fmla="*/ 1124 h 200"/>
            <a:gd name="T50" fmla="*/ 170 w 197"/>
            <a:gd name="T51" fmla="*/ 1061 h 200"/>
            <a:gd name="T52" fmla="*/ 125 w 197"/>
            <a:gd name="T53" fmla="*/ 993 h 200"/>
            <a:gd name="T54" fmla="*/ 102 w 197"/>
            <a:gd name="T55" fmla="*/ 919 h 200"/>
            <a:gd name="T56" fmla="*/ 74 w 197"/>
            <a:gd name="T57" fmla="*/ 840 h 200"/>
            <a:gd name="T58" fmla="*/ 119 w 197"/>
            <a:gd name="T59" fmla="*/ 709 h 200"/>
            <a:gd name="T60" fmla="*/ 182 w 197"/>
            <a:gd name="T61" fmla="*/ 579 h 200"/>
            <a:gd name="T62" fmla="*/ 233 w 197"/>
            <a:gd name="T63" fmla="*/ 437 h 200"/>
            <a:gd name="T64" fmla="*/ 165 w 197"/>
            <a:gd name="T65" fmla="*/ 414 h 200"/>
            <a:gd name="T66" fmla="*/ 114 w 197"/>
            <a:gd name="T67" fmla="*/ 380 h 200"/>
            <a:gd name="T68" fmla="*/ 51 w 197"/>
            <a:gd name="T69" fmla="*/ 329 h 200"/>
            <a:gd name="T70" fmla="*/ 6 w 197"/>
            <a:gd name="T71" fmla="*/ 233 h 200"/>
            <a:gd name="T72" fmla="*/ 6 w 197"/>
            <a:gd name="T73" fmla="*/ 176 h 200"/>
            <a:gd name="T74" fmla="*/ 6 w 197"/>
            <a:gd name="T75" fmla="*/ 131 h 200"/>
            <a:gd name="T76" fmla="*/ 74 w 197"/>
            <a:gd name="T77" fmla="*/ 91 h 200"/>
            <a:gd name="T78" fmla="*/ 148 w 197"/>
            <a:gd name="T79" fmla="*/ 57 h 200"/>
            <a:gd name="T80" fmla="*/ 216 w 197"/>
            <a:gd name="T81" fmla="*/ 68 h 200"/>
            <a:gd name="T82" fmla="*/ 261 w 197"/>
            <a:gd name="T83" fmla="*/ 34 h 200"/>
            <a:gd name="T84" fmla="*/ 312 w 197"/>
            <a:gd name="T85" fmla="*/ 11 h 200"/>
            <a:gd name="T86" fmla="*/ 358 w 197"/>
            <a:gd name="T87" fmla="*/ 23 h 200"/>
            <a:gd name="T88" fmla="*/ 414 w 197"/>
            <a:gd name="T89" fmla="*/ 85 h 200"/>
            <a:gd name="T90" fmla="*/ 477 w 197"/>
            <a:gd name="T91" fmla="*/ 119 h 200"/>
            <a:gd name="T92" fmla="*/ 522 w 197"/>
            <a:gd name="T93" fmla="*/ 199 h 200"/>
            <a:gd name="T94" fmla="*/ 568 w 197"/>
            <a:gd name="T95" fmla="*/ 284 h 200"/>
            <a:gd name="T96" fmla="*/ 624 w 197"/>
            <a:gd name="T97" fmla="*/ 318 h 200"/>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97" h="200">
              <a:moveTo>
                <a:pt x="114" y="49"/>
              </a:moveTo>
              <a:lnTo>
                <a:pt x="118" y="48"/>
              </a:lnTo>
              <a:lnTo>
                <a:pt x="121" y="46"/>
              </a:lnTo>
              <a:lnTo>
                <a:pt x="125" y="41"/>
              </a:lnTo>
              <a:lnTo>
                <a:pt x="127" y="41"/>
              </a:lnTo>
              <a:lnTo>
                <a:pt x="129" y="46"/>
              </a:lnTo>
              <a:lnTo>
                <a:pt x="132" y="46"/>
              </a:lnTo>
              <a:lnTo>
                <a:pt x="135" y="43"/>
              </a:lnTo>
              <a:lnTo>
                <a:pt x="138" y="43"/>
              </a:lnTo>
              <a:lnTo>
                <a:pt x="141" y="46"/>
              </a:lnTo>
              <a:lnTo>
                <a:pt x="145" y="48"/>
              </a:lnTo>
              <a:lnTo>
                <a:pt x="148" y="46"/>
              </a:lnTo>
              <a:lnTo>
                <a:pt x="151" y="43"/>
              </a:lnTo>
              <a:lnTo>
                <a:pt x="154" y="46"/>
              </a:lnTo>
              <a:lnTo>
                <a:pt x="157" y="46"/>
              </a:lnTo>
              <a:lnTo>
                <a:pt x="160" y="46"/>
              </a:lnTo>
              <a:lnTo>
                <a:pt x="162" y="50"/>
              </a:lnTo>
              <a:lnTo>
                <a:pt x="159" y="54"/>
              </a:lnTo>
              <a:lnTo>
                <a:pt x="157" y="58"/>
              </a:lnTo>
              <a:lnTo>
                <a:pt x="155" y="63"/>
              </a:lnTo>
              <a:lnTo>
                <a:pt x="155" y="67"/>
              </a:lnTo>
              <a:lnTo>
                <a:pt x="159" y="67"/>
              </a:lnTo>
              <a:lnTo>
                <a:pt x="162" y="64"/>
              </a:lnTo>
              <a:lnTo>
                <a:pt x="163" y="60"/>
              </a:lnTo>
              <a:lnTo>
                <a:pt x="165" y="56"/>
              </a:lnTo>
              <a:lnTo>
                <a:pt x="168" y="54"/>
              </a:lnTo>
              <a:lnTo>
                <a:pt x="170" y="52"/>
              </a:lnTo>
              <a:lnTo>
                <a:pt x="175" y="52"/>
              </a:lnTo>
              <a:lnTo>
                <a:pt x="178" y="54"/>
              </a:lnTo>
              <a:lnTo>
                <a:pt x="182" y="56"/>
              </a:lnTo>
              <a:lnTo>
                <a:pt x="184" y="56"/>
              </a:lnTo>
              <a:lnTo>
                <a:pt x="188" y="58"/>
              </a:lnTo>
              <a:lnTo>
                <a:pt x="191" y="58"/>
              </a:lnTo>
              <a:lnTo>
                <a:pt x="194" y="58"/>
              </a:lnTo>
              <a:lnTo>
                <a:pt x="197" y="60"/>
              </a:lnTo>
              <a:lnTo>
                <a:pt x="197" y="63"/>
              </a:lnTo>
              <a:lnTo>
                <a:pt x="195" y="67"/>
              </a:lnTo>
              <a:lnTo>
                <a:pt x="195" y="73"/>
              </a:lnTo>
              <a:lnTo>
                <a:pt x="194" y="77"/>
              </a:lnTo>
              <a:lnTo>
                <a:pt x="192" y="81"/>
              </a:lnTo>
              <a:lnTo>
                <a:pt x="189" y="84"/>
              </a:lnTo>
              <a:lnTo>
                <a:pt x="188" y="88"/>
              </a:lnTo>
              <a:lnTo>
                <a:pt x="188" y="92"/>
              </a:lnTo>
              <a:lnTo>
                <a:pt x="186" y="96"/>
              </a:lnTo>
              <a:lnTo>
                <a:pt x="184" y="100"/>
              </a:lnTo>
              <a:lnTo>
                <a:pt x="182" y="104"/>
              </a:lnTo>
              <a:lnTo>
                <a:pt x="178" y="106"/>
              </a:lnTo>
              <a:lnTo>
                <a:pt x="177" y="110"/>
              </a:lnTo>
              <a:lnTo>
                <a:pt x="175" y="114"/>
              </a:lnTo>
              <a:lnTo>
                <a:pt x="172" y="114"/>
              </a:lnTo>
              <a:lnTo>
                <a:pt x="169" y="117"/>
              </a:lnTo>
              <a:lnTo>
                <a:pt x="166" y="117"/>
              </a:lnTo>
              <a:lnTo>
                <a:pt x="163" y="121"/>
              </a:lnTo>
              <a:lnTo>
                <a:pt x="162" y="123"/>
              </a:lnTo>
              <a:lnTo>
                <a:pt x="157" y="123"/>
              </a:lnTo>
              <a:lnTo>
                <a:pt x="157" y="127"/>
              </a:lnTo>
              <a:lnTo>
                <a:pt x="160" y="129"/>
              </a:lnTo>
              <a:lnTo>
                <a:pt x="163" y="129"/>
              </a:lnTo>
              <a:lnTo>
                <a:pt x="166" y="131"/>
              </a:lnTo>
              <a:lnTo>
                <a:pt x="163" y="135"/>
              </a:lnTo>
              <a:lnTo>
                <a:pt x="163" y="140"/>
              </a:lnTo>
              <a:lnTo>
                <a:pt x="160" y="142"/>
              </a:lnTo>
              <a:lnTo>
                <a:pt x="159" y="146"/>
              </a:lnTo>
              <a:lnTo>
                <a:pt x="155" y="150"/>
              </a:lnTo>
              <a:lnTo>
                <a:pt x="152" y="150"/>
              </a:lnTo>
              <a:lnTo>
                <a:pt x="149" y="150"/>
              </a:lnTo>
              <a:lnTo>
                <a:pt x="148" y="154"/>
              </a:lnTo>
              <a:lnTo>
                <a:pt x="149" y="159"/>
              </a:lnTo>
              <a:lnTo>
                <a:pt x="148" y="162"/>
              </a:lnTo>
              <a:lnTo>
                <a:pt x="148" y="167"/>
              </a:lnTo>
              <a:lnTo>
                <a:pt x="148" y="171"/>
              </a:lnTo>
              <a:lnTo>
                <a:pt x="146" y="175"/>
              </a:lnTo>
              <a:lnTo>
                <a:pt x="145" y="179"/>
              </a:lnTo>
              <a:lnTo>
                <a:pt x="143" y="183"/>
              </a:lnTo>
              <a:lnTo>
                <a:pt x="139" y="185"/>
              </a:lnTo>
              <a:lnTo>
                <a:pt x="137" y="190"/>
              </a:lnTo>
              <a:lnTo>
                <a:pt x="135" y="194"/>
              </a:lnTo>
              <a:lnTo>
                <a:pt x="133" y="198"/>
              </a:lnTo>
              <a:lnTo>
                <a:pt x="131" y="198"/>
              </a:lnTo>
              <a:lnTo>
                <a:pt x="126" y="198"/>
              </a:lnTo>
              <a:lnTo>
                <a:pt x="121" y="200"/>
              </a:lnTo>
              <a:lnTo>
                <a:pt x="116" y="200"/>
              </a:lnTo>
              <a:lnTo>
                <a:pt x="112" y="200"/>
              </a:lnTo>
              <a:lnTo>
                <a:pt x="108" y="200"/>
              </a:lnTo>
              <a:lnTo>
                <a:pt x="102" y="198"/>
              </a:lnTo>
              <a:lnTo>
                <a:pt x="98" y="198"/>
              </a:lnTo>
              <a:lnTo>
                <a:pt x="92" y="198"/>
              </a:lnTo>
              <a:lnTo>
                <a:pt x="88" y="198"/>
              </a:lnTo>
              <a:lnTo>
                <a:pt x="83" y="198"/>
              </a:lnTo>
              <a:lnTo>
                <a:pt x="80" y="198"/>
              </a:lnTo>
              <a:lnTo>
                <a:pt x="75" y="198"/>
              </a:lnTo>
              <a:lnTo>
                <a:pt x="70" y="198"/>
              </a:lnTo>
              <a:lnTo>
                <a:pt x="64" y="198"/>
              </a:lnTo>
              <a:lnTo>
                <a:pt x="59" y="198"/>
              </a:lnTo>
              <a:lnTo>
                <a:pt x="55" y="198"/>
              </a:lnTo>
              <a:lnTo>
                <a:pt x="50" y="198"/>
              </a:lnTo>
              <a:lnTo>
                <a:pt x="45" y="196"/>
              </a:lnTo>
              <a:lnTo>
                <a:pt x="43" y="196"/>
              </a:lnTo>
              <a:lnTo>
                <a:pt x="40" y="198"/>
              </a:lnTo>
              <a:lnTo>
                <a:pt x="36" y="196"/>
              </a:lnTo>
              <a:lnTo>
                <a:pt x="35" y="191"/>
              </a:lnTo>
              <a:lnTo>
                <a:pt x="32" y="191"/>
              </a:lnTo>
              <a:lnTo>
                <a:pt x="30" y="187"/>
              </a:lnTo>
              <a:lnTo>
                <a:pt x="27" y="183"/>
              </a:lnTo>
              <a:lnTo>
                <a:pt x="24" y="183"/>
              </a:lnTo>
              <a:lnTo>
                <a:pt x="22" y="179"/>
              </a:lnTo>
              <a:lnTo>
                <a:pt x="22" y="175"/>
              </a:lnTo>
              <a:lnTo>
                <a:pt x="21" y="171"/>
              </a:lnTo>
              <a:lnTo>
                <a:pt x="20" y="167"/>
              </a:lnTo>
              <a:lnTo>
                <a:pt x="18" y="165"/>
              </a:lnTo>
              <a:lnTo>
                <a:pt x="18" y="162"/>
              </a:lnTo>
              <a:lnTo>
                <a:pt x="18" y="160"/>
              </a:lnTo>
              <a:lnTo>
                <a:pt x="16" y="156"/>
              </a:lnTo>
              <a:lnTo>
                <a:pt x="13" y="152"/>
              </a:lnTo>
              <a:lnTo>
                <a:pt x="13" y="148"/>
              </a:lnTo>
              <a:lnTo>
                <a:pt x="15" y="144"/>
              </a:lnTo>
              <a:lnTo>
                <a:pt x="16" y="140"/>
              </a:lnTo>
              <a:lnTo>
                <a:pt x="20" y="131"/>
              </a:lnTo>
              <a:lnTo>
                <a:pt x="21" y="125"/>
              </a:lnTo>
              <a:lnTo>
                <a:pt x="24" y="119"/>
              </a:lnTo>
              <a:lnTo>
                <a:pt x="26" y="114"/>
              </a:lnTo>
              <a:lnTo>
                <a:pt x="29" y="109"/>
              </a:lnTo>
              <a:lnTo>
                <a:pt x="32" y="102"/>
              </a:lnTo>
              <a:lnTo>
                <a:pt x="35" y="94"/>
              </a:lnTo>
              <a:lnTo>
                <a:pt x="36" y="89"/>
              </a:lnTo>
              <a:lnTo>
                <a:pt x="38" y="84"/>
              </a:lnTo>
              <a:lnTo>
                <a:pt x="41" y="77"/>
              </a:lnTo>
              <a:lnTo>
                <a:pt x="41" y="73"/>
              </a:lnTo>
              <a:lnTo>
                <a:pt x="36" y="75"/>
              </a:lnTo>
              <a:lnTo>
                <a:pt x="32" y="75"/>
              </a:lnTo>
              <a:lnTo>
                <a:pt x="29" y="73"/>
              </a:lnTo>
              <a:lnTo>
                <a:pt x="27" y="69"/>
              </a:lnTo>
              <a:lnTo>
                <a:pt x="26" y="67"/>
              </a:lnTo>
              <a:lnTo>
                <a:pt x="22" y="67"/>
              </a:lnTo>
              <a:lnTo>
                <a:pt x="20" y="67"/>
              </a:lnTo>
              <a:lnTo>
                <a:pt x="16" y="67"/>
              </a:lnTo>
              <a:lnTo>
                <a:pt x="12" y="64"/>
              </a:lnTo>
              <a:lnTo>
                <a:pt x="9" y="63"/>
              </a:lnTo>
              <a:lnTo>
                <a:pt x="9" y="58"/>
              </a:lnTo>
              <a:lnTo>
                <a:pt x="6" y="54"/>
              </a:lnTo>
              <a:lnTo>
                <a:pt x="4" y="50"/>
              </a:lnTo>
              <a:lnTo>
                <a:pt x="2" y="46"/>
              </a:lnTo>
              <a:lnTo>
                <a:pt x="1" y="41"/>
              </a:lnTo>
              <a:lnTo>
                <a:pt x="1" y="38"/>
              </a:lnTo>
              <a:lnTo>
                <a:pt x="2" y="37"/>
              </a:lnTo>
              <a:lnTo>
                <a:pt x="3" y="35"/>
              </a:lnTo>
              <a:lnTo>
                <a:pt x="1" y="31"/>
              </a:lnTo>
              <a:lnTo>
                <a:pt x="3" y="29"/>
              </a:lnTo>
              <a:lnTo>
                <a:pt x="1" y="24"/>
              </a:lnTo>
              <a:lnTo>
                <a:pt x="0" y="23"/>
              </a:lnTo>
              <a:lnTo>
                <a:pt x="1" y="23"/>
              </a:lnTo>
              <a:lnTo>
                <a:pt x="4" y="23"/>
              </a:lnTo>
              <a:lnTo>
                <a:pt x="7" y="23"/>
              </a:lnTo>
              <a:lnTo>
                <a:pt x="10" y="21"/>
              </a:lnTo>
              <a:lnTo>
                <a:pt x="13" y="16"/>
              </a:lnTo>
              <a:lnTo>
                <a:pt x="16" y="15"/>
              </a:lnTo>
              <a:lnTo>
                <a:pt x="20" y="15"/>
              </a:lnTo>
              <a:lnTo>
                <a:pt x="22" y="15"/>
              </a:lnTo>
              <a:lnTo>
                <a:pt x="26" y="10"/>
              </a:lnTo>
              <a:lnTo>
                <a:pt x="29" y="10"/>
              </a:lnTo>
              <a:lnTo>
                <a:pt x="32" y="10"/>
              </a:lnTo>
              <a:lnTo>
                <a:pt x="35" y="12"/>
              </a:lnTo>
              <a:lnTo>
                <a:pt x="38" y="12"/>
              </a:lnTo>
              <a:lnTo>
                <a:pt x="41" y="12"/>
              </a:lnTo>
              <a:lnTo>
                <a:pt x="44" y="12"/>
              </a:lnTo>
              <a:lnTo>
                <a:pt x="48" y="10"/>
              </a:lnTo>
              <a:lnTo>
                <a:pt x="46" y="6"/>
              </a:lnTo>
              <a:lnTo>
                <a:pt x="46" y="2"/>
              </a:lnTo>
              <a:lnTo>
                <a:pt x="49" y="2"/>
              </a:lnTo>
              <a:lnTo>
                <a:pt x="52" y="2"/>
              </a:lnTo>
              <a:lnTo>
                <a:pt x="55" y="2"/>
              </a:lnTo>
              <a:lnTo>
                <a:pt x="58" y="0"/>
              </a:lnTo>
              <a:lnTo>
                <a:pt x="61" y="2"/>
              </a:lnTo>
              <a:lnTo>
                <a:pt x="64" y="4"/>
              </a:lnTo>
              <a:lnTo>
                <a:pt x="63" y="4"/>
              </a:lnTo>
              <a:lnTo>
                <a:pt x="67" y="8"/>
              </a:lnTo>
              <a:lnTo>
                <a:pt x="67" y="13"/>
              </a:lnTo>
              <a:lnTo>
                <a:pt x="70" y="13"/>
              </a:lnTo>
              <a:lnTo>
                <a:pt x="73" y="15"/>
              </a:lnTo>
              <a:lnTo>
                <a:pt x="76" y="17"/>
              </a:lnTo>
              <a:lnTo>
                <a:pt x="80" y="17"/>
              </a:lnTo>
              <a:lnTo>
                <a:pt x="81" y="21"/>
              </a:lnTo>
              <a:lnTo>
                <a:pt x="84" y="21"/>
              </a:lnTo>
              <a:lnTo>
                <a:pt x="86" y="25"/>
              </a:lnTo>
              <a:lnTo>
                <a:pt x="89" y="30"/>
              </a:lnTo>
              <a:lnTo>
                <a:pt x="92" y="31"/>
              </a:lnTo>
              <a:lnTo>
                <a:pt x="92" y="35"/>
              </a:lnTo>
              <a:lnTo>
                <a:pt x="92" y="40"/>
              </a:lnTo>
              <a:lnTo>
                <a:pt x="95" y="43"/>
              </a:lnTo>
              <a:lnTo>
                <a:pt x="98" y="46"/>
              </a:lnTo>
              <a:lnTo>
                <a:pt x="100" y="50"/>
              </a:lnTo>
              <a:lnTo>
                <a:pt x="101" y="54"/>
              </a:lnTo>
              <a:lnTo>
                <a:pt x="104" y="59"/>
              </a:lnTo>
              <a:lnTo>
                <a:pt x="107" y="59"/>
              </a:lnTo>
              <a:lnTo>
                <a:pt x="110" y="56"/>
              </a:lnTo>
              <a:lnTo>
                <a:pt x="114" y="49"/>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233534</xdr:colOff>
      <xdr:row>59</xdr:row>
      <xdr:rowOff>128049</xdr:rowOff>
    </xdr:from>
    <xdr:to>
      <xdr:col>3</xdr:col>
      <xdr:colOff>1142774</xdr:colOff>
      <xdr:row>65</xdr:row>
      <xdr:rowOff>6902</xdr:rowOff>
    </xdr:to>
    <xdr:sp macro="" textlink="">
      <xdr:nvSpPr>
        <xdr:cNvPr id="122" name="Freeform 105">
          <a:extLst>
            <a:ext uri="{FF2B5EF4-FFF2-40B4-BE49-F238E27FC236}">
              <a16:creationId xmlns:a16="http://schemas.microsoft.com/office/drawing/2014/main" id="{3C4CEADD-5FEE-4038-82C7-234BA1F79268}"/>
            </a:ext>
          </a:extLst>
        </xdr:cNvPr>
        <xdr:cNvSpPr>
          <a:spLocks noChangeAspect="1"/>
        </xdr:cNvSpPr>
      </xdr:nvSpPr>
      <xdr:spPr bwMode="gray">
        <a:xfrm>
          <a:off x="2664677" y="9888906"/>
          <a:ext cx="909240" cy="858567"/>
        </a:xfrm>
        <a:custGeom>
          <a:avLst/>
          <a:gdLst>
            <a:gd name="T0" fmla="*/ 216 w 107"/>
            <a:gd name="T1" fmla="*/ 6 h 108"/>
            <a:gd name="T2" fmla="*/ 221 w 107"/>
            <a:gd name="T3" fmla="*/ 45 h 108"/>
            <a:gd name="T4" fmla="*/ 210 w 107"/>
            <a:gd name="T5" fmla="*/ 85 h 108"/>
            <a:gd name="T6" fmla="*/ 210 w 107"/>
            <a:gd name="T7" fmla="*/ 125 h 108"/>
            <a:gd name="T8" fmla="*/ 187 w 107"/>
            <a:gd name="T9" fmla="*/ 165 h 108"/>
            <a:gd name="T10" fmla="*/ 182 w 107"/>
            <a:gd name="T11" fmla="*/ 204 h 108"/>
            <a:gd name="T12" fmla="*/ 147 w 107"/>
            <a:gd name="T13" fmla="*/ 221 h 108"/>
            <a:gd name="T14" fmla="*/ 125 w 107"/>
            <a:gd name="T15" fmla="*/ 261 h 108"/>
            <a:gd name="T16" fmla="*/ 96 w 107"/>
            <a:gd name="T17" fmla="*/ 284 h 108"/>
            <a:gd name="T18" fmla="*/ 62 w 107"/>
            <a:gd name="T19" fmla="*/ 301 h 108"/>
            <a:gd name="T20" fmla="*/ 40 w 107"/>
            <a:gd name="T21" fmla="*/ 329 h 108"/>
            <a:gd name="T22" fmla="*/ 28 w 107"/>
            <a:gd name="T23" fmla="*/ 375 h 108"/>
            <a:gd name="T24" fmla="*/ 11 w 107"/>
            <a:gd name="T25" fmla="*/ 414 h 108"/>
            <a:gd name="T26" fmla="*/ 6 w 107"/>
            <a:gd name="T27" fmla="*/ 454 h 108"/>
            <a:gd name="T28" fmla="*/ 0 w 107"/>
            <a:gd name="T29" fmla="*/ 482 h 108"/>
            <a:gd name="T30" fmla="*/ 23 w 107"/>
            <a:gd name="T31" fmla="*/ 517 h 108"/>
            <a:gd name="T32" fmla="*/ 57 w 107"/>
            <a:gd name="T33" fmla="*/ 539 h 108"/>
            <a:gd name="T34" fmla="*/ 85 w 107"/>
            <a:gd name="T35" fmla="*/ 556 h 108"/>
            <a:gd name="T36" fmla="*/ 119 w 107"/>
            <a:gd name="T37" fmla="*/ 573 h 108"/>
            <a:gd name="T38" fmla="*/ 153 w 107"/>
            <a:gd name="T39" fmla="*/ 573 h 108"/>
            <a:gd name="T40" fmla="*/ 170 w 107"/>
            <a:gd name="T41" fmla="*/ 602 h 108"/>
            <a:gd name="T42" fmla="*/ 204 w 107"/>
            <a:gd name="T43" fmla="*/ 602 h 108"/>
            <a:gd name="T44" fmla="*/ 216 w 107"/>
            <a:gd name="T45" fmla="*/ 573 h 108"/>
            <a:gd name="T46" fmla="*/ 250 w 107"/>
            <a:gd name="T47" fmla="*/ 545 h 108"/>
            <a:gd name="T48" fmla="*/ 278 w 107"/>
            <a:gd name="T49" fmla="*/ 517 h 108"/>
            <a:gd name="T50" fmla="*/ 318 w 107"/>
            <a:gd name="T51" fmla="*/ 528 h 108"/>
            <a:gd name="T52" fmla="*/ 352 w 107"/>
            <a:gd name="T53" fmla="*/ 522 h 108"/>
            <a:gd name="T54" fmla="*/ 386 w 107"/>
            <a:gd name="T55" fmla="*/ 511 h 108"/>
            <a:gd name="T56" fmla="*/ 425 w 107"/>
            <a:gd name="T57" fmla="*/ 517 h 108"/>
            <a:gd name="T58" fmla="*/ 465 w 107"/>
            <a:gd name="T59" fmla="*/ 505 h 108"/>
            <a:gd name="T60" fmla="*/ 488 w 107"/>
            <a:gd name="T61" fmla="*/ 471 h 108"/>
            <a:gd name="T62" fmla="*/ 477 w 107"/>
            <a:gd name="T63" fmla="*/ 431 h 108"/>
            <a:gd name="T64" fmla="*/ 494 w 107"/>
            <a:gd name="T65" fmla="*/ 392 h 108"/>
            <a:gd name="T66" fmla="*/ 477 w 107"/>
            <a:gd name="T67" fmla="*/ 352 h 108"/>
            <a:gd name="T68" fmla="*/ 488 w 107"/>
            <a:gd name="T69" fmla="*/ 312 h 108"/>
            <a:gd name="T70" fmla="*/ 528 w 107"/>
            <a:gd name="T71" fmla="*/ 289 h 108"/>
            <a:gd name="T72" fmla="*/ 539 w 107"/>
            <a:gd name="T73" fmla="*/ 261 h 108"/>
            <a:gd name="T74" fmla="*/ 550 w 107"/>
            <a:gd name="T75" fmla="*/ 221 h 108"/>
            <a:gd name="T76" fmla="*/ 579 w 107"/>
            <a:gd name="T77" fmla="*/ 210 h 108"/>
            <a:gd name="T78" fmla="*/ 607 w 107"/>
            <a:gd name="T79" fmla="*/ 193 h 108"/>
            <a:gd name="T80" fmla="*/ 601 w 107"/>
            <a:gd name="T81" fmla="*/ 153 h 108"/>
            <a:gd name="T82" fmla="*/ 573 w 107"/>
            <a:gd name="T83" fmla="*/ 131 h 108"/>
            <a:gd name="T84" fmla="*/ 579 w 107"/>
            <a:gd name="T85" fmla="*/ 96 h 108"/>
            <a:gd name="T86" fmla="*/ 584 w 107"/>
            <a:gd name="T87" fmla="*/ 74 h 108"/>
            <a:gd name="T88" fmla="*/ 545 w 107"/>
            <a:gd name="T89" fmla="*/ 68 h 108"/>
            <a:gd name="T90" fmla="*/ 516 w 107"/>
            <a:gd name="T91" fmla="*/ 45 h 108"/>
            <a:gd name="T92" fmla="*/ 482 w 107"/>
            <a:gd name="T93" fmla="*/ 28 h 108"/>
            <a:gd name="T94" fmla="*/ 442 w 107"/>
            <a:gd name="T95" fmla="*/ 28 h 108"/>
            <a:gd name="T96" fmla="*/ 408 w 107"/>
            <a:gd name="T97" fmla="*/ 51 h 108"/>
            <a:gd name="T98" fmla="*/ 386 w 107"/>
            <a:gd name="T99" fmla="*/ 74 h 108"/>
            <a:gd name="T100" fmla="*/ 352 w 107"/>
            <a:gd name="T101" fmla="*/ 68 h 108"/>
            <a:gd name="T102" fmla="*/ 323 w 107"/>
            <a:gd name="T103" fmla="*/ 45 h 108"/>
            <a:gd name="T104" fmla="*/ 301 w 107"/>
            <a:gd name="T105" fmla="*/ 11 h 108"/>
            <a:gd name="T106" fmla="*/ 261 w 107"/>
            <a:gd name="T107" fmla="*/ 0 h 108"/>
            <a:gd name="T108" fmla="*/ 221 w 107"/>
            <a:gd name="T109" fmla="*/ 6 h 108"/>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07" h="108">
              <a:moveTo>
                <a:pt x="44" y="0"/>
              </a:moveTo>
              <a:lnTo>
                <a:pt x="42" y="2"/>
              </a:lnTo>
              <a:lnTo>
                <a:pt x="41" y="2"/>
              </a:lnTo>
              <a:lnTo>
                <a:pt x="40" y="2"/>
              </a:lnTo>
              <a:lnTo>
                <a:pt x="39" y="1"/>
              </a:lnTo>
              <a:lnTo>
                <a:pt x="38" y="1"/>
              </a:lnTo>
              <a:lnTo>
                <a:pt x="38" y="2"/>
              </a:lnTo>
              <a:lnTo>
                <a:pt x="39" y="3"/>
              </a:lnTo>
              <a:lnTo>
                <a:pt x="39" y="5"/>
              </a:lnTo>
              <a:lnTo>
                <a:pt x="39" y="6"/>
              </a:lnTo>
              <a:lnTo>
                <a:pt x="39" y="7"/>
              </a:lnTo>
              <a:lnTo>
                <a:pt x="39" y="8"/>
              </a:lnTo>
              <a:lnTo>
                <a:pt x="39" y="9"/>
              </a:lnTo>
              <a:lnTo>
                <a:pt x="39" y="10"/>
              </a:lnTo>
              <a:lnTo>
                <a:pt x="38" y="12"/>
              </a:lnTo>
              <a:lnTo>
                <a:pt x="38" y="13"/>
              </a:lnTo>
              <a:lnTo>
                <a:pt x="37" y="14"/>
              </a:lnTo>
              <a:lnTo>
                <a:pt x="37" y="15"/>
              </a:lnTo>
              <a:lnTo>
                <a:pt x="37" y="16"/>
              </a:lnTo>
              <a:lnTo>
                <a:pt x="37" y="17"/>
              </a:lnTo>
              <a:lnTo>
                <a:pt x="37" y="19"/>
              </a:lnTo>
              <a:lnTo>
                <a:pt x="37" y="20"/>
              </a:lnTo>
              <a:lnTo>
                <a:pt x="37" y="21"/>
              </a:lnTo>
              <a:lnTo>
                <a:pt x="37" y="22"/>
              </a:lnTo>
              <a:lnTo>
                <a:pt x="37" y="23"/>
              </a:lnTo>
              <a:lnTo>
                <a:pt x="36" y="24"/>
              </a:lnTo>
              <a:lnTo>
                <a:pt x="35" y="26"/>
              </a:lnTo>
              <a:lnTo>
                <a:pt x="34" y="27"/>
              </a:lnTo>
              <a:lnTo>
                <a:pt x="33" y="28"/>
              </a:lnTo>
              <a:lnTo>
                <a:pt x="33" y="29"/>
              </a:lnTo>
              <a:lnTo>
                <a:pt x="33" y="30"/>
              </a:lnTo>
              <a:lnTo>
                <a:pt x="33" y="31"/>
              </a:lnTo>
              <a:lnTo>
                <a:pt x="33" y="33"/>
              </a:lnTo>
              <a:lnTo>
                <a:pt x="33" y="34"/>
              </a:lnTo>
              <a:lnTo>
                <a:pt x="32" y="35"/>
              </a:lnTo>
              <a:lnTo>
                <a:pt x="32" y="36"/>
              </a:lnTo>
              <a:lnTo>
                <a:pt x="30" y="37"/>
              </a:lnTo>
              <a:lnTo>
                <a:pt x="29" y="37"/>
              </a:lnTo>
              <a:lnTo>
                <a:pt x="28" y="37"/>
              </a:lnTo>
              <a:lnTo>
                <a:pt x="27" y="37"/>
              </a:lnTo>
              <a:lnTo>
                <a:pt x="26" y="38"/>
              </a:lnTo>
              <a:lnTo>
                <a:pt x="26" y="39"/>
              </a:lnTo>
              <a:lnTo>
                <a:pt x="25" y="40"/>
              </a:lnTo>
              <a:lnTo>
                <a:pt x="25" y="41"/>
              </a:lnTo>
              <a:lnTo>
                <a:pt x="24" y="42"/>
              </a:lnTo>
              <a:lnTo>
                <a:pt x="23" y="44"/>
              </a:lnTo>
              <a:lnTo>
                <a:pt x="22" y="45"/>
              </a:lnTo>
              <a:lnTo>
                <a:pt x="22" y="46"/>
              </a:lnTo>
              <a:lnTo>
                <a:pt x="22" y="47"/>
              </a:lnTo>
              <a:lnTo>
                <a:pt x="22" y="48"/>
              </a:lnTo>
              <a:lnTo>
                <a:pt x="20" y="49"/>
              </a:lnTo>
              <a:lnTo>
                <a:pt x="19" y="49"/>
              </a:lnTo>
              <a:lnTo>
                <a:pt x="18" y="50"/>
              </a:lnTo>
              <a:lnTo>
                <a:pt x="17" y="50"/>
              </a:lnTo>
              <a:lnTo>
                <a:pt x="16" y="51"/>
              </a:lnTo>
              <a:lnTo>
                <a:pt x="15" y="51"/>
              </a:lnTo>
              <a:lnTo>
                <a:pt x="14" y="51"/>
              </a:lnTo>
              <a:lnTo>
                <a:pt x="13" y="51"/>
              </a:lnTo>
              <a:lnTo>
                <a:pt x="12" y="52"/>
              </a:lnTo>
              <a:lnTo>
                <a:pt x="11" y="53"/>
              </a:lnTo>
              <a:lnTo>
                <a:pt x="10" y="53"/>
              </a:lnTo>
              <a:lnTo>
                <a:pt x="9" y="54"/>
              </a:lnTo>
              <a:lnTo>
                <a:pt x="9" y="55"/>
              </a:lnTo>
              <a:lnTo>
                <a:pt x="8" y="56"/>
              </a:lnTo>
              <a:lnTo>
                <a:pt x="8" y="57"/>
              </a:lnTo>
              <a:lnTo>
                <a:pt x="7" y="58"/>
              </a:lnTo>
              <a:lnTo>
                <a:pt x="7" y="60"/>
              </a:lnTo>
              <a:lnTo>
                <a:pt x="6" y="61"/>
              </a:lnTo>
              <a:lnTo>
                <a:pt x="6" y="62"/>
              </a:lnTo>
              <a:lnTo>
                <a:pt x="5" y="63"/>
              </a:lnTo>
              <a:lnTo>
                <a:pt x="5" y="64"/>
              </a:lnTo>
              <a:lnTo>
                <a:pt x="5" y="66"/>
              </a:lnTo>
              <a:lnTo>
                <a:pt x="5" y="67"/>
              </a:lnTo>
              <a:lnTo>
                <a:pt x="4" y="68"/>
              </a:lnTo>
              <a:lnTo>
                <a:pt x="3" y="69"/>
              </a:lnTo>
              <a:lnTo>
                <a:pt x="3" y="70"/>
              </a:lnTo>
              <a:lnTo>
                <a:pt x="2" y="71"/>
              </a:lnTo>
              <a:lnTo>
                <a:pt x="2" y="73"/>
              </a:lnTo>
              <a:lnTo>
                <a:pt x="2" y="74"/>
              </a:lnTo>
              <a:lnTo>
                <a:pt x="1" y="75"/>
              </a:lnTo>
              <a:lnTo>
                <a:pt x="1" y="76"/>
              </a:lnTo>
              <a:lnTo>
                <a:pt x="0" y="77"/>
              </a:lnTo>
              <a:lnTo>
                <a:pt x="1" y="78"/>
              </a:lnTo>
              <a:lnTo>
                <a:pt x="1" y="80"/>
              </a:lnTo>
              <a:lnTo>
                <a:pt x="2" y="80"/>
              </a:lnTo>
              <a:lnTo>
                <a:pt x="2" y="81"/>
              </a:lnTo>
              <a:lnTo>
                <a:pt x="2" y="83"/>
              </a:lnTo>
              <a:lnTo>
                <a:pt x="2" y="84"/>
              </a:lnTo>
              <a:lnTo>
                <a:pt x="1" y="84"/>
              </a:lnTo>
              <a:lnTo>
                <a:pt x="0" y="85"/>
              </a:lnTo>
              <a:lnTo>
                <a:pt x="0" y="87"/>
              </a:lnTo>
              <a:lnTo>
                <a:pt x="0" y="88"/>
              </a:lnTo>
              <a:lnTo>
                <a:pt x="1" y="89"/>
              </a:lnTo>
              <a:lnTo>
                <a:pt x="2" y="90"/>
              </a:lnTo>
              <a:lnTo>
                <a:pt x="3" y="90"/>
              </a:lnTo>
              <a:lnTo>
                <a:pt x="4" y="91"/>
              </a:lnTo>
              <a:lnTo>
                <a:pt x="5" y="92"/>
              </a:lnTo>
              <a:lnTo>
                <a:pt x="6" y="93"/>
              </a:lnTo>
              <a:lnTo>
                <a:pt x="7" y="93"/>
              </a:lnTo>
              <a:lnTo>
                <a:pt x="8" y="94"/>
              </a:lnTo>
              <a:lnTo>
                <a:pt x="9" y="95"/>
              </a:lnTo>
              <a:lnTo>
                <a:pt x="10" y="95"/>
              </a:lnTo>
              <a:lnTo>
                <a:pt x="11" y="95"/>
              </a:lnTo>
              <a:lnTo>
                <a:pt x="12" y="95"/>
              </a:lnTo>
              <a:lnTo>
                <a:pt x="13" y="95"/>
              </a:lnTo>
              <a:lnTo>
                <a:pt x="14" y="96"/>
              </a:lnTo>
              <a:lnTo>
                <a:pt x="14" y="97"/>
              </a:lnTo>
              <a:lnTo>
                <a:pt x="15" y="98"/>
              </a:lnTo>
              <a:lnTo>
                <a:pt x="16" y="99"/>
              </a:lnTo>
              <a:lnTo>
                <a:pt x="17" y="100"/>
              </a:lnTo>
              <a:lnTo>
                <a:pt x="18" y="101"/>
              </a:lnTo>
              <a:lnTo>
                <a:pt x="19" y="101"/>
              </a:lnTo>
              <a:lnTo>
                <a:pt x="20" y="101"/>
              </a:lnTo>
              <a:lnTo>
                <a:pt x="21" y="101"/>
              </a:lnTo>
              <a:lnTo>
                <a:pt x="22" y="101"/>
              </a:lnTo>
              <a:lnTo>
                <a:pt x="23" y="101"/>
              </a:lnTo>
              <a:lnTo>
                <a:pt x="25" y="101"/>
              </a:lnTo>
              <a:lnTo>
                <a:pt x="26" y="101"/>
              </a:lnTo>
              <a:lnTo>
                <a:pt x="27" y="101"/>
              </a:lnTo>
              <a:lnTo>
                <a:pt x="29" y="101"/>
              </a:lnTo>
              <a:lnTo>
                <a:pt x="29" y="103"/>
              </a:lnTo>
              <a:lnTo>
                <a:pt x="30" y="103"/>
              </a:lnTo>
              <a:lnTo>
                <a:pt x="30" y="104"/>
              </a:lnTo>
              <a:lnTo>
                <a:pt x="30" y="105"/>
              </a:lnTo>
              <a:lnTo>
                <a:pt x="30" y="106"/>
              </a:lnTo>
              <a:lnTo>
                <a:pt x="31" y="107"/>
              </a:lnTo>
              <a:lnTo>
                <a:pt x="32" y="108"/>
              </a:lnTo>
              <a:lnTo>
                <a:pt x="33" y="108"/>
              </a:lnTo>
              <a:lnTo>
                <a:pt x="35" y="108"/>
              </a:lnTo>
              <a:lnTo>
                <a:pt x="36" y="108"/>
              </a:lnTo>
              <a:lnTo>
                <a:pt x="36" y="106"/>
              </a:lnTo>
              <a:lnTo>
                <a:pt x="36" y="105"/>
              </a:lnTo>
              <a:lnTo>
                <a:pt x="36" y="104"/>
              </a:lnTo>
              <a:lnTo>
                <a:pt x="36" y="103"/>
              </a:lnTo>
              <a:lnTo>
                <a:pt x="36" y="102"/>
              </a:lnTo>
              <a:lnTo>
                <a:pt x="37" y="101"/>
              </a:lnTo>
              <a:lnTo>
                <a:pt x="38" y="101"/>
              </a:lnTo>
              <a:lnTo>
                <a:pt x="39" y="99"/>
              </a:lnTo>
              <a:lnTo>
                <a:pt x="40" y="99"/>
              </a:lnTo>
              <a:lnTo>
                <a:pt x="41" y="98"/>
              </a:lnTo>
              <a:lnTo>
                <a:pt x="42" y="97"/>
              </a:lnTo>
              <a:lnTo>
                <a:pt x="43" y="96"/>
              </a:lnTo>
              <a:lnTo>
                <a:pt x="44" y="96"/>
              </a:lnTo>
              <a:lnTo>
                <a:pt x="45" y="95"/>
              </a:lnTo>
              <a:lnTo>
                <a:pt x="46" y="94"/>
              </a:lnTo>
              <a:lnTo>
                <a:pt x="46" y="93"/>
              </a:lnTo>
              <a:lnTo>
                <a:pt x="47" y="92"/>
              </a:lnTo>
              <a:lnTo>
                <a:pt x="48" y="92"/>
              </a:lnTo>
              <a:lnTo>
                <a:pt x="49" y="91"/>
              </a:lnTo>
              <a:lnTo>
                <a:pt x="50" y="91"/>
              </a:lnTo>
              <a:lnTo>
                <a:pt x="52" y="90"/>
              </a:lnTo>
              <a:lnTo>
                <a:pt x="53" y="91"/>
              </a:lnTo>
              <a:lnTo>
                <a:pt x="54" y="91"/>
              </a:lnTo>
              <a:lnTo>
                <a:pt x="55" y="91"/>
              </a:lnTo>
              <a:lnTo>
                <a:pt x="56" y="93"/>
              </a:lnTo>
              <a:lnTo>
                <a:pt x="57" y="94"/>
              </a:lnTo>
              <a:lnTo>
                <a:pt x="58" y="94"/>
              </a:lnTo>
              <a:lnTo>
                <a:pt x="59" y="94"/>
              </a:lnTo>
              <a:lnTo>
                <a:pt x="60" y="94"/>
              </a:lnTo>
              <a:lnTo>
                <a:pt x="61" y="93"/>
              </a:lnTo>
              <a:lnTo>
                <a:pt x="62" y="92"/>
              </a:lnTo>
              <a:lnTo>
                <a:pt x="63" y="92"/>
              </a:lnTo>
              <a:lnTo>
                <a:pt x="64" y="91"/>
              </a:lnTo>
              <a:lnTo>
                <a:pt x="65" y="90"/>
              </a:lnTo>
              <a:lnTo>
                <a:pt x="66" y="90"/>
              </a:lnTo>
              <a:lnTo>
                <a:pt x="67" y="90"/>
              </a:lnTo>
              <a:lnTo>
                <a:pt x="68" y="90"/>
              </a:lnTo>
              <a:lnTo>
                <a:pt x="70" y="90"/>
              </a:lnTo>
              <a:lnTo>
                <a:pt x="71" y="91"/>
              </a:lnTo>
              <a:lnTo>
                <a:pt x="72" y="91"/>
              </a:lnTo>
              <a:lnTo>
                <a:pt x="73" y="91"/>
              </a:lnTo>
              <a:lnTo>
                <a:pt x="74" y="91"/>
              </a:lnTo>
              <a:lnTo>
                <a:pt x="75" y="91"/>
              </a:lnTo>
              <a:lnTo>
                <a:pt x="76" y="90"/>
              </a:lnTo>
              <a:lnTo>
                <a:pt x="77" y="90"/>
              </a:lnTo>
              <a:lnTo>
                <a:pt x="78" y="90"/>
              </a:lnTo>
              <a:lnTo>
                <a:pt x="80" y="89"/>
              </a:lnTo>
              <a:lnTo>
                <a:pt x="82" y="89"/>
              </a:lnTo>
              <a:lnTo>
                <a:pt x="83" y="88"/>
              </a:lnTo>
              <a:lnTo>
                <a:pt x="84" y="87"/>
              </a:lnTo>
              <a:lnTo>
                <a:pt x="84" y="86"/>
              </a:lnTo>
              <a:lnTo>
                <a:pt x="85" y="85"/>
              </a:lnTo>
              <a:lnTo>
                <a:pt x="86" y="84"/>
              </a:lnTo>
              <a:lnTo>
                <a:pt x="86" y="83"/>
              </a:lnTo>
              <a:lnTo>
                <a:pt x="86" y="81"/>
              </a:lnTo>
              <a:lnTo>
                <a:pt x="86" y="80"/>
              </a:lnTo>
              <a:lnTo>
                <a:pt x="87" y="79"/>
              </a:lnTo>
              <a:lnTo>
                <a:pt x="86" y="78"/>
              </a:lnTo>
              <a:lnTo>
                <a:pt x="85" y="77"/>
              </a:lnTo>
              <a:lnTo>
                <a:pt x="84" y="76"/>
              </a:lnTo>
              <a:lnTo>
                <a:pt x="84" y="75"/>
              </a:lnTo>
              <a:lnTo>
                <a:pt x="85" y="73"/>
              </a:lnTo>
              <a:lnTo>
                <a:pt x="85" y="72"/>
              </a:lnTo>
              <a:lnTo>
                <a:pt x="87" y="71"/>
              </a:lnTo>
              <a:lnTo>
                <a:pt x="87" y="70"/>
              </a:lnTo>
              <a:lnTo>
                <a:pt x="87" y="69"/>
              </a:lnTo>
              <a:lnTo>
                <a:pt x="87" y="68"/>
              </a:lnTo>
              <a:lnTo>
                <a:pt x="86" y="67"/>
              </a:lnTo>
              <a:lnTo>
                <a:pt x="86" y="66"/>
              </a:lnTo>
              <a:lnTo>
                <a:pt x="85" y="64"/>
              </a:lnTo>
              <a:lnTo>
                <a:pt x="84" y="63"/>
              </a:lnTo>
              <a:lnTo>
                <a:pt x="84" y="62"/>
              </a:lnTo>
              <a:lnTo>
                <a:pt x="83" y="61"/>
              </a:lnTo>
              <a:lnTo>
                <a:pt x="83" y="60"/>
              </a:lnTo>
              <a:lnTo>
                <a:pt x="84" y="58"/>
              </a:lnTo>
              <a:lnTo>
                <a:pt x="85" y="57"/>
              </a:lnTo>
              <a:lnTo>
                <a:pt x="85" y="56"/>
              </a:lnTo>
              <a:lnTo>
                <a:pt x="86" y="55"/>
              </a:lnTo>
              <a:lnTo>
                <a:pt x="87" y="54"/>
              </a:lnTo>
              <a:lnTo>
                <a:pt x="88" y="53"/>
              </a:lnTo>
              <a:lnTo>
                <a:pt x="89" y="53"/>
              </a:lnTo>
              <a:lnTo>
                <a:pt x="90" y="53"/>
              </a:lnTo>
              <a:lnTo>
                <a:pt x="91" y="52"/>
              </a:lnTo>
              <a:lnTo>
                <a:pt x="93" y="51"/>
              </a:lnTo>
              <a:lnTo>
                <a:pt x="94" y="51"/>
              </a:lnTo>
              <a:lnTo>
                <a:pt x="95" y="50"/>
              </a:lnTo>
              <a:lnTo>
                <a:pt x="95" y="49"/>
              </a:lnTo>
              <a:lnTo>
                <a:pt x="95" y="48"/>
              </a:lnTo>
              <a:lnTo>
                <a:pt x="95" y="47"/>
              </a:lnTo>
              <a:lnTo>
                <a:pt x="95" y="46"/>
              </a:lnTo>
              <a:lnTo>
                <a:pt x="95" y="44"/>
              </a:lnTo>
              <a:lnTo>
                <a:pt x="95" y="43"/>
              </a:lnTo>
              <a:lnTo>
                <a:pt x="95" y="42"/>
              </a:lnTo>
              <a:lnTo>
                <a:pt x="96" y="41"/>
              </a:lnTo>
              <a:lnTo>
                <a:pt x="97" y="40"/>
              </a:lnTo>
              <a:lnTo>
                <a:pt x="97" y="39"/>
              </a:lnTo>
              <a:lnTo>
                <a:pt x="97" y="37"/>
              </a:lnTo>
              <a:lnTo>
                <a:pt x="97" y="36"/>
              </a:lnTo>
              <a:lnTo>
                <a:pt x="99" y="36"/>
              </a:lnTo>
              <a:lnTo>
                <a:pt x="100" y="36"/>
              </a:lnTo>
              <a:lnTo>
                <a:pt x="101" y="36"/>
              </a:lnTo>
              <a:lnTo>
                <a:pt x="102" y="37"/>
              </a:lnTo>
              <a:lnTo>
                <a:pt x="103" y="37"/>
              </a:lnTo>
              <a:lnTo>
                <a:pt x="104" y="37"/>
              </a:lnTo>
              <a:lnTo>
                <a:pt x="105" y="37"/>
              </a:lnTo>
              <a:lnTo>
                <a:pt x="106" y="36"/>
              </a:lnTo>
              <a:lnTo>
                <a:pt x="107" y="35"/>
              </a:lnTo>
              <a:lnTo>
                <a:pt x="107" y="34"/>
              </a:lnTo>
              <a:lnTo>
                <a:pt x="107" y="32"/>
              </a:lnTo>
              <a:lnTo>
                <a:pt x="107" y="31"/>
              </a:lnTo>
              <a:lnTo>
                <a:pt x="107" y="30"/>
              </a:lnTo>
              <a:lnTo>
                <a:pt x="107" y="29"/>
              </a:lnTo>
              <a:lnTo>
                <a:pt x="107" y="28"/>
              </a:lnTo>
              <a:lnTo>
                <a:pt x="106" y="27"/>
              </a:lnTo>
              <a:lnTo>
                <a:pt x="105" y="27"/>
              </a:lnTo>
              <a:lnTo>
                <a:pt x="104" y="27"/>
              </a:lnTo>
              <a:lnTo>
                <a:pt x="103" y="27"/>
              </a:lnTo>
              <a:lnTo>
                <a:pt x="102" y="26"/>
              </a:lnTo>
              <a:lnTo>
                <a:pt x="101" y="24"/>
              </a:lnTo>
              <a:lnTo>
                <a:pt x="101" y="23"/>
              </a:lnTo>
              <a:lnTo>
                <a:pt x="100" y="22"/>
              </a:lnTo>
              <a:lnTo>
                <a:pt x="100" y="21"/>
              </a:lnTo>
              <a:lnTo>
                <a:pt x="100" y="20"/>
              </a:lnTo>
              <a:lnTo>
                <a:pt x="100" y="19"/>
              </a:lnTo>
              <a:lnTo>
                <a:pt x="101" y="17"/>
              </a:lnTo>
              <a:lnTo>
                <a:pt x="102" y="17"/>
              </a:lnTo>
              <a:lnTo>
                <a:pt x="103" y="16"/>
              </a:lnTo>
              <a:lnTo>
                <a:pt x="104" y="16"/>
              </a:lnTo>
              <a:lnTo>
                <a:pt x="105" y="15"/>
              </a:lnTo>
              <a:lnTo>
                <a:pt x="105" y="14"/>
              </a:lnTo>
              <a:lnTo>
                <a:pt x="104" y="13"/>
              </a:lnTo>
              <a:lnTo>
                <a:pt x="103" y="13"/>
              </a:lnTo>
              <a:lnTo>
                <a:pt x="102" y="13"/>
              </a:lnTo>
              <a:lnTo>
                <a:pt x="101" y="13"/>
              </a:lnTo>
              <a:lnTo>
                <a:pt x="100" y="13"/>
              </a:lnTo>
              <a:lnTo>
                <a:pt x="99" y="13"/>
              </a:lnTo>
              <a:lnTo>
                <a:pt x="97" y="12"/>
              </a:lnTo>
              <a:lnTo>
                <a:pt x="96" y="12"/>
              </a:lnTo>
              <a:lnTo>
                <a:pt x="96" y="10"/>
              </a:lnTo>
              <a:lnTo>
                <a:pt x="95" y="9"/>
              </a:lnTo>
              <a:lnTo>
                <a:pt x="94" y="9"/>
              </a:lnTo>
              <a:lnTo>
                <a:pt x="93" y="9"/>
              </a:lnTo>
              <a:lnTo>
                <a:pt x="92" y="8"/>
              </a:lnTo>
              <a:lnTo>
                <a:pt x="91" y="8"/>
              </a:lnTo>
              <a:lnTo>
                <a:pt x="90" y="8"/>
              </a:lnTo>
              <a:lnTo>
                <a:pt x="88" y="8"/>
              </a:lnTo>
              <a:lnTo>
                <a:pt x="87" y="7"/>
              </a:lnTo>
              <a:lnTo>
                <a:pt x="87" y="6"/>
              </a:lnTo>
              <a:lnTo>
                <a:pt x="86" y="5"/>
              </a:lnTo>
              <a:lnTo>
                <a:pt x="85" y="5"/>
              </a:lnTo>
              <a:lnTo>
                <a:pt x="84" y="5"/>
              </a:lnTo>
              <a:lnTo>
                <a:pt x="83" y="4"/>
              </a:lnTo>
              <a:lnTo>
                <a:pt x="82" y="4"/>
              </a:lnTo>
              <a:lnTo>
                <a:pt x="80" y="5"/>
              </a:lnTo>
              <a:lnTo>
                <a:pt x="79" y="5"/>
              </a:lnTo>
              <a:lnTo>
                <a:pt x="78" y="5"/>
              </a:lnTo>
              <a:lnTo>
                <a:pt x="77" y="6"/>
              </a:lnTo>
              <a:lnTo>
                <a:pt x="76" y="6"/>
              </a:lnTo>
              <a:lnTo>
                <a:pt x="74" y="6"/>
              </a:lnTo>
              <a:lnTo>
                <a:pt x="73" y="7"/>
              </a:lnTo>
              <a:lnTo>
                <a:pt x="72" y="7"/>
              </a:lnTo>
              <a:lnTo>
                <a:pt x="72" y="9"/>
              </a:lnTo>
              <a:lnTo>
                <a:pt x="71" y="8"/>
              </a:lnTo>
              <a:lnTo>
                <a:pt x="71" y="10"/>
              </a:lnTo>
              <a:lnTo>
                <a:pt x="70" y="11"/>
              </a:lnTo>
              <a:lnTo>
                <a:pt x="70" y="12"/>
              </a:lnTo>
              <a:lnTo>
                <a:pt x="69" y="13"/>
              </a:lnTo>
              <a:lnTo>
                <a:pt x="68" y="13"/>
              </a:lnTo>
              <a:lnTo>
                <a:pt x="67" y="14"/>
              </a:lnTo>
              <a:lnTo>
                <a:pt x="66" y="14"/>
              </a:lnTo>
              <a:lnTo>
                <a:pt x="64" y="14"/>
              </a:lnTo>
              <a:lnTo>
                <a:pt x="63" y="14"/>
              </a:lnTo>
              <a:lnTo>
                <a:pt x="62" y="13"/>
              </a:lnTo>
              <a:lnTo>
                <a:pt x="62" y="12"/>
              </a:lnTo>
              <a:lnTo>
                <a:pt x="61" y="11"/>
              </a:lnTo>
              <a:lnTo>
                <a:pt x="60" y="11"/>
              </a:lnTo>
              <a:lnTo>
                <a:pt x="59" y="11"/>
              </a:lnTo>
              <a:lnTo>
                <a:pt x="58" y="11"/>
              </a:lnTo>
              <a:lnTo>
                <a:pt x="58" y="10"/>
              </a:lnTo>
              <a:lnTo>
                <a:pt x="57" y="8"/>
              </a:lnTo>
              <a:lnTo>
                <a:pt x="57" y="7"/>
              </a:lnTo>
              <a:lnTo>
                <a:pt x="57" y="6"/>
              </a:lnTo>
              <a:lnTo>
                <a:pt x="56" y="5"/>
              </a:lnTo>
              <a:lnTo>
                <a:pt x="55" y="5"/>
              </a:lnTo>
              <a:lnTo>
                <a:pt x="54" y="4"/>
              </a:lnTo>
              <a:lnTo>
                <a:pt x="53" y="2"/>
              </a:lnTo>
              <a:lnTo>
                <a:pt x="52" y="1"/>
              </a:lnTo>
              <a:lnTo>
                <a:pt x="51" y="1"/>
              </a:lnTo>
              <a:lnTo>
                <a:pt x="50" y="1"/>
              </a:lnTo>
              <a:lnTo>
                <a:pt x="49" y="1"/>
              </a:lnTo>
              <a:lnTo>
                <a:pt x="47" y="1"/>
              </a:lnTo>
              <a:lnTo>
                <a:pt x="46" y="0"/>
              </a:lnTo>
              <a:lnTo>
                <a:pt x="44" y="0"/>
              </a:lnTo>
              <a:lnTo>
                <a:pt x="43" y="0"/>
              </a:lnTo>
              <a:lnTo>
                <a:pt x="42" y="0"/>
              </a:lnTo>
              <a:lnTo>
                <a:pt x="41" y="0"/>
              </a:lnTo>
              <a:lnTo>
                <a:pt x="40" y="0"/>
              </a:lnTo>
              <a:lnTo>
                <a:pt x="39" y="1"/>
              </a:lnTo>
              <a:lnTo>
                <a:pt x="40" y="2"/>
              </a:lnTo>
              <a:lnTo>
                <a:pt x="41" y="2"/>
              </a:lnTo>
              <a:lnTo>
                <a:pt x="44" y="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548098</xdr:colOff>
      <xdr:row>53</xdr:row>
      <xdr:rowOff>160957</xdr:rowOff>
    </xdr:from>
    <xdr:to>
      <xdr:col>3</xdr:col>
      <xdr:colOff>1150265</xdr:colOff>
      <xdr:row>60</xdr:row>
      <xdr:rowOff>75410</xdr:rowOff>
    </xdr:to>
    <xdr:sp macro="" textlink="">
      <xdr:nvSpPr>
        <xdr:cNvPr id="123" name="Freeform 106">
          <a:extLst>
            <a:ext uri="{FF2B5EF4-FFF2-40B4-BE49-F238E27FC236}">
              <a16:creationId xmlns:a16="http://schemas.microsoft.com/office/drawing/2014/main" id="{E9CF037A-C538-40DC-A9A1-6D5F3A88DDF8}"/>
            </a:ext>
          </a:extLst>
        </xdr:cNvPr>
        <xdr:cNvSpPr>
          <a:spLocks noChangeAspect="1"/>
        </xdr:cNvSpPr>
      </xdr:nvSpPr>
      <xdr:spPr bwMode="gray">
        <a:xfrm>
          <a:off x="2979241" y="8942100"/>
          <a:ext cx="602167" cy="1057453"/>
        </a:xfrm>
        <a:custGeom>
          <a:avLst/>
          <a:gdLst>
            <a:gd name="T0" fmla="*/ 136 w 71"/>
            <a:gd name="T1" fmla="*/ 153 h 133"/>
            <a:gd name="T2" fmla="*/ 176 w 71"/>
            <a:gd name="T3" fmla="*/ 148 h 133"/>
            <a:gd name="T4" fmla="*/ 193 w 71"/>
            <a:gd name="T5" fmla="*/ 108 h 133"/>
            <a:gd name="T6" fmla="*/ 209 w 71"/>
            <a:gd name="T7" fmla="*/ 74 h 133"/>
            <a:gd name="T8" fmla="*/ 221 w 71"/>
            <a:gd name="T9" fmla="*/ 34 h 133"/>
            <a:gd name="T10" fmla="*/ 187 w 71"/>
            <a:gd name="T11" fmla="*/ 23 h 133"/>
            <a:gd name="T12" fmla="*/ 193 w 71"/>
            <a:gd name="T13" fmla="*/ 0 h 133"/>
            <a:gd name="T14" fmla="*/ 226 w 71"/>
            <a:gd name="T15" fmla="*/ 0 h 133"/>
            <a:gd name="T16" fmla="*/ 255 w 71"/>
            <a:gd name="T17" fmla="*/ 17 h 133"/>
            <a:gd name="T18" fmla="*/ 283 w 71"/>
            <a:gd name="T19" fmla="*/ 45 h 133"/>
            <a:gd name="T20" fmla="*/ 289 w 71"/>
            <a:gd name="T21" fmla="*/ 85 h 133"/>
            <a:gd name="T22" fmla="*/ 289 w 71"/>
            <a:gd name="T23" fmla="*/ 125 h 133"/>
            <a:gd name="T24" fmla="*/ 272 w 71"/>
            <a:gd name="T25" fmla="*/ 165 h 133"/>
            <a:gd name="T26" fmla="*/ 283 w 71"/>
            <a:gd name="T27" fmla="*/ 199 h 133"/>
            <a:gd name="T28" fmla="*/ 311 w 71"/>
            <a:gd name="T29" fmla="*/ 233 h 133"/>
            <a:gd name="T30" fmla="*/ 340 w 71"/>
            <a:gd name="T31" fmla="*/ 250 h 133"/>
            <a:gd name="T32" fmla="*/ 368 w 71"/>
            <a:gd name="T33" fmla="*/ 267 h 133"/>
            <a:gd name="T34" fmla="*/ 345 w 71"/>
            <a:gd name="T35" fmla="*/ 301 h 133"/>
            <a:gd name="T36" fmla="*/ 328 w 71"/>
            <a:gd name="T37" fmla="*/ 341 h 133"/>
            <a:gd name="T38" fmla="*/ 340 w 71"/>
            <a:gd name="T39" fmla="*/ 380 h 133"/>
            <a:gd name="T40" fmla="*/ 362 w 71"/>
            <a:gd name="T41" fmla="*/ 414 h 133"/>
            <a:gd name="T42" fmla="*/ 374 w 71"/>
            <a:gd name="T43" fmla="*/ 443 h 133"/>
            <a:gd name="T44" fmla="*/ 402 w 71"/>
            <a:gd name="T45" fmla="*/ 477 h 133"/>
            <a:gd name="T46" fmla="*/ 379 w 71"/>
            <a:gd name="T47" fmla="*/ 505 h 133"/>
            <a:gd name="T48" fmla="*/ 357 w 71"/>
            <a:gd name="T49" fmla="*/ 545 h 133"/>
            <a:gd name="T50" fmla="*/ 362 w 71"/>
            <a:gd name="T51" fmla="*/ 585 h 133"/>
            <a:gd name="T52" fmla="*/ 391 w 71"/>
            <a:gd name="T53" fmla="*/ 590 h 133"/>
            <a:gd name="T54" fmla="*/ 368 w 71"/>
            <a:gd name="T55" fmla="*/ 619 h 133"/>
            <a:gd name="T56" fmla="*/ 368 w 71"/>
            <a:gd name="T57" fmla="*/ 658 h 133"/>
            <a:gd name="T58" fmla="*/ 379 w 71"/>
            <a:gd name="T59" fmla="*/ 687 h 133"/>
            <a:gd name="T60" fmla="*/ 379 w 71"/>
            <a:gd name="T61" fmla="*/ 727 h 133"/>
            <a:gd name="T62" fmla="*/ 368 w 71"/>
            <a:gd name="T63" fmla="*/ 755 h 133"/>
            <a:gd name="T64" fmla="*/ 334 w 71"/>
            <a:gd name="T65" fmla="*/ 738 h 133"/>
            <a:gd name="T66" fmla="*/ 300 w 71"/>
            <a:gd name="T67" fmla="*/ 715 h 133"/>
            <a:gd name="T68" fmla="*/ 266 w 71"/>
            <a:gd name="T69" fmla="*/ 693 h 133"/>
            <a:gd name="T70" fmla="*/ 232 w 71"/>
            <a:gd name="T71" fmla="*/ 698 h 133"/>
            <a:gd name="T72" fmla="*/ 198 w 71"/>
            <a:gd name="T73" fmla="*/ 715 h 133"/>
            <a:gd name="T74" fmla="*/ 164 w 71"/>
            <a:gd name="T75" fmla="*/ 749 h 133"/>
            <a:gd name="T76" fmla="*/ 130 w 71"/>
            <a:gd name="T77" fmla="*/ 738 h 133"/>
            <a:gd name="T78" fmla="*/ 108 w 71"/>
            <a:gd name="T79" fmla="*/ 704 h 133"/>
            <a:gd name="T80" fmla="*/ 74 w 71"/>
            <a:gd name="T81" fmla="*/ 676 h 133"/>
            <a:gd name="T82" fmla="*/ 34 w 71"/>
            <a:gd name="T83" fmla="*/ 670 h 133"/>
            <a:gd name="T84" fmla="*/ 0 w 71"/>
            <a:gd name="T85" fmla="*/ 676 h 133"/>
            <a:gd name="T86" fmla="*/ 0 w 71"/>
            <a:gd name="T87" fmla="*/ 636 h 133"/>
            <a:gd name="T88" fmla="*/ 0 w 71"/>
            <a:gd name="T89" fmla="*/ 596 h 133"/>
            <a:gd name="T90" fmla="*/ 6 w 71"/>
            <a:gd name="T91" fmla="*/ 562 h 133"/>
            <a:gd name="T92" fmla="*/ 6 w 71"/>
            <a:gd name="T93" fmla="*/ 517 h 133"/>
            <a:gd name="T94" fmla="*/ 17 w 71"/>
            <a:gd name="T95" fmla="*/ 483 h 133"/>
            <a:gd name="T96" fmla="*/ 28 w 71"/>
            <a:gd name="T97" fmla="*/ 443 h 133"/>
            <a:gd name="T98" fmla="*/ 57 w 71"/>
            <a:gd name="T99" fmla="*/ 403 h 133"/>
            <a:gd name="T100" fmla="*/ 68 w 71"/>
            <a:gd name="T101" fmla="*/ 363 h 133"/>
            <a:gd name="T102" fmla="*/ 96 w 71"/>
            <a:gd name="T103" fmla="*/ 341 h 133"/>
            <a:gd name="T104" fmla="*/ 113 w 71"/>
            <a:gd name="T105" fmla="*/ 301 h 133"/>
            <a:gd name="T106" fmla="*/ 119 w 71"/>
            <a:gd name="T107" fmla="*/ 261 h 133"/>
            <a:gd name="T108" fmla="*/ 125 w 71"/>
            <a:gd name="T109" fmla="*/ 216 h 13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71" h="133">
              <a:moveTo>
                <a:pt x="24" y="34"/>
              </a:moveTo>
              <a:lnTo>
                <a:pt x="22" y="30"/>
              </a:lnTo>
              <a:lnTo>
                <a:pt x="22" y="29"/>
              </a:lnTo>
              <a:lnTo>
                <a:pt x="22" y="28"/>
              </a:lnTo>
              <a:lnTo>
                <a:pt x="23" y="28"/>
              </a:lnTo>
              <a:lnTo>
                <a:pt x="24" y="27"/>
              </a:lnTo>
              <a:lnTo>
                <a:pt x="25" y="27"/>
              </a:lnTo>
              <a:lnTo>
                <a:pt x="26" y="27"/>
              </a:lnTo>
              <a:lnTo>
                <a:pt x="27" y="27"/>
              </a:lnTo>
              <a:lnTo>
                <a:pt x="28" y="27"/>
              </a:lnTo>
              <a:lnTo>
                <a:pt x="30" y="26"/>
              </a:lnTo>
              <a:lnTo>
                <a:pt x="31" y="26"/>
              </a:lnTo>
              <a:lnTo>
                <a:pt x="32" y="25"/>
              </a:lnTo>
              <a:lnTo>
                <a:pt x="33" y="24"/>
              </a:lnTo>
              <a:lnTo>
                <a:pt x="33" y="23"/>
              </a:lnTo>
              <a:lnTo>
                <a:pt x="33" y="22"/>
              </a:lnTo>
              <a:lnTo>
                <a:pt x="33" y="20"/>
              </a:lnTo>
              <a:lnTo>
                <a:pt x="34" y="19"/>
              </a:lnTo>
              <a:lnTo>
                <a:pt x="35" y="18"/>
              </a:lnTo>
              <a:lnTo>
                <a:pt x="36" y="17"/>
              </a:lnTo>
              <a:lnTo>
                <a:pt x="37" y="16"/>
              </a:lnTo>
              <a:lnTo>
                <a:pt x="37" y="15"/>
              </a:lnTo>
              <a:lnTo>
                <a:pt x="37" y="14"/>
              </a:lnTo>
              <a:lnTo>
                <a:pt x="37" y="13"/>
              </a:lnTo>
              <a:lnTo>
                <a:pt x="37" y="12"/>
              </a:lnTo>
              <a:lnTo>
                <a:pt x="38" y="10"/>
              </a:lnTo>
              <a:lnTo>
                <a:pt x="39" y="9"/>
              </a:lnTo>
              <a:lnTo>
                <a:pt x="39" y="8"/>
              </a:lnTo>
              <a:lnTo>
                <a:pt x="39" y="7"/>
              </a:lnTo>
              <a:lnTo>
                <a:pt x="39" y="6"/>
              </a:lnTo>
              <a:lnTo>
                <a:pt x="38" y="5"/>
              </a:lnTo>
              <a:lnTo>
                <a:pt x="37" y="5"/>
              </a:lnTo>
              <a:lnTo>
                <a:pt x="35" y="5"/>
              </a:lnTo>
              <a:lnTo>
                <a:pt x="34" y="5"/>
              </a:lnTo>
              <a:lnTo>
                <a:pt x="33" y="4"/>
              </a:lnTo>
              <a:lnTo>
                <a:pt x="32" y="3"/>
              </a:lnTo>
              <a:lnTo>
                <a:pt x="31" y="2"/>
              </a:lnTo>
              <a:lnTo>
                <a:pt x="30" y="1"/>
              </a:lnTo>
              <a:lnTo>
                <a:pt x="31" y="0"/>
              </a:lnTo>
              <a:lnTo>
                <a:pt x="33" y="0"/>
              </a:lnTo>
              <a:lnTo>
                <a:pt x="34" y="0"/>
              </a:lnTo>
              <a:lnTo>
                <a:pt x="35" y="0"/>
              </a:lnTo>
              <a:lnTo>
                <a:pt x="37" y="0"/>
              </a:lnTo>
              <a:lnTo>
                <a:pt x="38" y="0"/>
              </a:lnTo>
              <a:lnTo>
                <a:pt x="39" y="0"/>
              </a:lnTo>
              <a:lnTo>
                <a:pt x="40" y="0"/>
              </a:lnTo>
              <a:lnTo>
                <a:pt x="41" y="0"/>
              </a:lnTo>
              <a:lnTo>
                <a:pt x="42" y="0"/>
              </a:lnTo>
              <a:lnTo>
                <a:pt x="42" y="1"/>
              </a:lnTo>
              <a:lnTo>
                <a:pt x="43" y="2"/>
              </a:lnTo>
              <a:lnTo>
                <a:pt x="44" y="3"/>
              </a:lnTo>
              <a:lnTo>
                <a:pt x="45" y="3"/>
              </a:lnTo>
              <a:lnTo>
                <a:pt x="46" y="4"/>
              </a:lnTo>
              <a:lnTo>
                <a:pt x="47" y="4"/>
              </a:lnTo>
              <a:lnTo>
                <a:pt x="48" y="5"/>
              </a:lnTo>
              <a:lnTo>
                <a:pt x="49" y="5"/>
              </a:lnTo>
              <a:lnTo>
                <a:pt x="50" y="6"/>
              </a:lnTo>
              <a:lnTo>
                <a:pt x="50" y="8"/>
              </a:lnTo>
              <a:lnTo>
                <a:pt x="50" y="9"/>
              </a:lnTo>
              <a:lnTo>
                <a:pt x="50" y="10"/>
              </a:lnTo>
              <a:lnTo>
                <a:pt x="51" y="12"/>
              </a:lnTo>
              <a:lnTo>
                <a:pt x="51" y="13"/>
              </a:lnTo>
              <a:lnTo>
                <a:pt x="51" y="14"/>
              </a:lnTo>
              <a:lnTo>
                <a:pt x="51" y="15"/>
              </a:lnTo>
              <a:lnTo>
                <a:pt x="51" y="16"/>
              </a:lnTo>
              <a:lnTo>
                <a:pt x="51" y="17"/>
              </a:lnTo>
              <a:lnTo>
                <a:pt x="51" y="19"/>
              </a:lnTo>
              <a:lnTo>
                <a:pt x="51" y="20"/>
              </a:lnTo>
              <a:lnTo>
                <a:pt x="51" y="21"/>
              </a:lnTo>
              <a:lnTo>
                <a:pt x="51" y="22"/>
              </a:lnTo>
              <a:lnTo>
                <a:pt x="51" y="23"/>
              </a:lnTo>
              <a:lnTo>
                <a:pt x="51" y="24"/>
              </a:lnTo>
              <a:lnTo>
                <a:pt x="50" y="26"/>
              </a:lnTo>
              <a:lnTo>
                <a:pt x="49" y="27"/>
              </a:lnTo>
              <a:lnTo>
                <a:pt x="49" y="28"/>
              </a:lnTo>
              <a:lnTo>
                <a:pt x="48" y="29"/>
              </a:lnTo>
              <a:lnTo>
                <a:pt x="48" y="30"/>
              </a:lnTo>
              <a:lnTo>
                <a:pt x="47" y="31"/>
              </a:lnTo>
              <a:lnTo>
                <a:pt x="47" y="33"/>
              </a:lnTo>
              <a:lnTo>
                <a:pt x="48" y="34"/>
              </a:lnTo>
              <a:lnTo>
                <a:pt x="49" y="34"/>
              </a:lnTo>
              <a:lnTo>
                <a:pt x="50" y="35"/>
              </a:lnTo>
              <a:lnTo>
                <a:pt x="51" y="36"/>
              </a:lnTo>
              <a:lnTo>
                <a:pt x="52" y="37"/>
              </a:lnTo>
              <a:lnTo>
                <a:pt x="53" y="38"/>
              </a:lnTo>
              <a:lnTo>
                <a:pt x="54" y="40"/>
              </a:lnTo>
              <a:lnTo>
                <a:pt x="55" y="40"/>
              </a:lnTo>
              <a:lnTo>
                <a:pt x="55" y="41"/>
              </a:lnTo>
              <a:lnTo>
                <a:pt x="56" y="43"/>
              </a:lnTo>
              <a:lnTo>
                <a:pt x="56" y="44"/>
              </a:lnTo>
              <a:lnTo>
                <a:pt x="57" y="44"/>
              </a:lnTo>
              <a:lnTo>
                <a:pt x="58" y="44"/>
              </a:lnTo>
              <a:lnTo>
                <a:pt x="59" y="44"/>
              </a:lnTo>
              <a:lnTo>
                <a:pt x="60" y="44"/>
              </a:lnTo>
              <a:lnTo>
                <a:pt x="61" y="45"/>
              </a:lnTo>
              <a:lnTo>
                <a:pt x="62" y="45"/>
              </a:lnTo>
              <a:lnTo>
                <a:pt x="63" y="45"/>
              </a:lnTo>
              <a:lnTo>
                <a:pt x="65" y="45"/>
              </a:lnTo>
              <a:lnTo>
                <a:pt x="65" y="46"/>
              </a:lnTo>
              <a:lnTo>
                <a:pt x="65" y="47"/>
              </a:lnTo>
              <a:lnTo>
                <a:pt x="65" y="48"/>
              </a:lnTo>
              <a:lnTo>
                <a:pt x="65" y="50"/>
              </a:lnTo>
              <a:lnTo>
                <a:pt x="63" y="50"/>
              </a:lnTo>
              <a:lnTo>
                <a:pt x="63" y="51"/>
              </a:lnTo>
              <a:lnTo>
                <a:pt x="62" y="52"/>
              </a:lnTo>
              <a:lnTo>
                <a:pt x="61" y="53"/>
              </a:lnTo>
              <a:lnTo>
                <a:pt x="60" y="54"/>
              </a:lnTo>
              <a:lnTo>
                <a:pt x="59" y="55"/>
              </a:lnTo>
              <a:lnTo>
                <a:pt x="59" y="57"/>
              </a:lnTo>
              <a:lnTo>
                <a:pt x="59" y="58"/>
              </a:lnTo>
              <a:lnTo>
                <a:pt x="58" y="59"/>
              </a:lnTo>
              <a:lnTo>
                <a:pt x="58" y="60"/>
              </a:lnTo>
              <a:lnTo>
                <a:pt x="58" y="61"/>
              </a:lnTo>
              <a:lnTo>
                <a:pt x="58" y="63"/>
              </a:lnTo>
              <a:lnTo>
                <a:pt x="58" y="64"/>
              </a:lnTo>
              <a:lnTo>
                <a:pt x="59" y="65"/>
              </a:lnTo>
              <a:lnTo>
                <a:pt x="60" y="66"/>
              </a:lnTo>
              <a:lnTo>
                <a:pt x="60" y="67"/>
              </a:lnTo>
              <a:lnTo>
                <a:pt x="61" y="68"/>
              </a:lnTo>
              <a:lnTo>
                <a:pt x="61" y="69"/>
              </a:lnTo>
              <a:lnTo>
                <a:pt x="62" y="70"/>
              </a:lnTo>
              <a:lnTo>
                <a:pt x="63" y="71"/>
              </a:lnTo>
              <a:lnTo>
                <a:pt x="64" y="72"/>
              </a:lnTo>
              <a:lnTo>
                <a:pt x="64" y="73"/>
              </a:lnTo>
              <a:lnTo>
                <a:pt x="64" y="74"/>
              </a:lnTo>
              <a:lnTo>
                <a:pt x="64" y="75"/>
              </a:lnTo>
              <a:lnTo>
                <a:pt x="64" y="77"/>
              </a:lnTo>
              <a:lnTo>
                <a:pt x="64" y="78"/>
              </a:lnTo>
              <a:lnTo>
                <a:pt x="65" y="78"/>
              </a:lnTo>
              <a:lnTo>
                <a:pt x="66" y="78"/>
              </a:lnTo>
              <a:lnTo>
                <a:pt x="68" y="79"/>
              </a:lnTo>
              <a:lnTo>
                <a:pt x="68" y="81"/>
              </a:lnTo>
              <a:lnTo>
                <a:pt x="68" y="82"/>
              </a:lnTo>
              <a:lnTo>
                <a:pt x="69" y="83"/>
              </a:lnTo>
              <a:lnTo>
                <a:pt x="70" y="84"/>
              </a:lnTo>
              <a:lnTo>
                <a:pt x="71" y="84"/>
              </a:lnTo>
              <a:lnTo>
                <a:pt x="71" y="85"/>
              </a:lnTo>
              <a:lnTo>
                <a:pt x="70" y="85"/>
              </a:lnTo>
              <a:lnTo>
                <a:pt x="69" y="87"/>
              </a:lnTo>
              <a:lnTo>
                <a:pt x="68" y="88"/>
              </a:lnTo>
              <a:lnTo>
                <a:pt x="67" y="88"/>
              </a:lnTo>
              <a:lnTo>
                <a:pt x="67" y="89"/>
              </a:lnTo>
              <a:lnTo>
                <a:pt x="66" y="91"/>
              </a:lnTo>
              <a:lnTo>
                <a:pt x="66" y="92"/>
              </a:lnTo>
              <a:lnTo>
                <a:pt x="65" y="93"/>
              </a:lnTo>
              <a:lnTo>
                <a:pt x="64" y="94"/>
              </a:lnTo>
              <a:lnTo>
                <a:pt x="64" y="95"/>
              </a:lnTo>
              <a:lnTo>
                <a:pt x="63" y="96"/>
              </a:lnTo>
              <a:lnTo>
                <a:pt x="63" y="97"/>
              </a:lnTo>
              <a:lnTo>
                <a:pt x="63" y="99"/>
              </a:lnTo>
              <a:lnTo>
                <a:pt x="63" y="100"/>
              </a:lnTo>
              <a:lnTo>
                <a:pt x="63" y="101"/>
              </a:lnTo>
              <a:lnTo>
                <a:pt x="63" y="102"/>
              </a:lnTo>
              <a:lnTo>
                <a:pt x="64" y="103"/>
              </a:lnTo>
              <a:lnTo>
                <a:pt x="65" y="103"/>
              </a:lnTo>
              <a:lnTo>
                <a:pt x="66" y="103"/>
              </a:lnTo>
              <a:lnTo>
                <a:pt x="67" y="103"/>
              </a:lnTo>
              <a:lnTo>
                <a:pt x="68" y="103"/>
              </a:lnTo>
              <a:lnTo>
                <a:pt x="69" y="103"/>
              </a:lnTo>
              <a:lnTo>
                <a:pt x="69" y="104"/>
              </a:lnTo>
              <a:lnTo>
                <a:pt x="69" y="106"/>
              </a:lnTo>
              <a:lnTo>
                <a:pt x="68" y="106"/>
              </a:lnTo>
              <a:lnTo>
                <a:pt x="67" y="107"/>
              </a:lnTo>
              <a:lnTo>
                <a:pt x="66" y="107"/>
              </a:lnTo>
              <a:lnTo>
                <a:pt x="65" y="108"/>
              </a:lnTo>
              <a:lnTo>
                <a:pt x="65" y="109"/>
              </a:lnTo>
              <a:lnTo>
                <a:pt x="65" y="110"/>
              </a:lnTo>
              <a:lnTo>
                <a:pt x="66" y="112"/>
              </a:lnTo>
              <a:lnTo>
                <a:pt x="67" y="113"/>
              </a:lnTo>
              <a:lnTo>
                <a:pt x="66" y="114"/>
              </a:lnTo>
              <a:lnTo>
                <a:pt x="66" y="115"/>
              </a:lnTo>
              <a:lnTo>
                <a:pt x="65" y="116"/>
              </a:lnTo>
              <a:lnTo>
                <a:pt x="64" y="116"/>
              </a:lnTo>
              <a:lnTo>
                <a:pt x="64" y="117"/>
              </a:lnTo>
              <a:lnTo>
                <a:pt x="65" y="118"/>
              </a:lnTo>
              <a:lnTo>
                <a:pt x="66" y="119"/>
              </a:lnTo>
              <a:lnTo>
                <a:pt x="66" y="120"/>
              </a:lnTo>
              <a:lnTo>
                <a:pt x="67" y="121"/>
              </a:lnTo>
              <a:lnTo>
                <a:pt x="67" y="122"/>
              </a:lnTo>
              <a:lnTo>
                <a:pt x="68" y="123"/>
              </a:lnTo>
              <a:lnTo>
                <a:pt x="68" y="124"/>
              </a:lnTo>
              <a:lnTo>
                <a:pt x="68" y="126"/>
              </a:lnTo>
              <a:lnTo>
                <a:pt x="67" y="127"/>
              </a:lnTo>
              <a:lnTo>
                <a:pt x="67" y="128"/>
              </a:lnTo>
              <a:lnTo>
                <a:pt x="67" y="129"/>
              </a:lnTo>
              <a:lnTo>
                <a:pt x="68" y="130"/>
              </a:lnTo>
              <a:lnTo>
                <a:pt x="68" y="132"/>
              </a:lnTo>
              <a:lnTo>
                <a:pt x="68" y="133"/>
              </a:lnTo>
              <a:lnTo>
                <a:pt x="66" y="133"/>
              </a:lnTo>
              <a:lnTo>
                <a:pt x="65" y="133"/>
              </a:lnTo>
              <a:lnTo>
                <a:pt x="64" y="132"/>
              </a:lnTo>
              <a:lnTo>
                <a:pt x="63" y="132"/>
              </a:lnTo>
              <a:lnTo>
                <a:pt x="62" y="131"/>
              </a:lnTo>
              <a:lnTo>
                <a:pt x="61" y="131"/>
              </a:lnTo>
              <a:lnTo>
                <a:pt x="60" y="131"/>
              </a:lnTo>
              <a:lnTo>
                <a:pt x="59" y="130"/>
              </a:lnTo>
              <a:lnTo>
                <a:pt x="58" y="129"/>
              </a:lnTo>
              <a:lnTo>
                <a:pt x="58" y="127"/>
              </a:lnTo>
              <a:lnTo>
                <a:pt x="57" y="127"/>
              </a:lnTo>
              <a:lnTo>
                <a:pt x="56" y="127"/>
              </a:lnTo>
              <a:lnTo>
                <a:pt x="54" y="127"/>
              </a:lnTo>
              <a:lnTo>
                <a:pt x="53" y="126"/>
              </a:lnTo>
              <a:lnTo>
                <a:pt x="52" y="126"/>
              </a:lnTo>
              <a:lnTo>
                <a:pt x="51" y="125"/>
              </a:lnTo>
              <a:lnTo>
                <a:pt x="50" y="125"/>
              </a:lnTo>
              <a:lnTo>
                <a:pt x="49" y="124"/>
              </a:lnTo>
              <a:lnTo>
                <a:pt x="48" y="123"/>
              </a:lnTo>
              <a:lnTo>
                <a:pt x="47" y="122"/>
              </a:lnTo>
              <a:lnTo>
                <a:pt x="46" y="122"/>
              </a:lnTo>
              <a:lnTo>
                <a:pt x="45" y="122"/>
              </a:lnTo>
              <a:lnTo>
                <a:pt x="44" y="122"/>
              </a:lnTo>
              <a:lnTo>
                <a:pt x="43" y="122"/>
              </a:lnTo>
              <a:lnTo>
                <a:pt x="42" y="123"/>
              </a:lnTo>
              <a:lnTo>
                <a:pt x="41" y="123"/>
              </a:lnTo>
              <a:lnTo>
                <a:pt x="40" y="123"/>
              </a:lnTo>
              <a:lnTo>
                <a:pt x="39" y="124"/>
              </a:lnTo>
              <a:lnTo>
                <a:pt x="38" y="124"/>
              </a:lnTo>
              <a:lnTo>
                <a:pt x="37" y="125"/>
              </a:lnTo>
              <a:lnTo>
                <a:pt x="35" y="125"/>
              </a:lnTo>
              <a:lnTo>
                <a:pt x="35" y="126"/>
              </a:lnTo>
              <a:lnTo>
                <a:pt x="34" y="127"/>
              </a:lnTo>
              <a:lnTo>
                <a:pt x="33" y="128"/>
              </a:lnTo>
              <a:lnTo>
                <a:pt x="32" y="130"/>
              </a:lnTo>
              <a:lnTo>
                <a:pt x="31" y="131"/>
              </a:lnTo>
              <a:lnTo>
                <a:pt x="30" y="132"/>
              </a:lnTo>
              <a:lnTo>
                <a:pt x="29" y="132"/>
              </a:lnTo>
              <a:lnTo>
                <a:pt x="28" y="132"/>
              </a:lnTo>
              <a:lnTo>
                <a:pt x="27" y="132"/>
              </a:lnTo>
              <a:lnTo>
                <a:pt x="26" y="132"/>
              </a:lnTo>
              <a:lnTo>
                <a:pt x="25" y="132"/>
              </a:lnTo>
              <a:lnTo>
                <a:pt x="24" y="130"/>
              </a:lnTo>
              <a:lnTo>
                <a:pt x="23" y="130"/>
              </a:lnTo>
              <a:lnTo>
                <a:pt x="22" y="130"/>
              </a:lnTo>
              <a:lnTo>
                <a:pt x="21" y="128"/>
              </a:lnTo>
              <a:lnTo>
                <a:pt x="21" y="127"/>
              </a:lnTo>
              <a:lnTo>
                <a:pt x="21" y="126"/>
              </a:lnTo>
              <a:lnTo>
                <a:pt x="19" y="125"/>
              </a:lnTo>
              <a:lnTo>
                <a:pt x="19" y="124"/>
              </a:lnTo>
              <a:lnTo>
                <a:pt x="18" y="123"/>
              </a:lnTo>
              <a:lnTo>
                <a:pt x="17" y="123"/>
              </a:lnTo>
              <a:lnTo>
                <a:pt x="16" y="122"/>
              </a:lnTo>
              <a:lnTo>
                <a:pt x="15" y="121"/>
              </a:lnTo>
              <a:lnTo>
                <a:pt x="15" y="120"/>
              </a:lnTo>
              <a:lnTo>
                <a:pt x="13" y="119"/>
              </a:lnTo>
              <a:lnTo>
                <a:pt x="12" y="118"/>
              </a:lnTo>
              <a:lnTo>
                <a:pt x="11" y="119"/>
              </a:lnTo>
              <a:lnTo>
                <a:pt x="10" y="119"/>
              </a:lnTo>
              <a:lnTo>
                <a:pt x="9" y="119"/>
              </a:lnTo>
              <a:lnTo>
                <a:pt x="7" y="119"/>
              </a:lnTo>
              <a:lnTo>
                <a:pt x="6" y="118"/>
              </a:lnTo>
              <a:lnTo>
                <a:pt x="5" y="118"/>
              </a:lnTo>
              <a:lnTo>
                <a:pt x="4" y="118"/>
              </a:lnTo>
              <a:lnTo>
                <a:pt x="2" y="118"/>
              </a:lnTo>
              <a:lnTo>
                <a:pt x="1" y="119"/>
              </a:lnTo>
              <a:lnTo>
                <a:pt x="0" y="120"/>
              </a:lnTo>
              <a:lnTo>
                <a:pt x="0" y="119"/>
              </a:lnTo>
              <a:lnTo>
                <a:pt x="0" y="118"/>
              </a:lnTo>
              <a:lnTo>
                <a:pt x="0" y="117"/>
              </a:lnTo>
              <a:lnTo>
                <a:pt x="0" y="115"/>
              </a:lnTo>
              <a:lnTo>
                <a:pt x="0" y="114"/>
              </a:lnTo>
              <a:lnTo>
                <a:pt x="0" y="113"/>
              </a:lnTo>
              <a:lnTo>
                <a:pt x="0" y="112"/>
              </a:lnTo>
              <a:lnTo>
                <a:pt x="0" y="111"/>
              </a:lnTo>
              <a:lnTo>
                <a:pt x="0" y="109"/>
              </a:lnTo>
              <a:lnTo>
                <a:pt x="0" y="108"/>
              </a:lnTo>
              <a:lnTo>
                <a:pt x="0" y="107"/>
              </a:lnTo>
              <a:lnTo>
                <a:pt x="0" y="106"/>
              </a:lnTo>
              <a:lnTo>
                <a:pt x="0" y="105"/>
              </a:lnTo>
              <a:lnTo>
                <a:pt x="1" y="103"/>
              </a:lnTo>
              <a:lnTo>
                <a:pt x="2" y="103"/>
              </a:lnTo>
              <a:lnTo>
                <a:pt x="2" y="102"/>
              </a:lnTo>
              <a:lnTo>
                <a:pt x="2" y="101"/>
              </a:lnTo>
              <a:lnTo>
                <a:pt x="2" y="100"/>
              </a:lnTo>
              <a:lnTo>
                <a:pt x="1" y="99"/>
              </a:lnTo>
              <a:lnTo>
                <a:pt x="1" y="97"/>
              </a:lnTo>
              <a:lnTo>
                <a:pt x="1" y="96"/>
              </a:lnTo>
              <a:lnTo>
                <a:pt x="1" y="95"/>
              </a:lnTo>
              <a:lnTo>
                <a:pt x="1" y="94"/>
              </a:lnTo>
              <a:lnTo>
                <a:pt x="1" y="93"/>
              </a:lnTo>
              <a:lnTo>
                <a:pt x="1" y="91"/>
              </a:lnTo>
              <a:lnTo>
                <a:pt x="0" y="90"/>
              </a:lnTo>
              <a:lnTo>
                <a:pt x="0" y="89"/>
              </a:lnTo>
              <a:lnTo>
                <a:pt x="1" y="88"/>
              </a:lnTo>
              <a:lnTo>
                <a:pt x="2" y="87"/>
              </a:lnTo>
              <a:lnTo>
                <a:pt x="2" y="85"/>
              </a:lnTo>
              <a:lnTo>
                <a:pt x="3" y="85"/>
              </a:lnTo>
              <a:lnTo>
                <a:pt x="5" y="84"/>
              </a:lnTo>
              <a:lnTo>
                <a:pt x="5" y="83"/>
              </a:lnTo>
              <a:lnTo>
                <a:pt x="5" y="82"/>
              </a:lnTo>
              <a:lnTo>
                <a:pt x="5" y="80"/>
              </a:lnTo>
              <a:lnTo>
                <a:pt x="5" y="79"/>
              </a:lnTo>
              <a:lnTo>
                <a:pt x="5" y="78"/>
              </a:lnTo>
              <a:lnTo>
                <a:pt x="6" y="77"/>
              </a:lnTo>
              <a:lnTo>
                <a:pt x="7" y="76"/>
              </a:lnTo>
              <a:lnTo>
                <a:pt x="8" y="75"/>
              </a:lnTo>
              <a:lnTo>
                <a:pt x="9" y="73"/>
              </a:lnTo>
              <a:lnTo>
                <a:pt x="9" y="72"/>
              </a:lnTo>
              <a:lnTo>
                <a:pt x="10" y="71"/>
              </a:lnTo>
              <a:lnTo>
                <a:pt x="10" y="70"/>
              </a:lnTo>
              <a:lnTo>
                <a:pt x="10" y="69"/>
              </a:lnTo>
              <a:lnTo>
                <a:pt x="10" y="67"/>
              </a:lnTo>
              <a:lnTo>
                <a:pt x="10" y="66"/>
              </a:lnTo>
              <a:lnTo>
                <a:pt x="11" y="65"/>
              </a:lnTo>
              <a:lnTo>
                <a:pt x="12" y="64"/>
              </a:lnTo>
              <a:lnTo>
                <a:pt x="12" y="63"/>
              </a:lnTo>
              <a:lnTo>
                <a:pt x="13" y="63"/>
              </a:lnTo>
              <a:lnTo>
                <a:pt x="14" y="61"/>
              </a:lnTo>
              <a:lnTo>
                <a:pt x="15" y="61"/>
              </a:lnTo>
              <a:lnTo>
                <a:pt x="16" y="60"/>
              </a:lnTo>
              <a:lnTo>
                <a:pt x="17" y="60"/>
              </a:lnTo>
              <a:lnTo>
                <a:pt x="18" y="58"/>
              </a:lnTo>
              <a:lnTo>
                <a:pt x="19" y="57"/>
              </a:lnTo>
              <a:lnTo>
                <a:pt x="19" y="56"/>
              </a:lnTo>
              <a:lnTo>
                <a:pt x="19" y="55"/>
              </a:lnTo>
              <a:lnTo>
                <a:pt x="20" y="54"/>
              </a:lnTo>
              <a:lnTo>
                <a:pt x="20" y="53"/>
              </a:lnTo>
              <a:lnTo>
                <a:pt x="21" y="51"/>
              </a:lnTo>
              <a:lnTo>
                <a:pt x="21" y="50"/>
              </a:lnTo>
              <a:lnTo>
                <a:pt x="21" y="49"/>
              </a:lnTo>
              <a:lnTo>
                <a:pt x="21" y="48"/>
              </a:lnTo>
              <a:lnTo>
                <a:pt x="21" y="47"/>
              </a:lnTo>
              <a:lnTo>
                <a:pt x="21" y="46"/>
              </a:lnTo>
              <a:lnTo>
                <a:pt x="21" y="44"/>
              </a:lnTo>
              <a:lnTo>
                <a:pt x="22" y="43"/>
              </a:lnTo>
              <a:lnTo>
                <a:pt x="22" y="42"/>
              </a:lnTo>
              <a:lnTo>
                <a:pt x="22" y="41"/>
              </a:lnTo>
              <a:lnTo>
                <a:pt x="22" y="40"/>
              </a:lnTo>
              <a:lnTo>
                <a:pt x="22" y="38"/>
              </a:lnTo>
              <a:lnTo>
                <a:pt x="23" y="37"/>
              </a:lnTo>
              <a:lnTo>
                <a:pt x="24" y="36"/>
              </a:lnTo>
              <a:lnTo>
                <a:pt x="24" y="34"/>
              </a:lnTo>
              <a:lnTo>
                <a:pt x="23" y="33"/>
              </a:lnTo>
              <a:lnTo>
                <a:pt x="24" y="34"/>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967183</xdr:colOff>
      <xdr:row>58</xdr:row>
      <xdr:rowOff>21020</xdr:rowOff>
    </xdr:from>
    <xdr:to>
      <xdr:col>4</xdr:col>
      <xdr:colOff>1145436</xdr:colOff>
      <xdr:row>59</xdr:row>
      <xdr:rowOff>39813</xdr:rowOff>
    </xdr:to>
    <xdr:sp macro="" textlink="">
      <xdr:nvSpPr>
        <xdr:cNvPr id="124" name="Freeform 108">
          <a:extLst>
            <a:ext uri="{FF2B5EF4-FFF2-40B4-BE49-F238E27FC236}">
              <a16:creationId xmlns:a16="http://schemas.microsoft.com/office/drawing/2014/main" id="{3C1D1C36-28FA-448E-A3A9-EC98968082CE}"/>
            </a:ext>
          </a:extLst>
        </xdr:cNvPr>
        <xdr:cNvSpPr>
          <a:spLocks noChangeAspect="1"/>
        </xdr:cNvSpPr>
      </xdr:nvSpPr>
      <xdr:spPr bwMode="gray">
        <a:xfrm>
          <a:off x="4568540" y="9618591"/>
          <a:ext cx="178253" cy="182079"/>
        </a:xfrm>
        <a:custGeom>
          <a:avLst/>
          <a:gdLst>
            <a:gd name="T0" fmla="*/ 40 w 21"/>
            <a:gd name="T1" fmla="*/ 0 h 23"/>
            <a:gd name="T2" fmla="*/ 17 w 21"/>
            <a:gd name="T3" fmla="*/ 51 h 23"/>
            <a:gd name="T4" fmla="*/ 0 w 21"/>
            <a:gd name="T5" fmla="*/ 51 h 23"/>
            <a:gd name="T6" fmla="*/ 0 w 21"/>
            <a:gd name="T7" fmla="*/ 90 h 23"/>
            <a:gd name="T8" fmla="*/ 28 w 21"/>
            <a:gd name="T9" fmla="*/ 113 h 23"/>
            <a:gd name="T10" fmla="*/ 68 w 21"/>
            <a:gd name="T11" fmla="*/ 130 h 23"/>
            <a:gd name="T12" fmla="*/ 79 w 21"/>
            <a:gd name="T13" fmla="*/ 107 h 23"/>
            <a:gd name="T14" fmla="*/ 119 w 21"/>
            <a:gd name="T15" fmla="*/ 62 h 23"/>
            <a:gd name="T16" fmla="*/ 85 w 21"/>
            <a:gd name="T17" fmla="*/ 28 h 23"/>
            <a:gd name="T18" fmla="*/ 51 w 21"/>
            <a:gd name="T19" fmla="*/ 6 h 23"/>
            <a:gd name="T20" fmla="*/ 40 w 21"/>
            <a:gd name="T21" fmla="*/ 0 h 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1" h="23">
              <a:moveTo>
                <a:pt x="7" y="0"/>
              </a:moveTo>
              <a:lnTo>
                <a:pt x="3" y="9"/>
              </a:lnTo>
              <a:lnTo>
                <a:pt x="0" y="9"/>
              </a:lnTo>
              <a:lnTo>
                <a:pt x="0" y="16"/>
              </a:lnTo>
              <a:lnTo>
                <a:pt x="5" y="20"/>
              </a:lnTo>
              <a:lnTo>
                <a:pt x="12" y="23"/>
              </a:lnTo>
              <a:lnTo>
                <a:pt x="14" y="19"/>
              </a:lnTo>
              <a:lnTo>
                <a:pt x="21" y="11"/>
              </a:lnTo>
              <a:lnTo>
                <a:pt x="15" y="5"/>
              </a:lnTo>
              <a:lnTo>
                <a:pt x="9" y="1"/>
              </a:lnTo>
              <a:lnTo>
                <a:pt x="7"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592312</xdr:colOff>
      <xdr:row>64</xdr:row>
      <xdr:rowOff>162919</xdr:rowOff>
    </xdr:from>
    <xdr:to>
      <xdr:col>4</xdr:col>
      <xdr:colOff>881411</xdr:colOff>
      <xdr:row>67</xdr:row>
      <xdr:rowOff>86239</xdr:rowOff>
    </xdr:to>
    <xdr:sp macro="" textlink="">
      <xdr:nvSpPr>
        <xdr:cNvPr id="125" name="Freeform 109">
          <a:extLst>
            <a:ext uri="{FF2B5EF4-FFF2-40B4-BE49-F238E27FC236}">
              <a16:creationId xmlns:a16="http://schemas.microsoft.com/office/drawing/2014/main" id="{C7DA0AC8-51B2-4B4E-8CFA-79D17467251B}"/>
            </a:ext>
          </a:extLst>
        </xdr:cNvPr>
        <xdr:cNvSpPr>
          <a:spLocks noChangeAspect="1"/>
        </xdr:cNvSpPr>
      </xdr:nvSpPr>
      <xdr:spPr bwMode="gray">
        <a:xfrm>
          <a:off x="4193669" y="10740205"/>
          <a:ext cx="289099" cy="413177"/>
        </a:xfrm>
        <a:custGeom>
          <a:avLst/>
          <a:gdLst>
            <a:gd name="T0" fmla="*/ 79 w 34"/>
            <a:gd name="T1" fmla="*/ 284 h 52"/>
            <a:gd name="T2" fmla="*/ 108 w 34"/>
            <a:gd name="T3" fmla="*/ 267 h 52"/>
            <a:gd name="T4" fmla="*/ 125 w 34"/>
            <a:gd name="T5" fmla="*/ 244 h 52"/>
            <a:gd name="T6" fmla="*/ 125 w 34"/>
            <a:gd name="T7" fmla="*/ 221 h 52"/>
            <a:gd name="T8" fmla="*/ 136 w 34"/>
            <a:gd name="T9" fmla="*/ 199 h 52"/>
            <a:gd name="T10" fmla="*/ 153 w 34"/>
            <a:gd name="T11" fmla="*/ 176 h 52"/>
            <a:gd name="T12" fmla="*/ 170 w 34"/>
            <a:gd name="T13" fmla="*/ 165 h 52"/>
            <a:gd name="T14" fmla="*/ 187 w 34"/>
            <a:gd name="T15" fmla="*/ 142 h 52"/>
            <a:gd name="T16" fmla="*/ 176 w 34"/>
            <a:gd name="T17" fmla="*/ 113 h 52"/>
            <a:gd name="T18" fmla="*/ 176 w 34"/>
            <a:gd name="T19" fmla="*/ 96 h 52"/>
            <a:gd name="T20" fmla="*/ 176 w 34"/>
            <a:gd name="T21" fmla="*/ 68 h 52"/>
            <a:gd name="T22" fmla="*/ 187 w 34"/>
            <a:gd name="T23" fmla="*/ 45 h 52"/>
            <a:gd name="T24" fmla="*/ 193 w 34"/>
            <a:gd name="T25" fmla="*/ 45 h 52"/>
            <a:gd name="T26" fmla="*/ 170 w 34"/>
            <a:gd name="T27" fmla="*/ 23 h 52"/>
            <a:gd name="T28" fmla="*/ 159 w 34"/>
            <a:gd name="T29" fmla="*/ 0 h 52"/>
            <a:gd name="T30" fmla="*/ 148 w 34"/>
            <a:gd name="T31" fmla="*/ 0 h 52"/>
            <a:gd name="T32" fmla="*/ 153 w 34"/>
            <a:gd name="T33" fmla="*/ 0 h 52"/>
            <a:gd name="T34" fmla="*/ 136 w 34"/>
            <a:gd name="T35" fmla="*/ 0 h 52"/>
            <a:gd name="T36" fmla="*/ 119 w 34"/>
            <a:gd name="T37" fmla="*/ 0 h 52"/>
            <a:gd name="T38" fmla="*/ 97 w 34"/>
            <a:gd name="T39" fmla="*/ 6 h 52"/>
            <a:gd name="T40" fmla="*/ 85 w 34"/>
            <a:gd name="T41" fmla="*/ 34 h 52"/>
            <a:gd name="T42" fmla="*/ 85 w 34"/>
            <a:gd name="T43" fmla="*/ 51 h 52"/>
            <a:gd name="T44" fmla="*/ 85 w 34"/>
            <a:gd name="T45" fmla="*/ 79 h 52"/>
            <a:gd name="T46" fmla="*/ 85 w 34"/>
            <a:gd name="T47" fmla="*/ 102 h 52"/>
            <a:gd name="T48" fmla="*/ 85 w 34"/>
            <a:gd name="T49" fmla="*/ 130 h 52"/>
            <a:gd name="T50" fmla="*/ 79 w 34"/>
            <a:gd name="T51" fmla="*/ 148 h 52"/>
            <a:gd name="T52" fmla="*/ 62 w 34"/>
            <a:gd name="T53" fmla="*/ 165 h 52"/>
            <a:gd name="T54" fmla="*/ 51 w 34"/>
            <a:gd name="T55" fmla="*/ 187 h 52"/>
            <a:gd name="T56" fmla="*/ 34 w 34"/>
            <a:gd name="T57" fmla="*/ 210 h 52"/>
            <a:gd name="T58" fmla="*/ 11 w 34"/>
            <a:gd name="T59" fmla="*/ 199 h 52"/>
            <a:gd name="T60" fmla="*/ 0 w 34"/>
            <a:gd name="T61" fmla="*/ 221 h 52"/>
            <a:gd name="T62" fmla="*/ 0 w 34"/>
            <a:gd name="T63" fmla="*/ 244 h 52"/>
            <a:gd name="T64" fmla="*/ 0 w 34"/>
            <a:gd name="T65" fmla="*/ 261 h 52"/>
            <a:gd name="T66" fmla="*/ 6 w 34"/>
            <a:gd name="T67" fmla="*/ 284 h 52"/>
            <a:gd name="T68" fmla="*/ 34 w 34"/>
            <a:gd name="T69" fmla="*/ 295 h 52"/>
            <a:gd name="T70" fmla="*/ 51 w 34"/>
            <a:gd name="T71" fmla="*/ 295 h 52"/>
            <a:gd name="T72" fmla="*/ 62 w 34"/>
            <a:gd name="T73" fmla="*/ 295 h 52"/>
            <a:gd name="T74" fmla="*/ 68 w 34"/>
            <a:gd name="T75" fmla="*/ 295 h 52"/>
            <a:gd name="T76" fmla="*/ 79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4" y="50"/>
              </a:moveTo>
              <a:lnTo>
                <a:pt x="19" y="47"/>
              </a:lnTo>
              <a:lnTo>
                <a:pt x="22" y="43"/>
              </a:lnTo>
              <a:lnTo>
                <a:pt x="22" y="39"/>
              </a:lnTo>
              <a:lnTo>
                <a:pt x="24" y="35"/>
              </a:lnTo>
              <a:lnTo>
                <a:pt x="27" y="31"/>
              </a:lnTo>
              <a:lnTo>
                <a:pt x="30" y="29"/>
              </a:lnTo>
              <a:lnTo>
                <a:pt x="33" y="25"/>
              </a:lnTo>
              <a:lnTo>
                <a:pt x="31" y="20"/>
              </a:lnTo>
              <a:lnTo>
                <a:pt x="31" y="17"/>
              </a:lnTo>
              <a:lnTo>
                <a:pt x="31" y="12"/>
              </a:lnTo>
              <a:lnTo>
                <a:pt x="33" y="8"/>
              </a:lnTo>
              <a:lnTo>
                <a:pt x="34" y="8"/>
              </a:lnTo>
              <a:lnTo>
                <a:pt x="30" y="4"/>
              </a:lnTo>
              <a:lnTo>
                <a:pt x="28" y="0"/>
              </a:lnTo>
              <a:lnTo>
                <a:pt x="26" y="0"/>
              </a:lnTo>
              <a:lnTo>
                <a:pt x="27" y="0"/>
              </a:lnTo>
              <a:lnTo>
                <a:pt x="24" y="0"/>
              </a:lnTo>
              <a:lnTo>
                <a:pt x="21" y="0"/>
              </a:lnTo>
              <a:lnTo>
                <a:pt x="17" y="1"/>
              </a:lnTo>
              <a:lnTo>
                <a:pt x="15" y="6"/>
              </a:lnTo>
              <a:lnTo>
                <a:pt x="15" y="9"/>
              </a:lnTo>
              <a:lnTo>
                <a:pt x="15" y="14"/>
              </a:lnTo>
              <a:lnTo>
                <a:pt x="15" y="18"/>
              </a:lnTo>
              <a:lnTo>
                <a:pt x="15" y="23"/>
              </a:lnTo>
              <a:lnTo>
                <a:pt x="14" y="26"/>
              </a:lnTo>
              <a:lnTo>
                <a:pt x="11" y="29"/>
              </a:lnTo>
              <a:lnTo>
                <a:pt x="9" y="33"/>
              </a:lnTo>
              <a:lnTo>
                <a:pt x="6" y="37"/>
              </a:lnTo>
              <a:lnTo>
                <a:pt x="2" y="35"/>
              </a:lnTo>
              <a:lnTo>
                <a:pt x="0" y="39"/>
              </a:lnTo>
              <a:lnTo>
                <a:pt x="0" y="43"/>
              </a:lnTo>
              <a:lnTo>
                <a:pt x="0" y="46"/>
              </a:lnTo>
              <a:lnTo>
                <a:pt x="1" y="50"/>
              </a:lnTo>
              <a:lnTo>
                <a:pt x="6" y="52"/>
              </a:lnTo>
              <a:lnTo>
                <a:pt x="9" y="52"/>
              </a:lnTo>
              <a:lnTo>
                <a:pt x="11" y="52"/>
              </a:lnTo>
              <a:lnTo>
                <a:pt x="12" y="52"/>
              </a:lnTo>
              <a:lnTo>
                <a:pt x="14" y="5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816812</xdr:colOff>
      <xdr:row>62</xdr:row>
      <xdr:rowOff>38987</xdr:rowOff>
    </xdr:from>
    <xdr:to>
      <xdr:col>3</xdr:col>
      <xdr:colOff>938631</xdr:colOff>
      <xdr:row>62</xdr:row>
      <xdr:rowOff>111814</xdr:rowOff>
    </xdr:to>
    <xdr:sp macro="" textlink="">
      <xdr:nvSpPr>
        <xdr:cNvPr id="126" name="Retângulo 113">
          <a:extLst>
            <a:ext uri="{FF2B5EF4-FFF2-40B4-BE49-F238E27FC236}">
              <a16:creationId xmlns:a16="http://schemas.microsoft.com/office/drawing/2014/main" id="{BCE97B91-BBF1-42E9-B5AA-5CDAD201A6CF}"/>
            </a:ext>
          </a:extLst>
        </xdr:cNvPr>
        <xdr:cNvSpPr/>
      </xdr:nvSpPr>
      <xdr:spPr bwMode="auto">
        <a:xfrm>
          <a:off x="3247955" y="10289701"/>
          <a:ext cx="121819" cy="72827"/>
        </a:xfrm>
        <a:prstGeom prst="rect">
          <a:avLst/>
        </a:pr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16437</xdr:colOff>
      <xdr:row>51</xdr:row>
      <xdr:rowOff>154363</xdr:rowOff>
    </xdr:from>
    <xdr:to>
      <xdr:col>3</xdr:col>
      <xdr:colOff>1098476</xdr:colOff>
      <xdr:row>54</xdr:row>
      <xdr:rowOff>33837</xdr:rowOff>
    </xdr:to>
    <xdr:sp macro="" textlink="">
      <xdr:nvSpPr>
        <xdr:cNvPr id="127" name="CaixaDeTexto 43">
          <a:extLst>
            <a:ext uri="{FF2B5EF4-FFF2-40B4-BE49-F238E27FC236}">
              <a16:creationId xmlns:a16="http://schemas.microsoft.com/office/drawing/2014/main" id="{3B195EA1-103A-4559-A1D9-4A4A4B84AFAF}"/>
            </a:ext>
          </a:extLst>
        </xdr:cNvPr>
        <xdr:cNvSpPr txBox="1"/>
      </xdr:nvSpPr>
      <xdr:spPr>
        <a:xfrm>
          <a:off x="2447580" y="8608934"/>
          <a:ext cx="108203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do Rio Verdinho</a:t>
          </a:r>
        </a:p>
      </xdr:txBody>
    </xdr:sp>
    <xdr:clientData/>
  </xdr:twoCellAnchor>
  <xdr:twoCellAnchor editAs="oneCell">
    <xdr:from>
      <xdr:col>3</xdr:col>
      <xdr:colOff>99886</xdr:colOff>
      <xdr:row>54</xdr:row>
      <xdr:rowOff>7878</xdr:rowOff>
    </xdr:from>
    <xdr:to>
      <xdr:col>4</xdr:col>
      <xdr:colOff>7997</xdr:colOff>
      <xdr:row>58</xdr:row>
      <xdr:rowOff>86319</xdr:rowOff>
    </xdr:to>
    <xdr:pic>
      <xdr:nvPicPr>
        <xdr:cNvPr id="128" name="Imagem 115">
          <a:extLst>
            <a:ext uri="{FF2B5EF4-FFF2-40B4-BE49-F238E27FC236}">
              <a16:creationId xmlns:a16="http://schemas.microsoft.com/office/drawing/2014/main" id="{4CC53F2F-513D-4256-8079-8D31091893E5}"/>
            </a:ext>
          </a:extLst>
        </xdr:cNvPr>
        <xdr:cNvPicPr>
          <a:picLocks/>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531029" y="8952307"/>
          <a:ext cx="1022536" cy="681691"/>
        </a:xfrm>
        <a:prstGeom prst="rect">
          <a:avLst/>
        </a:prstGeom>
      </xdr:spPr>
    </xdr:pic>
    <xdr:clientData/>
  </xdr:twoCellAnchor>
  <xdr:twoCellAnchor>
    <xdr:from>
      <xdr:col>3</xdr:col>
      <xdr:colOff>99232</xdr:colOff>
      <xdr:row>57</xdr:row>
      <xdr:rowOff>29289</xdr:rowOff>
    </xdr:from>
    <xdr:to>
      <xdr:col>3</xdr:col>
      <xdr:colOff>711232</xdr:colOff>
      <xdr:row>58</xdr:row>
      <xdr:rowOff>36427</xdr:rowOff>
    </xdr:to>
    <xdr:sp macro="" textlink="">
      <xdr:nvSpPr>
        <xdr:cNvPr id="129" name="Retângulo 116">
          <a:extLst>
            <a:ext uri="{FF2B5EF4-FFF2-40B4-BE49-F238E27FC236}">
              <a16:creationId xmlns:a16="http://schemas.microsoft.com/office/drawing/2014/main" id="{B80C7969-8FFF-4AA0-8BAC-9BC8C3C60079}"/>
            </a:ext>
          </a:extLst>
        </xdr:cNvPr>
        <xdr:cNvSpPr/>
      </xdr:nvSpPr>
      <xdr:spPr>
        <a:xfrm>
          <a:off x="2530375" y="9463575"/>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93</a:t>
          </a:r>
          <a:r>
            <a:rPr lang="pt-BR" sz="800">
              <a:solidFill>
                <a:srgbClr val="0070C0"/>
              </a:solidFill>
              <a:latin typeface="Votorantim Sans" panose="02010503030202050203" pitchFamily="2" charset="0"/>
            </a:rPr>
            <a:t> </a:t>
          </a:r>
          <a:r>
            <a:rPr lang="pt-BR" sz="800" b="1">
              <a:solidFill>
                <a:srgbClr val="0070C0"/>
              </a:solidFill>
              <a:latin typeface="Votorantim Sans" panose="02010503030202050203" pitchFamily="2" charset="0"/>
            </a:rPr>
            <a:t>MW</a:t>
          </a:r>
          <a:endParaRPr lang="en-US" sz="800" b="1">
            <a:solidFill>
              <a:srgbClr val="0070C0"/>
            </a:solidFill>
            <a:latin typeface="Votorantim Sans" panose="02010503030202050203" pitchFamily="2" charset="0"/>
          </a:endParaRPr>
        </a:p>
      </xdr:txBody>
    </xdr:sp>
    <xdr:clientData/>
  </xdr:twoCellAnchor>
  <xdr:twoCellAnchor>
    <xdr:from>
      <xdr:col>4</xdr:col>
      <xdr:colOff>101496</xdr:colOff>
      <xdr:row>45</xdr:row>
      <xdr:rowOff>21325</xdr:rowOff>
    </xdr:from>
    <xdr:to>
      <xdr:col>4</xdr:col>
      <xdr:colOff>985071</xdr:colOff>
      <xdr:row>46</xdr:row>
      <xdr:rowOff>84335</xdr:rowOff>
    </xdr:to>
    <xdr:sp macro="" textlink="">
      <xdr:nvSpPr>
        <xdr:cNvPr id="20" name="Retângulo 117">
          <a:extLst>
            <a:ext uri="{FF2B5EF4-FFF2-40B4-BE49-F238E27FC236}">
              <a16:creationId xmlns:a16="http://schemas.microsoft.com/office/drawing/2014/main" id="{39F5CEC4-E6C3-44EC-A98D-4BE41228172F}"/>
            </a:ext>
          </a:extLst>
        </xdr:cNvPr>
        <xdr:cNvSpPr/>
      </xdr:nvSpPr>
      <xdr:spPr>
        <a:xfrm>
          <a:off x="3668079" y="7503742"/>
          <a:ext cx="883575" cy="221760"/>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Sobragi</a:t>
          </a:r>
        </a:p>
      </xdr:txBody>
    </xdr:sp>
    <xdr:clientData/>
  </xdr:twoCellAnchor>
  <xdr:twoCellAnchor editAs="oneCell">
    <xdr:from>
      <xdr:col>4</xdr:col>
      <xdr:colOff>178850</xdr:colOff>
      <xdr:row>46</xdr:row>
      <xdr:rowOff>68350</xdr:rowOff>
    </xdr:from>
    <xdr:to>
      <xdr:col>5</xdr:col>
      <xdr:colOff>29811</xdr:colOff>
      <xdr:row>50</xdr:row>
      <xdr:rowOff>140441</xdr:rowOff>
    </xdr:to>
    <xdr:pic>
      <xdr:nvPicPr>
        <xdr:cNvPr id="18" name="Imagem 118">
          <a:extLst>
            <a:ext uri="{FF2B5EF4-FFF2-40B4-BE49-F238E27FC236}">
              <a16:creationId xmlns:a16="http://schemas.microsoft.com/office/drawing/2014/main" id="{579E5CB4-3A39-407E-AF63-00976FCD7067}"/>
            </a:ext>
          </a:extLst>
        </xdr:cNvPr>
        <xdr:cNvPicPr preferRelativeResize="0">
          <a:picLocks/>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745433" y="7709517"/>
          <a:ext cx="1019361" cy="707091"/>
        </a:xfrm>
        <a:prstGeom prst="rect">
          <a:avLst/>
        </a:prstGeom>
      </xdr:spPr>
    </xdr:pic>
    <xdr:clientData/>
  </xdr:twoCellAnchor>
  <xdr:twoCellAnchor>
    <xdr:from>
      <xdr:col>4</xdr:col>
      <xdr:colOff>570433</xdr:colOff>
      <xdr:row>49</xdr:row>
      <xdr:rowOff>89763</xdr:rowOff>
    </xdr:from>
    <xdr:to>
      <xdr:col>6</xdr:col>
      <xdr:colOff>71183</xdr:colOff>
      <xdr:row>50</xdr:row>
      <xdr:rowOff>96901</xdr:rowOff>
    </xdr:to>
    <xdr:sp macro="" textlink="">
      <xdr:nvSpPr>
        <xdr:cNvPr id="19" name="Retângulo 119">
          <a:extLst>
            <a:ext uri="{FF2B5EF4-FFF2-40B4-BE49-F238E27FC236}">
              <a16:creationId xmlns:a16="http://schemas.microsoft.com/office/drawing/2014/main" id="{DF954851-B95F-4526-AE29-3B73E08407D0}"/>
            </a:ext>
          </a:extLst>
        </xdr:cNvPr>
        <xdr:cNvSpPr/>
      </xdr:nvSpPr>
      <xdr:spPr>
        <a:xfrm>
          <a:off x="4137016" y="8207180"/>
          <a:ext cx="612000" cy="165888"/>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60 MW</a:t>
          </a:r>
          <a:endParaRPr lang="en-US" sz="800" b="1">
            <a:solidFill>
              <a:srgbClr val="0070C0"/>
            </a:solidFill>
            <a:latin typeface="Votorantim Sans" panose="02010503030202050203" pitchFamily="2" charset="0"/>
          </a:endParaRPr>
        </a:p>
      </xdr:txBody>
    </xdr:sp>
    <xdr:clientData/>
  </xdr:twoCellAnchor>
  <xdr:twoCellAnchor>
    <xdr:from>
      <xdr:col>1</xdr:col>
      <xdr:colOff>1025207</xdr:colOff>
      <xdr:row>52</xdr:row>
      <xdr:rowOff>101408</xdr:rowOff>
    </xdr:from>
    <xdr:to>
      <xdr:col>2</xdr:col>
      <xdr:colOff>205357</xdr:colOff>
      <xdr:row>54</xdr:row>
      <xdr:rowOff>5668</xdr:rowOff>
    </xdr:to>
    <xdr:sp macro="" textlink="">
      <xdr:nvSpPr>
        <xdr:cNvPr id="133" name="Retângulo 120">
          <a:extLst>
            <a:ext uri="{FF2B5EF4-FFF2-40B4-BE49-F238E27FC236}">
              <a16:creationId xmlns:a16="http://schemas.microsoft.com/office/drawing/2014/main" id="{73510CC5-82C5-4EC9-90C6-3E909AED6D99}"/>
            </a:ext>
          </a:extLst>
        </xdr:cNvPr>
        <xdr:cNvSpPr/>
      </xdr:nvSpPr>
      <xdr:spPr>
        <a:xfrm>
          <a:off x="1179421" y="8719265"/>
          <a:ext cx="78579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Piraju</a:t>
          </a:r>
        </a:p>
      </xdr:txBody>
    </xdr:sp>
    <xdr:clientData/>
  </xdr:twoCellAnchor>
  <xdr:twoCellAnchor editAs="oneCell">
    <xdr:from>
      <xdr:col>1</xdr:col>
      <xdr:colOff>1088504</xdr:colOff>
      <xdr:row>59</xdr:row>
      <xdr:rowOff>29394</xdr:rowOff>
    </xdr:from>
    <xdr:to>
      <xdr:col>2</xdr:col>
      <xdr:colOff>439932</xdr:colOff>
      <xdr:row>63</xdr:row>
      <xdr:rowOff>107835</xdr:rowOff>
    </xdr:to>
    <xdr:pic>
      <xdr:nvPicPr>
        <xdr:cNvPr id="134" name="Imagem 121">
          <a:extLst>
            <a:ext uri="{FF2B5EF4-FFF2-40B4-BE49-F238E27FC236}">
              <a16:creationId xmlns:a16="http://schemas.microsoft.com/office/drawing/2014/main" id="{7277DF12-5414-4233-B40F-6139F4C8DC04}"/>
            </a:ext>
          </a:extLst>
        </xdr:cNvPr>
        <xdr:cNvPicPr preferRelativeResize="0">
          <a:picLocks/>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242718" y="9790251"/>
          <a:ext cx="1022536" cy="681691"/>
        </a:xfrm>
        <a:prstGeom prst="rect">
          <a:avLst/>
        </a:prstGeom>
      </xdr:spPr>
    </xdr:pic>
    <xdr:clientData/>
  </xdr:twoCellAnchor>
  <xdr:twoCellAnchor>
    <xdr:from>
      <xdr:col>1</xdr:col>
      <xdr:colOff>1010981</xdr:colOff>
      <xdr:row>57</xdr:row>
      <xdr:rowOff>160894</xdr:rowOff>
    </xdr:from>
    <xdr:to>
      <xdr:col>2</xdr:col>
      <xdr:colOff>375475</xdr:colOff>
      <xdr:row>59</xdr:row>
      <xdr:rowOff>65155</xdr:rowOff>
    </xdr:to>
    <xdr:sp macro="" textlink="">
      <xdr:nvSpPr>
        <xdr:cNvPr id="135" name="Retângulo 122">
          <a:extLst>
            <a:ext uri="{FF2B5EF4-FFF2-40B4-BE49-F238E27FC236}">
              <a16:creationId xmlns:a16="http://schemas.microsoft.com/office/drawing/2014/main" id="{E8464051-17F8-49A4-8195-422644C91B1F}"/>
            </a:ext>
          </a:extLst>
        </xdr:cNvPr>
        <xdr:cNvSpPr/>
      </xdr:nvSpPr>
      <xdr:spPr>
        <a:xfrm>
          <a:off x="1165195" y="9595180"/>
          <a:ext cx="97013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Ourinhos</a:t>
          </a:r>
        </a:p>
      </xdr:txBody>
    </xdr:sp>
    <xdr:clientData/>
  </xdr:twoCellAnchor>
  <xdr:twoCellAnchor>
    <xdr:from>
      <xdr:col>1</xdr:col>
      <xdr:colOff>1098748</xdr:colOff>
      <xdr:row>62</xdr:row>
      <xdr:rowOff>47360</xdr:rowOff>
    </xdr:from>
    <xdr:to>
      <xdr:col>2</xdr:col>
      <xdr:colOff>105105</xdr:colOff>
      <xdr:row>63</xdr:row>
      <xdr:rowOff>54497</xdr:rowOff>
    </xdr:to>
    <xdr:sp macro="" textlink="">
      <xdr:nvSpPr>
        <xdr:cNvPr id="136" name="Retângulo 123">
          <a:extLst>
            <a:ext uri="{FF2B5EF4-FFF2-40B4-BE49-F238E27FC236}">
              <a16:creationId xmlns:a16="http://schemas.microsoft.com/office/drawing/2014/main" id="{764BC238-5581-4C70-B509-A5046EC26364}"/>
            </a:ext>
          </a:extLst>
        </xdr:cNvPr>
        <xdr:cNvSpPr/>
      </xdr:nvSpPr>
      <xdr:spPr>
        <a:xfrm>
          <a:off x="1252962" y="10298074"/>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44 MW</a:t>
          </a:r>
          <a:endParaRPr lang="en-US" sz="800" b="1">
            <a:solidFill>
              <a:srgbClr val="0070C0"/>
            </a:solidFill>
            <a:latin typeface="Votorantim Sans" panose="02010503030202050203" pitchFamily="2" charset="0"/>
          </a:endParaRPr>
        </a:p>
      </xdr:txBody>
    </xdr:sp>
    <xdr:clientData/>
  </xdr:twoCellAnchor>
  <xdr:twoCellAnchor editAs="oneCell">
    <xdr:from>
      <xdr:col>4</xdr:col>
      <xdr:colOff>969873</xdr:colOff>
      <xdr:row>66</xdr:row>
      <xdr:rowOff>15519</xdr:rowOff>
    </xdr:from>
    <xdr:to>
      <xdr:col>5</xdr:col>
      <xdr:colOff>877984</xdr:colOff>
      <xdr:row>70</xdr:row>
      <xdr:rowOff>59035</xdr:rowOff>
    </xdr:to>
    <xdr:pic>
      <xdr:nvPicPr>
        <xdr:cNvPr id="137" name="Imagem 124" descr="FranÃ§a (UHE)">
          <a:extLst>
            <a:ext uri="{FF2B5EF4-FFF2-40B4-BE49-F238E27FC236}">
              <a16:creationId xmlns:a16="http://schemas.microsoft.com/office/drawing/2014/main" id="{9E62CC0A-70A2-49BD-818D-4C25F3036B22}"/>
            </a:ext>
          </a:extLst>
        </xdr:cNvPr>
        <xdr:cNvPicPr preferRelativeResize="0">
          <a:picLocks/>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4571230" y="10919376"/>
          <a:ext cx="1022536" cy="681691"/>
        </a:xfrm>
        <a:prstGeom prst="rect">
          <a:avLst/>
        </a:prstGeom>
        <a:noFill/>
        <a:ln>
          <a:noFill/>
        </a:ln>
      </xdr:spPr>
    </xdr:pic>
    <xdr:clientData/>
  </xdr:twoCellAnchor>
  <xdr:twoCellAnchor>
    <xdr:from>
      <xdr:col>4</xdr:col>
      <xdr:colOff>906126</xdr:colOff>
      <xdr:row>64</xdr:row>
      <xdr:rowOff>162059</xdr:rowOff>
    </xdr:from>
    <xdr:to>
      <xdr:col>6</xdr:col>
      <xdr:colOff>566589</xdr:colOff>
      <xdr:row>66</xdr:row>
      <xdr:rowOff>66320</xdr:rowOff>
    </xdr:to>
    <xdr:sp macro="" textlink="">
      <xdr:nvSpPr>
        <xdr:cNvPr id="138" name="Retângulo 125">
          <a:extLst>
            <a:ext uri="{FF2B5EF4-FFF2-40B4-BE49-F238E27FC236}">
              <a16:creationId xmlns:a16="http://schemas.microsoft.com/office/drawing/2014/main" id="{3AD57175-8966-4805-BD9E-39A372EDD510}"/>
            </a:ext>
          </a:extLst>
        </xdr:cNvPr>
        <xdr:cNvSpPr/>
      </xdr:nvSpPr>
      <xdr:spPr>
        <a:xfrm>
          <a:off x="4507483" y="10739345"/>
          <a:ext cx="83067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França</a:t>
          </a:r>
        </a:p>
      </xdr:txBody>
    </xdr:sp>
    <xdr:clientData/>
  </xdr:twoCellAnchor>
  <xdr:twoCellAnchor>
    <xdr:from>
      <xdr:col>4</xdr:col>
      <xdr:colOff>969873</xdr:colOff>
      <xdr:row>69</xdr:row>
      <xdr:rowOff>8355</xdr:rowOff>
    </xdr:from>
    <xdr:to>
      <xdr:col>6</xdr:col>
      <xdr:colOff>483659</xdr:colOff>
      <xdr:row>70</xdr:row>
      <xdr:rowOff>40813</xdr:rowOff>
    </xdr:to>
    <xdr:sp macro="" textlink="">
      <xdr:nvSpPr>
        <xdr:cNvPr id="139" name="Retângulo 126">
          <a:extLst>
            <a:ext uri="{FF2B5EF4-FFF2-40B4-BE49-F238E27FC236}">
              <a16:creationId xmlns:a16="http://schemas.microsoft.com/office/drawing/2014/main" id="{E4631B82-E0CE-42B9-9DFA-BBC7768CE650}"/>
            </a:ext>
          </a:extLst>
        </xdr:cNvPr>
        <xdr:cNvSpPr/>
      </xdr:nvSpPr>
      <xdr:spPr>
        <a:xfrm>
          <a:off x="4571230" y="11402069"/>
          <a:ext cx="684000" cy="19574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29,5 MW</a:t>
          </a:r>
          <a:endParaRPr lang="en-US" sz="707" b="1">
            <a:solidFill>
              <a:srgbClr val="0070C0"/>
            </a:solidFill>
            <a:latin typeface="Votorantim Sans" panose="02010503030202050203" pitchFamily="2" charset="0"/>
          </a:endParaRPr>
        </a:p>
      </xdr:txBody>
    </xdr:sp>
    <xdr:clientData/>
  </xdr:twoCellAnchor>
  <xdr:twoCellAnchor>
    <xdr:from>
      <xdr:col>6</xdr:col>
      <xdr:colOff>774536</xdr:colOff>
      <xdr:row>64</xdr:row>
      <xdr:rowOff>162059</xdr:rowOff>
    </xdr:from>
    <xdr:to>
      <xdr:col>7</xdr:col>
      <xdr:colOff>489500</xdr:colOff>
      <xdr:row>66</xdr:row>
      <xdr:rowOff>66320</xdr:rowOff>
    </xdr:to>
    <xdr:sp macro="" textlink="">
      <xdr:nvSpPr>
        <xdr:cNvPr id="140" name="Retângulo 127">
          <a:extLst>
            <a:ext uri="{FF2B5EF4-FFF2-40B4-BE49-F238E27FC236}">
              <a16:creationId xmlns:a16="http://schemas.microsoft.com/office/drawing/2014/main" id="{891336FC-33D5-433A-BAD8-B6F321D3ECE9}"/>
            </a:ext>
          </a:extLst>
        </xdr:cNvPr>
        <xdr:cNvSpPr/>
      </xdr:nvSpPr>
      <xdr:spPr>
        <a:xfrm>
          <a:off x="5546107"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Fumaça</a:t>
          </a:r>
        </a:p>
      </xdr:txBody>
    </xdr:sp>
    <xdr:clientData/>
  </xdr:twoCellAnchor>
  <xdr:twoCellAnchor>
    <xdr:from>
      <xdr:col>6</xdr:col>
      <xdr:colOff>849154</xdr:colOff>
      <xdr:row>69</xdr:row>
      <xdr:rowOff>36932</xdr:rowOff>
    </xdr:from>
    <xdr:to>
      <xdr:col>7</xdr:col>
      <xdr:colOff>362939</xdr:colOff>
      <xdr:row>70</xdr:row>
      <xdr:rowOff>44069</xdr:rowOff>
    </xdr:to>
    <xdr:sp macro="" textlink="">
      <xdr:nvSpPr>
        <xdr:cNvPr id="141" name="Retângulo 128">
          <a:extLst>
            <a:ext uri="{FF2B5EF4-FFF2-40B4-BE49-F238E27FC236}">
              <a16:creationId xmlns:a16="http://schemas.microsoft.com/office/drawing/2014/main" id="{43D29B3D-53DA-4AD5-9B3D-1132D4D7DFA3}"/>
            </a:ext>
          </a:extLst>
        </xdr:cNvPr>
        <xdr:cNvSpPr/>
      </xdr:nvSpPr>
      <xdr:spPr>
        <a:xfrm>
          <a:off x="5620725"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36,4 MW</a:t>
          </a:r>
          <a:endParaRPr lang="en-US" sz="707" b="1">
            <a:solidFill>
              <a:srgbClr val="0070C0"/>
            </a:solidFill>
            <a:latin typeface="Votorantim Sans" panose="02010503030202050203" pitchFamily="2" charset="0"/>
          </a:endParaRPr>
        </a:p>
      </xdr:txBody>
    </xdr:sp>
    <xdr:clientData/>
  </xdr:twoCellAnchor>
  <xdr:twoCellAnchor editAs="oneCell">
    <xdr:from>
      <xdr:col>7</xdr:col>
      <xdr:colOff>752852</xdr:colOff>
      <xdr:row>66</xdr:row>
      <xdr:rowOff>15519</xdr:rowOff>
    </xdr:from>
    <xdr:to>
      <xdr:col>8</xdr:col>
      <xdr:colOff>654613</xdr:colOff>
      <xdr:row>70</xdr:row>
      <xdr:rowOff>59035</xdr:rowOff>
    </xdr:to>
    <xdr:pic>
      <xdr:nvPicPr>
        <xdr:cNvPr id="142" name="Imagem 129">
          <a:extLst>
            <a:ext uri="{FF2B5EF4-FFF2-40B4-BE49-F238E27FC236}">
              <a16:creationId xmlns:a16="http://schemas.microsoft.com/office/drawing/2014/main" id="{35BE3756-24E3-491A-BB5C-89D6C2FD38E9}"/>
            </a:ext>
          </a:extLst>
        </xdr:cNvPr>
        <xdr:cNvPicPr preferRelativeResize="0">
          <a:picLocks/>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6694638" y="10919376"/>
          <a:ext cx="1022536" cy="681691"/>
        </a:xfrm>
        <a:prstGeom prst="rect">
          <a:avLst/>
        </a:prstGeom>
      </xdr:spPr>
    </xdr:pic>
    <xdr:clientData/>
  </xdr:twoCellAnchor>
  <xdr:twoCellAnchor>
    <xdr:from>
      <xdr:col>7</xdr:col>
      <xdr:colOff>660220</xdr:colOff>
      <xdr:row>64</xdr:row>
      <xdr:rowOff>162059</xdr:rowOff>
    </xdr:from>
    <xdr:to>
      <xdr:col>8</xdr:col>
      <xdr:colOff>254959</xdr:colOff>
      <xdr:row>66</xdr:row>
      <xdr:rowOff>66320</xdr:rowOff>
    </xdr:to>
    <xdr:sp macro="" textlink="">
      <xdr:nvSpPr>
        <xdr:cNvPr id="143" name="Retângulo 130">
          <a:extLst>
            <a:ext uri="{FF2B5EF4-FFF2-40B4-BE49-F238E27FC236}">
              <a16:creationId xmlns:a16="http://schemas.microsoft.com/office/drawing/2014/main" id="{5A543A74-6A5B-4A99-B24F-60E8F928415C}"/>
            </a:ext>
          </a:extLst>
        </xdr:cNvPr>
        <xdr:cNvSpPr/>
      </xdr:nvSpPr>
      <xdr:spPr>
        <a:xfrm>
          <a:off x="6602006" y="10739345"/>
          <a:ext cx="76495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a:t>
          </a:r>
        </a:p>
      </xdr:txBody>
    </xdr:sp>
    <xdr:clientData/>
  </xdr:twoCellAnchor>
  <xdr:twoCellAnchor>
    <xdr:from>
      <xdr:col>7</xdr:col>
      <xdr:colOff>752852</xdr:colOff>
      <xdr:row>69</xdr:row>
      <xdr:rowOff>36932</xdr:rowOff>
    </xdr:from>
    <xdr:to>
      <xdr:col>8</xdr:col>
      <xdr:colOff>266638</xdr:colOff>
      <xdr:row>70</xdr:row>
      <xdr:rowOff>44069</xdr:rowOff>
    </xdr:to>
    <xdr:sp macro="" textlink="">
      <xdr:nvSpPr>
        <xdr:cNvPr id="144" name="Retângulo 131">
          <a:extLst>
            <a:ext uri="{FF2B5EF4-FFF2-40B4-BE49-F238E27FC236}">
              <a16:creationId xmlns:a16="http://schemas.microsoft.com/office/drawing/2014/main" id="{6819115D-FFF4-4810-948A-8159BE10B220}"/>
            </a:ext>
          </a:extLst>
        </xdr:cNvPr>
        <xdr:cNvSpPr/>
      </xdr:nvSpPr>
      <xdr:spPr>
        <a:xfrm>
          <a:off x="6694638"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40,4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641817</xdr:colOff>
      <xdr:row>66</xdr:row>
      <xdr:rowOff>15519</xdr:rowOff>
    </xdr:from>
    <xdr:to>
      <xdr:col>8</xdr:col>
      <xdr:colOff>1664353</xdr:colOff>
      <xdr:row>70</xdr:row>
      <xdr:rowOff>59035</xdr:rowOff>
    </xdr:to>
    <xdr:pic>
      <xdr:nvPicPr>
        <xdr:cNvPr id="145" name="Imagem 132">
          <a:extLst>
            <a:ext uri="{FF2B5EF4-FFF2-40B4-BE49-F238E27FC236}">
              <a16:creationId xmlns:a16="http://schemas.microsoft.com/office/drawing/2014/main" id="{105D239A-21B5-4458-8D08-C6A74A464090}"/>
            </a:ext>
          </a:extLst>
        </xdr:cNvPr>
        <xdr:cNvPicPr preferRelativeResize="0">
          <a:picLocks/>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7753817" y="10919376"/>
          <a:ext cx="1022536" cy="681691"/>
        </a:xfrm>
        <a:prstGeom prst="rect">
          <a:avLst/>
        </a:prstGeom>
      </xdr:spPr>
    </xdr:pic>
    <xdr:clientData/>
  </xdr:twoCellAnchor>
  <xdr:twoCellAnchor>
    <xdr:from>
      <xdr:col>8</xdr:col>
      <xdr:colOff>576113</xdr:colOff>
      <xdr:row>65</xdr:row>
      <xdr:rowOff>3309</xdr:rowOff>
    </xdr:from>
    <xdr:to>
      <xdr:col>8</xdr:col>
      <xdr:colOff>1648843</xdr:colOff>
      <xdr:row>66</xdr:row>
      <xdr:rowOff>77764</xdr:rowOff>
    </xdr:to>
    <xdr:sp macro="" textlink="">
      <xdr:nvSpPr>
        <xdr:cNvPr id="146" name="Retângulo 133">
          <a:extLst>
            <a:ext uri="{FF2B5EF4-FFF2-40B4-BE49-F238E27FC236}">
              <a16:creationId xmlns:a16="http://schemas.microsoft.com/office/drawing/2014/main" id="{2DD7D44E-10F0-4556-BFF0-5EF2CE6D0C05}"/>
            </a:ext>
          </a:extLst>
        </xdr:cNvPr>
        <xdr:cNvSpPr/>
      </xdr:nvSpPr>
      <xdr:spPr>
        <a:xfrm>
          <a:off x="7476446" y="11295726"/>
          <a:ext cx="1072730"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Porto Raso</a:t>
          </a:r>
        </a:p>
      </xdr:txBody>
    </xdr:sp>
    <xdr:clientData/>
  </xdr:twoCellAnchor>
  <xdr:twoCellAnchor>
    <xdr:from>
      <xdr:col>8</xdr:col>
      <xdr:colOff>641817</xdr:colOff>
      <xdr:row>69</xdr:row>
      <xdr:rowOff>36932</xdr:rowOff>
    </xdr:from>
    <xdr:to>
      <xdr:col>8</xdr:col>
      <xdr:colOff>1325817</xdr:colOff>
      <xdr:row>70</xdr:row>
      <xdr:rowOff>44069</xdr:rowOff>
    </xdr:to>
    <xdr:sp macro="" textlink="">
      <xdr:nvSpPr>
        <xdr:cNvPr id="147" name="Retângulo 134">
          <a:extLst>
            <a:ext uri="{FF2B5EF4-FFF2-40B4-BE49-F238E27FC236}">
              <a16:creationId xmlns:a16="http://schemas.microsoft.com/office/drawing/2014/main" id="{A51FF107-3DB0-4ADB-A62D-51019A5C5F68}"/>
            </a:ext>
          </a:extLst>
        </xdr:cNvPr>
        <xdr:cNvSpPr/>
      </xdr:nvSpPr>
      <xdr:spPr>
        <a:xfrm>
          <a:off x="7753817"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28,4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1700599</xdr:colOff>
      <xdr:row>66</xdr:row>
      <xdr:rowOff>15519</xdr:rowOff>
    </xdr:from>
    <xdr:to>
      <xdr:col>8</xdr:col>
      <xdr:colOff>2812739</xdr:colOff>
      <xdr:row>70</xdr:row>
      <xdr:rowOff>59035</xdr:rowOff>
    </xdr:to>
    <xdr:pic>
      <xdr:nvPicPr>
        <xdr:cNvPr id="148" name="Imagem 135">
          <a:extLst>
            <a:ext uri="{FF2B5EF4-FFF2-40B4-BE49-F238E27FC236}">
              <a16:creationId xmlns:a16="http://schemas.microsoft.com/office/drawing/2014/main" id="{7867DCD7-559B-405C-980E-F8D69A5AADF7}"/>
            </a:ext>
          </a:extLst>
        </xdr:cNvPr>
        <xdr:cNvPicPr preferRelativeResize="0">
          <a:picLocks/>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8812599" y="10919376"/>
          <a:ext cx="1022536" cy="681691"/>
        </a:xfrm>
        <a:prstGeom prst="rect">
          <a:avLst/>
        </a:prstGeom>
      </xdr:spPr>
    </xdr:pic>
    <xdr:clientData/>
  </xdr:twoCellAnchor>
  <xdr:twoCellAnchor>
    <xdr:from>
      <xdr:col>8</xdr:col>
      <xdr:colOff>1637555</xdr:colOff>
      <xdr:row>64</xdr:row>
      <xdr:rowOff>162059</xdr:rowOff>
    </xdr:from>
    <xdr:to>
      <xdr:col>9</xdr:col>
      <xdr:colOff>545163</xdr:colOff>
      <xdr:row>66</xdr:row>
      <xdr:rowOff>66320</xdr:rowOff>
    </xdr:to>
    <xdr:sp macro="" textlink="">
      <xdr:nvSpPr>
        <xdr:cNvPr id="149" name="Retângulo 136">
          <a:extLst>
            <a:ext uri="{FF2B5EF4-FFF2-40B4-BE49-F238E27FC236}">
              <a16:creationId xmlns:a16="http://schemas.microsoft.com/office/drawing/2014/main" id="{62922315-2262-463B-822B-222245E08D37}"/>
            </a:ext>
          </a:extLst>
        </xdr:cNvPr>
        <xdr:cNvSpPr/>
      </xdr:nvSpPr>
      <xdr:spPr>
        <a:xfrm>
          <a:off x="8749555"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Alecrim</a:t>
          </a:r>
        </a:p>
      </xdr:txBody>
    </xdr:sp>
    <xdr:clientData/>
  </xdr:twoCellAnchor>
  <xdr:twoCellAnchor>
    <xdr:from>
      <xdr:col>8</xdr:col>
      <xdr:colOff>1703687</xdr:colOff>
      <xdr:row>69</xdr:row>
      <xdr:rowOff>36932</xdr:rowOff>
    </xdr:from>
    <xdr:to>
      <xdr:col>9</xdr:col>
      <xdr:colOff>338116</xdr:colOff>
      <xdr:row>70</xdr:row>
      <xdr:rowOff>44069</xdr:rowOff>
    </xdr:to>
    <xdr:sp macro="" textlink="">
      <xdr:nvSpPr>
        <xdr:cNvPr id="150" name="Retângulo 137">
          <a:extLst>
            <a:ext uri="{FF2B5EF4-FFF2-40B4-BE49-F238E27FC236}">
              <a16:creationId xmlns:a16="http://schemas.microsoft.com/office/drawing/2014/main" id="{00EBD61C-4CDE-4C5A-B96D-D7C9A90701EF}"/>
            </a:ext>
          </a:extLst>
        </xdr:cNvPr>
        <xdr:cNvSpPr/>
      </xdr:nvSpPr>
      <xdr:spPr>
        <a:xfrm>
          <a:off x="8815687"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72 MW</a:t>
          </a:r>
          <a:endParaRPr lang="en-US" sz="707" b="1">
            <a:solidFill>
              <a:srgbClr val="0070C0"/>
            </a:solidFill>
            <a:latin typeface="Votorantim Sans" panose="02010503030202050203" pitchFamily="2" charset="0"/>
          </a:endParaRPr>
        </a:p>
      </xdr:txBody>
    </xdr:sp>
    <xdr:clientData/>
  </xdr:twoCellAnchor>
  <xdr:twoCellAnchor editAs="oneCell">
    <xdr:from>
      <xdr:col>9</xdr:col>
      <xdr:colOff>779307</xdr:colOff>
      <xdr:row>66</xdr:row>
      <xdr:rowOff>15519</xdr:rowOff>
    </xdr:from>
    <xdr:to>
      <xdr:col>9</xdr:col>
      <xdr:colOff>1801843</xdr:colOff>
      <xdr:row>70</xdr:row>
      <xdr:rowOff>59035</xdr:rowOff>
    </xdr:to>
    <xdr:pic>
      <xdr:nvPicPr>
        <xdr:cNvPr id="151" name="Imagem 138" descr="Serraria (UHE)">
          <a:extLst>
            <a:ext uri="{FF2B5EF4-FFF2-40B4-BE49-F238E27FC236}">
              <a16:creationId xmlns:a16="http://schemas.microsoft.com/office/drawing/2014/main" id="{01C9D462-C193-4890-944A-261F29EB147D}"/>
            </a:ext>
          </a:extLst>
        </xdr:cNvPr>
        <xdr:cNvPicPr preferRelativeResize="0">
          <a:picLocks/>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bwMode="auto">
        <a:xfrm>
          <a:off x="9868878" y="10919376"/>
          <a:ext cx="1022536" cy="681691"/>
        </a:xfrm>
        <a:prstGeom prst="rect">
          <a:avLst/>
        </a:prstGeom>
        <a:noFill/>
        <a:ln>
          <a:noFill/>
        </a:ln>
      </xdr:spPr>
    </xdr:pic>
    <xdr:clientData/>
  </xdr:twoCellAnchor>
  <xdr:twoCellAnchor>
    <xdr:from>
      <xdr:col>9</xdr:col>
      <xdr:colOff>720188</xdr:colOff>
      <xdr:row>64</xdr:row>
      <xdr:rowOff>162059</xdr:rowOff>
    </xdr:from>
    <xdr:to>
      <xdr:col>9</xdr:col>
      <xdr:colOff>1626205</xdr:colOff>
      <xdr:row>66</xdr:row>
      <xdr:rowOff>66320</xdr:rowOff>
    </xdr:to>
    <xdr:sp macro="" textlink="">
      <xdr:nvSpPr>
        <xdr:cNvPr id="152" name="Retângulo 139">
          <a:extLst>
            <a:ext uri="{FF2B5EF4-FFF2-40B4-BE49-F238E27FC236}">
              <a16:creationId xmlns:a16="http://schemas.microsoft.com/office/drawing/2014/main" id="{AFFF8946-47D5-4796-B800-95BF2736ECDF}"/>
            </a:ext>
          </a:extLst>
        </xdr:cNvPr>
        <xdr:cNvSpPr/>
      </xdr:nvSpPr>
      <xdr:spPr>
        <a:xfrm>
          <a:off x="9809759" y="10739345"/>
          <a:ext cx="90601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Serraria</a:t>
          </a:r>
        </a:p>
      </xdr:txBody>
    </xdr:sp>
    <xdr:clientData/>
  </xdr:twoCellAnchor>
  <xdr:twoCellAnchor>
    <xdr:from>
      <xdr:col>9</xdr:col>
      <xdr:colOff>786320</xdr:colOff>
      <xdr:row>69</xdr:row>
      <xdr:rowOff>36932</xdr:rowOff>
    </xdr:from>
    <xdr:to>
      <xdr:col>9</xdr:col>
      <xdr:colOff>1398320</xdr:colOff>
      <xdr:row>70</xdr:row>
      <xdr:rowOff>44069</xdr:rowOff>
    </xdr:to>
    <xdr:sp macro="" textlink="">
      <xdr:nvSpPr>
        <xdr:cNvPr id="153" name="Retângulo 140">
          <a:extLst>
            <a:ext uri="{FF2B5EF4-FFF2-40B4-BE49-F238E27FC236}">
              <a16:creationId xmlns:a16="http://schemas.microsoft.com/office/drawing/2014/main" id="{D5876B77-541F-452F-B9C6-C92A9255D33B}"/>
            </a:ext>
          </a:extLst>
        </xdr:cNvPr>
        <xdr:cNvSpPr/>
      </xdr:nvSpPr>
      <xdr:spPr>
        <a:xfrm>
          <a:off x="9875891"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24 MW</a:t>
          </a:r>
          <a:endParaRPr lang="en-US" sz="707" b="1">
            <a:solidFill>
              <a:srgbClr val="0070C0"/>
            </a:solidFill>
            <a:latin typeface="Votorantim Sans" panose="02010503030202050203" pitchFamily="2" charset="0"/>
          </a:endParaRPr>
        </a:p>
      </xdr:txBody>
    </xdr:sp>
    <xdr:clientData/>
  </xdr:twoCellAnchor>
  <xdr:twoCellAnchor editAs="oneCell">
    <xdr:from>
      <xdr:col>9</xdr:col>
      <xdr:colOff>1868482</xdr:colOff>
      <xdr:row>66</xdr:row>
      <xdr:rowOff>15519</xdr:rowOff>
    </xdr:from>
    <xdr:to>
      <xdr:col>10</xdr:col>
      <xdr:colOff>998720</xdr:colOff>
      <xdr:row>70</xdr:row>
      <xdr:rowOff>59035</xdr:rowOff>
    </xdr:to>
    <xdr:pic>
      <xdr:nvPicPr>
        <xdr:cNvPr id="154" name="Imagem 141">
          <a:extLst>
            <a:ext uri="{FF2B5EF4-FFF2-40B4-BE49-F238E27FC236}">
              <a16:creationId xmlns:a16="http://schemas.microsoft.com/office/drawing/2014/main" id="{DE34B177-5EF1-4965-9066-CB9C2A74A840}"/>
            </a:ext>
          </a:extLst>
        </xdr:cNvPr>
        <xdr:cNvPicPr preferRelativeResize="0">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958053" y="10919376"/>
          <a:ext cx="1022536" cy="681691"/>
        </a:xfrm>
        <a:prstGeom prst="rect">
          <a:avLst/>
        </a:prstGeom>
      </xdr:spPr>
    </xdr:pic>
    <xdr:clientData/>
  </xdr:twoCellAnchor>
  <xdr:twoCellAnchor>
    <xdr:from>
      <xdr:col>9</xdr:col>
      <xdr:colOff>1774643</xdr:colOff>
      <xdr:row>64</xdr:row>
      <xdr:rowOff>162059</xdr:rowOff>
    </xdr:from>
    <xdr:to>
      <xdr:col>10</xdr:col>
      <xdr:colOff>877816</xdr:colOff>
      <xdr:row>66</xdr:row>
      <xdr:rowOff>66320</xdr:rowOff>
    </xdr:to>
    <xdr:sp macro="" textlink="">
      <xdr:nvSpPr>
        <xdr:cNvPr id="155" name="Retângulo 142">
          <a:extLst>
            <a:ext uri="{FF2B5EF4-FFF2-40B4-BE49-F238E27FC236}">
              <a16:creationId xmlns:a16="http://schemas.microsoft.com/office/drawing/2014/main" id="{44DEA62E-494D-479E-AD22-6F86826A965D}"/>
            </a:ext>
          </a:extLst>
        </xdr:cNvPr>
        <xdr:cNvSpPr/>
      </xdr:nvSpPr>
      <xdr:spPr>
        <a:xfrm>
          <a:off x="10864214" y="10739345"/>
          <a:ext cx="1080745"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 Iporanga</a:t>
          </a:r>
        </a:p>
      </xdr:txBody>
    </xdr:sp>
    <xdr:clientData/>
  </xdr:twoCellAnchor>
  <xdr:twoCellAnchor>
    <xdr:from>
      <xdr:col>9</xdr:col>
      <xdr:colOff>1868482</xdr:colOff>
      <xdr:row>69</xdr:row>
      <xdr:rowOff>36932</xdr:rowOff>
    </xdr:from>
    <xdr:to>
      <xdr:col>10</xdr:col>
      <xdr:colOff>544310</xdr:colOff>
      <xdr:row>70</xdr:row>
      <xdr:rowOff>44069</xdr:rowOff>
    </xdr:to>
    <xdr:sp macro="" textlink="">
      <xdr:nvSpPr>
        <xdr:cNvPr id="156" name="Retângulo 143">
          <a:extLst>
            <a:ext uri="{FF2B5EF4-FFF2-40B4-BE49-F238E27FC236}">
              <a16:creationId xmlns:a16="http://schemas.microsoft.com/office/drawing/2014/main" id="{D454CF8C-F297-4728-B25E-196D3D1A2C45}"/>
            </a:ext>
          </a:extLst>
        </xdr:cNvPr>
        <xdr:cNvSpPr/>
      </xdr:nvSpPr>
      <xdr:spPr>
        <a:xfrm>
          <a:off x="10958053" y="11430646"/>
          <a:ext cx="6534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36,9 MW</a:t>
          </a:r>
          <a:endParaRPr lang="en-US" sz="707" b="1">
            <a:solidFill>
              <a:srgbClr val="0070C0"/>
            </a:solidFill>
            <a:latin typeface="Votorantim Sans" panose="02010503030202050203" pitchFamily="2" charset="0"/>
          </a:endParaRPr>
        </a:p>
      </xdr:txBody>
    </xdr:sp>
    <xdr:clientData/>
  </xdr:twoCellAnchor>
  <xdr:twoCellAnchor editAs="oneCell">
    <xdr:from>
      <xdr:col>6</xdr:col>
      <xdr:colOff>346991</xdr:colOff>
      <xdr:row>60</xdr:row>
      <xdr:rowOff>96202</xdr:rowOff>
    </xdr:from>
    <xdr:to>
      <xdr:col>7</xdr:col>
      <xdr:colOff>255102</xdr:colOff>
      <xdr:row>65</xdr:row>
      <xdr:rowOff>15893</xdr:rowOff>
    </xdr:to>
    <xdr:pic>
      <xdr:nvPicPr>
        <xdr:cNvPr id="157" name="Imagem 144">
          <a:extLst>
            <a:ext uri="{FF2B5EF4-FFF2-40B4-BE49-F238E27FC236}">
              <a16:creationId xmlns:a16="http://schemas.microsoft.com/office/drawing/2014/main" id="{2D5C0140-E346-4417-8038-349D0B34F1EE}"/>
            </a:ext>
          </a:extLst>
        </xdr:cNvPr>
        <xdr:cNvPicPr preferRelativeResize="0">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5118562" y="10020345"/>
          <a:ext cx="1022536" cy="681691"/>
        </a:xfrm>
        <a:prstGeom prst="rect">
          <a:avLst/>
        </a:prstGeom>
      </xdr:spPr>
    </xdr:pic>
    <xdr:clientData/>
  </xdr:twoCellAnchor>
  <xdr:twoCellAnchor>
    <xdr:from>
      <xdr:col>6</xdr:col>
      <xdr:colOff>245214</xdr:colOff>
      <xdr:row>59</xdr:row>
      <xdr:rowOff>56299</xdr:rowOff>
    </xdr:from>
    <xdr:to>
      <xdr:col>7</xdr:col>
      <xdr:colOff>259939</xdr:colOff>
      <xdr:row>60</xdr:row>
      <xdr:rowOff>123845</xdr:rowOff>
    </xdr:to>
    <xdr:sp macro="" textlink="">
      <xdr:nvSpPr>
        <xdr:cNvPr id="158" name="Retângulo 145">
          <a:extLst>
            <a:ext uri="{FF2B5EF4-FFF2-40B4-BE49-F238E27FC236}">
              <a16:creationId xmlns:a16="http://schemas.microsoft.com/office/drawing/2014/main" id="{C4AD41CF-66DE-417B-89D2-75A4434DA115}"/>
            </a:ext>
          </a:extLst>
        </xdr:cNvPr>
        <xdr:cNvSpPr/>
      </xdr:nvSpPr>
      <xdr:spPr>
        <a:xfrm>
          <a:off x="5016785" y="9817156"/>
          <a:ext cx="118494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Itupararanga</a:t>
          </a:r>
        </a:p>
      </xdr:txBody>
    </xdr:sp>
    <xdr:clientData/>
  </xdr:twoCellAnchor>
  <xdr:twoCellAnchor>
    <xdr:from>
      <xdr:col>3</xdr:col>
      <xdr:colOff>886537</xdr:colOff>
      <xdr:row>68</xdr:row>
      <xdr:rowOff>24416</xdr:rowOff>
    </xdr:from>
    <xdr:to>
      <xdr:col>3</xdr:col>
      <xdr:colOff>963790</xdr:colOff>
      <xdr:row>68</xdr:row>
      <xdr:rowOff>108449</xdr:rowOff>
    </xdr:to>
    <xdr:sp macro="" textlink="">
      <xdr:nvSpPr>
        <xdr:cNvPr id="159" name="Elipse 146">
          <a:extLst>
            <a:ext uri="{FF2B5EF4-FFF2-40B4-BE49-F238E27FC236}">
              <a16:creationId xmlns:a16="http://schemas.microsoft.com/office/drawing/2014/main" id="{49C53F99-B2B4-484A-91B1-8F2957FEA0B6}"/>
            </a:ext>
          </a:extLst>
        </xdr:cNvPr>
        <xdr:cNvSpPr/>
      </xdr:nvSpPr>
      <xdr:spPr>
        <a:xfrm>
          <a:off x="3317680" y="11254845"/>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536025</xdr:colOff>
      <xdr:row>67</xdr:row>
      <xdr:rowOff>58025</xdr:rowOff>
    </xdr:from>
    <xdr:to>
      <xdr:col>3</xdr:col>
      <xdr:colOff>613278</xdr:colOff>
      <xdr:row>67</xdr:row>
      <xdr:rowOff>142058</xdr:rowOff>
    </xdr:to>
    <xdr:sp macro="" textlink="">
      <xdr:nvSpPr>
        <xdr:cNvPr id="160" name="Elipse 147">
          <a:extLst>
            <a:ext uri="{FF2B5EF4-FFF2-40B4-BE49-F238E27FC236}">
              <a16:creationId xmlns:a16="http://schemas.microsoft.com/office/drawing/2014/main" id="{82136D24-EBEF-449C-B2B9-23E24FF8B253}"/>
            </a:ext>
          </a:extLst>
        </xdr:cNvPr>
        <xdr:cNvSpPr/>
      </xdr:nvSpPr>
      <xdr:spPr>
        <a:xfrm>
          <a:off x="2967168" y="11125168"/>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1</xdr:col>
      <xdr:colOff>1637342</xdr:colOff>
      <xdr:row>63</xdr:row>
      <xdr:rowOff>101485</xdr:rowOff>
    </xdr:from>
    <xdr:to>
      <xdr:col>3</xdr:col>
      <xdr:colOff>574651</xdr:colOff>
      <xdr:row>67</xdr:row>
      <xdr:rowOff>58025</xdr:rowOff>
    </xdr:to>
    <xdr:cxnSp macro="">
      <xdr:nvCxnSpPr>
        <xdr:cNvPr id="213" name="Conector angulado 162">
          <a:extLst>
            <a:ext uri="{FF2B5EF4-FFF2-40B4-BE49-F238E27FC236}">
              <a16:creationId xmlns:a16="http://schemas.microsoft.com/office/drawing/2014/main" id="{39FE805E-8ED5-4986-8D29-89D3BAC2C48D}"/>
            </a:ext>
          </a:extLst>
        </xdr:cNvPr>
        <xdr:cNvCxnSpPr>
          <a:cxnSpLocks/>
          <a:stCxn id="134" idx="2"/>
          <a:endCxn id="160" idx="0"/>
        </xdr:cNvCxnSpPr>
      </xdr:nvCxnSpPr>
      <xdr:spPr>
        <a:xfrm rot="16200000" flipH="1">
          <a:off x="2169127" y="10034500"/>
          <a:ext cx="591540" cy="1350309"/>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574651</xdr:colOff>
      <xdr:row>63</xdr:row>
      <xdr:rowOff>35283</xdr:rowOff>
    </xdr:from>
    <xdr:to>
      <xdr:col>3</xdr:col>
      <xdr:colOff>651904</xdr:colOff>
      <xdr:row>63</xdr:row>
      <xdr:rowOff>119316</xdr:rowOff>
    </xdr:to>
    <xdr:sp macro="" textlink="">
      <xdr:nvSpPr>
        <xdr:cNvPr id="161" name="Elipse 150">
          <a:extLst>
            <a:ext uri="{FF2B5EF4-FFF2-40B4-BE49-F238E27FC236}">
              <a16:creationId xmlns:a16="http://schemas.microsoft.com/office/drawing/2014/main" id="{819CEFA3-F808-4996-923D-8C30A8013708}"/>
            </a:ext>
          </a:extLst>
        </xdr:cNvPr>
        <xdr:cNvSpPr/>
      </xdr:nvSpPr>
      <xdr:spPr>
        <a:xfrm>
          <a:off x="3140051" y="10347683"/>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613278</xdr:colOff>
      <xdr:row>58</xdr:row>
      <xdr:rowOff>79969</xdr:rowOff>
    </xdr:from>
    <xdr:to>
      <xdr:col>3</xdr:col>
      <xdr:colOff>638142</xdr:colOff>
      <xdr:row>63</xdr:row>
      <xdr:rowOff>35283</xdr:rowOff>
    </xdr:to>
    <xdr:cxnSp macro="">
      <xdr:nvCxnSpPr>
        <xdr:cNvPr id="214" name="Conector angulado 160">
          <a:extLst>
            <a:ext uri="{FF2B5EF4-FFF2-40B4-BE49-F238E27FC236}">
              <a16:creationId xmlns:a16="http://schemas.microsoft.com/office/drawing/2014/main" id="{2C76A3F4-C0E0-4750-8B94-303FE7497F8A}"/>
            </a:ext>
          </a:extLst>
        </xdr:cNvPr>
        <xdr:cNvCxnSpPr>
          <a:cxnSpLocks/>
          <a:stCxn id="128" idx="2"/>
          <a:endCxn id="161" idx="0"/>
        </xdr:cNvCxnSpPr>
      </xdr:nvCxnSpPr>
      <xdr:spPr>
        <a:xfrm rot="5400000">
          <a:off x="2816578" y="9960719"/>
          <a:ext cx="749064" cy="2486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239081</xdr:colOff>
      <xdr:row>66</xdr:row>
      <xdr:rowOff>50835</xdr:rowOff>
    </xdr:from>
    <xdr:to>
      <xdr:col>4</xdr:col>
      <xdr:colOff>316334</xdr:colOff>
      <xdr:row>66</xdr:row>
      <xdr:rowOff>130332</xdr:rowOff>
    </xdr:to>
    <xdr:sp macro="" textlink="">
      <xdr:nvSpPr>
        <xdr:cNvPr id="196" name="Elipse 152">
          <a:extLst>
            <a:ext uri="{FF2B5EF4-FFF2-40B4-BE49-F238E27FC236}">
              <a16:creationId xmlns:a16="http://schemas.microsoft.com/office/drawing/2014/main" id="{F70C60A8-0FF1-4F7B-8AB6-E524D5A7ED1B}"/>
            </a:ext>
          </a:extLst>
        </xdr:cNvPr>
        <xdr:cNvSpPr/>
      </xdr:nvSpPr>
      <xdr:spPr>
        <a:xfrm>
          <a:off x="3805664" y="10867002"/>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277708</xdr:colOff>
      <xdr:row>50</xdr:row>
      <xdr:rowOff>140441</xdr:rowOff>
    </xdr:from>
    <xdr:to>
      <xdr:col>4</xdr:col>
      <xdr:colOff>689942</xdr:colOff>
      <xdr:row>66</xdr:row>
      <xdr:rowOff>50835</xdr:rowOff>
    </xdr:to>
    <xdr:cxnSp macro="">
      <xdr:nvCxnSpPr>
        <xdr:cNvPr id="215" name="Conector angulado 203">
          <a:extLst>
            <a:ext uri="{FF2B5EF4-FFF2-40B4-BE49-F238E27FC236}">
              <a16:creationId xmlns:a16="http://schemas.microsoft.com/office/drawing/2014/main" id="{1BE5EEF7-B294-437B-98A6-43C205932CC2}"/>
            </a:ext>
          </a:extLst>
        </xdr:cNvPr>
        <xdr:cNvCxnSpPr>
          <a:cxnSpLocks/>
          <a:stCxn id="196" idx="0"/>
          <a:endCxn id="18" idx="2"/>
        </xdr:cNvCxnSpPr>
      </xdr:nvCxnSpPr>
      <xdr:spPr>
        <a:xfrm rot="5400000" flipH="1" flipV="1">
          <a:off x="2976906" y="9590910"/>
          <a:ext cx="2506838" cy="41223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925164</xdr:colOff>
      <xdr:row>64</xdr:row>
      <xdr:rowOff>115302</xdr:rowOff>
    </xdr:from>
    <xdr:to>
      <xdr:col>6</xdr:col>
      <xdr:colOff>161924</xdr:colOff>
      <xdr:row>68</xdr:row>
      <xdr:rowOff>108449</xdr:rowOff>
    </xdr:to>
    <xdr:cxnSp macro="">
      <xdr:nvCxnSpPr>
        <xdr:cNvPr id="216" name="Conector angulado 140">
          <a:extLst>
            <a:ext uri="{FF2B5EF4-FFF2-40B4-BE49-F238E27FC236}">
              <a16:creationId xmlns:a16="http://schemas.microsoft.com/office/drawing/2014/main" id="{EAA3713E-7822-4FF2-AF11-AD5BA44406A9}"/>
            </a:ext>
          </a:extLst>
        </xdr:cNvPr>
        <xdr:cNvCxnSpPr>
          <a:cxnSpLocks/>
          <a:stCxn id="159" idx="4"/>
        </xdr:cNvCxnSpPr>
      </xdr:nvCxnSpPr>
      <xdr:spPr>
        <a:xfrm rot="5400000" flipH="1" flipV="1">
          <a:off x="3821756" y="10227139"/>
          <a:ext cx="646290" cy="1577188"/>
        </a:xfrm>
        <a:prstGeom prst="bentConnector4">
          <a:avLst>
            <a:gd name="adj1" fmla="val -35371"/>
            <a:gd name="adj2" fmla="val 51225"/>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233350</xdr:colOff>
      <xdr:row>59</xdr:row>
      <xdr:rowOff>56299</xdr:rowOff>
    </xdr:from>
    <xdr:to>
      <xdr:col>8</xdr:col>
      <xdr:colOff>23655</xdr:colOff>
      <xdr:row>60</xdr:row>
      <xdr:rowOff>130754</xdr:rowOff>
    </xdr:to>
    <xdr:sp macro="" textlink="">
      <xdr:nvSpPr>
        <xdr:cNvPr id="163" name="Retângulo 155">
          <a:extLst>
            <a:ext uri="{FF2B5EF4-FFF2-40B4-BE49-F238E27FC236}">
              <a16:creationId xmlns:a16="http://schemas.microsoft.com/office/drawing/2014/main" id="{7038B2C6-582E-4E15-B861-C358CC2015B6}"/>
            </a:ext>
          </a:extLst>
        </xdr:cNvPr>
        <xdr:cNvSpPr/>
      </xdr:nvSpPr>
      <xdr:spPr>
        <a:xfrm>
          <a:off x="6022433" y="10396216"/>
          <a:ext cx="901555"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Jurupara</a:t>
          </a:r>
        </a:p>
      </xdr:txBody>
    </xdr:sp>
    <xdr:clientData/>
  </xdr:twoCellAnchor>
  <xdr:twoCellAnchor>
    <xdr:from>
      <xdr:col>8</xdr:col>
      <xdr:colOff>72498</xdr:colOff>
      <xdr:row>59</xdr:row>
      <xdr:rowOff>56299</xdr:rowOff>
    </xdr:from>
    <xdr:to>
      <xdr:col>8</xdr:col>
      <xdr:colOff>1129198</xdr:colOff>
      <xdr:row>60</xdr:row>
      <xdr:rowOff>123845</xdr:rowOff>
    </xdr:to>
    <xdr:sp macro="" textlink="">
      <xdr:nvSpPr>
        <xdr:cNvPr id="164" name="Retângulo 156">
          <a:extLst>
            <a:ext uri="{FF2B5EF4-FFF2-40B4-BE49-F238E27FC236}">
              <a16:creationId xmlns:a16="http://schemas.microsoft.com/office/drawing/2014/main" id="{A720726C-7D20-43C6-9FA3-E44FC664E6EA}"/>
            </a:ext>
          </a:extLst>
        </xdr:cNvPr>
        <xdr:cNvSpPr/>
      </xdr:nvSpPr>
      <xdr:spPr>
        <a:xfrm>
          <a:off x="7184498" y="9817156"/>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Sta Helena</a:t>
          </a:r>
        </a:p>
      </xdr:txBody>
    </xdr:sp>
    <xdr:clientData/>
  </xdr:twoCellAnchor>
  <xdr:twoCellAnchor>
    <xdr:from>
      <xdr:col>8</xdr:col>
      <xdr:colOff>1104167</xdr:colOff>
      <xdr:row>59</xdr:row>
      <xdr:rowOff>56299</xdr:rowOff>
    </xdr:from>
    <xdr:to>
      <xdr:col>9</xdr:col>
      <xdr:colOff>237798</xdr:colOff>
      <xdr:row>60</xdr:row>
      <xdr:rowOff>123845</xdr:rowOff>
    </xdr:to>
    <xdr:sp macro="" textlink="">
      <xdr:nvSpPr>
        <xdr:cNvPr id="165" name="Retângulo 157">
          <a:extLst>
            <a:ext uri="{FF2B5EF4-FFF2-40B4-BE49-F238E27FC236}">
              <a16:creationId xmlns:a16="http://schemas.microsoft.com/office/drawing/2014/main" id="{3912602F-6705-4B57-8C9D-55DCACF653FD}"/>
            </a:ext>
          </a:extLst>
        </xdr:cNvPr>
        <xdr:cNvSpPr/>
      </xdr:nvSpPr>
      <xdr:spPr>
        <a:xfrm>
          <a:off x="8216167" y="9817156"/>
          <a:ext cx="1111202"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Votorantim</a:t>
          </a:r>
        </a:p>
      </xdr:txBody>
    </xdr:sp>
    <xdr:clientData/>
  </xdr:twoCellAnchor>
  <xdr:twoCellAnchor editAs="oneCell">
    <xdr:from>
      <xdr:col>8</xdr:col>
      <xdr:colOff>142354</xdr:colOff>
      <xdr:row>60</xdr:row>
      <xdr:rowOff>96202</xdr:rowOff>
    </xdr:from>
    <xdr:to>
      <xdr:col>8</xdr:col>
      <xdr:colOff>1164890</xdr:colOff>
      <xdr:row>65</xdr:row>
      <xdr:rowOff>15893</xdr:rowOff>
    </xdr:to>
    <xdr:pic>
      <xdr:nvPicPr>
        <xdr:cNvPr id="166" name="Imagem 158">
          <a:extLst>
            <a:ext uri="{FF2B5EF4-FFF2-40B4-BE49-F238E27FC236}">
              <a16:creationId xmlns:a16="http://schemas.microsoft.com/office/drawing/2014/main" id="{6D30A0EE-0461-4036-A4BA-61E3B4F98B49}"/>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7254354" y="10020345"/>
          <a:ext cx="1022536" cy="681691"/>
        </a:xfrm>
        <a:prstGeom prst="rect">
          <a:avLst/>
        </a:prstGeom>
      </xdr:spPr>
    </xdr:pic>
    <xdr:clientData/>
  </xdr:twoCellAnchor>
  <xdr:twoCellAnchor>
    <xdr:from>
      <xdr:col>3</xdr:col>
      <xdr:colOff>73288</xdr:colOff>
      <xdr:row>69</xdr:row>
      <xdr:rowOff>118322</xdr:rowOff>
    </xdr:from>
    <xdr:to>
      <xdr:col>3</xdr:col>
      <xdr:colOff>82275</xdr:colOff>
      <xdr:row>69</xdr:row>
      <xdr:rowOff>119723</xdr:rowOff>
    </xdr:to>
    <xdr:sp macro="" textlink="">
      <xdr:nvSpPr>
        <xdr:cNvPr id="168" name="Rectangle 81">
          <a:extLst>
            <a:ext uri="{FF2B5EF4-FFF2-40B4-BE49-F238E27FC236}">
              <a16:creationId xmlns:a16="http://schemas.microsoft.com/office/drawing/2014/main" id="{BBE1B9C3-A563-4DE9-B879-25D4C7360E61}"/>
            </a:ext>
          </a:extLst>
        </xdr:cNvPr>
        <xdr:cNvSpPr>
          <a:spLocks noChangeAspect="1" noChangeArrowheads="1"/>
        </xdr:cNvSpPr>
      </xdr:nvSpPr>
      <xdr:spPr bwMode="gray">
        <a:xfrm>
          <a:off x="2504431" y="1151203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1</xdr:col>
      <xdr:colOff>1097923</xdr:colOff>
      <xdr:row>53</xdr:row>
      <xdr:rowOff>121108</xdr:rowOff>
    </xdr:from>
    <xdr:to>
      <xdr:col>2</xdr:col>
      <xdr:colOff>449351</xdr:colOff>
      <xdr:row>58</xdr:row>
      <xdr:rowOff>40799</xdr:rowOff>
    </xdr:to>
    <xdr:pic>
      <xdr:nvPicPr>
        <xdr:cNvPr id="174" name="Imagem 166">
          <a:extLst>
            <a:ext uri="{FF2B5EF4-FFF2-40B4-BE49-F238E27FC236}">
              <a16:creationId xmlns:a16="http://schemas.microsoft.com/office/drawing/2014/main" id="{108EEAED-AB36-4D35-BDB6-04E3DA31E051}"/>
            </a:ext>
          </a:extLst>
        </xdr:cNvPr>
        <xdr:cNvPicPr preferRelativeResize="0">
          <a:picLocks/>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a:stretch/>
      </xdr:blipFill>
      <xdr:spPr>
        <a:xfrm>
          <a:off x="1252137" y="8902251"/>
          <a:ext cx="1022536" cy="681691"/>
        </a:xfrm>
        <a:prstGeom prst="rect">
          <a:avLst/>
        </a:prstGeom>
      </xdr:spPr>
    </xdr:pic>
    <xdr:clientData/>
  </xdr:twoCellAnchor>
  <xdr:twoCellAnchor>
    <xdr:from>
      <xdr:col>1</xdr:col>
      <xdr:colOff>1098748</xdr:colOff>
      <xdr:row>56</xdr:row>
      <xdr:rowOff>151158</xdr:rowOff>
    </xdr:from>
    <xdr:to>
      <xdr:col>2</xdr:col>
      <xdr:colOff>105105</xdr:colOff>
      <xdr:row>57</xdr:row>
      <xdr:rowOff>158295</xdr:rowOff>
    </xdr:to>
    <xdr:sp macro="" textlink="">
      <xdr:nvSpPr>
        <xdr:cNvPr id="175" name="Retângulo 167">
          <a:extLst>
            <a:ext uri="{FF2B5EF4-FFF2-40B4-BE49-F238E27FC236}">
              <a16:creationId xmlns:a16="http://schemas.microsoft.com/office/drawing/2014/main" id="{5F6F4B03-5273-47C1-84F0-9F5D6B4A1791}"/>
            </a:ext>
          </a:extLst>
        </xdr:cNvPr>
        <xdr:cNvSpPr/>
      </xdr:nvSpPr>
      <xdr:spPr>
        <a:xfrm>
          <a:off x="1252962" y="9422158"/>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80 MW</a:t>
          </a:r>
          <a:endParaRPr lang="en-US" sz="800" b="1">
            <a:solidFill>
              <a:srgbClr val="0070C0"/>
            </a:solidFill>
            <a:latin typeface="Votorantim Sans" panose="02010503030202050203" pitchFamily="2" charset="0"/>
          </a:endParaRPr>
        </a:p>
      </xdr:txBody>
    </xdr:sp>
    <xdr:clientData/>
  </xdr:twoCellAnchor>
  <xdr:twoCellAnchor>
    <xdr:from>
      <xdr:col>6</xdr:col>
      <xdr:colOff>350476</xdr:colOff>
      <xdr:row>63</xdr:row>
      <xdr:rowOff>108166</xdr:rowOff>
    </xdr:from>
    <xdr:to>
      <xdr:col>6</xdr:col>
      <xdr:colOff>962476</xdr:colOff>
      <xdr:row>64</xdr:row>
      <xdr:rowOff>115303</xdr:rowOff>
    </xdr:to>
    <xdr:sp macro="" textlink="">
      <xdr:nvSpPr>
        <xdr:cNvPr id="176" name="Retângulo 168">
          <a:extLst>
            <a:ext uri="{FF2B5EF4-FFF2-40B4-BE49-F238E27FC236}">
              <a16:creationId xmlns:a16="http://schemas.microsoft.com/office/drawing/2014/main" id="{63159452-6A71-4009-88F7-6E92BE2911E9}"/>
            </a:ext>
          </a:extLst>
        </xdr:cNvPr>
        <xdr:cNvSpPr/>
      </xdr:nvSpPr>
      <xdr:spPr>
        <a:xfrm>
          <a:off x="512204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55 MW</a:t>
          </a:r>
          <a:endParaRPr lang="en-US" sz="733" b="1">
            <a:solidFill>
              <a:srgbClr val="0070C0"/>
            </a:solidFill>
            <a:latin typeface="Votorantim Sans" panose="02010503030202050203" pitchFamily="2" charset="0"/>
          </a:endParaRPr>
        </a:p>
      </xdr:txBody>
    </xdr:sp>
    <xdr:clientData/>
  </xdr:twoCellAnchor>
  <xdr:twoCellAnchor>
    <xdr:from>
      <xdr:col>7</xdr:col>
      <xdr:colOff>241503</xdr:colOff>
      <xdr:row>63</xdr:row>
      <xdr:rowOff>108166</xdr:rowOff>
    </xdr:from>
    <xdr:to>
      <xdr:col>7</xdr:col>
      <xdr:colOff>853503</xdr:colOff>
      <xdr:row>64</xdr:row>
      <xdr:rowOff>115303</xdr:rowOff>
    </xdr:to>
    <xdr:sp macro="" textlink="">
      <xdr:nvSpPr>
        <xdr:cNvPr id="177" name="Retângulo 169">
          <a:extLst>
            <a:ext uri="{FF2B5EF4-FFF2-40B4-BE49-F238E27FC236}">
              <a16:creationId xmlns:a16="http://schemas.microsoft.com/office/drawing/2014/main" id="{75E6284C-F581-4D88-A7AC-BC046013760E}"/>
            </a:ext>
          </a:extLst>
        </xdr:cNvPr>
        <xdr:cNvSpPr/>
      </xdr:nvSpPr>
      <xdr:spPr>
        <a:xfrm>
          <a:off x="6183289"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4,4 MW</a:t>
          </a:r>
          <a:endParaRPr lang="en-US" sz="733" b="1">
            <a:solidFill>
              <a:srgbClr val="0070C0"/>
            </a:solidFill>
            <a:latin typeface="Votorantim Sans" panose="02010503030202050203" pitchFamily="2" charset="0"/>
          </a:endParaRPr>
        </a:p>
      </xdr:txBody>
    </xdr:sp>
    <xdr:clientData/>
  </xdr:twoCellAnchor>
  <xdr:twoCellAnchor>
    <xdr:from>
      <xdr:col>8</xdr:col>
      <xdr:colOff>1210597</xdr:colOff>
      <xdr:row>63</xdr:row>
      <xdr:rowOff>108166</xdr:rowOff>
    </xdr:from>
    <xdr:to>
      <xdr:col>8</xdr:col>
      <xdr:colOff>1822597</xdr:colOff>
      <xdr:row>64</xdr:row>
      <xdr:rowOff>115303</xdr:rowOff>
    </xdr:to>
    <xdr:sp macro="" textlink="">
      <xdr:nvSpPr>
        <xdr:cNvPr id="178" name="Retângulo 170">
          <a:extLst>
            <a:ext uri="{FF2B5EF4-FFF2-40B4-BE49-F238E27FC236}">
              <a16:creationId xmlns:a16="http://schemas.microsoft.com/office/drawing/2014/main" id="{830E5388-397A-4FE3-81EB-9BE5EA00E0BD}"/>
            </a:ext>
          </a:extLst>
        </xdr:cNvPr>
        <xdr:cNvSpPr/>
      </xdr:nvSpPr>
      <xdr:spPr>
        <a:xfrm>
          <a:off x="832259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3 MW</a:t>
          </a:r>
          <a:endParaRPr lang="en-US" sz="733" b="1">
            <a:solidFill>
              <a:srgbClr val="0070C0"/>
            </a:solidFill>
            <a:latin typeface="Votorantim Sans" panose="02010503030202050203" pitchFamily="2" charset="0"/>
          </a:endParaRPr>
        </a:p>
      </xdr:txBody>
    </xdr:sp>
    <xdr:clientData/>
  </xdr:twoCellAnchor>
  <xdr:twoCellAnchor>
    <xdr:from>
      <xdr:col>8</xdr:col>
      <xdr:colOff>115521</xdr:colOff>
      <xdr:row>63</xdr:row>
      <xdr:rowOff>108166</xdr:rowOff>
    </xdr:from>
    <xdr:to>
      <xdr:col>8</xdr:col>
      <xdr:colOff>727521</xdr:colOff>
      <xdr:row>64</xdr:row>
      <xdr:rowOff>115303</xdr:rowOff>
    </xdr:to>
    <xdr:sp macro="" textlink="">
      <xdr:nvSpPr>
        <xdr:cNvPr id="179" name="Retângulo 171">
          <a:extLst>
            <a:ext uri="{FF2B5EF4-FFF2-40B4-BE49-F238E27FC236}">
              <a16:creationId xmlns:a16="http://schemas.microsoft.com/office/drawing/2014/main" id="{E09D21D5-2681-45F6-B85F-0B57CA656CB5}"/>
            </a:ext>
          </a:extLst>
        </xdr:cNvPr>
        <xdr:cNvSpPr/>
      </xdr:nvSpPr>
      <xdr:spPr>
        <a:xfrm>
          <a:off x="7227521"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2,2 MW</a:t>
          </a:r>
          <a:endParaRPr lang="en-US" sz="733" b="1">
            <a:solidFill>
              <a:srgbClr val="0070C0"/>
            </a:solidFill>
            <a:latin typeface="Votorantim Sans" panose="02010503030202050203" pitchFamily="2" charset="0"/>
          </a:endParaRPr>
        </a:p>
      </xdr:txBody>
    </xdr:sp>
    <xdr:clientData/>
  </xdr:twoCellAnchor>
  <xdr:twoCellAnchor>
    <xdr:from>
      <xdr:col>7</xdr:col>
      <xdr:colOff>176797</xdr:colOff>
      <xdr:row>76</xdr:row>
      <xdr:rowOff>19459</xdr:rowOff>
    </xdr:from>
    <xdr:to>
      <xdr:col>7</xdr:col>
      <xdr:colOff>185784</xdr:colOff>
      <xdr:row>76</xdr:row>
      <xdr:rowOff>20860</xdr:rowOff>
    </xdr:to>
    <xdr:sp macro="" textlink="">
      <xdr:nvSpPr>
        <xdr:cNvPr id="270" name="Rectangle 81">
          <a:extLst>
            <a:ext uri="{FF2B5EF4-FFF2-40B4-BE49-F238E27FC236}">
              <a16:creationId xmlns:a16="http://schemas.microsoft.com/office/drawing/2014/main" id="{907ED73B-FE53-45E4-AC6E-9C625F2174C8}"/>
            </a:ext>
          </a:extLst>
        </xdr:cNvPr>
        <xdr:cNvSpPr>
          <a:spLocks noChangeAspect="1" noChangeArrowheads="1"/>
        </xdr:cNvSpPr>
      </xdr:nvSpPr>
      <xdr:spPr bwMode="gray">
        <a:xfrm>
          <a:off x="6118583" y="12556173"/>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oneCellAnchor>
    <xdr:from>
      <xdr:col>4</xdr:col>
      <xdr:colOff>194921</xdr:colOff>
      <xdr:row>73</xdr:row>
      <xdr:rowOff>7606</xdr:rowOff>
    </xdr:from>
    <xdr:ext cx="1022400" cy="680400"/>
    <xdr:pic>
      <xdr:nvPicPr>
        <xdr:cNvPr id="269" name="Picture 2" descr="Canoas I  (UHE)">
          <a:extLst>
            <a:ext uri="{FF2B5EF4-FFF2-40B4-BE49-F238E27FC236}">
              <a16:creationId xmlns:a16="http://schemas.microsoft.com/office/drawing/2014/main" id="{7A1A7260-A968-42A6-AA67-E4B939825C2A}"/>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796278"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93524</xdr:colOff>
      <xdr:row>71</xdr:row>
      <xdr:rowOff>105098</xdr:rowOff>
    </xdr:from>
    <xdr:to>
      <xdr:col>6</xdr:col>
      <xdr:colOff>659569</xdr:colOff>
      <xdr:row>73</xdr:row>
      <xdr:rowOff>9359</xdr:rowOff>
    </xdr:to>
    <xdr:sp macro="" textlink="">
      <xdr:nvSpPr>
        <xdr:cNvPr id="268" name="Retângulo 174">
          <a:extLst>
            <a:ext uri="{FF2B5EF4-FFF2-40B4-BE49-F238E27FC236}">
              <a16:creationId xmlns:a16="http://schemas.microsoft.com/office/drawing/2014/main" id="{82C8A5E3-E1BE-4A3F-AD6D-CD9551594DD3}"/>
            </a:ext>
          </a:extLst>
        </xdr:cNvPr>
        <xdr:cNvSpPr/>
      </xdr:nvSpPr>
      <xdr:spPr>
        <a:xfrm>
          <a:off x="3694881" y="118253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a:t>
          </a:r>
        </a:p>
      </xdr:txBody>
    </xdr:sp>
    <xdr:clientData/>
  </xdr:twoCellAnchor>
  <xdr:twoCellAnchor>
    <xdr:from>
      <xdr:col>4</xdr:col>
      <xdr:colOff>194920</xdr:colOff>
      <xdr:row>76</xdr:row>
      <xdr:rowOff>19457</xdr:rowOff>
    </xdr:from>
    <xdr:to>
      <xdr:col>4</xdr:col>
      <xdr:colOff>878920</xdr:colOff>
      <xdr:row>77</xdr:row>
      <xdr:rowOff>36171</xdr:rowOff>
    </xdr:to>
    <xdr:sp macro="" textlink="">
      <xdr:nvSpPr>
        <xdr:cNvPr id="267" name="Retângulo 175">
          <a:extLst>
            <a:ext uri="{FF2B5EF4-FFF2-40B4-BE49-F238E27FC236}">
              <a16:creationId xmlns:a16="http://schemas.microsoft.com/office/drawing/2014/main" id="{2F08A64B-4154-4AB4-8F3A-BECC7F7C16F6}"/>
            </a:ext>
          </a:extLst>
        </xdr:cNvPr>
        <xdr:cNvSpPr/>
      </xdr:nvSpPr>
      <xdr:spPr>
        <a:xfrm>
          <a:off x="3796277"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1000" b="1">
              <a:solidFill>
                <a:srgbClr val="1C1C1C"/>
              </a:solidFill>
              <a:latin typeface="Votorantim Sans" panose="02010503030202050203" pitchFamily="2" charset="0"/>
            </a:rPr>
            <a:t>82,5 </a:t>
          </a:r>
          <a:r>
            <a:rPr lang="pt-BR" sz="800" b="1">
              <a:solidFill>
                <a:srgbClr val="1C1C1C"/>
              </a:solidFill>
              <a:latin typeface="Votorantim Sans" panose="02010503030202050203" pitchFamily="2" charset="0"/>
            </a:rPr>
            <a:t>MW</a:t>
          </a:r>
          <a:endParaRPr lang="en-US" sz="800" b="1">
            <a:solidFill>
              <a:srgbClr val="1C1C1C"/>
            </a:solidFill>
            <a:latin typeface="Votorantim Sans" panose="02010503030202050203" pitchFamily="2" charset="0"/>
          </a:endParaRPr>
        </a:p>
      </xdr:txBody>
    </xdr:sp>
    <xdr:clientData/>
  </xdr:twoCellAnchor>
  <xdr:oneCellAnchor>
    <xdr:from>
      <xdr:col>6</xdr:col>
      <xdr:colOff>83574</xdr:colOff>
      <xdr:row>73</xdr:row>
      <xdr:rowOff>7606</xdr:rowOff>
    </xdr:from>
    <xdr:ext cx="1022400" cy="680400"/>
    <xdr:pic>
      <xdr:nvPicPr>
        <xdr:cNvPr id="266" name="Picture 4" descr="Canoas II (UHE)">
          <a:extLst>
            <a:ext uri="{FF2B5EF4-FFF2-40B4-BE49-F238E27FC236}">
              <a16:creationId xmlns:a16="http://schemas.microsoft.com/office/drawing/2014/main" id="{9557B978-3202-426D-8F5D-CFCC72101305}"/>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855145"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30862</xdr:colOff>
      <xdr:row>71</xdr:row>
      <xdr:rowOff>117069</xdr:rowOff>
    </xdr:from>
    <xdr:to>
      <xdr:col>7</xdr:col>
      <xdr:colOff>447675</xdr:colOff>
      <xdr:row>73</xdr:row>
      <xdr:rowOff>21330</xdr:rowOff>
    </xdr:to>
    <xdr:sp macro="" textlink="">
      <xdr:nvSpPr>
        <xdr:cNvPr id="265" name="Retângulo 177">
          <a:extLst>
            <a:ext uri="{FF2B5EF4-FFF2-40B4-BE49-F238E27FC236}">
              <a16:creationId xmlns:a16="http://schemas.microsoft.com/office/drawing/2014/main" id="{96843BC9-1C07-4652-B43A-126E0F30CD9E}"/>
            </a:ext>
          </a:extLst>
        </xdr:cNvPr>
        <xdr:cNvSpPr/>
      </xdr:nvSpPr>
      <xdr:spPr>
        <a:xfrm>
          <a:off x="4802433" y="11837355"/>
          <a:ext cx="1587028"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II</a:t>
          </a:r>
        </a:p>
      </xdr:txBody>
    </xdr:sp>
    <xdr:clientData/>
  </xdr:twoCellAnchor>
  <xdr:twoCellAnchor>
    <xdr:from>
      <xdr:col>6</xdr:col>
      <xdr:colOff>83578</xdr:colOff>
      <xdr:row>76</xdr:row>
      <xdr:rowOff>19457</xdr:rowOff>
    </xdr:from>
    <xdr:to>
      <xdr:col>6</xdr:col>
      <xdr:colOff>767578</xdr:colOff>
      <xdr:row>77</xdr:row>
      <xdr:rowOff>36171</xdr:rowOff>
    </xdr:to>
    <xdr:sp macro="" textlink="">
      <xdr:nvSpPr>
        <xdr:cNvPr id="264" name="Retângulo 178">
          <a:extLst>
            <a:ext uri="{FF2B5EF4-FFF2-40B4-BE49-F238E27FC236}">
              <a16:creationId xmlns:a16="http://schemas.microsoft.com/office/drawing/2014/main" id="{5D6ABB02-E1F4-4165-BB2A-9ADEDDF2917C}"/>
            </a:ext>
          </a:extLst>
        </xdr:cNvPr>
        <xdr:cNvSpPr/>
      </xdr:nvSpPr>
      <xdr:spPr>
        <a:xfrm>
          <a:off x="4855149"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72 MW</a:t>
          </a:r>
          <a:endParaRPr lang="en-US" sz="800" b="1">
            <a:solidFill>
              <a:srgbClr val="1C1C1C"/>
            </a:solidFill>
            <a:latin typeface="Votorantim Sans" panose="02010503030202050203" pitchFamily="2" charset="0"/>
          </a:endParaRPr>
        </a:p>
      </xdr:txBody>
    </xdr:sp>
    <xdr:clientData/>
  </xdr:twoCellAnchor>
  <xdr:twoCellAnchor>
    <xdr:from>
      <xdr:col>4</xdr:col>
      <xdr:colOff>705528</xdr:colOff>
      <xdr:row>72</xdr:row>
      <xdr:rowOff>147583</xdr:rowOff>
    </xdr:from>
    <xdr:to>
      <xdr:col>6</xdr:col>
      <xdr:colOff>89641</xdr:colOff>
      <xdr:row>74</xdr:row>
      <xdr:rowOff>82621</xdr:rowOff>
    </xdr:to>
    <xdr:sp macro="" textlink="">
      <xdr:nvSpPr>
        <xdr:cNvPr id="263" name="CaixaDeTexto 114">
          <a:extLst>
            <a:ext uri="{FF2B5EF4-FFF2-40B4-BE49-F238E27FC236}">
              <a16:creationId xmlns:a16="http://schemas.microsoft.com/office/drawing/2014/main" id="{300DD8EE-7EE8-4CA9-A236-9263DE0A7085}"/>
            </a:ext>
          </a:extLst>
        </xdr:cNvPr>
        <xdr:cNvSpPr txBox="1"/>
      </xdr:nvSpPr>
      <xdr:spPr>
        <a:xfrm>
          <a:off x="430688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6</xdr:col>
      <xdr:colOff>594774</xdr:colOff>
      <xdr:row>72</xdr:row>
      <xdr:rowOff>147583</xdr:rowOff>
    </xdr:from>
    <xdr:to>
      <xdr:col>6</xdr:col>
      <xdr:colOff>1149101</xdr:colOff>
      <xdr:row>74</xdr:row>
      <xdr:rowOff>82621</xdr:rowOff>
    </xdr:to>
    <xdr:sp macro="" textlink="">
      <xdr:nvSpPr>
        <xdr:cNvPr id="262" name="CaixaDeTexto 115">
          <a:extLst>
            <a:ext uri="{FF2B5EF4-FFF2-40B4-BE49-F238E27FC236}">
              <a16:creationId xmlns:a16="http://schemas.microsoft.com/office/drawing/2014/main" id="{9BB0B0FF-D8E7-4F51-B15D-E5FCD74531C1}"/>
            </a:ext>
          </a:extLst>
        </xdr:cNvPr>
        <xdr:cNvSpPr txBox="1"/>
      </xdr:nvSpPr>
      <xdr:spPr>
        <a:xfrm>
          <a:off x="536634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7</xdr:col>
      <xdr:colOff>1039445</xdr:colOff>
      <xdr:row>73</xdr:row>
      <xdr:rowOff>7606</xdr:rowOff>
    </xdr:from>
    <xdr:ext cx="1022400" cy="680400"/>
    <xdr:pic>
      <xdr:nvPicPr>
        <xdr:cNvPr id="261" name="Picture 10" descr="Machadinho (UHE)">
          <a:extLst>
            <a:ext uri="{FF2B5EF4-FFF2-40B4-BE49-F238E27FC236}">
              <a16:creationId xmlns:a16="http://schemas.microsoft.com/office/drawing/2014/main" id="{4C2AFB85-8709-4F6E-BF07-D25B78580EA7}"/>
            </a:ext>
          </a:extLst>
        </xdr:cNvPr>
        <xdr:cNvPicPr>
          <a:picLocks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b="14425"/>
        <a:stretch/>
      </xdr:blipFill>
      <xdr:spPr bwMode="auto">
        <a:xfrm>
          <a:off x="6981231"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1051036</xdr:colOff>
      <xdr:row>76</xdr:row>
      <xdr:rowOff>19457</xdr:rowOff>
    </xdr:from>
    <xdr:to>
      <xdr:col>8</xdr:col>
      <xdr:colOff>564822</xdr:colOff>
      <xdr:row>77</xdr:row>
      <xdr:rowOff>36171</xdr:rowOff>
    </xdr:to>
    <xdr:sp macro="" textlink="">
      <xdr:nvSpPr>
        <xdr:cNvPr id="260" name="Retângulo 182">
          <a:extLst>
            <a:ext uri="{FF2B5EF4-FFF2-40B4-BE49-F238E27FC236}">
              <a16:creationId xmlns:a16="http://schemas.microsoft.com/office/drawing/2014/main" id="{A6B09AEA-B365-42C0-A9E6-F8073529F80C}"/>
            </a:ext>
          </a:extLst>
        </xdr:cNvPr>
        <xdr:cNvSpPr/>
      </xdr:nvSpPr>
      <xdr:spPr>
        <a:xfrm>
          <a:off x="6992822"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1.140 MW</a:t>
          </a:r>
          <a:endParaRPr lang="en-US" sz="800" b="1">
            <a:solidFill>
              <a:srgbClr val="1C1C1C"/>
            </a:solidFill>
            <a:latin typeface="Votorantim Sans" panose="02010503030202050203" pitchFamily="2" charset="0"/>
          </a:endParaRPr>
        </a:p>
      </xdr:txBody>
    </xdr:sp>
    <xdr:clientData/>
  </xdr:twoCellAnchor>
  <xdr:oneCellAnchor>
    <xdr:from>
      <xdr:col>8</xdr:col>
      <xdr:colOff>924490</xdr:colOff>
      <xdr:row>73</xdr:row>
      <xdr:rowOff>7606</xdr:rowOff>
    </xdr:from>
    <xdr:ext cx="1022400" cy="680400"/>
    <xdr:pic>
      <xdr:nvPicPr>
        <xdr:cNvPr id="259" name="Picture 12" descr="Barra Grande (UHE)">
          <a:extLst>
            <a:ext uri="{FF2B5EF4-FFF2-40B4-BE49-F238E27FC236}">
              <a16:creationId xmlns:a16="http://schemas.microsoft.com/office/drawing/2014/main" id="{56F03E1B-A3B4-4355-BC39-233354FF7363}"/>
            </a:ext>
          </a:extLst>
        </xdr:cNvPr>
        <xdr:cNvPicPr>
          <a:picLocks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b="14188"/>
        <a:stretch/>
      </xdr:blipFill>
      <xdr:spPr bwMode="auto">
        <a:xfrm>
          <a:off x="8036490"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920753</xdr:colOff>
      <xdr:row>76</xdr:row>
      <xdr:rowOff>19457</xdr:rowOff>
    </xdr:from>
    <xdr:to>
      <xdr:col>8</xdr:col>
      <xdr:colOff>1604753</xdr:colOff>
      <xdr:row>77</xdr:row>
      <xdr:rowOff>36171</xdr:rowOff>
    </xdr:to>
    <xdr:sp macro="" textlink="">
      <xdr:nvSpPr>
        <xdr:cNvPr id="258" name="Retângulo 184">
          <a:extLst>
            <a:ext uri="{FF2B5EF4-FFF2-40B4-BE49-F238E27FC236}">
              <a16:creationId xmlns:a16="http://schemas.microsoft.com/office/drawing/2014/main" id="{10BC5F2B-E112-4E77-8E24-B75ED790FFF7}"/>
            </a:ext>
          </a:extLst>
        </xdr:cNvPr>
        <xdr:cNvSpPr/>
      </xdr:nvSpPr>
      <xdr:spPr>
        <a:xfrm>
          <a:off x="8032753"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690 MW</a:t>
          </a:r>
          <a:endParaRPr lang="en-US" sz="800" b="1">
            <a:solidFill>
              <a:srgbClr val="1C1C1C"/>
            </a:solidFill>
            <a:latin typeface="Votorantim Sans" panose="02010503030202050203" pitchFamily="2" charset="0"/>
          </a:endParaRPr>
        </a:p>
      </xdr:txBody>
    </xdr:sp>
    <xdr:clientData/>
  </xdr:twoCellAnchor>
  <xdr:twoCellAnchor>
    <xdr:from>
      <xdr:col>8</xdr:col>
      <xdr:colOff>835680</xdr:colOff>
      <xdr:row>71</xdr:row>
      <xdr:rowOff>118941</xdr:rowOff>
    </xdr:from>
    <xdr:to>
      <xdr:col>9</xdr:col>
      <xdr:colOff>54270</xdr:colOff>
      <xdr:row>73</xdr:row>
      <xdr:rowOff>23202</xdr:rowOff>
    </xdr:to>
    <xdr:sp macro="" textlink="">
      <xdr:nvSpPr>
        <xdr:cNvPr id="257" name="Retângulo 185">
          <a:extLst>
            <a:ext uri="{FF2B5EF4-FFF2-40B4-BE49-F238E27FC236}">
              <a16:creationId xmlns:a16="http://schemas.microsoft.com/office/drawing/2014/main" id="{2EDD50C5-F712-4C60-BDAF-8D1ED63736BA}"/>
            </a:ext>
          </a:extLst>
        </xdr:cNvPr>
        <xdr:cNvSpPr/>
      </xdr:nvSpPr>
      <xdr:spPr>
        <a:xfrm>
          <a:off x="7947680" y="11839227"/>
          <a:ext cx="1196161"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 Grande</a:t>
          </a:r>
        </a:p>
      </xdr:txBody>
    </xdr:sp>
    <xdr:clientData/>
  </xdr:twoCellAnchor>
  <xdr:twoCellAnchor>
    <xdr:from>
      <xdr:col>7</xdr:col>
      <xdr:colOff>946258</xdr:colOff>
      <xdr:row>71</xdr:row>
      <xdr:rowOff>114889</xdr:rowOff>
    </xdr:from>
    <xdr:to>
      <xdr:col>8</xdr:col>
      <xdr:colOff>901673</xdr:colOff>
      <xdr:row>73</xdr:row>
      <xdr:rowOff>19150</xdr:rowOff>
    </xdr:to>
    <xdr:sp macro="" textlink="">
      <xdr:nvSpPr>
        <xdr:cNvPr id="256" name="Retângulo 186">
          <a:extLst>
            <a:ext uri="{FF2B5EF4-FFF2-40B4-BE49-F238E27FC236}">
              <a16:creationId xmlns:a16="http://schemas.microsoft.com/office/drawing/2014/main" id="{EBA06A99-F1C5-487B-956C-DD0CF44F4666}"/>
            </a:ext>
          </a:extLst>
        </xdr:cNvPr>
        <xdr:cNvSpPr/>
      </xdr:nvSpPr>
      <xdr:spPr>
        <a:xfrm>
          <a:off x="6888044" y="11835175"/>
          <a:ext cx="112562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Machadinho</a:t>
          </a:r>
        </a:p>
      </xdr:txBody>
    </xdr:sp>
    <xdr:clientData/>
  </xdr:twoCellAnchor>
  <xdr:oneCellAnchor>
    <xdr:from>
      <xdr:col>6</xdr:col>
      <xdr:colOff>1153246</xdr:colOff>
      <xdr:row>73</xdr:row>
      <xdr:rowOff>7606</xdr:rowOff>
    </xdr:from>
    <xdr:ext cx="1021091" cy="680400"/>
    <xdr:pic>
      <xdr:nvPicPr>
        <xdr:cNvPr id="255" name="Picture 6" descr="Salto Pilão (UHE)">
          <a:extLst>
            <a:ext uri="{FF2B5EF4-FFF2-40B4-BE49-F238E27FC236}">
              <a16:creationId xmlns:a16="http://schemas.microsoft.com/office/drawing/2014/main" id="{B3B63EA3-F407-4837-9A5D-4C68A11E32B7}"/>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924817" y="12054463"/>
          <a:ext cx="1021091"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1071915</xdr:colOff>
      <xdr:row>71</xdr:row>
      <xdr:rowOff>106305</xdr:rowOff>
    </xdr:from>
    <xdr:to>
      <xdr:col>7</xdr:col>
      <xdr:colOff>958400</xdr:colOff>
      <xdr:row>73</xdr:row>
      <xdr:rowOff>10566</xdr:rowOff>
    </xdr:to>
    <xdr:sp macro="" textlink="">
      <xdr:nvSpPr>
        <xdr:cNvPr id="254" name="Retângulo 188">
          <a:extLst>
            <a:ext uri="{FF2B5EF4-FFF2-40B4-BE49-F238E27FC236}">
              <a16:creationId xmlns:a16="http://schemas.microsoft.com/office/drawing/2014/main" id="{EBBAFF6D-045A-4D72-9A8C-131DAA77B511}"/>
            </a:ext>
          </a:extLst>
        </xdr:cNvPr>
        <xdr:cNvSpPr/>
      </xdr:nvSpPr>
      <xdr:spPr>
        <a:xfrm>
          <a:off x="5843486" y="11826591"/>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Pilão</a:t>
          </a:r>
        </a:p>
      </xdr:txBody>
    </xdr:sp>
    <xdr:clientData/>
  </xdr:twoCellAnchor>
  <xdr:twoCellAnchor>
    <xdr:from>
      <xdr:col>6</xdr:col>
      <xdr:colOff>1143760</xdr:colOff>
      <xdr:row>76</xdr:row>
      <xdr:rowOff>19457</xdr:rowOff>
    </xdr:from>
    <xdr:to>
      <xdr:col>7</xdr:col>
      <xdr:colOff>657545</xdr:colOff>
      <xdr:row>77</xdr:row>
      <xdr:rowOff>36171</xdr:rowOff>
    </xdr:to>
    <xdr:sp macro="" textlink="">
      <xdr:nvSpPr>
        <xdr:cNvPr id="253" name="Retângulo 189">
          <a:extLst>
            <a:ext uri="{FF2B5EF4-FFF2-40B4-BE49-F238E27FC236}">
              <a16:creationId xmlns:a16="http://schemas.microsoft.com/office/drawing/2014/main" id="{74E912BA-F4F7-41BE-9E8F-79E0E797A7D8}"/>
            </a:ext>
          </a:extLst>
        </xdr:cNvPr>
        <xdr:cNvSpPr/>
      </xdr:nvSpPr>
      <xdr:spPr>
        <a:xfrm>
          <a:off x="5915331"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192 MW</a:t>
          </a:r>
          <a:endParaRPr lang="en-US" sz="800" b="1">
            <a:solidFill>
              <a:srgbClr val="1C1C1C"/>
            </a:solidFill>
            <a:latin typeface="Votorantim Sans" panose="02010503030202050203" pitchFamily="2" charset="0"/>
          </a:endParaRPr>
        </a:p>
      </xdr:txBody>
    </xdr:sp>
    <xdr:clientData/>
  </xdr:twoCellAnchor>
  <xdr:twoCellAnchor>
    <xdr:from>
      <xdr:col>7</xdr:col>
      <xdr:colOff>500387</xdr:colOff>
      <xdr:row>72</xdr:row>
      <xdr:rowOff>147583</xdr:rowOff>
    </xdr:from>
    <xdr:to>
      <xdr:col>7</xdr:col>
      <xdr:colOff>1054714</xdr:colOff>
      <xdr:row>74</xdr:row>
      <xdr:rowOff>82621</xdr:rowOff>
    </xdr:to>
    <xdr:sp macro="" textlink="">
      <xdr:nvSpPr>
        <xdr:cNvPr id="252" name="CaixaDeTexto 125">
          <a:extLst>
            <a:ext uri="{FF2B5EF4-FFF2-40B4-BE49-F238E27FC236}">
              <a16:creationId xmlns:a16="http://schemas.microsoft.com/office/drawing/2014/main" id="{60790BA4-C3A1-4DA0-B829-A503B7BB0BD1}"/>
            </a:ext>
          </a:extLst>
        </xdr:cNvPr>
        <xdr:cNvSpPr txBox="1"/>
      </xdr:nvSpPr>
      <xdr:spPr>
        <a:xfrm>
          <a:off x="6442173"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60%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8</xdr:col>
      <xdr:colOff>973717</xdr:colOff>
      <xdr:row>72</xdr:row>
      <xdr:rowOff>147583</xdr:rowOff>
    </xdr:from>
    <xdr:to>
      <xdr:col>8</xdr:col>
      <xdr:colOff>1928195</xdr:colOff>
      <xdr:row>74</xdr:row>
      <xdr:rowOff>82621</xdr:rowOff>
    </xdr:to>
    <xdr:sp macro="" textlink="">
      <xdr:nvSpPr>
        <xdr:cNvPr id="251" name="CaixaDeTexto 126">
          <a:extLst>
            <a:ext uri="{FF2B5EF4-FFF2-40B4-BE49-F238E27FC236}">
              <a16:creationId xmlns:a16="http://schemas.microsoft.com/office/drawing/2014/main" id="{F3DE89A1-F2D0-491F-8973-A53A5CDA9E45}"/>
            </a:ext>
          </a:extLst>
        </xdr:cNvPr>
        <xdr:cNvSpPr txBox="1"/>
      </xdr:nvSpPr>
      <xdr:spPr>
        <a:xfrm>
          <a:off x="8233884" y="12120861"/>
          <a:ext cx="954478" cy="25959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15%</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8</xdr:col>
      <xdr:colOff>426224</xdr:colOff>
      <xdr:row>72</xdr:row>
      <xdr:rowOff>147583</xdr:rowOff>
    </xdr:from>
    <xdr:to>
      <xdr:col>8</xdr:col>
      <xdr:colOff>980551</xdr:colOff>
      <xdr:row>74</xdr:row>
      <xdr:rowOff>94643</xdr:rowOff>
    </xdr:to>
    <xdr:sp macro="" textlink="">
      <xdr:nvSpPr>
        <xdr:cNvPr id="250" name="CaixaDeTexto 127">
          <a:extLst>
            <a:ext uri="{FF2B5EF4-FFF2-40B4-BE49-F238E27FC236}">
              <a16:creationId xmlns:a16="http://schemas.microsoft.com/office/drawing/2014/main" id="{B7EA0406-7B87-4D07-B69A-C52E4B731ADA}"/>
            </a:ext>
          </a:extLst>
        </xdr:cNvPr>
        <xdr:cNvSpPr txBox="1"/>
      </xdr:nvSpPr>
      <xdr:spPr>
        <a:xfrm>
          <a:off x="7326557" y="12551250"/>
          <a:ext cx="554327" cy="26456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29,2%</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8</xdr:col>
      <xdr:colOff>2046427</xdr:colOff>
      <xdr:row>73</xdr:row>
      <xdr:rowOff>7606</xdr:rowOff>
    </xdr:from>
    <xdr:ext cx="1059625" cy="680400"/>
    <xdr:pic>
      <xdr:nvPicPr>
        <xdr:cNvPr id="249" name="Picture 8" descr="Campos Novos (UHE)">
          <a:extLst>
            <a:ext uri="{FF2B5EF4-FFF2-40B4-BE49-F238E27FC236}">
              <a16:creationId xmlns:a16="http://schemas.microsoft.com/office/drawing/2014/main" id="{56EE313B-F2B4-4FFF-AE0D-206DFB1C1EBB}"/>
            </a:ext>
          </a:extLst>
        </xdr:cNvPr>
        <xdr:cNvPicPr>
          <a:picLocks noChangeAspect="1"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b="12439"/>
        <a:stretch/>
      </xdr:blipFill>
      <xdr:spPr bwMode="auto">
        <a:xfrm>
          <a:off x="9306594" y="12143162"/>
          <a:ext cx="1059625"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2038163</xdr:colOff>
      <xdr:row>76</xdr:row>
      <xdr:rowOff>19457</xdr:rowOff>
    </xdr:from>
    <xdr:to>
      <xdr:col>9</xdr:col>
      <xdr:colOff>344441</xdr:colOff>
      <xdr:row>77</xdr:row>
      <xdr:rowOff>36171</xdr:rowOff>
    </xdr:to>
    <xdr:sp macro="" textlink="">
      <xdr:nvSpPr>
        <xdr:cNvPr id="248" name="Retângulo 194">
          <a:extLst>
            <a:ext uri="{FF2B5EF4-FFF2-40B4-BE49-F238E27FC236}">
              <a16:creationId xmlns:a16="http://schemas.microsoft.com/office/drawing/2014/main" id="{21099811-3D9C-4B99-9758-FF38113C85FA}"/>
            </a:ext>
          </a:extLst>
        </xdr:cNvPr>
        <xdr:cNvSpPr/>
      </xdr:nvSpPr>
      <xdr:spPr>
        <a:xfrm>
          <a:off x="9298330" y="12641846"/>
          <a:ext cx="684000" cy="178992"/>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880 MW</a:t>
          </a:r>
          <a:endParaRPr lang="en-US" sz="800" b="1">
            <a:solidFill>
              <a:srgbClr val="1C1C1C"/>
            </a:solidFill>
            <a:latin typeface="Votorantim Sans" panose="02010503030202050203" pitchFamily="2" charset="0"/>
          </a:endParaRPr>
        </a:p>
      </xdr:txBody>
    </xdr:sp>
    <xdr:clientData/>
  </xdr:twoCellAnchor>
  <xdr:twoCellAnchor>
    <xdr:from>
      <xdr:col>8</xdr:col>
      <xdr:colOff>1942166</xdr:colOff>
      <xdr:row>71</xdr:row>
      <xdr:rowOff>111087</xdr:rowOff>
    </xdr:from>
    <xdr:to>
      <xdr:col>9</xdr:col>
      <xdr:colOff>1428457</xdr:colOff>
      <xdr:row>73</xdr:row>
      <xdr:rowOff>19736</xdr:rowOff>
    </xdr:to>
    <xdr:sp macro="" textlink="">
      <xdr:nvSpPr>
        <xdr:cNvPr id="247" name="Retângulo 195">
          <a:extLst>
            <a:ext uri="{FF2B5EF4-FFF2-40B4-BE49-F238E27FC236}">
              <a16:creationId xmlns:a16="http://schemas.microsoft.com/office/drawing/2014/main" id="{FD2B7E4C-6265-4DD6-B7C7-E5E6E2260AF0}"/>
            </a:ext>
          </a:extLst>
        </xdr:cNvPr>
        <xdr:cNvSpPr/>
      </xdr:nvSpPr>
      <xdr:spPr>
        <a:xfrm>
          <a:off x="9202333" y="11922087"/>
          <a:ext cx="1864013"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Campos Novos</a:t>
          </a:r>
        </a:p>
      </xdr:txBody>
    </xdr:sp>
    <xdr:clientData/>
  </xdr:twoCellAnchor>
  <xdr:twoCellAnchor>
    <xdr:from>
      <xdr:col>9</xdr:col>
      <xdr:colOff>237551</xdr:colOff>
      <xdr:row>72</xdr:row>
      <xdr:rowOff>147583</xdr:rowOff>
    </xdr:from>
    <xdr:to>
      <xdr:col>9</xdr:col>
      <xdr:colOff>791878</xdr:colOff>
      <xdr:row>74</xdr:row>
      <xdr:rowOff>94643</xdr:rowOff>
    </xdr:to>
    <xdr:sp macro="" textlink="">
      <xdr:nvSpPr>
        <xdr:cNvPr id="246" name="CaixaDeTexto 131">
          <a:extLst>
            <a:ext uri="{FF2B5EF4-FFF2-40B4-BE49-F238E27FC236}">
              <a16:creationId xmlns:a16="http://schemas.microsoft.com/office/drawing/2014/main" id="{5FB44192-271D-49CA-8F3C-CDA06C1A657C}"/>
            </a:ext>
          </a:extLst>
        </xdr:cNvPr>
        <xdr:cNvSpPr txBox="1"/>
      </xdr:nvSpPr>
      <xdr:spPr>
        <a:xfrm>
          <a:off x="9402718" y="12551250"/>
          <a:ext cx="554327" cy="26456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25,4%</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3</xdr:col>
      <xdr:colOff>463318</xdr:colOff>
      <xdr:row>67</xdr:row>
      <xdr:rowOff>77199</xdr:rowOff>
    </xdr:from>
    <xdr:to>
      <xdr:col>3</xdr:col>
      <xdr:colOff>540571</xdr:colOff>
      <xdr:row>67</xdr:row>
      <xdr:rowOff>161232</xdr:rowOff>
    </xdr:to>
    <xdr:sp macro="" textlink="">
      <xdr:nvSpPr>
        <xdr:cNvPr id="206" name="Elipse 198">
          <a:extLst>
            <a:ext uri="{FF2B5EF4-FFF2-40B4-BE49-F238E27FC236}">
              <a16:creationId xmlns:a16="http://schemas.microsoft.com/office/drawing/2014/main" id="{F3892C00-B78B-4870-9570-5E76B91EEA5A}"/>
            </a:ext>
          </a:extLst>
        </xdr:cNvPr>
        <xdr:cNvSpPr/>
      </xdr:nvSpPr>
      <xdr:spPr>
        <a:xfrm>
          <a:off x="2894461" y="11144342"/>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475042</xdr:colOff>
      <xdr:row>67</xdr:row>
      <xdr:rowOff>127998</xdr:rowOff>
    </xdr:from>
    <xdr:to>
      <xdr:col>3</xdr:col>
      <xdr:colOff>552295</xdr:colOff>
      <xdr:row>68</xdr:row>
      <xdr:rowOff>48745</xdr:rowOff>
    </xdr:to>
    <xdr:sp macro="" textlink="">
      <xdr:nvSpPr>
        <xdr:cNvPr id="207" name="Elipse 199">
          <a:extLst>
            <a:ext uri="{FF2B5EF4-FFF2-40B4-BE49-F238E27FC236}">
              <a16:creationId xmlns:a16="http://schemas.microsoft.com/office/drawing/2014/main" id="{B4A7F79C-F255-4D25-A9F0-7D67A93541BD}"/>
            </a:ext>
          </a:extLst>
        </xdr:cNvPr>
        <xdr:cNvSpPr/>
      </xdr:nvSpPr>
      <xdr:spPr>
        <a:xfrm>
          <a:off x="2906185" y="11195141"/>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1080858</xdr:colOff>
      <xdr:row>70</xdr:row>
      <xdr:rowOff>65184</xdr:rowOff>
    </xdr:from>
    <xdr:to>
      <xdr:col>6</xdr:col>
      <xdr:colOff>476689</xdr:colOff>
      <xdr:row>71</xdr:row>
      <xdr:rowOff>132730</xdr:rowOff>
    </xdr:to>
    <xdr:sp macro="" textlink="">
      <xdr:nvSpPr>
        <xdr:cNvPr id="211" name="Retângulo 203">
          <a:extLst>
            <a:ext uri="{FF2B5EF4-FFF2-40B4-BE49-F238E27FC236}">
              <a16:creationId xmlns:a16="http://schemas.microsoft.com/office/drawing/2014/main" id="{FCE882AF-EE37-438D-BC5E-C430F024B999}"/>
            </a:ext>
          </a:extLst>
        </xdr:cNvPr>
        <xdr:cNvSpPr/>
      </xdr:nvSpPr>
      <xdr:spPr>
        <a:xfrm>
          <a:off x="3512001" y="116221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CONSÓRCIOS</a:t>
          </a:r>
        </a:p>
      </xdr:txBody>
    </xdr:sp>
    <xdr:clientData/>
  </xdr:twoCellAnchor>
  <xdr:twoCellAnchor>
    <xdr:from>
      <xdr:col>2</xdr:col>
      <xdr:colOff>457201</xdr:colOff>
      <xdr:row>59</xdr:row>
      <xdr:rowOff>87313</xdr:rowOff>
    </xdr:from>
    <xdr:to>
      <xdr:col>2</xdr:col>
      <xdr:colOff>465138</xdr:colOff>
      <xdr:row>59</xdr:row>
      <xdr:rowOff>87313</xdr:rowOff>
    </xdr:to>
    <xdr:sp macro="" textlink="">
      <xdr:nvSpPr>
        <xdr:cNvPr id="10" name="Rectangle 81">
          <a:extLst>
            <a:ext uri="{FF2B5EF4-FFF2-40B4-BE49-F238E27FC236}">
              <a16:creationId xmlns:a16="http://schemas.microsoft.com/office/drawing/2014/main" id="{8134E39D-6E1A-4A9F-A459-990956952D25}"/>
            </a:ext>
          </a:extLst>
        </xdr:cNvPr>
        <xdr:cNvSpPr>
          <a:spLocks noChangeAspect="1" noChangeArrowheads="1"/>
        </xdr:cNvSpPr>
      </xdr:nvSpPr>
      <xdr:spPr bwMode="gray">
        <a:xfrm>
          <a:off x="2216151" y="9605963"/>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11</xdr:col>
      <xdr:colOff>85725</xdr:colOff>
      <xdr:row>2</xdr:row>
      <xdr:rowOff>398992</xdr:rowOff>
    </xdr:to>
    <xdr:sp macro="" textlink="">
      <xdr:nvSpPr>
        <xdr:cNvPr id="2" name="Retângulo 6">
          <a:extLst>
            <a:ext uri="{FF2B5EF4-FFF2-40B4-BE49-F238E27FC236}">
              <a16:creationId xmlns:a16="http://schemas.microsoft.com/office/drawing/2014/main" id="{5300E442-69AE-44B4-B9C7-47A7F6000859}"/>
            </a:ext>
          </a:extLst>
        </xdr:cNvPr>
        <xdr:cNvSpPr>
          <a:spLocks noChangeArrowheads="1"/>
        </xdr:cNvSpPr>
      </xdr:nvSpPr>
      <xdr:spPr bwMode="auto">
        <a:xfrm>
          <a:off x="0" y="8467"/>
          <a:ext cx="12569825"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86781" cy="296620"/>
    <xdr:sp macro="" textlink="">
      <xdr:nvSpPr>
        <xdr:cNvPr id="3" name="Text Box 49">
          <a:extLst>
            <a:ext uri="{FF2B5EF4-FFF2-40B4-BE49-F238E27FC236}">
              <a16:creationId xmlns:a16="http://schemas.microsoft.com/office/drawing/2014/main" id="{DA799483-FCD9-47A7-B585-36C177FD15A4}"/>
            </a:ext>
          </a:extLst>
        </xdr:cNvPr>
        <xdr:cNvSpPr txBox="1">
          <a:spLocks noChangeArrowheads="1"/>
        </xdr:cNvSpPr>
      </xdr:nvSpPr>
      <xdr:spPr bwMode="auto">
        <a:xfrm>
          <a:off x="156301" y="379730"/>
          <a:ext cx="88678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Energia</a:t>
          </a:r>
        </a:p>
      </xdr:txBody>
    </xdr:sp>
    <xdr:clientData/>
  </xdr:oneCellAnchor>
  <xdr:twoCellAnchor>
    <xdr:from>
      <xdr:col>11</xdr:col>
      <xdr:colOff>95249</xdr:colOff>
      <xdr:row>0</xdr:row>
      <xdr:rowOff>19050</xdr:rowOff>
    </xdr:from>
    <xdr:to>
      <xdr:col>12</xdr:col>
      <xdr:colOff>412750</xdr:colOff>
      <xdr:row>2</xdr:row>
      <xdr:rowOff>314325</xdr:rowOff>
    </xdr:to>
    <xdr:grpSp>
      <xdr:nvGrpSpPr>
        <xdr:cNvPr id="4" name="Agrupar 11">
          <a:hlinkClick xmlns:r="http://schemas.openxmlformats.org/officeDocument/2006/relationships" r:id="rId22"/>
          <a:extLst>
            <a:ext uri="{FF2B5EF4-FFF2-40B4-BE49-F238E27FC236}">
              <a16:creationId xmlns:a16="http://schemas.microsoft.com/office/drawing/2014/main" id="{1F63E01A-BBBB-43A2-BD75-D9081009FD38}"/>
            </a:ext>
          </a:extLst>
        </xdr:cNvPr>
        <xdr:cNvGrpSpPr>
          <a:grpSpLocks/>
        </xdr:cNvGrpSpPr>
      </xdr:nvGrpSpPr>
      <xdr:grpSpPr bwMode="auto">
        <a:xfrm>
          <a:off x="15208249" y="19050"/>
          <a:ext cx="949326" cy="609600"/>
          <a:chOff x="11133666" y="131229"/>
          <a:chExt cx="928736" cy="609603"/>
        </a:xfrm>
      </xdr:grpSpPr>
      <xdr:sp macro="" textlink="">
        <xdr:nvSpPr>
          <xdr:cNvPr id="5" name="Seta: Curva para Cima 4" descr="Menu">
            <a:extLst>
              <a:ext uri="{FF2B5EF4-FFF2-40B4-BE49-F238E27FC236}">
                <a16:creationId xmlns:a16="http://schemas.microsoft.com/office/drawing/2014/main" id="{A4C763F3-C5AB-5012-6982-A802B1677B98}"/>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2D3A6A1-935D-42AD-3B80-449A991A220A}"/>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1263650</xdr:colOff>
      <xdr:row>2</xdr:row>
      <xdr:rowOff>122767</xdr:rowOff>
    </xdr:to>
    <xdr:pic>
      <xdr:nvPicPr>
        <xdr:cNvPr id="7" name="Picture 2">
          <a:extLst>
            <a:ext uri="{FF2B5EF4-FFF2-40B4-BE49-F238E27FC236}">
              <a16:creationId xmlns:a16="http://schemas.microsoft.com/office/drawing/2014/main" id="{62788228-A69E-438F-82A7-0D47A19FAB7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52400" y="0"/>
          <a:ext cx="126365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613833</xdr:colOff>
      <xdr:row>53</xdr:row>
      <xdr:rowOff>21167</xdr:rowOff>
    </xdr:from>
    <xdr:to>
      <xdr:col>7</xdr:col>
      <xdr:colOff>467782</xdr:colOff>
      <xdr:row>57</xdr:row>
      <xdr:rowOff>116417</xdr:rowOff>
    </xdr:to>
    <xdr:pic>
      <xdr:nvPicPr>
        <xdr:cNvPr id="232" name="Picture 2" descr="Votorantim Energia inaugurou o complexo eólico Ventos do Piauí na divisa  com Pernambuco">
          <a:extLst>
            <a:ext uri="{FF2B5EF4-FFF2-40B4-BE49-F238E27FC236}">
              <a16:creationId xmlns:a16="http://schemas.microsoft.com/office/drawing/2014/main" id="{0C57E720-0130-8938-CB66-1F8D1560BA98}"/>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291666" y="8773584"/>
          <a:ext cx="1015999" cy="73025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476251</xdr:colOff>
      <xdr:row>53</xdr:row>
      <xdr:rowOff>137584</xdr:rowOff>
    </xdr:from>
    <xdr:to>
      <xdr:col>4</xdr:col>
      <xdr:colOff>553504</xdr:colOff>
      <xdr:row>54</xdr:row>
      <xdr:rowOff>58331</xdr:rowOff>
    </xdr:to>
    <xdr:sp macro="" textlink="">
      <xdr:nvSpPr>
        <xdr:cNvPr id="31" name="Elipse 152">
          <a:extLst>
            <a:ext uri="{FF2B5EF4-FFF2-40B4-BE49-F238E27FC236}">
              <a16:creationId xmlns:a16="http://schemas.microsoft.com/office/drawing/2014/main" id="{6022A19F-F694-492B-BC74-3A0FBD9EF2BA}"/>
            </a:ext>
          </a:extLst>
        </xdr:cNvPr>
        <xdr:cNvSpPr/>
      </xdr:nvSpPr>
      <xdr:spPr>
        <a:xfrm>
          <a:off x="4042834" y="8890001"/>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539750</xdr:colOff>
      <xdr:row>54</xdr:row>
      <xdr:rowOff>21166</xdr:rowOff>
    </xdr:from>
    <xdr:to>
      <xdr:col>6</xdr:col>
      <xdr:colOff>592667</xdr:colOff>
      <xdr:row>54</xdr:row>
      <xdr:rowOff>24898</xdr:rowOff>
    </xdr:to>
    <xdr:cxnSp macro="">
      <xdr:nvCxnSpPr>
        <xdr:cNvPr id="233" name="Conector angulado 140">
          <a:extLst>
            <a:ext uri="{FF2B5EF4-FFF2-40B4-BE49-F238E27FC236}">
              <a16:creationId xmlns:a16="http://schemas.microsoft.com/office/drawing/2014/main" id="{BA28CA8C-469B-4ED7-A7D7-313E16DECEF1}"/>
            </a:ext>
          </a:extLst>
        </xdr:cNvPr>
        <xdr:cNvCxnSpPr>
          <a:cxnSpLocks/>
        </xdr:cNvCxnSpPr>
      </xdr:nvCxnSpPr>
      <xdr:spPr>
        <a:xfrm flipV="1">
          <a:off x="4106333" y="8932333"/>
          <a:ext cx="1164167" cy="3732"/>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539750</xdr:colOff>
      <xdr:row>50</xdr:row>
      <xdr:rowOff>21167</xdr:rowOff>
    </xdr:from>
    <xdr:to>
      <xdr:col>7</xdr:col>
      <xdr:colOff>826965</xdr:colOff>
      <xdr:row>53</xdr:row>
      <xdr:rowOff>59866</xdr:rowOff>
    </xdr:to>
    <xdr:sp macro="" textlink="">
      <xdr:nvSpPr>
        <xdr:cNvPr id="188" name="Retângulo 157">
          <a:extLst>
            <a:ext uri="{FF2B5EF4-FFF2-40B4-BE49-F238E27FC236}">
              <a16:creationId xmlns:a16="http://schemas.microsoft.com/office/drawing/2014/main" id="{58B85DC5-C47F-4971-8903-43214EF14890}"/>
            </a:ext>
          </a:extLst>
        </xdr:cNvPr>
        <xdr:cNvSpPr/>
      </xdr:nvSpPr>
      <xdr:spPr>
        <a:xfrm>
          <a:off x="5217583" y="8297334"/>
          <a:ext cx="1398465" cy="5149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Complexos Eólicos</a:t>
          </a:r>
        </a:p>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Ventos</a:t>
          </a:r>
          <a:r>
            <a:rPr lang="pt-BR" sz="900" b="1" baseline="0">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 de Santo Anselmo e Santo Isidoro</a:t>
          </a:r>
          <a:endPar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endParaRPr>
        </a:p>
      </xdr:txBody>
    </xdr:sp>
    <xdr:clientData/>
  </xdr:twoCellAnchor>
  <xdr:twoCellAnchor>
    <xdr:from>
      <xdr:col>6</xdr:col>
      <xdr:colOff>1005417</xdr:colOff>
      <xdr:row>56</xdr:row>
      <xdr:rowOff>52917</xdr:rowOff>
    </xdr:from>
    <xdr:to>
      <xdr:col>7</xdr:col>
      <xdr:colOff>506167</xdr:colOff>
      <xdr:row>57</xdr:row>
      <xdr:rowOff>60054</xdr:rowOff>
    </xdr:to>
    <xdr:sp macro="" textlink="">
      <xdr:nvSpPr>
        <xdr:cNvPr id="195" name="Retângulo 171">
          <a:extLst>
            <a:ext uri="{FF2B5EF4-FFF2-40B4-BE49-F238E27FC236}">
              <a16:creationId xmlns:a16="http://schemas.microsoft.com/office/drawing/2014/main" id="{85F61A6C-6F82-4516-8D6C-7AD2BF02CF4F}"/>
            </a:ext>
          </a:extLst>
        </xdr:cNvPr>
        <xdr:cNvSpPr/>
      </xdr:nvSpPr>
      <xdr:spPr>
        <a:xfrm>
          <a:off x="5683250" y="9281584"/>
          <a:ext cx="612000" cy="165887"/>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171,6 MW</a:t>
          </a:r>
          <a:endParaRPr lang="en-US" sz="733" b="1">
            <a:solidFill>
              <a:srgbClr val="0070C0"/>
            </a:solidFill>
            <a:latin typeface="Votorantim Sans" panose="02010503030202050203"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11906</xdr:colOff>
      <xdr:row>3</xdr:row>
      <xdr:rowOff>247650</xdr:rowOff>
    </xdr:to>
    <xdr:sp macro="" textlink="">
      <xdr:nvSpPr>
        <xdr:cNvPr id="2" name="Retângulo 6">
          <a:extLst>
            <a:ext uri="{FF2B5EF4-FFF2-40B4-BE49-F238E27FC236}">
              <a16:creationId xmlns:a16="http://schemas.microsoft.com/office/drawing/2014/main" id="{0B05F7D5-93BB-4EEF-951C-4EDAE09CD385}"/>
            </a:ext>
          </a:extLst>
        </xdr:cNvPr>
        <xdr:cNvSpPr>
          <a:spLocks noChangeArrowheads="1"/>
        </xdr:cNvSpPr>
      </xdr:nvSpPr>
      <xdr:spPr bwMode="auto">
        <a:xfrm>
          <a:off x="0" y="0"/>
          <a:ext cx="7431881"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9D8E1DB2-E2D8-4930-829D-3F2620B39CAD}"/>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a:t>
          </a:r>
          <a:r>
            <a:rPr lang="en-US" sz="1600" b="1" i="0" u="none" strike="noStrike" baseline="0">
              <a:solidFill>
                <a:schemeClr val="bg1"/>
              </a:solidFill>
              <a:latin typeface="Votorantim Sans Black" panose="02010A03030202050203"/>
              <a:ea typeface="+mn-ea"/>
              <a:cs typeface="+mn-cs"/>
            </a:rPr>
            <a:t>DRE Energia e Balanço Energético</a:t>
          </a:r>
        </a:p>
        <a:p>
          <a:pPr algn="l" rtl="0">
            <a:defRPr sz="1000"/>
          </a:pPr>
          <a:endParaRPr lang="en-US" sz="1600" b="1" i="0" u="none" strike="noStrike" baseline="0">
            <a:solidFill>
              <a:schemeClr val="bg1"/>
            </a:solidFill>
            <a:latin typeface="Votorantim Sans Black" panose="02010A03030202050203"/>
          </a:endParaRPr>
        </a:p>
      </xdr:txBody>
    </xdr:sp>
    <xdr:clientData/>
  </xdr:one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2A76F5BC-9E6A-4FAC-ACC0-4A4C907679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81642</xdr:colOff>
      <xdr:row>45</xdr:row>
      <xdr:rowOff>36286</xdr:rowOff>
    </xdr:from>
    <xdr:to>
      <xdr:col>20</xdr:col>
      <xdr:colOff>235857</xdr:colOff>
      <xdr:row>59</xdr:row>
      <xdr:rowOff>154214</xdr:rowOff>
    </xdr:to>
    <xdr:sp macro="" textlink="">
      <xdr:nvSpPr>
        <xdr:cNvPr id="110" name="CaixaDeTexto 7">
          <a:extLst>
            <a:ext uri="{FF2B5EF4-FFF2-40B4-BE49-F238E27FC236}">
              <a16:creationId xmlns:a16="http://schemas.microsoft.com/office/drawing/2014/main" id="{73ABC48E-417B-07B7-5BCC-C817C7821316}"/>
            </a:ext>
          </a:extLst>
        </xdr:cNvPr>
        <xdr:cNvSpPr txBox="1"/>
      </xdr:nvSpPr>
      <xdr:spPr>
        <a:xfrm>
          <a:off x="81642" y="8200572"/>
          <a:ext cx="5334001" cy="2403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¹ Custos dos Produtos Vendidos </a:t>
          </a:r>
          <a:r>
            <a:rPr lang="pt-BR" sz="1100" baseline="0">
              <a:solidFill>
                <a:schemeClr val="dk1"/>
              </a:solidFill>
              <a:effectLst/>
              <a:latin typeface="+mn-lt"/>
              <a:ea typeface="+mn-ea"/>
              <a:cs typeface="+mn-cs"/>
            </a:rPr>
            <a:t>sem depreciação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² GSF e Derivativos</a:t>
          </a:r>
          <a:r>
            <a:rPr lang="pt-BR" sz="1100" baseline="0">
              <a:solidFill>
                <a:schemeClr val="dk1"/>
              </a:solidFill>
              <a:effectLst/>
              <a:latin typeface="+mn-lt"/>
              <a:ea typeface="+mn-ea"/>
              <a:cs typeface="+mn-cs"/>
            </a:rPr>
            <a:t> de Energia</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³ </a:t>
          </a:r>
          <a:r>
            <a:rPr lang="pt-BR"/>
            <a:t>Em julho de 2023, a Companhia efetuou a designação desta operação em hedge accounting como hedge de fluxo de caixa, visando a proteção do risco de descasamento do fluxo de caixa entre receita futura dolarizada e o custo de aquisição da energia elétrica indexados à inflação, portanto, terá o MtM futuro deste instrumento classificado na rubrica “Outros resultados abrangentes”, e será reclassificado para o resultado, acompanhando seu objeto de hedge no momento da realização do swap. O valor realizado de hedge accounting acumulado em 31 de dezembro de 2024, de “Outros resultados abrangentes” para “Custo dos produtos vendidos e dos serviços prestados”, foi de R$274 milhões.</a:t>
          </a:r>
          <a:endParaRPr lang="pt-BR" sz="1100"/>
        </a:p>
      </xdr:txBody>
    </xdr:sp>
    <xdr:clientData/>
  </xdr:twoCellAnchor>
  <xdr:twoCellAnchor>
    <xdr:from>
      <xdr:col>28</xdr:col>
      <xdr:colOff>226785</xdr:colOff>
      <xdr:row>0</xdr:row>
      <xdr:rowOff>99785</xdr:rowOff>
    </xdr:from>
    <xdr:to>
      <xdr:col>34</xdr:col>
      <xdr:colOff>500112</xdr:colOff>
      <xdr:row>3</xdr:row>
      <xdr:rowOff>200931</xdr:rowOff>
    </xdr:to>
    <xdr:grpSp>
      <xdr:nvGrpSpPr>
        <xdr:cNvPr id="111" name="Agrupar 4">
          <a:hlinkClick xmlns:r="http://schemas.openxmlformats.org/officeDocument/2006/relationships" r:id="rId2"/>
          <a:extLst>
            <a:ext uri="{FF2B5EF4-FFF2-40B4-BE49-F238E27FC236}">
              <a16:creationId xmlns:a16="http://schemas.microsoft.com/office/drawing/2014/main" id="{0A7C26E0-9E3E-438E-BADE-37505751E167}"/>
            </a:ext>
          </a:extLst>
        </xdr:cNvPr>
        <xdr:cNvGrpSpPr>
          <a:grpSpLocks/>
        </xdr:cNvGrpSpPr>
      </xdr:nvGrpSpPr>
      <xdr:grpSpPr bwMode="auto">
        <a:xfrm>
          <a:off x="11064118" y="102960"/>
          <a:ext cx="911502" cy="581629"/>
          <a:chOff x="11133666" y="131229"/>
          <a:chExt cx="928738" cy="609603"/>
        </a:xfrm>
      </xdr:grpSpPr>
      <xdr:sp macro="" textlink="">
        <xdr:nvSpPr>
          <xdr:cNvPr id="112" name="Seta: Curva para Cima 111" descr="Menu">
            <a:extLst>
              <a:ext uri="{FF2B5EF4-FFF2-40B4-BE49-F238E27FC236}">
                <a16:creationId xmlns:a16="http://schemas.microsoft.com/office/drawing/2014/main" id="{4FBD5843-584F-406B-56B3-50BFA24638F9}"/>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13" name="CaixaDeTexto 112">
            <a:extLst>
              <a:ext uri="{FF2B5EF4-FFF2-40B4-BE49-F238E27FC236}">
                <a16:creationId xmlns:a16="http://schemas.microsoft.com/office/drawing/2014/main" id="{43064A39-616C-7E85-A925-956C9693632B}"/>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32</xdr:col>
      <xdr:colOff>10583</xdr:colOff>
      <xdr:row>3</xdr:row>
      <xdr:rowOff>247650</xdr:rowOff>
    </xdr:to>
    <xdr:sp macro="" textlink="">
      <xdr:nvSpPr>
        <xdr:cNvPr id="2" name="Retângulo 6">
          <a:extLst>
            <a:ext uri="{FF2B5EF4-FFF2-40B4-BE49-F238E27FC236}">
              <a16:creationId xmlns:a16="http://schemas.microsoft.com/office/drawing/2014/main" id="{DC70F919-6329-45DD-AA0B-AC2C8DE090F0}"/>
            </a:ext>
          </a:extLst>
        </xdr:cNvPr>
        <xdr:cNvSpPr>
          <a:spLocks noChangeArrowheads="1"/>
        </xdr:cNvSpPr>
      </xdr:nvSpPr>
      <xdr:spPr bwMode="auto">
        <a:xfrm>
          <a:off x="9523" y="0"/>
          <a:ext cx="15364885"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847750" cy="296620"/>
    <xdr:sp macro="" textlink="">
      <xdr:nvSpPr>
        <xdr:cNvPr id="3" name="Text Box 2">
          <a:extLst>
            <a:ext uri="{FF2B5EF4-FFF2-40B4-BE49-F238E27FC236}">
              <a16:creationId xmlns:a16="http://schemas.microsoft.com/office/drawing/2014/main" id="{5290D856-70A5-4AF9-8CDC-6F2316C67F0F}"/>
            </a:ext>
          </a:extLst>
        </xdr:cNvPr>
        <xdr:cNvSpPr txBox="1">
          <a:spLocks noChangeArrowheads="1"/>
        </xdr:cNvSpPr>
      </xdr:nvSpPr>
      <xdr:spPr bwMode="auto">
        <a:xfrm>
          <a:off x="142450" y="452601"/>
          <a:ext cx="184775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Volume de Vendas</a:t>
          </a:r>
        </a:p>
      </xdr:txBody>
    </xdr:sp>
    <xdr:clientData/>
  </xdr:oneCellAnchor>
  <xdr:twoCellAnchor>
    <xdr:from>
      <xdr:col>32</xdr:col>
      <xdr:colOff>159104</xdr:colOff>
      <xdr:row>0</xdr:row>
      <xdr:rowOff>72672</xdr:rowOff>
    </xdr:from>
    <xdr:to>
      <xdr:col>33</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DF550EC2-46D0-4B02-AF62-A680CFB65F09}"/>
            </a:ext>
          </a:extLst>
        </xdr:cNvPr>
        <xdr:cNvGrpSpPr>
          <a:grpSpLocks/>
        </xdr:cNvGrpSpPr>
      </xdr:nvGrpSpPr>
      <xdr:grpSpPr bwMode="auto">
        <a:xfrm>
          <a:off x="22784154" y="69497"/>
          <a:ext cx="911049" cy="630238"/>
          <a:chOff x="11133666" y="131229"/>
          <a:chExt cx="928738" cy="609603"/>
        </a:xfrm>
      </xdr:grpSpPr>
      <xdr:sp macro="" textlink="">
        <xdr:nvSpPr>
          <xdr:cNvPr id="5" name="Seta: Curva para Cima 4" descr="Menu">
            <a:extLst>
              <a:ext uri="{FF2B5EF4-FFF2-40B4-BE49-F238E27FC236}">
                <a16:creationId xmlns:a16="http://schemas.microsoft.com/office/drawing/2014/main" id="{DA27EB17-0FBB-A9B1-E419-15870387D29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9AD24F0-8827-2AEF-ACA8-FBA19EFBC2DE}"/>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0</xdr:rowOff>
    </xdr:from>
    <xdr:to>
      <xdr:col>1</xdr:col>
      <xdr:colOff>1321859</xdr:colOff>
      <xdr:row>2</xdr:row>
      <xdr:rowOff>114300</xdr:rowOff>
    </xdr:to>
    <xdr:pic>
      <xdr:nvPicPr>
        <xdr:cNvPr id="7" name="Picture 2">
          <a:extLst>
            <a:ext uri="{FF2B5EF4-FFF2-40B4-BE49-F238E27FC236}">
              <a16:creationId xmlns:a16="http://schemas.microsoft.com/office/drawing/2014/main" id="{305071FD-82D8-4857-A143-45A0745112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9523</xdr:colOff>
      <xdr:row>0</xdr:row>
      <xdr:rowOff>0</xdr:rowOff>
    </xdr:from>
    <xdr:to>
      <xdr:col>32</xdr:col>
      <xdr:colOff>11905</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3" y="0"/>
          <a:ext cx="15170945"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789960"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78996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Dívida</a:t>
          </a:r>
        </a:p>
      </xdr:txBody>
    </xdr:sp>
    <xdr:clientData/>
  </xdr:oneCellAnchor>
  <xdr:twoCellAnchor>
    <xdr:from>
      <xdr:col>32</xdr:col>
      <xdr:colOff>171451</xdr:colOff>
      <xdr:row>0</xdr:row>
      <xdr:rowOff>65616</xdr:rowOff>
    </xdr:from>
    <xdr:to>
      <xdr:col>33</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10744201" y="68791"/>
          <a:ext cx="1058862" cy="62865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66675</xdr:colOff>
      <xdr:row>0</xdr:row>
      <xdr:rowOff>9525</xdr:rowOff>
    </xdr:from>
    <xdr:to>
      <xdr:col>1</xdr:col>
      <xdr:colOff>1323975</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32</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672783"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67278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Demonstrativos Financeiros</a:t>
          </a:r>
          <a:r>
            <a:rPr lang="en-US" sz="1600" b="1" i="0" u="none" strike="noStrike" baseline="0">
              <a:solidFill>
                <a:srgbClr val="000080"/>
              </a:solidFill>
              <a:latin typeface="Votorantim Sans Black" panose="02010A03030202050203"/>
            </a:rPr>
            <a:t> </a:t>
          </a:r>
        </a:p>
      </xdr:txBody>
    </xdr:sp>
    <xdr:clientData/>
  </xdr:oneCellAnchor>
  <xdr:twoCellAnchor>
    <xdr:from>
      <xdr:col>32</xdr:col>
      <xdr:colOff>204611</xdr:colOff>
      <xdr:row>0</xdr:row>
      <xdr:rowOff>74436</xdr:rowOff>
    </xdr:from>
    <xdr:to>
      <xdr:col>33</xdr:col>
      <xdr:colOff>83343</xdr:colOff>
      <xdr:row>3</xdr:row>
      <xdr:rowOff>214313</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11324884" y="74436"/>
          <a:ext cx="728100" cy="745207"/>
          <a:chOff x="11133666" y="131229"/>
          <a:chExt cx="718837"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5165" y="219455"/>
            <a:ext cx="637338"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0</xdr:col>
      <xdr:colOff>114300</xdr:colOff>
      <xdr:row>0</xdr:row>
      <xdr:rowOff>0</xdr:rowOff>
    </xdr:from>
    <xdr:to>
      <xdr:col>1</xdr:col>
      <xdr:colOff>1238250</xdr:colOff>
      <xdr:row>2</xdr:row>
      <xdr:rowOff>97155</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32</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8475927"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Resultados por negócio</a:t>
          </a:r>
        </a:p>
      </xdr:txBody>
    </xdr:sp>
    <xdr:clientData/>
  </xdr:oneCellAnchor>
  <xdr:twoCellAnchor>
    <xdr:from>
      <xdr:col>32</xdr:col>
      <xdr:colOff>115358</xdr:colOff>
      <xdr:row>0</xdr:row>
      <xdr:rowOff>56797</xdr:rowOff>
    </xdr:from>
    <xdr:to>
      <xdr:col>33</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10390452" y="56797"/>
          <a:ext cx="820737" cy="624681"/>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1266190</xdr:colOff>
      <xdr:row>2</xdr:row>
      <xdr:rowOff>85090</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0</xdr:row>
      <xdr:rowOff>0</xdr:rowOff>
    </xdr:from>
    <xdr:to>
      <xdr:col>24</xdr:col>
      <xdr:colOff>9525</xdr:colOff>
      <xdr:row>3</xdr:row>
      <xdr:rowOff>247650</xdr:rowOff>
    </xdr:to>
    <xdr:sp macro="" textlink="">
      <xdr:nvSpPr>
        <xdr:cNvPr id="2" name="Retângulo 6">
          <a:extLst>
            <a:ext uri="{FF2B5EF4-FFF2-40B4-BE49-F238E27FC236}">
              <a16:creationId xmlns:a16="http://schemas.microsoft.com/office/drawing/2014/main" id="{AD32A97A-58E8-4394-BD3E-8EE13970723D}"/>
            </a:ext>
          </a:extLst>
        </xdr:cNvPr>
        <xdr:cNvSpPr>
          <a:spLocks noChangeArrowheads="1"/>
        </xdr:cNvSpPr>
      </xdr:nvSpPr>
      <xdr:spPr bwMode="auto">
        <a:xfrm>
          <a:off x="9524" y="0"/>
          <a:ext cx="8343901"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2001510" cy="296620"/>
    <xdr:sp macro="" textlink="">
      <xdr:nvSpPr>
        <xdr:cNvPr id="3" name="Text Box 2">
          <a:extLst>
            <a:ext uri="{FF2B5EF4-FFF2-40B4-BE49-F238E27FC236}">
              <a16:creationId xmlns:a16="http://schemas.microsoft.com/office/drawing/2014/main" id="{EBEA6C36-895B-4B68-B90D-0AEFCA9887A4}"/>
            </a:ext>
          </a:extLst>
        </xdr:cNvPr>
        <xdr:cNvSpPr txBox="1">
          <a:spLocks noChangeArrowheads="1"/>
        </xdr:cNvSpPr>
      </xdr:nvSpPr>
      <xdr:spPr bwMode="auto">
        <a:xfrm>
          <a:off x="142450" y="432991"/>
          <a:ext cx="200151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Composição Custos</a:t>
          </a:r>
        </a:p>
      </xdr:txBody>
    </xdr:sp>
    <xdr:clientData/>
  </xdr:oneCellAnchor>
  <xdr:twoCellAnchor editAs="oneCell">
    <xdr:from>
      <xdr:col>1</xdr:col>
      <xdr:colOff>9525</xdr:colOff>
      <xdr:row>0</xdr:row>
      <xdr:rowOff>0</xdr:rowOff>
    </xdr:from>
    <xdr:to>
      <xdr:col>1</xdr:col>
      <xdr:colOff>1325034</xdr:colOff>
      <xdr:row>2</xdr:row>
      <xdr:rowOff>114300</xdr:rowOff>
    </xdr:to>
    <xdr:pic>
      <xdr:nvPicPr>
        <xdr:cNvPr id="4" name="Picture 2">
          <a:extLst>
            <a:ext uri="{FF2B5EF4-FFF2-40B4-BE49-F238E27FC236}">
              <a16:creationId xmlns:a16="http://schemas.microsoft.com/office/drawing/2014/main" id="{3863748D-FD51-4B20-95FD-520C27DC52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209550</xdr:colOff>
      <xdr:row>0</xdr:row>
      <xdr:rowOff>95250</xdr:rowOff>
    </xdr:from>
    <xdr:to>
      <xdr:col>25</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B0B8C5FE-9A3D-413B-8B7D-C9FDD2373DB7}"/>
            </a:ext>
          </a:extLst>
        </xdr:cNvPr>
        <xdr:cNvGrpSpPr>
          <a:grpSpLocks/>
        </xdr:cNvGrpSpPr>
      </xdr:nvGrpSpPr>
      <xdr:grpSpPr bwMode="auto">
        <a:xfrm>
          <a:off x="10395697" y="95250"/>
          <a:ext cx="1103406" cy="603997"/>
          <a:chOff x="11133666" y="131229"/>
          <a:chExt cx="928738" cy="609603"/>
        </a:xfrm>
      </xdr:grpSpPr>
      <xdr:sp macro="" textlink="">
        <xdr:nvSpPr>
          <xdr:cNvPr id="6" name="Seta: Curva para Cima 5" descr="Menu">
            <a:extLst>
              <a:ext uri="{FF2B5EF4-FFF2-40B4-BE49-F238E27FC236}">
                <a16:creationId xmlns:a16="http://schemas.microsoft.com/office/drawing/2014/main" id="{2021E711-261C-ADE8-E5BC-DC053C58F324}"/>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7DD6435B-B9D6-C3CE-5A9B-F6B3D98E6C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32</xdr:col>
      <xdr:colOff>9525</xdr:colOff>
      <xdr:row>3</xdr:row>
      <xdr:rowOff>247650</xdr:rowOff>
    </xdr:to>
    <xdr:sp macro="" textlink="">
      <xdr:nvSpPr>
        <xdr:cNvPr id="2" name="Retângulo 6">
          <a:extLst>
            <a:ext uri="{FF2B5EF4-FFF2-40B4-BE49-F238E27FC236}">
              <a16:creationId xmlns:a16="http://schemas.microsoft.com/office/drawing/2014/main" id="{BAE6B015-B402-4254-91F5-28FD76122CB1}"/>
            </a:ext>
          </a:extLst>
        </xdr:cNvPr>
        <xdr:cNvSpPr>
          <a:spLocks noChangeArrowheads="1"/>
        </xdr:cNvSpPr>
      </xdr:nvSpPr>
      <xdr:spPr bwMode="auto">
        <a:xfrm>
          <a:off x="0" y="0"/>
          <a:ext cx="78390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070E6ED5-7F69-42C4-9E0E-5458A04D7163}"/>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32</xdr:col>
      <xdr:colOff>123825</xdr:colOff>
      <xdr:row>0</xdr:row>
      <xdr:rowOff>38100</xdr:rowOff>
    </xdr:from>
    <xdr:to>
      <xdr:col>33</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5684D5F6-4B22-4BFA-B71E-A92D6C0D6E4B}"/>
            </a:ext>
          </a:extLst>
        </xdr:cNvPr>
        <xdr:cNvGrpSpPr>
          <a:grpSpLocks/>
        </xdr:cNvGrpSpPr>
      </xdr:nvGrpSpPr>
      <xdr:grpSpPr bwMode="auto">
        <a:xfrm>
          <a:off x="10550525" y="38100"/>
          <a:ext cx="1004888" cy="620713"/>
          <a:chOff x="11133666" y="131229"/>
          <a:chExt cx="928738" cy="609603"/>
        </a:xfrm>
      </xdr:grpSpPr>
      <xdr:sp macro="" textlink="">
        <xdr:nvSpPr>
          <xdr:cNvPr id="5" name="Seta: Curva para Cima 4" descr="Menu">
            <a:extLst>
              <a:ext uri="{FF2B5EF4-FFF2-40B4-BE49-F238E27FC236}">
                <a16:creationId xmlns:a16="http://schemas.microsoft.com/office/drawing/2014/main" id="{BE2D0749-A39C-2FCC-AA61-AC3D61131B3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CB30DF9-0CC7-8E76-8DFF-03A8A9AA61B0}"/>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5FDA27F6-7883-4D6C-ABBB-15717533F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32</xdr:col>
      <xdr:colOff>9525</xdr:colOff>
      <xdr:row>3</xdr:row>
      <xdr:rowOff>247650</xdr:rowOff>
    </xdr:to>
    <xdr:sp macro="" textlink="">
      <xdr:nvSpPr>
        <xdr:cNvPr id="2" name="Retângulo 6">
          <a:extLst>
            <a:ext uri="{FF2B5EF4-FFF2-40B4-BE49-F238E27FC236}">
              <a16:creationId xmlns:a16="http://schemas.microsoft.com/office/drawing/2014/main" id="{7D93B675-42F7-497A-AE9F-462DE096336D}"/>
            </a:ext>
          </a:extLst>
        </xdr:cNvPr>
        <xdr:cNvSpPr>
          <a:spLocks noChangeArrowheads="1"/>
        </xdr:cNvSpPr>
      </xdr:nvSpPr>
      <xdr:spPr bwMode="auto">
        <a:xfrm>
          <a:off x="0" y="0"/>
          <a:ext cx="14478000"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87BF4479-55F4-44FE-8CE0-9A9EA2A59BB7}"/>
            </a:ext>
          </a:extLst>
        </xdr:cNvPr>
        <xdr:cNvSpPr txBox="1">
          <a:spLocks noChangeArrowheads="1"/>
        </xdr:cNvSpPr>
      </xdr:nvSpPr>
      <xdr:spPr bwMode="auto">
        <a:xfrm>
          <a:off x="14287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Ciclo Financeiro</a:t>
          </a:r>
        </a:p>
      </xdr:txBody>
    </xdr:sp>
    <xdr:clientData/>
  </xdr:oneCellAnchor>
  <xdr:twoCellAnchor>
    <xdr:from>
      <xdr:col>32</xdr:col>
      <xdr:colOff>123825</xdr:colOff>
      <xdr:row>0</xdr:row>
      <xdr:rowOff>38100</xdr:rowOff>
    </xdr:from>
    <xdr:to>
      <xdr:col>33</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3BBC06EF-716E-40C5-9F2C-61F149A01533}"/>
            </a:ext>
          </a:extLst>
        </xdr:cNvPr>
        <xdr:cNvGrpSpPr>
          <a:grpSpLocks/>
        </xdr:cNvGrpSpPr>
      </xdr:nvGrpSpPr>
      <xdr:grpSpPr bwMode="auto">
        <a:xfrm>
          <a:off x="9455150" y="38100"/>
          <a:ext cx="814388" cy="723900"/>
          <a:chOff x="11133666" y="131229"/>
          <a:chExt cx="928738" cy="609603"/>
        </a:xfrm>
      </xdr:grpSpPr>
      <xdr:sp macro="" textlink="">
        <xdr:nvSpPr>
          <xdr:cNvPr id="5" name="Seta: Curva para Cima 4" descr="Menu">
            <a:extLst>
              <a:ext uri="{FF2B5EF4-FFF2-40B4-BE49-F238E27FC236}">
                <a16:creationId xmlns:a16="http://schemas.microsoft.com/office/drawing/2014/main" id="{C8145A93-C883-2F1A-55C3-FC2E7DDADA2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E131643-D3C7-A261-5837-59C2987BA7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123825</xdr:rowOff>
    </xdr:to>
    <xdr:pic>
      <xdr:nvPicPr>
        <xdr:cNvPr id="7" name="Picture 2">
          <a:extLst>
            <a:ext uri="{FF2B5EF4-FFF2-40B4-BE49-F238E27FC236}">
              <a16:creationId xmlns:a16="http://schemas.microsoft.com/office/drawing/2014/main" id="{21F74D49-4576-40BC-8D09-EE1940502E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9525</xdr:colOff>
      <xdr:row>3</xdr:row>
      <xdr:rowOff>247650</xdr:rowOff>
    </xdr:to>
    <xdr:sp macro="" textlink="">
      <xdr:nvSpPr>
        <xdr:cNvPr id="2" name="Retângulo 6">
          <a:extLst>
            <a:ext uri="{FF2B5EF4-FFF2-40B4-BE49-F238E27FC236}">
              <a16:creationId xmlns:a16="http://schemas.microsoft.com/office/drawing/2014/main" id="{22A8D53E-EA21-408E-8D3A-10AFD5CAC290}"/>
            </a:ext>
          </a:extLst>
        </xdr:cNvPr>
        <xdr:cNvSpPr>
          <a:spLocks noChangeArrowheads="1"/>
        </xdr:cNvSpPr>
      </xdr:nvSpPr>
      <xdr:spPr bwMode="auto">
        <a:xfrm>
          <a:off x="0" y="0"/>
          <a:ext cx="66008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90FC7415-24C9-4EF3-84A9-C1604E9CA0A6}"/>
            </a:ext>
          </a:extLst>
        </xdr:cNvPr>
        <xdr:cNvSpPr txBox="1">
          <a:spLocks noChangeArrowheads="1"/>
        </xdr:cNvSpPr>
      </xdr:nvSpPr>
      <xdr:spPr bwMode="auto">
        <a:xfrm>
          <a:off x="16192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FCL</a:t>
          </a:r>
        </a:p>
      </xdr:txBody>
    </xdr:sp>
    <xdr:clientData/>
  </xdr:oneCellAnchor>
  <xdr:twoCellAnchor>
    <xdr:from>
      <xdr:col>20</xdr:col>
      <xdr:colOff>123825</xdr:colOff>
      <xdr:row>0</xdr:row>
      <xdr:rowOff>38100</xdr:rowOff>
    </xdr:from>
    <xdr:to>
      <xdr:col>21</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9C429C20-1229-4D6E-A501-ECA6FA007CD4}"/>
            </a:ext>
          </a:extLst>
        </xdr:cNvPr>
        <xdr:cNvGrpSpPr>
          <a:grpSpLocks/>
        </xdr:cNvGrpSpPr>
      </xdr:nvGrpSpPr>
      <xdr:grpSpPr bwMode="auto">
        <a:xfrm>
          <a:off x="8347869" y="38100"/>
          <a:ext cx="814387" cy="723900"/>
          <a:chOff x="11133666" y="131229"/>
          <a:chExt cx="928738" cy="609603"/>
        </a:xfrm>
      </xdr:grpSpPr>
      <xdr:sp macro="" textlink="">
        <xdr:nvSpPr>
          <xdr:cNvPr id="5" name="Seta: Curva para Cima 4" descr="Menu">
            <a:extLst>
              <a:ext uri="{FF2B5EF4-FFF2-40B4-BE49-F238E27FC236}">
                <a16:creationId xmlns:a16="http://schemas.microsoft.com/office/drawing/2014/main" id="{A98D9021-EED9-5BF7-73D7-A97C294D737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F1D7B1-70EA-9E82-BD08-F5091736167B}"/>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6A9E8407-67DF-45F7-9E8F-AF15AE7947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32</xdr:col>
      <xdr:colOff>9525</xdr:colOff>
      <xdr:row>3</xdr:row>
      <xdr:rowOff>247650</xdr:rowOff>
    </xdr:to>
    <xdr:sp macro="" textlink="">
      <xdr:nvSpPr>
        <xdr:cNvPr id="2" name="Retângulo 6">
          <a:extLst>
            <a:ext uri="{FF2B5EF4-FFF2-40B4-BE49-F238E27FC236}">
              <a16:creationId xmlns:a16="http://schemas.microsoft.com/office/drawing/2014/main" id="{796C63ED-43C7-4960-BC94-672E5159E2C5}"/>
            </a:ext>
          </a:extLst>
        </xdr:cNvPr>
        <xdr:cNvSpPr>
          <a:spLocks noChangeArrowheads="1"/>
        </xdr:cNvSpPr>
      </xdr:nvSpPr>
      <xdr:spPr bwMode="auto">
        <a:xfrm>
          <a:off x="0" y="0"/>
          <a:ext cx="11210925"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E3F3109-A8F1-4CA4-B2EF-095A0E35BE38}"/>
            </a:ext>
          </a:extLst>
        </xdr:cNvPr>
        <xdr:cNvSpPr txBox="1">
          <a:spLocks noChangeArrowheads="1"/>
        </xdr:cNvSpPr>
      </xdr:nvSpPr>
      <xdr:spPr bwMode="auto">
        <a:xfrm>
          <a:off x="266700" y="44598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15. DFC</a:t>
          </a:r>
        </a:p>
      </xdr:txBody>
    </xdr:sp>
    <xdr:clientData/>
  </xdr:oneCellAnchor>
  <xdr:twoCellAnchor>
    <xdr:from>
      <xdr:col>32</xdr:col>
      <xdr:colOff>123825</xdr:colOff>
      <xdr:row>0</xdr:row>
      <xdr:rowOff>38101</xdr:rowOff>
    </xdr:from>
    <xdr:to>
      <xdr:col>32</xdr:col>
      <xdr:colOff>1000125</xdr:colOff>
      <xdr:row>3</xdr:row>
      <xdr:rowOff>202406</xdr:rowOff>
    </xdr:to>
    <xdr:grpSp>
      <xdr:nvGrpSpPr>
        <xdr:cNvPr id="4" name="Agrupar 6">
          <a:hlinkClick xmlns:r="http://schemas.openxmlformats.org/officeDocument/2006/relationships" r:id="rId1"/>
          <a:extLst>
            <a:ext uri="{FF2B5EF4-FFF2-40B4-BE49-F238E27FC236}">
              <a16:creationId xmlns:a16="http://schemas.microsoft.com/office/drawing/2014/main" id="{4B185156-4E82-4721-9B56-2DD74872635B}"/>
            </a:ext>
          </a:extLst>
        </xdr:cNvPr>
        <xdr:cNvGrpSpPr>
          <a:grpSpLocks/>
        </xdr:cNvGrpSpPr>
      </xdr:nvGrpSpPr>
      <xdr:grpSpPr bwMode="auto">
        <a:xfrm>
          <a:off x="13372306" y="38101"/>
          <a:ext cx="838200" cy="685005"/>
          <a:chOff x="11133666" y="131229"/>
          <a:chExt cx="928738" cy="609603"/>
        </a:xfrm>
      </xdr:grpSpPr>
      <xdr:sp macro="" textlink="">
        <xdr:nvSpPr>
          <xdr:cNvPr id="5" name="Seta: Curva para Cima 4" descr="Menu">
            <a:extLst>
              <a:ext uri="{FF2B5EF4-FFF2-40B4-BE49-F238E27FC236}">
                <a16:creationId xmlns:a16="http://schemas.microsoft.com/office/drawing/2014/main" id="{A7C3EC20-E0B4-0B86-5C6E-1559D5F2B8F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616C29A4-7881-795E-EE90-8A444B51273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107764</xdr:rowOff>
    </xdr:to>
    <xdr:pic>
      <xdr:nvPicPr>
        <xdr:cNvPr id="7" name="Picture 2">
          <a:extLst>
            <a:ext uri="{FF2B5EF4-FFF2-40B4-BE49-F238E27FC236}">
              <a16:creationId xmlns:a16="http://schemas.microsoft.com/office/drawing/2014/main" id="{F2754C8D-1169-4C33-BAA8-9B2A2CE249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outube.com/watch?v=ZSlB-IqhnA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rgb="FF00B050"/>
    <pageSetUpPr fitToPage="1"/>
  </sheetPr>
  <dimension ref="C1:R25"/>
  <sheetViews>
    <sheetView showGridLines="0" tabSelected="1" zoomScale="90" zoomScaleNormal="90" workbookViewId="0"/>
  </sheetViews>
  <sheetFormatPr defaultColWidth="9.1796875" defaultRowHeight="15"/>
  <cols>
    <col min="1" max="2" width="9.1796875" style="1"/>
    <col min="3" max="3" width="9.1796875" style="1" customWidth="1"/>
    <col min="4" max="4" width="9.1796875" style="1"/>
    <col min="5" max="5" width="10.54296875" style="1" customWidth="1"/>
    <col min="6" max="6" width="9.1796875" style="1"/>
    <col min="7" max="7" width="7.81640625" style="1" customWidth="1"/>
    <col min="8" max="8" width="5.54296875" style="1" customWidth="1"/>
    <col min="9" max="9" width="6.81640625" style="1" customWidth="1"/>
    <col min="10" max="10" width="31" style="1" customWidth="1"/>
    <col min="11" max="16384" width="9.1796875" style="1"/>
  </cols>
  <sheetData>
    <row r="1" spans="4:18" ht="15.65" customHeight="1">
      <c r="N1" s="13"/>
    </row>
    <row r="2" spans="4:18" ht="15.65" customHeight="1">
      <c r="Q2" s="6"/>
      <c r="R2" s="8"/>
    </row>
    <row r="3" spans="4:18" ht="15" customHeight="1">
      <c r="N3" s="17" t="s">
        <v>0</v>
      </c>
      <c r="O3" s="398" t="s">
        <v>394</v>
      </c>
      <c r="Q3" s="6"/>
      <c r="R3" s="8"/>
    </row>
    <row r="4" spans="4:18" ht="15" customHeight="1">
      <c r="Q4" s="6"/>
      <c r="R4" s="8"/>
    </row>
    <row r="5" spans="4:18" ht="15" customHeight="1">
      <c r="N5" s="14" t="s">
        <v>1</v>
      </c>
      <c r="O5" s="15"/>
      <c r="P5" s="7"/>
      <c r="Q5" s="6"/>
      <c r="R5" s="8"/>
    </row>
    <row r="6" spans="4:18" ht="15" customHeight="1">
      <c r="N6" s="14" t="s">
        <v>2</v>
      </c>
      <c r="O6" s="16"/>
      <c r="P6" s="7"/>
      <c r="Q6" s="6"/>
      <c r="R6" s="8"/>
    </row>
    <row r="7" spans="4:18" ht="15" customHeight="1">
      <c r="N7" s="14" t="s">
        <v>476</v>
      </c>
      <c r="O7" s="16"/>
      <c r="P7" s="7"/>
      <c r="Q7" s="6"/>
      <c r="R7" s="8"/>
    </row>
    <row r="8" spans="4:18" ht="15" customHeight="1">
      <c r="E8" s="2"/>
      <c r="N8" s="14" t="s">
        <v>448</v>
      </c>
      <c r="O8" s="16"/>
      <c r="P8" s="7"/>
      <c r="Q8" s="6"/>
      <c r="R8" s="8"/>
    </row>
    <row r="9" spans="4:18" ht="15" customHeight="1">
      <c r="E9" s="2"/>
      <c r="N9" s="14" t="s">
        <v>449</v>
      </c>
      <c r="O9" s="16"/>
      <c r="P9" s="7"/>
      <c r="Q9" s="6"/>
      <c r="R9" s="8"/>
    </row>
    <row r="10" spans="4:18" ht="15" customHeight="1">
      <c r="E10" s="2"/>
      <c r="N10" s="14" t="s">
        <v>516</v>
      </c>
      <c r="O10" s="16"/>
      <c r="P10" s="7"/>
      <c r="Q10" s="6"/>
      <c r="R10" s="9"/>
    </row>
    <row r="11" spans="4:18" ht="15" customHeight="1">
      <c r="E11" s="2"/>
      <c r="N11" s="14" t="s">
        <v>450</v>
      </c>
      <c r="O11" s="16"/>
      <c r="P11" s="7"/>
      <c r="Q11" s="11"/>
      <c r="R11" s="10"/>
    </row>
    <row r="12" spans="4:18" ht="15" customHeight="1">
      <c r="E12" s="2"/>
      <c r="N12" s="14" t="s">
        <v>451</v>
      </c>
      <c r="O12" s="15"/>
      <c r="P12" s="6"/>
      <c r="Q12" s="12"/>
      <c r="R12" s="10"/>
    </row>
    <row r="13" spans="4:18" ht="15" customHeight="1">
      <c r="N13" s="14" t="s">
        <v>452</v>
      </c>
      <c r="O13" s="15"/>
      <c r="P13" s="6"/>
      <c r="Q13" s="12"/>
      <c r="R13" s="10"/>
    </row>
    <row r="14" spans="4:18" ht="15" customHeight="1">
      <c r="N14" s="14" t="s">
        <v>458</v>
      </c>
      <c r="O14" s="12"/>
      <c r="P14" s="12"/>
      <c r="Q14" s="12"/>
      <c r="R14" s="10"/>
    </row>
    <row r="15" spans="4:18" ht="15" customHeight="1">
      <c r="N15" s="14" t="s">
        <v>453</v>
      </c>
      <c r="O15" s="12"/>
      <c r="P15" s="12"/>
      <c r="Q15" s="12"/>
      <c r="R15" s="10"/>
    </row>
    <row r="16" spans="4:18" ht="15" customHeight="1">
      <c r="D16" s="3"/>
      <c r="E16" s="4"/>
      <c r="J16" s="5"/>
      <c r="N16" s="14" t="s">
        <v>454</v>
      </c>
      <c r="O16" s="12"/>
      <c r="P16" s="12"/>
      <c r="Q16" s="12"/>
      <c r="R16" s="10"/>
    </row>
    <row r="17" spans="3:18" ht="15" customHeight="1">
      <c r="D17" s="3"/>
      <c r="E17" s="4"/>
      <c r="J17" s="5"/>
      <c r="N17" s="14" t="s">
        <v>455</v>
      </c>
      <c r="O17" s="12"/>
      <c r="P17" s="12"/>
      <c r="Q17" s="12"/>
      <c r="R17" s="10"/>
    </row>
    <row r="18" spans="3:18" ht="15" customHeight="1">
      <c r="D18" s="3"/>
      <c r="E18" s="4"/>
      <c r="J18" s="5"/>
      <c r="N18" s="14" t="s">
        <v>456</v>
      </c>
      <c r="O18" s="12"/>
      <c r="P18" s="12"/>
      <c r="Q18" s="12"/>
      <c r="R18" s="10"/>
    </row>
    <row r="19" spans="3:18" ht="15" customHeight="1">
      <c r="D19" s="341" t="s">
        <v>356</v>
      </c>
      <c r="E19" s="4"/>
      <c r="J19" s="5"/>
      <c r="N19" s="14" t="s">
        <v>457</v>
      </c>
      <c r="O19" s="12"/>
      <c r="P19" s="12"/>
      <c r="Q19" s="12"/>
      <c r="R19" s="10"/>
    </row>
    <row r="22" spans="3:18">
      <c r="O22" s="398" t="s">
        <v>394</v>
      </c>
    </row>
    <row r="25" spans="3:18">
      <c r="C25" s="387"/>
    </row>
  </sheetData>
  <phoneticPr fontId="0" type="noConversion"/>
  <hyperlinks>
    <hyperlink ref="N6" location="'2 - Processo Produtivo'!Area_de_impressao" display="2.  Processo Produtivo" xr:uid="{00000000-0004-0000-0000-000005000000}"/>
    <hyperlink ref="N5" location="'1 - Premissas'!Area_de_impressao" display="1.  Premissas" xr:uid="{00000000-0004-0000-0000-000006000000}"/>
    <hyperlink ref="N7" location="'3 - ESG'!A1" display="3.  Indicadores ESG" xr:uid="{C49869FA-E02D-4033-A75B-5A8BA28A0ABD}"/>
    <hyperlink ref="N8" location="'4 - Capacidades e Utilização'!A1" display="4.  Capacidades e Utilização" xr:uid="{D3414165-A8D9-4F6B-B464-CBD9834C36DC}"/>
    <hyperlink ref="N9" location="'5 - Energia'!A1" display="5.  Energia" xr:uid="{4CD9AC79-8024-4BDF-966C-4D5AE571B3E2}"/>
    <hyperlink ref="N10" location="'6 - DRE e Balanço Energia'!A1" display="6.  DRE e Balanço Energia" xr:uid="{94949DBF-E23A-49B7-B212-1BFB91B4FAD9}"/>
    <hyperlink ref="N11" location="'7 - Volume de Vendas Final'!A1" display="7.  Volume de Vendas" xr:uid="{75B74B3D-AE98-4566-89B3-5D558871271F}"/>
    <hyperlink ref="N12" location="'8 - Dívida '!A1" display="8.  Dívida" xr:uid="{11B6A125-570B-4941-BC25-612B0C2BF1F2}"/>
    <hyperlink ref="N13" location="'9 - Demonstrativos Financeiros'!A1" display="9.  Demonstrativos Financeiros" xr:uid="{C164FB92-3309-4539-B8AF-46E6D29DA6C0}"/>
    <hyperlink ref="N14" location="'10 - Resultados por negócio'!A1" display="10. Resultados por negócio" xr:uid="{CB7226B1-CCCA-4F4F-8DBB-C0B8F854F5BA}"/>
    <hyperlink ref="N15" location="'11 - Composição Custos'!A1" display="11. Composição Custos" xr:uid="{CAF26B58-FB75-4E14-B3F4-D8755E3A156A}"/>
    <hyperlink ref="N16" location="'12 - CAPEX'!A1" display="12. CAPEX" xr:uid="{2BCA9EE0-5960-4D36-8442-F0F4EFBD19DF}"/>
    <hyperlink ref="N17" location="'13 - Ciclo Financeiro'!A1" display="13. Ciclo financeiro" xr:uid="{3D7C6D5D-4009-4AD7-9841-2A731BDBBEB3}"/>
    <hyperlink ref="N18" location="'14 - FCL'!A1" display="14. Fluxo de caixa livre" xr:uid="{E55BD445-45E0-4A1D-AD91-A4A69215E1EF}"/>
    <hyperlink ref="N19" location="'15 - DFC'!A1" display="15. DFC" xr:uid="{EE488850-1DC2-4304-86BA-F5C7D3482ABB}"/>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4:M27"/>
  <sheetViews>
    <sheetView showGridLines="0" zoomScale="90" zoomScaleNormal="90" workbookViewId="0"/>
  </sheetViews>
  <sheetFormatPr defaultColWidth="9.1796875" defaultRowHeight="12.5"/>
  <cols>
    <col min="1" max="1" width="2.1796875" style="18" customWidth="1"/>
    <col min="2" max="2" width="23" style="18" customWidth="1"/>
    <col min="3" max="3" width="11.453125" style="18" customWidth="1"/>
    <col min="4" max="11" width="9.1796875" style="18"/>
    <col min="12" max="12" width="12.54296875" style="18" bestFit="1" customWidth="1"/>
    <col min="13" max="16384" width="9.1796875" style="18"/>
  </cols>
  <sheetData>
    <row r="4" spans="2:13" ht="26.25" customHeight="1"/>
    <row r="5" spans="2:13" ht="16.5" customHeight="1"/>
    <row r="6" spans="2:13" ht="19.5" customHeight="1">
      <c r="B6" s="76" t="s">
        <v>3</v>
      </c>
      <c r="C6" s="69"/>
      <c r="D6" s="69"/>
      <c r="E6" s="19"/>
      <c r="F6" s="19"/>
      <c r="G6" s="19"/>
      <c r="H6" s="19"/>
      <c r="I6" s="19"/>
      <c r="J6" s="20"/>
      <c r="K6" s="20"/>
      <c r="L6" s="20"/>
      <c r="M6" s="20"/>
    </row>
    <row r="7" spans="2:13" ht="16.5" customHeight="1">
      <c r="B7" s="71" t="s">
        <v>4</v>
      </c>
      <c r="C7" s="70"/>
      <c r="D7" s="70"/>
      <c r="E7" s="70"/>
      <c r="F7" s="70"/>
      <c r="G7" s="21"/>
      <c r="H7" s="21"/>
      <c r="I7" s="21"/>
      <c r="J7" s="20"/>
      <c r="K7" s="20"/>
      <c r="L7" s="20"/>
      <c r="M7" s="20"/>
    </row>
    <row r="8" spans="2:13" ht="18.75" customHeight="1">
      <c r="B8" s="71" t="s">
        <v>5</v>
      </c>
      <c r="C8" s="70"/>
      <c r="D8" s="70"/>
      <c r="E8" s="70"/>
      <c r="F8" s="70"/>
      <c r="G8" s="21"/>
      <c r="H8" s="21"/>
      <c r="I8" s="21"/>
      <c r="J8" s="20"/>
      <c r="K8" s="20"/>
      <c r="L8" s="20"/>
      <c r="M8" s="20"/>
    </row>
    <row r="9" spans="2:13" ht="19.5" customHeight="1">
      <c r="B9" s="71" t="s">
        <v>6</v>
      </c>
      <c r="C9" s="70"/>
      <c r="D9" s="70"/>
      <c r="E9" s="70"/>
      <c r="F9" s="70"/>
      <c r="G9" s="21"/>
      <c r="H9" s="21"/>
      <c r="I9" s="21"/>
      <c r="J9" s="20"/>
      <c r="K9" s="20"/>
      <c r="L9" s="20"/>
      <c r="M9" s="20"/>
    </row>
    <row r="10" spans="2:13" ht="18" customHeight="1">
      <c r="B10" s="71" t="s">
        <v>7</v>
      </c>
      <c r="C10" s="70"/>
      <c r="D10" s="70"/>
      <c r="E10" s="70"/>
      <c r="F10" s="70"/>
      <c r="G10" s="21"/>
      <c r="H10" s="21"/>
      <c r="I10" s="21"/>
      <c r="J10" s="20"/>
      <c r="K10" s="20"/>
      <c r="L10" s="20"/>
      <c r="M10" s="20"/>
    </row>
    <row r="11" spans="2:13" ht="19.5" customHeight="1">
      <c r="B11" s="71" t="s">
        <v>8</v>
      </c>
      <c r="C11" s="70"/>
      <c r="D11" s="70"/>
      <c r="E11" s="70"/>
      <c r="F11" s="70"/>
      <c r="G11" s="21"/>
      <c r="H11" s="21"/>
      <c r="I11" s="21"/>
      <c r="J11" s="20"/>
      <c r="K11" s="20"/>
      <c r="L11" s="23"/>
      <c r="M11" s="20"/>
    </row>
    <row r="12" spans="2:13" ht="16.5" customHeight="1">
      <c r="B12" s="72"/>
      <c r="C12" s="73"/>
      <c r="D12" s="73"/>
      <c r="E12" s="73"/>
      <c r="F12" s="73"/>
      <c r="G12" s="24"/>
      <c r="H12" s="24"/>
      <c r="I12" s="24"/>
      <c r="J12" s="25"/>
      <c r="K12" s="25"/>
      <c r="L12" s="25"/>
      <c r="M12" s="25"/>
    </row>
    <row r="13" spans="2:13" ht="21" customHeight="1">
      <c r="B13" s="68" t="s">
        <v>9</v>
      </c>
      <c r="C13" s="74"/>
      <c r="D13" s="75"/>
      <c r="E13" s="75"/>
      <c r="F13" s="75"/>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10</v>
      </c>
      <c r="D16" s="26"/>
      <c r="E16" s="27"/>
      <c r="F16" s="27"/>
      <c r="G16" s="27"/>
      <c r="H16" s="27"/>
      <c r="I16" s="27"/>
      <c r="J16" s="27"/>
    </row>
    <row r="17" spans="2:13" ht="8.5" customHeight="1">
      <c r="B17" s="27"/>
      <c r="C17" s="31"/>
      <c r="D17" s="27"/>
      <c r="E17" s="27"/>
      <c r="F17" s="27"/>
      <c r="G17" s="27"/>
      <c r="H17" s="27"/>
      <c r="I17" s="27"/>
    </row>
    <row r="18" spans="2:13" ht="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99999999999999"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5" customHeight="1">
      <c r="B27" s="33"/>
      <c r="C27" s="33"/>
      <c r="D27" s="33"/>
      <c r="E27" s="33"/>
      <c r="F27" s="33"/>
      <c r="G27" s="33"/>
      <c r="H27" s="33"/>
      <c r="I27" s="33"/>
      <c r="J27" s="33"/>
      <c r="K27" s="33"/>
      <c r="L27" s="33"/>
      <c r="M27" s="33"/>
    </row>
  </sheetData>
  <phoneticPr fontId="6" type="noConversion"/>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3:M67"/>
  <sheetViews>
    <sheetView showGridLines="0" zoomScale="90" zoomScaleNormal="90" workbookViewId="0">
      <selection activeCell="R42" sqref="R42"/>
    </sheetView>
  </sheetViews>
  <sheetFormatPr defaultColWidth="9.1796875" defaultRowHeight="12.5"/>
  <cols>
    <col min="1" max="1" width="2.1796875" style="18" customWidth="1"/>
    <col min="2" max="2" width="10.1796875" style="18" customWidth="1"/>
    <col min="3" max="3" width="23.1796875" style="18" customWidth="1"/>
    <col min="4" max="4" width="12.1796875" style="18" customWidth="1"/>
    <col min="5" max="5" width="8.1796875" style="18" customWidth="1"/>
    <col min="6" max="6" width="22.453125" style="18" customWidth="1"/>
    <col min="7" max="7" width="6.81640625" style="18" customWidth="1"/>
    <col min="8" max="8" width="13.81640625" style="18" customWidth="1"/>
    <col min="9" max="9" width="7" style="18" customWidth="1"/>
    <col min="10" max="10" width="9.1796875" style="18"/>
    <col min="11" max="11" width="5.81640625" style="18" customWidth="1"/>
    <col min="12" max="16384" width="9.1796875" style="18"/>
  </cols>
  <sheetData>
    <row r="3" spans="3:13" ht="58.5" customHeight="1"/>
    <row r="4" spans="3:13" ht="15" customHeight="1">
      <c r="C4" s="22" t="s">
        <v>11</v>
      </c>
    </row>
    <row r="7" spans="3:13" ht="18.75" customHeight="1"/>
    <row r="8" spans="3:13">
      <c r="M8" s="35"/>
    </row>
    <row r="17" ht="6" customHeight="1"/>
    <row r="33" spans="3:12" ht="15.5">
      <c r="C33" s="88" t="s">
        <v>12</v>
      </c>
    </row>
    <row r="34" spans="3:12" ht="66.650000000000006" customHeight="1">
      <c r="C34" s="576" t="s">
        <v>13</v>
      </c>
      <c r="D34" s="576"/>
      <c r="E34" s="576"/>
      <c r="F34" s="576"/>
      <c r="G34" s="576"/>
      <c r="H34" s="576"/>
      <c r="I34" s="576"/>
      <c r="J34" s="576"/>
      <c r="K34" s="576"/>
      <c r="L34" s="89"/>
    </row>
    <row r="35" spans="3:12" ht="15.5">
      <c r="C35" s="88" t="s">
        <v>14</v>
      </c>
    </row>
    <row r="36" spans="3:12" ht="69" customHeight="1">
      <c r="C36" s="576" t="s">
        <v>15</v>
      </c>
      <c r="D36" s="576"/>
      <c r="E36" s="576"/>
      <c r="F36" s="576"/>
      <c r="G36" s="576"/>
      <c r="H36" s="576"/>
      <c r="I36" s="576"/>
      <c r="J36" s="576"/>
      <c r="K36" s="576"/>
    </row>
    <row r="37" spans="3:12" ht="15.5">
      <c r="C37" s="88" t="s">
        <v>16</v>
      </c>
    </row>
    <row r="38" spans="3:12" ht="93.75" customHeight="1">
      <c r="C38" s="576" t="s">
        <v>17</v>
      </c>
      <c r="D38" s="576"/>
      <c r="E38" s="576"/>
      <c r="F38" s="576"/>
      <c r="G38" s="576"/>
      <c r="H38" s="576"/>
      <c r="I38" s="576"/>
      <c r="J38" s="576"/>
      <c r="K38" s="576"/>
    </row>
    <row r="39" spans="3:12" ht="15.5">
      <c r="C39" s="88" t="s">
        <v>18</v>
      </c>
    </row>
    <row r="40" spans="3:12" ht="47.15" customHeight="1">
      <c r="C40" s="576" t="s">
        <v>19</v>
      </c>
      <c r="D40" s="576"/>
      <c r="E40" s="576"/>
      <c r="F40" s="576"/>
      <c r="G40" s="576"/>
      <c r="H40" s="576"/>
      <c r="I40" s="576"/>
      <c r="J40" s="576"/>
      <c r="K40" s="576"/>
    </row>
    <row r="41" spans="3:12" ht="15.5">
      <c r="C41" s="88" t="s">
        <v>20</v>
      </c>
    </row>
    <row r="42" spans="3:12" ht="32.5" customHeight="1">
      <c r="C42" s="576" t="s">
        <v>21</v>
      </c>
      <c r="D42" s="576"/>
      <c r="E42" s="576"/>
      <c r="F42" s="576"/>
      <c r="G42" s="576"/>
      <c r="H42" s="576"/>
      <c r="I42" s="576"/>
      <c r="J42" s="576"/>
      <c r="K42" s="576"/>
    </row>
    <row r="43" spans="3:12" ht="15.5">
      <c r="C43" s="88" t="s">
        <v>22</v>
      </c>
    </row>
    <row r="44" spans="3:12" ht="105" customHeight="1">
      <c r="C44" s="576" t="s">
        <v>23</v>
      </c>
      <c r="D44" s="576"/>
      <c r="E44" s="576"/>
      <c r="F44" s="576"/>
      <c r="G44" s="576"/>
      <c r="H44" s="576"/>
      <c r="I44" s="576"/>
      <c r="J44" s="576"/>
      <c r="K44" s="576"/>
    </row>
    <row r="45" spans="3:12" ht="18" customHeight="1">
      <c r="C45" s="216"/>
      <c r="D45" s="216"/>
      <c r="E45" s="216"/>
      <c r="F45" s="216"/>
      <c r="G45" s="216"/>
      <c r="H45" s="216"/>
      <c r="I45" s="216"/>
      <c r="J45" s="216"/>
      <c r="K45" s="216"/>
    </row>
    <row r="46" spans="3:12" ht="18" customHeight="1">
      <c r="C46" s="222" t="s">
        <v>337</v>
      </c>
      <c r="D46" s="216"/>
      <c r="E46" s="216"/>
      <c r="F46" s="216"/>
      <c r="G46" s="216"/>
      <c r="H46" s="216"/>
      <c r="I46" s="216"/>
      <c r="J46" s="216"/>
      <c r="K46" s="216"/>
    </row>
    <row r="47" spans="3:12" ht="18" customHeight="1">
      <c r="C47" s="216"/>
      <c r="D47" s="216"/>
      <c r="E47" s="216"/>
      <c r="F47" s="216"/>
      <c r="G47" s="216"/>
      <c r="H47" s="216"/>
      <c r="I47" s="216"/>
      <c r="J47" s="216"/>
      <c r="K47" s="216"/>
    </row>
    <row r="48" spans="3:12" ht="18" customHeight="1">
      <c r="C48" s="216"/>
      <c r="D48" s="216"/>
      <c r="E48" s="216"/>
      <c r="F48" s="216"/>
      <c r="G48" s="216"/>
      <c r="H48" s="216"/>
      <c r="I48" s="216"/>
      <c r="J48" s="216"/>
      <c r="K48" s="216"/>
    </row>
    <row r="49" spans="3:11" ht="18" customHeight="1">
      <c r="C49" s="216"/>
      <c r="D49" s="216"/>
      <c r="E49" s="216"/>
      <c r="F49" s="216"/>
      <c r="G49" s="216"/>
      <c r="H49" s="216"/>
      <c r="I49" s="216"/>
      <c r="J49" s="216"/>
      <c r="K49" s="216"/>
    </row>
    <row r="50" spans="3:11" ht="18" customHeight="1">
      <c r="C50" s="216"/>
      <c r="D50" s="216"/>
      <c r="E50" s="216"/>
      <c r="F50" s="216"/>
      <c r="G50" s="216"/>
      <c r="H50" s="216"/>
      <c r="I50" s="216"/>
      <c r="J50" s="216"/>
      <c r="K50" s="216"/>
    </row>
    <row r="51" spans="3:11" ht="18" customHeight="1">
      <c r="C51" s="216"/>
      <c r="D51" s="216"/>
      <c r="E51" s="216"/>
      <c r="F51" s="216"/>
      <c r="G51" s="216"/>
      <c r="H51" s="216"/>
      <c r="I51" s="216"/>
      <c r="J51" s="216"/>
      <c r="K51" s="216"/>
    </row>
    <row r="52" spans="3:11" ht="18" customHeight="1">
      <c r="C52" s="216"/>
      <c r="D52" s="216"/>
      <c r="E52" s="216"/>
      <c r="F52" s="216"/>
      <c r="G52" s="216"/>
      <c r="H52" s="216"/>
      <c r="I52" s="216"/>
      <c r="J52" s="216"/>
      <c r="K52" s="216"/>
    </row>
    <row r="53" spans="3:11" ht="18" customHeight="1">
      <c r="C53" s="216"/>
      <c r="D53" s="216"/>
      <c r="E53" s="216"/>
      <c r="F53" s="216"/>
      <c r="G53" s="216"/>
      <c r="H53" s="216"/>
      <c r="I53" s="216"/>
      <c r="J53" s="216"/>
      <c r="K53" s="216"/>
    </row>
    <row r="54" spans="3:11" ht="18" customHeight="1">
      <c r="C54" s="216"/>
      <c r="D54" s="216"/>
      <c r="E54" s="216"/>
      <c r="F54" s="216"/>
      <c r="G54" s="216"/>
      <c r="H54" s="216"/>
      <c r="I54" s="216"/>
      <c r="J54" s="216"/>
      <c r="K54" s="216"/>
    </row>
    <row r="55" spans="3:11" ht="18" customHeight="1">
      <c r="C55" s="216"/>
      <c r="D55" s="216"/>
      <c r="E55" s="216"/>
      <c r="F55" s="216"/>
      <c r="G55" s="216"/>
      <c r="H55" s="216"/>
      <c r="I55" s="216"/>
      <c r="J55" s="216"/>
      <c r="K55" s="216"/>
    </row>
    <row r="56" spans="3:11" ht="18" customHeight="1">
      <c r="C56" s="216"/>
      <c r="D56" s="216"/>
      <c r="E56" s="216"/>
      <c r="F56" s="216"/>
      <c r="G56" s="216"/>
      <c r="H56" s="216"/>
      <c r="I56" s="216"/>
      <c r="J56" s="216"/>
      <c r="K56" s="216"/>
    </row>
    <row r="57" spans="3:11" ht="18" customHeight="1">
      <c r="C57" s="216"/>
      <c r="D57" s="216"/>
      <c r="E57" s="216"/>
      <c r="F57" s="216"/>
      <c r="G57" s="216"/>
      <c r="H57" s="216"/>
      <c r="I57" s="216"/>
      <c r="J57" s="216"/>
      <c r="K57" s="216"/>
    </row>
    <row r="58" spans="3:11" ht="18" customHeight="1">
      <c r="C58" s="216"/>
      <c r="D58" s="216"/>
      <c r="E58" s="216"/>
      <c r="F58" s="216"/>
      <c r="G58" s="216"/>
      <c r="H58" s="216"/>
      <c r="I58" s="216"/>
      <c r="J58" s="216"/>
      <c r="K58" s="216"/>
    </row>
    <row r="59" spans="3:11" ht="18" customHeight="1">
      <c r="C59" s="216"/>
      <c r="D59" s="216"/>
      <c r="E59" s="216"/>
      <c r="F59" s="216"/>
      <c r="G59" s="216"/>
      <c r="H59" s="216"/>
      <c r="I59" s="216"/>
      <c r="J59" s="216"/>
      <c r="K59" s="216"/>
    </row>
    <row r="60" spans="3:11" ht="18" customHeight="1">
      <c r="C60" s="216"/>
      <c r="D60" s="216"/>
      <c r="E60" s="216"/>
      <c r="F60" s="216"/>
      <c r="G60" s="216"/>
      <c r="H60" s="216"/>
      <c r="I60" s="216"/>
      <c r="J60" s="216"/>
      <c r="K60" s="216"/>
    </row>
    <row r="61" spans="3:11" ht="18" customHeight="1">
      <c r="C61" s="216"/>
      <c r="D61" s="216"/>
      <c r="E61" s="216"/>
      <c r="F61" s="216"/>
      <c r="G61" s="216"/>
      <c r="H61" s="216"/>
      <c r="I61" s="216"/>
      <c r="J61" s="216"/>
      <c r="K61" s="216"/>
    </row>
    <row r="62" spans="3:11" ht="18" customHeight="1">
      <c r="C62" s="216"/>
      <c r="D62" s="216"/>
      <c r="E62" s="216"/>
      <c r="F62" s="216"/>
      <c r="G62" s="216"/>
      <c r="H62" s="216"/>
      <c r="I62" s="216"/>
      <c r="J62" s="216"/>
      <c r="K62" s="216"/>
    </row>
    <row r="63" spans="3:11" ht="26.25" customHeight="1">
      <c r="C63" s="88" t="s">
        <v>24</v>
      </c>
      <c r="H63" s="36"/>
      <c r="I63" s="448" t="s">
        <v>25</v>
      </c>
      <c r="J63" s="90"/>
    </row>
    <row r="64" spans="3:11" ht="24.75" customHeight="1"/>
    <row r="65" spans="2:3" ht="11.25" hidden="1" customHeight="1"/>
    <row r="66" spans="2:3" ht="54" hidden="1" customHeight="1">
      <c r="B66" s="37"/>
      <c r="C66" s="38"/>
    </row>
    <row r="67" spans="2:3" ht="18" hidden="1" customHeight="1">
      <c r="C67" s="22"/>
    </row>
  </sheetData>
  <mergeCells count="6">
    <mergeCell ref="C44:K44"/>
    <mergeCell ref="C34:K34"/>
    <mergeCell ref="C36:K36"/>
    <mergeCell ref="C38:K38"/>
    <mergeCell ref="C40:K40"/>
    <mergeCell ref="C42:K42"/>
  </mergeCells>
  <phoneticPr fontId="6" type="noConversion"/>
  <hyperlinks>
    <hyperlink ref="I63" r:id="rId1" xr:uid="{00000000-0004-0000-0200-000000000000}"/>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AF70-9B82-4220-848C-64E4F9F5F31F}">
  <sheetPr>
    <tabColor rgb="FF00B050"/>
  </sheetPr>
  <dimension ref="B2:AB36"/>
  <sheetViews>
    <sheetView showGridLines="0" topLeftCell="F1" zoomScale="60" zoomScaleNormal="60" workbookViewId="0">
      <selection activeCell="AI23" sqref="AI23"/>
    </sheetView>
  </sheetViews>
  <sheetFormatPr defaultColWidth="8.81640625" defaultRowHeight="13.5"/>
  <cols>
    <col min="1" max="1" width="2.81640625" style="403" customWidth="1"/>
    <col min="2" max="2" width="15.54296875" style="404" customWidth="1"/>
    <col min="3" max="3" width="20.54296875" style="405" bestFit="1" customWidth="1"/>
    <col min="4" max="4" width="24.1796875" style="406" customWidth="1"/>
    <col min="5" max="5" width="42.453125" style="406" customWidth="1"/>
    <col min="6" max="6" width="20.81640625" style="406" bestFit="1" customWidth="1"/>
    <col min="7" max="7" width="17.1796875" style="406" bestFit="1" customWidth="1"/>
    <col min="8" max="11" width="10.54296875" style="406" customWidth="1"/>
    <col min="12" max="12" width="15.54296875" style="407" customWidth="1"/>
    <col min="13" max="16" width="10.54296875" style="406" customWidth="1"/>
    <col min="17" max="17" width="15.54296875" style="407" customWidth="1"/>
    <col min="18" max="18" width="17.81640625" style="406" customWidth="1"/>
    <col min="19" max="19" width="12.1796875" style="406" bestFit="1" customWidth="1"/>
    <col min="20" max="21" width="10.54296875" style="406" customWidth="1"/>
    <col min="22" max="22" width="11.54296875" style="406" bestFit="1" customWidth="1"/>
    <col min="23" max="23" width="15.54296875" style="407" customWidth="1"/>
    <col min="24" max="24" width="16.1796875" style="406" customWidth="1"/>
    <col min="25" max="25" width="10" style="406" customWidth="1"/>
    <col min="26" max="27" width="10" style="406" hidden="1" customWidth="1"/>
    <col min="28" max="28" width="15.54296875" style="407" hidden="1" customWidth="1"/>
    <col min="29" max="16384" width="8.81640625" style="403"/>
  </cols>
  <sheetData>
    <row r="2" spans="2:28" ht="32.5" customHeight="1">
      <c r="B2" s="605"/>
      <c r="C2" s="605"/>
      <c r="D2" s="605"/>
      <c r="E2" s="605"/>
      <c r="F2" s="605"/>
      <c r="G2" s="605"/>
      <c r="H2" s="605"/>
      <c r="I2" s="605"/>
      <c r="J2" s="605"/>
      <c r="K2" s="605"/>
      <c r="L2" s="605"/>
      <c r="M2" s="605"/>
      <c r="N2" s="605"/>
      <c r="O2" s="605"/>
      <c r="P2" s="605"/>
      <c r="Q2" s="605"/>
      <c r="R2" s="605"/>
      <c r="S2" s="454"/>
      <c r="T2" s="454"/>
      <c r="U2" s="454"/>
      <c r="V2" s="454"/>
      <c r="W2" s="454"/>
      <c r="X2" s="454"/>
      <c r="Y2" s="454"/>
      <c r="Z2" s="454"/>
      <c r="AA2" s="454"/>
      <c r="AB2" s="454"/>
    </row>
    <row r="3" spans="2:28" ht="17.25" customHeight="1" thickBot="1">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row>
    <row r="4" spans="2:28" ht="23.15" customHeight="1" thickTop="1">
      <c r="B4" s="606" t="s">
        <v>397</v>
      </c>
      <c r="C4" s="606" t="s">
        <v>398</v>
      </c>
      <c r="D4" s="606" t="s">
        <v>399</v>
      </c>
      <c r="E4" s="606" t="s">
        <v>400</v>
      </c>
      <c r="F4" s="606" t="s">
        <v>401</v>
      </c>
      <c r="G4" s="608" t="s">
        <v>402</v>
      </c>
      <c r="H4" s="610" t="s">
        <v>403</v>
      </c>
      <c r="I4" s="611"/>
      <c r="J4" s="611"/>
      <c r="K4" s="612"/>
      <c r="L4" s="431" t="s">
        <v>404</v>
      </c>
      <c r="M4" s="610" t="s">
        <v>403</v>
      </c>
      <c r="N4" s="611"/>
      <c r="O4" s="611"/>
      <c r="P4" s="612"/>
      <c r="Q4" s="431" t="s">
        <v>404</v>
      </c>
      <c r="R4" s="613" t="s">
        <v>405</v>
      </c>
      <c r="S4" s="577" t="s">
        <v>403</v>
      </c>
      <c r="T4" s="578"/>
      <c r="U4" s="578"/>
      <c r="V4" s="507"/>
      <c r="W4" s="431" t="s">
        <v>404</v>
      </c>
      <c r="X4" s="577" t="s">
        <v>403</v>
      </c>
      <c r="Y4" s="578"/>
      <c r="Z4" s="578"/>
      <c r="AA4" s="507"/>
      <c r="AB4" s="431" t="s">
        <v>404</v>
      </c>
    </row>
    <row r="5" spans="2:28" ht="23.15" customHeight="1" thickBot="1">
      <c r="B5" s="607"/>
      <c r="C5" s="607"/>
      <c r="D5" s="607"/>
      <c r="E5" s="607"/>
      <c r="F5" s="607"/>
      <c r="G5" s="609"/>
      <c r="H5" s="432" t="s">
        <v>100</v>
      </c>
      <c r="I5" s="432" t="s">
        <v>101</v>
      </c>
      <c r="J5" s="432" t="s">
        <v>336</v>
      </c>
      <c r="K5" s="432" t="s">
        <v>342</v>
      </c>
      <c r="L5" s="432">
        <v>2022</v>
      </c>
      <c r="M5" s="432" t="s">
        <v>357</v>
      </c>
      <c r="N5" s="432" t="s">
        <v>384</v>
      </c>
      <c r="O5" s="432" t="s">
        <v>395</v>
      </c>
      <c r="P5" s="432" t="s">
        <v>396</v>
      </c>
      <c r="Q5" s="432">
        <v>2023</v>
      </c>
      <c r="R5" s="614"/>
      <c r="S5" s="432" t="s">
        <v>469</v>
      </c>
      <c r="T5" s="432" t="s">
        <v>473</v>
      </c>
      <c r="U5" s="432" t="s">
        <v>478</v>
      </c>
      <c r="V5" s="432" t="s">
        <v>480</v>
      </c>
      <c r="W5" s="432">
        <v>2024</v>
      </c>
      <c r="X5" s="432" t="s">
        <v>518</v>
      </c>
      <c r="Y5" s="432" t="s">
        <v>521</v>
      </c>
      <c r="Z5" s="432" t="s">
        <v>522</v>
      </c>
      <c r="AA5" s="432" t="s">
        <v>523</v>
      </c>
      <c r="AB5" s="432">
        <v>2025</v>
      </c>
    </row>
    <row r="6" spans="2:28" ht="31.5" customHeight="1" thickTop="1">
      <c r="B6" s="585" t="s">
        <v>406</v>
      </c>
      <c r="C6" s="588" t="s">
        <v>407</v>
      </c>
      <c r="D6" s="590" t="s">
        <v>408</v>
      </c>
      <c r="E6" s="520" t="s">
        <v>529</v>
      </c>
      <c r="F6" s="413" t="s">
        <v>445</v>
      </c>
      <c r="G6" s="413" t="s">
        <v>409</v>
      </c>
      <c r="H6" s="413" t="s">
        <v>410</v>
      </c>
      <c r="I6" s="413" t="s">
        <v>410</v>
      </c>
      <c r="J6" s="413" t="s">
        <v>410</v>
      </c>
      <c r="K6" s="413" t="s">
        <v>410</v>
      </c>
      <c r="L6" s="414">
        <v>2.97</v>
      </c>
      <c r="M6" s="413" t="s">
        <v>410</v>
      </c>
      <c r="N6" s="413" t="s">
        <v>410</v>
      </c>
      <c r="O6" s="413" t="s">
        <v>410</v>
      </c>
      <c r="P6" s="413" t="s">
        <v>410</v>
      </c>
      <c r="Q6" s="414">
        <v>2.98</v>
      </c>
      <c r="R6" s="415">
        <f>(Q6-L6)/L6</f>
        <v>3.3670033670032949E-3</v>
      </c>
      <c r="S6" s="413" t="s">
        <v>410</v>
      </c>
      <c r="T6" s="413" t="s">
        <v>410</v>
      </c>
      <c r="U6" s="413" t="s">
        <v>410</v>
      </c>
      <c r="V6" s="508"/>
      <c r="W6" s="509">
        <v>2.97</v>
      </c>
      <c r="X6" s="413" t="s">
        <v>362</v>
      </c>
      <c r="Y6" s="413" t="s">
        <v>362</v>
      </c>
      <c r="Z6" s="413"/>
      <c r="AA6" s="508"/>
      <c r="AB6" s="509"/>
    </row>
    <row r="7" spans="2:28" ht="32.15" customHeight="1">
      <c r="B7" s="585"/>
      <c r="C7" s="589"/>
      <c r="D7" s="591"/>
      <c r="E7" s="520" t="s">
        <v>530</v>
      </c>
      <c r="F7" s="416" t="s">
        <v>374</v>
      </c>
      <c r="G7" s="413" t="s">
        <v>409</v>
      </c>
      <c r="H7" s="417" t="s">
        <v>410</v>
      </c>
      <c r="I7" s="417" t="s">
        <v>410</v>
      </c>
      <c r="J7" s="417" t="s">
        <v>410</v>
      </c>
      <c r="K7" s="417" t="s">
        <v>410</v>
      </c>
      <c r="L7" s="418">
        <v>0.26100000000000001</v>
      </c>
      <c r="M7" s="417" t="s">
        <v>410</v>
      </c>
      <c r="N7" s="417" t="s">
        <v>410</v>
      </c>
      <c r="O7" s="417" t="s">
        <v>410</v>
      </c>
      <c r="P7" s="417" t="s">
        <v>410</v>
      </c>
      <c r="Q7" s="418">
        <v>0.26</v>
      </c>
      <c r="R7" s="415">
        <f>(Q7-L7)/L7</f>
        <v>-3.8314176245210761E-3</v>
      </c>
      <c r="S7" s="417" t="s">
        <v>410</v>
      </c>
      <c r="T7" s="417" t="s">
        <v>410</v>
      </c>
      <c r="U7" s="417" t="s">
        <v>410</v>
      </c>
      <c r="V7" s="510"/>
      <c r="W7" s="511">
        <v>0.26</v>
      </c>
      <c r="X7" s="417" t="s">
        <v>362</v>
      </c>
      <c r="Y7" s="417" t="s">
        <v>362</v>
      </c>
      <c r="Z7" s="417"/>
      <c r="AA7" s="510"/>
      <c r="AB7" s="511"/>
    </row>
    <row r="8" spans="2:28" ht="27" customHeight="1">
      <c r="B8" s="586"/>
      <c r="C8" s="592" t="s">
        <v>411</v>
      </c>
      <c r="D8" s="593" t="s">
        <v>412</v>
      </c>
      <c r="E8" s="409" t="s">
        <v>413</v>
      </c>
      <c r="F8" s="416" t="s">
        <v>374</v>
      </c>
      <c r="G8" s="416" t="s">
        <v>409</v>
      </c>
      <c r="H8" s="416" t="s">
        <v>410</v>
      </c>
      <c r="I8" s="416" t="s">
        <v>410</v>
      </c>
      <c r="J8" s="416" t="s">
        <v>410</v>
      </c>
      <c r="K8" s="416" t="s">
        <v>410</v>
      </c>
      <c r="L8" s="419">
        <v>1</v>
      </c>
      <c r="M8" s="416" t="s">
        <v>410</v>
      </c>
      <c r="N8" s="416" t="s">
        <v>410</v>
      </c>
      <c r="O8" s="416" t="s">
        <v>410</v>
      </c>
      <c r="P8" s="416" t="s">
        <v>410</v>
      </c>
      <c r="Q8" s="420">
        <v>1</v>
      </c>
      <c r="R8" s="415">
        <f>(Q8-L8)/L8</f>
        <v>0</v>
      </c>
      <c r="S8" s="416" t="s">
        <v>410</v>
      </c>
      <c r="T8" s="416" t="s">
        <v>410</v>
      </c>
      <c r="U8" s="416" t="s">
        <v>410</v>
      </c>
      <c r="V8" s="512" t="s">
        <v>362</v>
      </c>
      <c r="W8" s="420">
        <v>1</v>
      </c>
      <c r="X8" s="416" t="s">
        <v>362</v>
      </c>
      <c r="Y8" s="416" t="s">
        <v>362</v>
      </c>
      <c r="Z8" s="416"/>
      <c r="AA8" s="512"/>
      <c r="AB8" s="420"/>
    </row>
    <row r="9" spans="2:28" ht="27" customHeight="1">
      <c r="B9" s="586"/>
      <c r="C9" s="588"/>
      <c r="D9" s="594"/>
      <c r="E9" s="409" t="s">
        <v>414</v>
      </c>
      <c r="F9" s="416" t="s">
        <v>415</v>
      </c>
      <c r="G9" s="416" t="s">
        <v>416</v>
      </c>
      <c r="H9" s="421">
        <v>1429.9</v>
      </c>
      <c r="I9" s="421">
        <v>1429.9</v>
      </c>
      <c r="J9" s="421">
        <v>1429.9</v>
      </c>
      <c r="K9" s="421">
        <v>1429.9</v>
      </c>
      <c r="L9" s="422">
        <v>1429.9</v>
      </c>
      <c r="M9" s="421">
        <v>1439.6</v>
      </c>
      <c r="N9" s="421">
        <v>1444.5</v>
      </c>
      <c r="O9" s="421">
        <v>1444.5</v>
      </c>
      <c r="P9" s="421">
        <v>1451</v>
      </c>
      <c r="Q9" s="422">
        <v>1444.9</v>
      </c>
      <c r="R9" s="415">
        <f>(Q9-L9)/L9</f>
        <v>1.0490244073012097E-2</v>
      </c>
      <c r="S9" s="421" t="s">
        <v>470</v>
      </c>
      <c r="T9" s="421" t="s">
        <v>470</v>
      </c>
      <c r="U9" s="421" t="s">
        <v>470</v>
      </c>
      <c r="V9" s="421" t="s">
        <v>470</v>
      </c>
      <c r="W9" s="422" t="s">
        <v>470</v>
      </c>
      <c r="X9" s="421" t="s">
        <v>470</v>
      </c>
      <c r="Y9" s="421" t="s">
        <v>470</v>
      </c>
      <c r="Z9" s="421"/>
      <c r="AA9" s="421"/>
      <c r="AB9" s="422"/>
    </row>
    <row r="10" spans="2:28" ht="27" customHeight="1">
      <c r="B10" s="586"/>
      <c r="C10" s="588"/>
      <c r="D10" s="591"/>
      <c r="E10" s="409" t="s">
        <v>417</v>
      </c>
      <c r="F10" s="416" t="s">
        <v>415</v>
      </c>
      <c r="G10" s="416" t="s">
        <v>416</v>
      </c>
      <c r="H10" s="416">
        <v>0</v>
      </c>
      <c r="I10" s="416">
        <v>0</v>
      </c>
      <c r="J10" s="416">
        <v>0</v>
      </c>
      <c r="K10" s="416">
        <v>0</v>
      </c>
      <c r="L10" s="423">
        <v>0</v>
      </c>
      <c r="M10" s="416">
        <v>152.4</v>
      </c>
      <c r="N10" s="416">
        <v>168.2</v>
      </c>
      <c r="O10" s="416">
        <v>168.2</v>
      </c>
      <c r="P10" s="416">
        <v>168.2</v>
      </c>
      <c r="Q10" s="423">
        <v>164.2</v>
      </c>
      <c r="R10" s="415" t="s">
        <v>418</v>
      </c>
      <c r="S10" s="416">
        <v>168.2</v>
      </c>
      <c r="T10" s="416">
        <v>168.2</v>
      </c>
      <c r="U10" s="416">
        <v>168.2</v>
      </c>
      <c r="V10" s="416">
        <v>168.2</v>
      </c>
      <c r="W10" s="423">
        <v>168.2</v>
      </c>
      <c r="X10" s="416">
        <v>168.2</v>
      </c>
      <c r="Y10" s="416">
        <v>169.2</v>
      </c>
      <c r="Z10" s="416"/>
      <c r="AA10" s="416"/>
      <c r="AB10" s="423"/>
    </row>
    <row r="11" spans="2:28" ht="28">
      <c r="B11" s="586"/>
      <c r="C11" s="592" t="s">
        <v>337</v>
      </c>
      <c r="D11" s="593" t="s">
        <v>419</v>
      </c>
      <c r="E11" s="409" t="s">
        <v>496</v>
      </c>
      <c r="F11" s="416" t="s">
        <v>374</v>
      </c>
      <c r="G11" s="416" t="s">
        <v>409</v>
      </c>
      <c r="H11" s="413" t="s">
        <v>410</v>
      </c>
      <c r="I11" s="413" t="s">
        <v>410</v>
      </c>
      <c r="J11" s="413" t="s">
        <v>410</v>
      </c>
      <c r="K11" s="413" t="s">
        <v>410</v>
      </c>
      <c r="L11" s="420">
        <v>0.65100000000000002</v>
      </c>
      <c r="M11" s="413" t="s">
        <v>410</v>
      </c>
      <c r="N11" s="413" t="s">
        <v>410</v>
      </c>
      <c r="O11" s="413" t="s">
        <v>410</v>
      </c>
      <c r="P11" s="413" t="s">
        <v>410</v>
      </c>
      <c r="Q11" s="420">
        <v>0.66900000000000004</v>
      </c>
      <c r="R11" s="415">
        <f>(Q11-L11)/L11</f>
        <v>2.7649769585253479E-2</v>
      </c>
      <c r="S11" s="413" t="s">
        <v>410</v>
      </c>
      <c r="T11" s="413" t="s">
        <v>410</v>
      </c>
      <c r="U11" s="413" t="s">
        <v>410</v>
      </c>
      <c r="V11" s="513" t="s">
        <v>362</v>
      </c>
      <c r="W11" s="420">
        <v>0.66700000000000004</v>
      </c>
      <c r="X11" s="413" t="s">
        <v>362</v>
      </c>
      <c r="Y11" s="413" t="s">
        <v>362</v>
      </c>
      <c r="Z11" s="413"/>
      <c r="AA11" s="513"/>
      <c r="AB11" s="420"/>
    </row>
    <row r="12" spans="2:28" ht="63" customHeight="1">
      <c r="B12" s="586"/>
      <c r="C12" s="588"/>
      <c r="D12" s="594"/>
      <c r="E12" s="409" t="s">
        <v>497</v>
      </c>
      <c r="F12" s="416" t="s">
        <v>374</v>
      </c>
      <c r="G12" s="416" t="s">
        <v>409</v>
      </c>
      <c r="H12" s="413" t="s">
        <v>410</v>
      </c>
      <c r="I12" s="413" t="s">
        <v>410</v>
      </c>
      <c r="J12" s="413" t="s">
        <v>410</v>
      </c>
      <c r="K12" s="413" t="s">
        <v>410</v>
      </c>
      <c r="L12" s="420">
        <v>0.20699999999999999</v>
      </c>
      <c r="M12" s="413" t="s">
        <v>410</v>
      </c>
      <c r="N12" s="413" t="s">
        <v>410</v>
      </c>
      <c r="O12" s="413" t="s">
        <v>410</v>
      </c>
      <c r="P12" s="413" t="s">
        <v>410</v>
      </c>
      <c r="Q12" s="420">
        <v>0.16</v>
      </c>
      <c r="R12" s="415">
        <f>(Q12-L12)/L12</f>
        <v>-0.22705314009661831</v>
      </c>
      <c r="S12" s="413" t="s">
        <v>410</v>
      </c>
      <c r="T12" s="413" t="s">
        <v>410</v>
      </c>
      <c r="U12" s="413" t="s">
        <v>410</v>
      </c>
      <c r="V12" s="513" t="s">
        <v>362</v>
      </c>
      <c r="W12" s="420">
        <v>0.28999999999999998</v>
      </c>
      <c r="X12" s="413" t="s">
        <v>362</v>
      </c>
      <c r="Y12" s="413" t="s">
        <v>362</v>
      </c>
      <c r="Z12" s="413"/>
      <c r="AA12" s="513"/>
      <c r="AB12" s="420"/>
    </row>
    <row r="13" spans="2:28" ht="42">
      <c r="B13" s="586"/>
      <c r="C13" s="588"/>
      <c r="D13" s="591"/>
      <c r="E13" s="409" t="s">
        <v>498</v>
      </c>
      <c r="F13" s="416" t="s">
        <v>374</v>
      </c>
      <c r="G13" s="416" t="s">
        <v>409</v>
      </c>
      <c r="H13" s="413" t="s">
        <v>410</v>
      </c>
      <c r="I13" s="413" t="s">
        <v>410</v>
      </c>
      <c r="J13" s="413" t="s">
        <v>410</v>
      </c>
      <c r="K13" s="413" t="s">
        <v>410</v>
      </c>
      <c r="L13" s="419">
        <v>0.91</v>
      </c>
      <c r="M13" s="413" t="s">
        <v>410</v>
      </c>
      <c r="N13" s="413" t="s">
        <v>410</v>
      </c>
      <c r="O13" s="413" t="s">
        <v>410</v>
      </c>
      <c r="P13" s="413" t="s">
        <v>410</v>
      </c>
      <c r="Q13" s="420">
        <v>0.93400000000000005</v>
      </c>
      <c r="R13" s="415">
        <f>(Q13-L13)/L13</f>
        <v>2.6373626373626394E-2</v>
      </c>
      <c r="S13" s="413" t="s">
        <v>410</v>
      </c>
      <c r="T13" s="413" t="s">
        <v>410</v>
      </c>
      <c r="U13" s="413" t="s">
        <v>410</v>
      </c>
      <c r="V13" s="513" t="s">
        <v>362</v>
      </c>
      <c r="W13" s="420">
        <v>0.93799999999999994</v>
      </c>
      <c r="X13" s="413" t="s">
        <v>362</v>
      </c>
      <c r="Y13" s="413" t="s">
        <v>362</v>
      </c>
      <c r="Z13" s="413"/>
      <c r="AA13" s="513"/>
      <c r="AB13" s="420"/>
    </row>
    <row r="14" spans="2:28" ht="42">
      <c r="B14" s="586"/>
      <c r="C14" s="589"/>
      <c r="D14" s="409" t="s">
        <v>420</v>
      </c>
      <c r="E14" s="409" t="s">
        <v>421</v>
      </c>
      <c r="F14" s="416" t="s">
        <v>422</v>
      </c>
      <c r="G14" s="416" t="s">
        <v>416</v>
      </c>
      <c r="H14" s="424">
        <v>0</v>
      </c>
      <c r="I14" s="424">
        <v>0</v>
      </c>
      <c r="J14" s="424">
        <v>0</v>
      </c>
      <c r="K14" s="424">
        <v>0</v>
      </c>
      <c r="L14" s="425">
        <v>0</v>
      </c>
      <c r="M14" s="426">
        <v>0</v>
      </c>
      <c r="N14" s="426">
        <v>13.53</v>
      </c>
      <c r="O14" s="426">
        <v>180.95500000000001</v>
      </c>
      <c r="P14" s="426">
        <v>81.14</v>
      </c>
      <c r="Q14" s="427">
        <v>275.63</v>
      </c>
      <c r="R14" s="415" t="s">
        <v>418</v>
      </c>
      <c r="S14" s="460">
        <v>194360</v>
      </c>
      <c r="T14" s="460">
        <v>95870</v>
      </c>
      <c r="U14" s="460">
        <v>35200</v>
      </c>
      <c r="V14" s="460">
        <v>159250</v>
      </c>
      <c r="W14" s="514">
        <v>484680</v>
      </c>
      <c r="X14" s="533">
        <v>0</v>
      </c>
      <c r="Y14" s="533">
        <v>0</v>
      </c>
      <c r="Z14" s="460"/>
      <c r="AA14" s="460"/>
      <c r="AB14" s="514"/>
    </row>
    <row r="15" spans="2:28" ht="39.65" customHeight="1" thickBot="1">
      <c r="B15" s="587"/>
      <c r="C15" s="434" t="s">
        <v>423</v>
      </c>
      <c r="D15" s="435" t="s">
        <v>424</v>
      </c>
      <c r="E15" s="435" t="s">
        <v>499</v>
      </c>
      <c r="F15" s="436" t="s">
        <v>446</v>
      </c>
      <c r="G15" s="436" t="s">
        <v>416</v>
      </c>
      <c r="H15" s="437">
        <v>6.32</v>
      </c>
      <c r="I15" s="437">
        <v>6</v>
      </c>
      <c r="J15" s="437">
        <v>6.71</v>
      </c>
      <c r="K15" s="437">
        <v>6.28</v>
      </c>
      <c r="L15" s="438">
        <v>6.28</v>
      </c>
      <c r="M15" s="437">
        <v>6.6</v>
      </c>
      <c r="N15" s="437">
        <v>5.0999999999999996</v>
      </c>
      <c r="O15" s="437">
        <v>5.83</v>
      </c>
      <c r="P15" s="437">
        <v>5.87</v>
      </c>
      <c r="Q15" s="438">
        <v>5.87</v>
      </c>
      <c r="R15" s="439">
        <f t="shared" ref="R15:R24" si="0">(Q15-L15)/L15</f>
        <v>-6.5286624203821669E-2</v>
      </c>
      <c r="S15" s="437">
        <v>4.63</v>
      </c>
      <c r="T15" s="437">
        <v>5.33</v>
      </c>
      <c r="U15" s="437">
        <v>4.82</v>
      </c>
      <c r="V15" s="437">
        <v>4.67</v>
      </c>
      <c r="W15" s="438">
        <v>5.08</v>
      </c>
      <c r="X15" s="437">
        <v>7.4</v>
      </c>
      <c r="Y15" s="437">
        <v>7.2</v>
      </c>
      <c r="Z15" s="437"/>
      <c r="AA15" s="437"/>
      <c r="AB15" s="438"/>
    </row>
    <row r="16" spans="2:28" ht="33" customHeight="1" thickTop="1">
      <c r="B16" s="600" t="s">
        <v>425</v>
      </c>
      <c r="C16" s="589" t="s">
        <v>426</v>
      </c>
      <c r="D16" s="603" t="s">
        <v>427</v>
      </c>
      <c r="E16" s="412" t="s">
        <v>428</v>
      </c>
      <c r="F16" s="413" t="s">
        <v>374</v>
      </c>
      <c r="G16" s="413" t="s">
        <v>416</v>
      </c>
      <c r="H16" s="433">
        <v>0.17599999999999999</v>
      </c>
      <c r="I16" s="433">
        <v>0.182</v>
      </c>
      <c r="J16" s="433">
        <v>0.189</v>
      </c>
      <c r="K16" s="433">
        <v>0.20399999999999999</v>
      </c>
      <c r="L16" s="418">
        <v>0.20399999999999999</v>
      </c>
      <c r="M16" s="433">
        <v>0.20300000000000001</v>
      </c>
      <c r="N16" s="433">
        <v>0.215</v>
      </c>
      <c r="O16" s="433">
        <v>0.21099999999999999</v>
      </c>
      <c r="P16" s="433">
        <v>0.215</v>
      </c>
      <c r="Q16" s="418">
        <v>0.215</v>
      </c>
      <c r="R16" s="415">
        <f t="shared" si="0"/>
        <v>5.3921568627451032E-2</v>
      </c>
      <c r="S16" s="433">
        <v>0.22600000000000001</v>
      </c>
      <c r="T16" s="433">
        <v>0.223</v>
      </c>
      <c r="U16" s="433">
        <v>0.217</v>
      </c>
      <c r="V16" s="433">
        <v>0.221</v>
      </c>
      <c r="W16" s="418">
        <v>0.221</v>
      </c>
      <c r="X16" s="433"/>
      <c r="Y16" s="433">
        <v>0.222</v>
      </c>
      <c r="Z16" s="433"/>
      <c r="AA16" s="433"/>
      <c r="AB16" s="418"/>
    </row>
    <row r="17" spans="2:28" ht="33" customHeight="1">
      <c r="B17" s="601"/>
      <c r="C17" s="598"/>
      <c r="D17" s="604"/>
      <c r="E17" s="409" t="s">
        <v>429</v>
      </c>
      <c r="F17" s="416" t="s">
        <v>374</v>
      </c>
      <c r="G17" s="416" t="s">
        <v>416</v>
      </c>
      <c r="H17" s="428">
        <v>0.153</v>
      </c>
      <c r="I17" s="428">
        <v>0.16300000000000001</v>
      </c>
      <c r="J17" s="428">
        <v>0.16600000000000001</v>
      </c>
      <c r="K17" s="428">
        <v>0.17</v>
      </c>
      <c r="L17" s="420">
        <v>0.17</v>
      </c>
      <c r="M17" s="428">
        <v>0.17299999999999999</v>
      </c>
      <c r="N17" s="428">
        <v>0.17199999999999999</v>
      </c>
      <c r="O17" s="428">
        <v>0.16800000000000001</v>
      </c>
      <c r="P17" s="428">
        <v>0.17299999999999999</v>
      </c>
      <c r="Q17" s="420">
        <v>0.17299999999999999</v>
      </c>
      <c r="R17" s="415">
        <f t="shared" si="0"/>
        <v>1.7647058823529262E-2</v>
      </c>
      <c r="S17" s="428">
        <v>0.17199999999999999</v>
      </c>
      <c r="T17" s="428">
        <v>0.17599999999999999</v>
      </c>
      <c r="U17" s="428">
        <v>0.186</v>
      </c>
      <c r="V17" s="428">
        <v>0.189</v>
      </c>
      <c r="W17" s="420">
        <v>0.189</v>
      </c>
      <c r="X17" s="428"/>
      <c r="Y17" s="428">
        <v>0.189</v>
      </c>
      <c r="Z17" s="428"/>
      <c r="AA17" s="428"/>
      <c r="AB17" s="420"/>
    </row>
    <row r="18" spans="2:28" ht="33" customHeight="1">
      <c r="B18" s="601"/>
      <c r="C18" s="598"/>
      <c r="D18" s="599" t="s">
        <v>430</v>
      </c>
      <c r="E18" s="409" t="s">
        <v>502</v>
      </c>
      <c r="F18" s="416" t="s">
        <v>431</v>
      </c>
      <c r="G18" s="416" t="s">
        <v>416</v>
      </c>
      <c r="H18" s="429">
        <v>2</v>
      </c>
      <c r="I18" s="429">
        <v>1</v>
      </c>
      <c r="J18" s="429">
        <v>0</v>
      </c>
      <c r="K18" s="429">
        <v>1</v>
      </c>
      <c r="L18" s="423">
        <f>SUM(H18:K18)</f>
        <v>4</v>
      </c>
      <c r="M18" s="429">
        <v>0</v>
      </c>
      <c r="N18" s="429">
        <v>0</v>
      </c>
      <c r="O18" s="429">
        <v>0</v>
      </c>
      <c r="P18" s="429">
        <v>1</v>
      </c>
      <c r="Q18" s="423">
        <v>1</v>
      </c>
      <c r="R18" s="415">
        <f t="shared" si="0"/>
        <v>-0.75</v>
      </c>
      <c r="S18" s="429">
        <v>1</v>
      </c>
      <c r="T18" s="429">
        <v>1</v>
      </c>
      <c r="U18" s="429">
        <v>0</v>
      </c>
      <c r="V18" s="429">
        <v>1</v>
      </c>
      <c r="W18" s="423">
        <v>3</v>
      </c>
      <c r="X18" s="429">
        <v>0</v>
      </c>
      <c r="Y18" s="429">
        <v>1</v>
      </c>
      <c r="Z18" s="429"/>
      <c r="AA18" s="429"/>
      <c r="AB18" s="423"/>
    </row>
    <row r="19" spans="2:28" ht="33" customHeight="1">
      <c r="B19" s="601"/>
      <c r="C19" s="598"/>
      <c r="D19" s="599"/>
      <c r="E19" s="409" t="s">
        <v>503</v>
      </c>
      <c r="F19" s="416" t="s">
        <v>432</v>
      </c>
      <c r="G19" s="416" t="s">
        <v>416</v>
      </c>
      <c r="H19" s="416">
        <v>1.87</v>
      </c>
      <c r="I19" s="416">
        <v>2.5499999999999998</v>
      </c>
      <c r="J19" s="416">
        <v>2.27</v>
      </c>
      <c r="K19" s="416">
        <v>2.2599999999999998</v>
      </c>
      <c r="L19" s="423">
        <v>2.2599999999999998</v>
      </c>
      <c r="M19" s="416">
        <v>1.98</v>
      </c>
      <c r="N19" s="416">
        <v>1.47</v>
      </c>
      <c r="O19" s="416">
        <v>1.65</v>
      </c>
      <c r="P19" s="416">
        <v>1.76</v>
      </c>
      <c r="Q19" s="423">
        <v>1.76</v>
      </c>
      <c r="R19" s="415">
        <f t="shared" si="0"/>
        <v>-0.22123893805309727</v>
      </c>
      <c r="S19" s="416">
        <v>1.8</v>
      </c>
      <c r="T19" s="416">
        <v>1.93</v>
      </c>
      <c r="U19" s="416">
        <v>1.77</v>
      </c>
      <c r="V19" s="416">
        <v>1.6</v>
      </c>
      <c r="W19" s="423">
        <v>1.6</v>
      </c>
      <c r="X19" s="416">
        <v>1.88</v>
      </c>
      <c r="Y19" s="416">
        <v>1.97</v>
      </c>
      <c r="Z19" s="416"/>
      <c r="AA19" s="416"/>
      <c r="AB19" s="423"/>
    </row>
    <row r="20" spans="2:28" ht="48" customHeight="1" thickBot="1">
      <c r="B20" s="602"/>
      <c r="C20" s="434" t="s">
        <v>433</v>
      </c>
      <c r="D20" s="435" t="s">
        <v>433</v>
      </c>
      <c r="E20" s="435" t="s">
        <v>504</v>
      </c>
      <c r="F20" s="436" t="s">
        <v>374</v>
      </c>
      <c r="G20" s="436" t="s">
        <v>416</v>
      </c>
      <c r="H20" s="441">
        <v>1</v>
      </c>
      <c r="I20" s="441">
        <v>0.98819999999999997</v>
      </c>
      <c r="J20" s="441">
        <v>1.01</v>
      </c>
      <c r="K20" s="441">
        <v>1.1241000000000001</v>
      </c>
      <c r="L20" s="442">
        <v>1.1240000000000001</v>
      </c>
      <c r="M20" s="441">
        <v>0.96950000000000003</v>
      </c>
      <c r="N20" s="441">
        <v>0.98480000000000001</v>
      </c>
      <c r="O20" s="441">
        <v>1.0066999999999999</v>
      </c>
      <c r="P20" s="441">
        <v>1.1162000000000001</v>
      </c>
      <c r="Q20" s="443">
        <f>P20</f>
        <v>1.1162000000000001</v>
      </c>
      <c r="R20" s="439">
        <f t="shared" si="0"/>
        <v>-6.9395017793594561E-3</v>
      </c>
      <c r="S20" s="441">
        <v>0.98</v>
      </c>
      <c r="T20" s="441">
        <v>0.98699999999999999</v>
      </c>
      <c r="U20" s="441">
        <v>0.98299999999999998</v>
      </c>
      <c r="V20" s="441">
        <v>1.129</v>
      </c>
      <c r="W20" s="443">
        <v>1.129</v>
      </c>
      <c r="X20" s="441" t="s">
        <v>418</v>
      </c>
      <c r="Y20" s="562">
        <v>0.996</v>
      </c>
      <c r="Z20" s="441"/>
      <c r="AA20" s="441"/>
      <c r="AB20" s="443"/>
    </row>
    <row r="21" spans="2:28" ht="26.15" customHeight="1" thickTop="1">
      <c r="B21" s="595" t="s">
        <v>434</v>
      </c>
      <c r="C21" s="589" t="s">
        <v>447</v>
      </c>
      <c r="D21" s="591" t="s">
        <v>435</v>
      </c>
      <c r="E21" s="412" t="s">
        <v>436</v>
      </c>
      <c r="F21" s="413" t="s">
        <v>374</v>
      </c>
      <c r="G21" s="413" t="s">
        <v>409</v>
      </c>
      <c r="H21" s="413" t="s">
        <v>410</v>
      </c>
      <c r="I21" s="413" t="s">
        <v>410</v>
      </c>
      <c r="J21" s="413" t="s">
        <v>410</v>
      </c>
      <c r="K21" s="413" t="s">
        <v>410</v>
      </c>
      <c r="L21" s="418">
        <v>0.753</v>
      </c>
      <c r="M21" s="413" t="s">
        <v>410</v>
      </c>
      <c r="N21" s="413" t="s">
        <v>410</v>
      </c>
      <c r="O21" s="413" t="s">
        <v>410</v>
      </c>
      <c r="P21" s="413" t="s">
        <v>410</v>
      </c>
      <c r="Q21" s="440">
        <v>0.97</v>
      </c>
      <c r="R21" s="415">
        <f t="shared" si="0"/>
        <v>0.2881806108897742</v>
      </c>
      <c r="S21" s="413" t="s">
        <v>410</v>
      </c>
      <c r="T21" s="413" t="s">
        <v>410</v>
      </c>
      <c r="U21" s="413" t="s">
        <v>410</v>
      </c>
      <c r="V21" s="513" t="s">
        <v>362</v>
      </c>
      <c r="W21" s="440">
        <v>1</v>
      </c>
      <c r="X21" s="413" t="s">
        <v>362</v>
      </c>
      <c r="Y21" s="413" t="s">
        <v>362</v>
      </c>
      <c r="Z21" s="413"/>
      <c r="AA21" s="513"/>
      <c r="AB21" s="440"/>
    </row>
    <row r="22" spans="2:28" ht="26.15" customHeight="1">
      <c r="B22" s="596"/>
      <c r="C22" s="598"/>
      <c r="D22" s="599"/>
      <c r="E22" s="409" t="s">
        <v>500</v>
      </c>
      <c r="F22" s="416" t="s">
        <v>437</v>
      </c>
      <c r="G22" s="416" t="s">
        <v>409</v>
      </c>
      <c r="H22" s="416" t="s">
        <v>410</v>
      </c>
      <c r="I22" s="416" t="s">
        <v>410</v>
      </c>
      <c r="J22" s="416" t="s">
        <v>410</v>
      </c>
      <c r="K22" s="416" t="s">
        <v>410</v>
      </c>
      <c r="L22" s="419">
        <f>515644246/5764506306</f>
        <v>8.9451588501740467E-2</v>
      </c>
      <c r="M22" s="416" t="s">
        <v>410</v>
      </c>
      <c r="N22" s="416" t="s">
        <v>410</v>
      </c>
      <c r="O22" s="416" t="s">
        <v>410</v>
      </c>
      <c r="P22" s="416" t="s">
        <v>410</v>
      </c>
      <c r="Q22" s="419">
        <f>439497975/5740470618</f>
        <v>7.6561314262614005E-2</v>
      </c>
      <c r="R22" s="415">
        <f t="shared" si="0"/>
        <v>-0.14410335752590525</v>
      </c>
      <c r="S22" s="416" t="s">
        <v>410</v>
      </c>
      <c r="T22" s="416" t="s">
        <v>410</v>
      </c>
      <c r="U22" s="416" t="s">
        <v>410</v>
      </c>
      <c r="V22" s="512" t="s">
        <v>362</v>
      </c>
      <c r="W22" s="419">
        <v>0.16</v>
      </c>
      <c r="X22" s="416" t="s">
        <v>362</v>
      </c>
      <c r="Y22" s="416" t="s">
        <v>362</v>
      </c>
      <c r="Z22" s="416"/>
      <c r="AA22" s="512"/>
      <c r="AB22" s="419"/>
    </row>
    <row r="23" spans="2:28" ht="26.15" customHeight="1">
      <c r="B23" s="596"/>
      <c r="C23" s="598"/>
      <c r="D23" s="599"/>
      <c r="E23" s="409" t="s">
        <v>501</v>
      </c>
      <c r="F23" s="416" t="s">
        <v>374</v>
      </c>
      <c r="G23" s="416" t="s">
        <v>409</v>
      </c>
      <c r="H23" s="416" t="s">
        <v>410</v>
      </c>
      <c r="I23" s="416" t="s">
        <v>410</v>
      </c>
      <c r="J23" s="416" t="s">
        <v>410</v>
      </c>
      <c r="K23" s="416" t="s">
        <v>410</v>
      </c>
      <c r="L23" s="419">
        <v>0.08</v>
      </c>
      <c r="M23" s="416" t="s">
        <v>410</v>
      </c>
      <c r="N23" s="416" t="s">
        <v>410</v>
      </c>
      <c r="O23" s="416" t="s">
        <v>410</v>
      </c>
      <c r="P23" s="416" t="s">
        <v>410</v>
      </c>
      <c r="Q23" s="419">
        <v>0.08</v>
      </c>
      <c r="R23" s="415">
        <f t="shared" si="0"/>
        <v>0</v>
      </c>
      <c r="S23" s="416" t="s">
        <v>410</v>
      </c>
      <c r="T23" s="416" t="s">
        <v>410</v>
      </c>
      <c r="U23" s="416" t="s">
        <v>410</v>
      </c>
      <c r="V23" s="512" t="s">
        <v>362</v>
      </c>
      <c r="W23" s="419">
        <v>0.08</v>
      </c>
      <c r="X23" s="416" t="s">
        <v>362</v>
      </c>
      <c r="Y23" s="416" t="s">
        <v>362</v>
      </c>
      <c r="Z23" s="416"/>
      <c r="AA23" s="512"/>
      <c r="AB23" s="419"/>
    </row>
    <row r="24" spans="2:28" ht="26.15" customHeight="1">
      <c r="B24" s="596"/>
      <c r="C24" s="598"/>
      <c r="D24" s="599" t="s">
        <v>438</v>
      </c>
      <c r="E24" s="521" t="s">
        <v>531</v>
      </c>
      <c r="F24" s="416" t="s">
        <v>445</v>
      </c>
      <c r="G24" s="416" t="s">
        <v>409</v>
      </c>
      <c r="H24" s="416" t="s">
        <v>410</v>
      </c>
      <c r="I24" s="416" t="s">
        <v>410</v>
      </c>
      <c r="J24" s="416" t="s">
        <v>410</v>
      </c>
      <c r="K24" s="416" t="s">
        <v>410</v>
      </c>
      <c r="L24" s="423">
        <v>2.19</v>
      </c>
      <c r="M24" s="416" t="s">
        <v>410</v>
      </c>
      <c r="N24" s="416" t="s">
        <v>410</v>
      </c>
      <c r="O24" s="416" t="s">
        <v>410</v>
      </c>
      <c r="P24" s="416" t="s">
        <v>410</v>
      </c>
      <c r="Q24" s="423">
        <v>2.2799999999999998</v>
      </c>
      <c r="R24" s="415">
        <f t="shared" si="0"/>
        <v>4.1095890410958839E-2</v>
      </c>
      <c r="S24" s="416" t="s">
        <v>410</v>
      </c>
      <c r="T24" s="416" t="s">
        <v>410</v>
      </c>
      <c r="U24" s="416" t="s">
        <v>410</v>
      </c>
      <c r="V24" s="515" t="s">
        <v>362</v>
      </c>
      <c r="W24" s="516">
        <v>2.88</v>
      </c>
      <c r="X24" s="416" t="s">
        <v>362</v>
      </c>
      <c r="Y24" s="416" t="s">
        <v>362</v>
      </c>
      <c r="Z24" s="416"/>
      <c r="AA24" s="515"/>
      <c r="AB24" s="516"/>
    </row>
    <row r="25" spans="2:28" ht="26.15" customHeight="1">
      <c r="B25" s="596"/>
      <c r="C25" s="598"/>
      <c r="D25" s="599"/>
      <c r="E25" s="521" t="s">
        <v>439</v>
      </c>
      <c r="F25" s="416" t="s">
        <v>431</v>
      </c>
      <c r="G25" s="416" t="s">
        <v>416</v>
      </c>
      <c r="H25" s="416">
        <v>0</v>
      </c>
      <c r="I25" s="416">
        <v>0</v>
      </c>
      <c r="J25" s="416">
        <v>0</v>
      </c>
      <c r="K25" s="416">
        <v>0</v>
      </c>
      <c r="L25" s="423">
        <v>0</v>
      </c>
      <c r="M25" s="416">
        <v>0</v>
      </c>
      <c r="N25" s="416">
        <v>2</v>
      </c>
      <c r="O25" s="416">
        <v>2</v>
      </c>
      <c r="P25" s="416">
        <v>1</v>
      </c>
      <c r="Q25" s="423">
        <v>5</v>
      </c>
      <c r="R25" s="415" t="s">
        <v>418</v>
      </c>
      <c r="S25" s="416">
        <v>5</v>
      </c>
      <c r="T25" s="416">
        <v>6</v>
      </c>
      <c r="U25" s="416">
        <v>9</v>
      </c>
      <c r="V25" s="517">
        <v>11</v>
      </c>
      <c r="W25" s="516">
        <v>11</v>
      </c>
      <c r="X25" s="416">
        <v>11</v>
      </c>
      <c r="Y25" s="416">
        <v>12</v>
      </c>
      <c r="Z25" s="416"/>
      <c r="AA25" s="517"/>
      <c r="AB25" s="516"/>
    </row>
    <row r="26" spans="2:28" ht="48" customHeight="1">
      <c r="B26" s="596"/>
      <c r="C26" s="411" t="s">
        <v>440</v>
      </c>
      <c r="D26" s="409" t="s">
        <v>440</v>
      </c>
      <c r="E26" s="409" t="s">
        <v>505</v>
      </c>
      <c r="F26" s="416" t="s">
        <v>431</v>
      </c>
      <c r="G26" s="416" t="s">
        <v>409</v>
      </c>
      <c r="H26" s="416" t="s">
        <v>410</v>
      </c>
      <c r="I26" s="416" t="s">
        <v>410</v>
      </c>
      <c r="J26" s="416" t="s">
        <v>410</v>
      </c>
      <c r="K26" s="416" t="s">
        <v>410</v>
      </c>
      <c r="L26" s="423">
        <v>3.3</v>
      </c>
      <c r="M26" s="416" t="s">
        <v>410</v>
      </c>
      <c r="N26" s="416" t="s">
        <v>410</v>
      </c>
      <c r="O26" s="416" t="s">
        <v>410</v>
      </c>
      <c r="P26" s="416" t="s">
        <v>410</v>
      </c>
      <c r="Q26" s="423">
        <v>3.3</v>
      </c>
      <c r="R26" s="415">
        <f>(Q26-L26)/L26</f>
        <v>0</v>
      </c>
      <c r="S26" s="416" t="s">
        <v>410</v>
      </c>
      <c r="T26" s="416" t="s">
        <v>410</v>
      </c>
      <c r="U26" s="416" t="s">
        <v>410</v>
      </c>
      <c r="V26" s="512" t="s">
        <v>362</v>
      </c>
      <c r="W26" s="423">
        <v>3.81</v>
      </c>
      <c r="X26" s="416" t="s">
        <v>362</v>
      </c>
      <c r="Y26" s="416" t="s">
        <v>362</v>
      </c>
      <c r="Z26" s="416"/>
      <c r="AA26" s="512"/>
      <c r="AB26" s="423"/>
    </row>
    <row r="27" spans="2:28" ht="26.15" customHeight="1">
      <c r="B27" s="596"/>
      <c r="C27" s="581" t="s">
        <v>441</v>
      </c>
      <c r="D27" s="583" t="s">
        <v>441</v>
      </c>
      <c r="E27" s="409" t="s">
        <v>442</v>
      </c>
      <c r="F27" s="416" t="s">
        <v>374</v>
      </c>
      <c r="G27" s="416" t="s">
        <v>409</v>
      </c>
      <c r="H27" s="430" t="s">
        <v>410</v>
      </c>
      <c r="I27" s="430" t="s">
        <v>410</v>
      </c>
      <c r="J27" s="430" t="s">
        <v>410</v>
      </c>
      <c r="K27" s="430" t="s">
        <v>410</v>
      </c>
      <c r="L27" s="419">
        <v>0.7</v>
      </c>
      <c r="M27" s="416" t="s">
        <v>410</v>
      </c>
      <c r="N27" s="416" t="s">
        <v>410</v>
      </c>
      <c r="O27" s="416" t="s">
        <v>410</v>
      </c>
      <c r="P27" s="416" t="s">
        <v>410</v>
      </c>
      <c r="Q27" s="419">
        <v>0.7</v>
      </c>
      <c r="R27" s="415">
        <f>(Q27-L27)/L27</f>
        <v>0</v>
      </c>
      <c r="S27" s="416" t="s">
        <v>410</v>
      </c>
      <c r="T27" s="416" t="s">
        <v>410</v>
      </c>
      <c r="U27" s="416" t="s">
        <v>410</v>
      </c>
      <c r="V27" s="518" t="s">
        <v>362</v>
      </c>
      <c r="W27" s="419">
        <v>0.7</v>
      </c>
      <c r="X27" s="416" t="s">
        <v>362</v>
      </c>
      <c r="Y27" s="416" t="s">
        <v>362</v>
      </c>
      <c r="Z27" s="416"/>
      <c r="AA27" s="518"/>
      <c r="AB27" s="419"/>
    </row>
    <row r="28" spans="2:28" ht="26.15" customHeight="1">
      <c r="B28" s="596"/>
      <c r="C28" s="581"/>
      <c r="D28" s="583"/>
      <c r="E28" s="410" t="s">
        <v>506</v>
      </c>
      <c r="F28" s="416" t="s">
        <v>374</v>
      </c>
      <c r="G28" s="416" t="s">
        <v>409</v>
      </c>
      <c r="H28" s="430" t="s">
        <v>410</v>
      </c>
      <c r="I28" s="430" t="s">
        <v>410</v>
      </c>
      <c r="J28" s="430" t="s">
        <v>410</v>
      </c>
      <c r="K28" s="430" t="s">
        <v>410</v>
      </c>
      <c r="L28" s="419">
        <v>0.25</v>
      </c>
      <c r="M28" s="416" t="s">
        <v>410</v>
      </c>
      <c r="N28" s="416" t="s">
        <v>410</v>
      </c>
      <c r="O28" s="416" t="s">
        <v>410</v>
      </c>
      <c r="P28" s="416" t="s">
        <v>410</v>
      </c>
      <c r="Q28" s="419">
        <v>1</v>
      </c>
      <c r="R28" s="415">
        <f>(Q28-L28)/L28</f>
        <v>3</v>
      </c>
      <c r="S28" s="416" t="s">
        <v>410</v>
      </c>
      <c r="T28" s="416" t="s">
        <v>410</v>
      </c>
      <c r="U28" s="416" t="s">
        <v>410</v>
      </c>
      <c r="V28" s="512" t="s">
        <v>362</v>
      </c>
      <c r="W28" s="419">
        <v>1</v>
      </c>
      <c r="X28" s="416" t="s">
        <v>362</v>
      </c>
      <c r="Y28" s="416" t="s">
        <v>362</v>
      </c>
      <c r="Z28" s="416"/>
      <c r="AA28" s="512"/>
      <c r="AB28" s="419"/>
    </row>
    <row r="29" spans="2:28" ht="48" customHeight="1" thickBot="1">
      <c r="B29" s="597"/>
      <c r="C29" s="582"/>
      <c r="D29" s="584"/>
      <c r="E29" s="444" t="s">
        <v>443</v>
      </c>
      <c r="F29" s="445" t="s">
        <v>374</v>
      </c>
      <c r="G29" s="445" t="s">
        <v>409</v>
      </c>
      <c r="H29" s="446" t="s">
        <v>410</v>
      </c>
      <c r="I29" s="446" t="s">
        <v>410</v>
      </c>
      <c r="J29" s="446" t="s">
        <v>410</v>
      </c>
      <c r="K29" s="446" t="s">
        <v>410</v>
      </c>
      <c r="L29" s="443">
        <v>1</v>
      </c>
      <c r="M29" s="446" t="s">
        <v>410</v>
      </c>
      <c r="N29" s="446" t="s">
        <v>410</v>
      </c>
      <c r="O29" s="446" t="s">
        <v>410</v>
      </c>
      <c r="P29" s="446" t="s">
        <v>410</v>
      </c>
      <c r="Q29" s="443">
        <v>0.43</v>
      </c>
      <c r="R29" s="447">
        <f>(Q29-L29)/L29</f>
        <v>-0.57000000000000006</v>
      </c>
      <c r="S29" s="446" t="s">
        <v>410</v>
      </c>
      <c r="T29" s="446" t="s">
        <v>410</v>
      </c>
      <c r="U29" s="446" t="s">
        <v>410</v>
      </c>
      <c r="V29" s="519" t="s">
        <v>362</v>
      </c>
      <c r="W29" s="443">
        <v>0.45</v>
      </c>
      <c r="X29" s="446" t="s">
        <v>362</v>
      </c>
      <c r="Y29" s="446" t="s">
        <v>362</v>
      </c>
      <c r="Z29" s="446"/>
      <c r="AA29" s="519"/>
      <c r="AB29" s="443"/>
    </row>
    <row r="30" spans="2:28" ht="26.5" customHeight="1" thickTop="1">
      <c r="B30" s="580" t="s">
        <v>444</v>
      </c>
      <c r="C30" s="580"/>
      <c r="D30" s="580"/>
      <c r="E30" s="580"/>
      <c r="F30" s="580"/>
      <c r="G30" s="580"/>
      <c r="H30" s="580"/>
      <c r="I30" s="580"/>
      <c r="J30" s="580"/>
      <c r="K30" s="580"/>
      <c r="L30" s="580"/>
      <c r="M30" s="580"/>
      <c r="N30" s="580"/>
      <c r="O30" s="580"/>
      <c r="P30" s="580"/>
      <c r="Q30" s="580"/>
      <c r="R30" s="580"/>
      <c r="S30" s="452"/>
      <c r="T30" s="452"/>
      <c r="U30" s="452"/>
      <c r="V30" s="452"/>
      <c r="W30" s="452"/>
      <c r="X30" s="452"/>
      <c r="Y30" s="452"/>
      <c r="Z30" s="452"/>
      <c r="AA30" s="452"/>
      <c r="AB30" s="452"/>
    </row>
    <row r="31" spans="2:28" ht="14.5" customHeight="1">
      <c r="B31" s="580" t="s">
        <v>495</v>
      </c>
      <c r="C31" s="580"/>
      <c r="D31" s="580"/>
      <c r="E31" s="580"/>
      <c r="F31" s="580"/>
      <c r="G31" s="580"/>
      <c r="H31" s="580"/>
      <c r="I31" s="580"/>
      <c r="J31" s="580"/>
      <c r="K31" s="580"/>
      <c r="L31" s="580"/>
      <c r="M31" s="580"/>
      <c r="N31" s="580"/>
      <c r="O31" s="580"/>
      <c r="P31" s="580"/>
      <c r="Q31" s="580"/>
      <c r="R31" s="580"/>
      <c r="S31" s="452"/>
      <c r="T31" s="452"/>
      <c r="U31" s="452"/>
      <c r="V31" s="452"/>
      <c r="W31" s="452"/>
      <c r="X31" s="452"/>
      <c r="Y31" s="452"/>
      <c r="Z31" s="452"/>
      <c r="AA31" s="452"/>
      <c r="AB31" s="452"/>
    </row>
    <row r="32" spans="2:28" ht="14.5" customHeight="1">
      <c r="B32" s="580" t="s">
        <v>524</v>
      </c>
      <c r="C32" s="580"/>
      <c r="D32" s="580"/>
      <c r="E32" s="580"/>
      <c r="F32" s="580"/>
      <c r="G32" s="580"/>
      <c r="H32" s="580"/>
      <c r="I32" s="580"/>
      <c r="J32" s="580"/>
      <c r="K32" s="580"/>
      <c r="L32" s="580"/>
      <c r="M32" s="580"/>
      <c r="N32" s="580"/>
      <c r="O32" s="580"/>
      <c r="P32" s="580"/>
      <c r="Q32" s="580"/>
      <c r="R32" s="580"/>
      <c r="S32" s="452"/>
      <c r="T32" s="452"/>
      <c r="U32" s="452"/>
      <c r="V32" s="452"/>
      <c r="W32" s="452"/>
      <c r="X32" s="452"/>
      <c r="Y32" s="452"/>
      <c r="Z32" s="452"/>
      <c r="AA32" s="452"/>
      <c r="AB32" s="452"/>
    </row>
    <row r="33" spans="2:28" ht="14.5" customHeight="1">
      <c r="B33" s="580" t="s">
        <v>525</v>
      </c>
      <c r="C33" s="580"/>
      <c r="D33" s="580"/>
      <c r="E33" s="580"/>
      <c r="F33" s="580"/>
      <c r="G33" s="580"/>
      <c r="H33" s="580"/>
      <c r="I33" s="580"/>
      <c r="J33" s="580"/>
      <c r="K33" s="580"/>
      <c r="L33" s="580"/>
      <c r="M33" s="580"/>
      <c r="N33" s="580"/>
      <c r="O33" s="580"/>
      <c r="P33" s="580"/>
      <c r="Q33" s="580"/>
      <c r="R33" s="580"/>
      <c r="S33" s="452"/>
      <c r="T33" s="452"/>
      <c r="U33" s="452"/>
      <c r="V33" s="452"/>
      <c r="W33" s="452"/>
      <c r="X33" s="452"/>
      <c r="Y33" s="452"/>
      <c r="Z33" s="452"/>
      <c r="AA33" s="452"/>
      <c r="AB33" s="452"/>
    </row>
    <row r="34" spans="2:28" ht="14.5" customHeight="1">
      <c r="B34" s="580" t="s">
        <v>526</v>
      </c>
      <c r="C34" s="580"/>
      <c r="D34" s="580"/>
      <c r="E34" s="580"/>
      <c r="F34" s="580"/>
      <c r="G34" s="580"/>
      <c r="H34" s="580"/>
      <c r="I34" s="580"/>
      <c r="J34" s="580"/>
      <c r="K34" s="580"/>
      <c r="L34" s="580"/>
      <c r="M34" s="580"/>
      <c r="N34" s="580"/>
      <c r="O34" s="580"/>
      <c r="P34" s="580"/>
      <c r="Q34" s="580"/>
      <c r="R34" s="580"/>
      <c r="S34" s="452"/>
      <c r="T34" s="452"/>
      <c r="U34" s="452"/>
      <c r="V34" s="452"/>
      <c r="W34" s="452"/>
      <c r="X34" s="453"/>
      <c r="Y34" s="453"/>
      <c r="Z34" s="452"/>
      <c r="AA34" s="452"/>
      <c r="AB34" s="452"/>
    </row>
    <row r="35" spans="2:28" ht="22.5" customHeight="1">
      <c r="B35" s="580" t="s">
        <v>527</v>
      </c>
      <c r="C35" s="580"/>
      <c r="D35" s="580"/>
      <c r="E35" s="580"/>
      <c r="F35" s="580"/>
      <c r="G35" s="580"/>
      <c r="H35" s="580"/>
      <c r="I35" s="580"/>
      <c r="J35" s="580"/>
      <c r="K35" s="580"/>
      <c r="L35" s="580"/>
      <c r="M35" s="580"/>
      <c r="N35" s="580"/>
      <c r="O35" s="580"/>
      <c r="P35" s="580"/>
      <c r="Q35" s="580"/>
      <c r="R35" s="580"/>
      <c r="S35" s="453"/>
      <c r="T35" s="453"/>
      <c r="U35" s="453"/>
      <c r="V35" s="452"/>
      <c r="W35" s="452"/>
      <c r="Z35" s="453"/>
      <c r="AA35" s="452"/>
      <c r="AB35" s="452"/>
    </row>
    <row r="36" spans="2:28" ht="34.5" customHeight="1">
      <c r="B36" s="579" t="s">
        <v>528</v>
      </c>
      <c r="C36" s="579"/>
      <c r="D36" s="579"/>
      <c r="E36" s="579"/>
      <c r="F36" s="579"/>
      <c r="G36" s="579"/>
      <c r="H36" s="579"/>
      <c r="I36" s="579"/>
      <c r="J36" s="579"/>
      <c r="K36" s="579"/>
      <c r="L36" s="579"/>
      <c r="M36" s="579"/>
      <c r="N36" s="579"/>
      <c r="O36" s="579"/>
      <c r="P36" s="579"/>
      <c r="Q36" s="579"/>
      <c r="R36" s="579"/>
      <c r="V36" s="453"/>
      <c r="W36" s="453"/>
      <c r="AA36" s="453"/>
      <c r="AB36" s="453"/>
    </row>
  </sheetData>
  <autoFilter ref="B4:E29" xr:uid="{43C8DB62-4505-4BCD-B8C6-06CEC9F1DE48}"/>
  <mergeCells count="36">
    <mergeCell ref="B2:R2"/>
    <mergeCell ref="B4:B5"/>
    <mergeCell ref="C4:C5"/>
    <mergeCell ref="D4:D5"/>
    <mergeCell ref="E4:E5"/>
    <mergeCell ref="F4:F5"/>
    <mergeCell ref="G4:G5"/>
    <mergeCell ref="H4:K4"/>
    <mergeCell ref="M4:P4"/>
    <mergeCell ref="R4:R5"/>
    <mergeCell ref="C11:C14"/>
    <mergeCell ref="B21:B29"/>
    <mergeCell ref="C21:C25"/>
    <mergeCell ref="D21:D23"/>
    <mergeCell ref="D24:D25"/>
    <mergeCell ref="D11:D13"/>
    <mergeCell ref="B16:B20"/>
    <mergeCell ref="C16:C19"/>
    <mergeCell ref="D16:D17"/>
    <mergeCell ref="D18:D19"/>
    <mergeCell ref="X4:Z4"/>
    <mergeCell ref="B36:R36"/>
    <mergeCell ref="S4:U4"/>
    <mergeCell ref="B35:R35"/>
    <mergeCell ref="B31:R31"/>
    <mergeCell ref="B32:R32"/>
    <mergeCell ref="B33:R33"/>
    <mergeCell ref="B34:R34"/>
    <mergeCell ref="B30:R30"/>
    <mergeCell ref="C27:C29"/>
    <mergeCell ref="D27:D29"/>
    <mergeCell ref="B6:B15"/>
    <mergeCell ref="C6:C7"/>
    <mergeCell ref="D6:D7"/>
    <mergeCell ref="C8:C10"/>
    <mergeCell ref="D8:D10"/>
  </mergeCells>
  <phoneticPr fontId="98"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097-5337-4491-9624-DB5FE194E03D}">
  <sheetPr>
    <tabColor rgb="FF00B050"/>
    <pageSetUpPr fitToPage="1"/>
  </sheetPr>
  <dimension ref="A1:AC43"/>
  <sheetViews>
    <sheetView showGridLines="0" zoomScale="80" zoomScaleNormal="80" workbookViewId="0">
      <selection activeCell="Y27" sqref="Y27"/>
    </sheetView>
  </sheetViews>
  <sheetFormatPr defaultColWidth="9.1796875" defaultRowHeight="12.5" outlineLevelCol="1"/>
  <cols>
    <col min="1" max="1" width="2.1796875" style="275" customWidth="1"/>
    <col min="2" max="2" width="41.54296875" style="273" bestFit="1" customWidth="1"/>
    <col min="3" max="3" width="2.1796875" style="356" customWidth="1"/>
    <col min="4" max="7" width="9.1796875" style="273" hidden="1" customWidth="1" outlineLevel="1"/>
    <col min="8" max="8" width="12.453125" style="273" customWidth="1" collapsed="1"/>
    <col min="9" max="12" width="12.453125" style="273" hidden="1" customWidth="1" outlineLevel="1"/>
    <col min="13" max="13" width="12.453125" style="273" customWidth="1" collapsed="1"/>
    <col min="14" max="17" width="12.453125" style="273" hidden="1" customWidth="1" outlineLevel="1"/>
    <col min="18" max="18" width="12.453125" style="273" customWidth="1" collapsed="1"/>
    <col min="19" max="25" width="12.453125" style="273" customWidth="1"/>
    <col min="26" max="16384" width="9.1796875" style="356"/>
  </cols>
  <sheetData>
    <row r="1" spans="1:26">
      <c r="B1" s="290"/>
    </row>
    <row r="2" spans="1:26">
      <c r="B2" s="290"/>
    </row>
    <row r="3" spans="1:26">
      <c r="B3" s="290"/>
    </row>
    <row r="4" spans="1:26">
      <c r="B4" s="291"/>
    </row>
    <row r="5" spans="1:26" ht="13">
      <c r="B5" s="292"/>
      <c r="M5" s="293"/>
    </row>
    <row r="6" spans="1:26" ht="13">
      <c r="B6" s="358"/>
    </row>
    <row r="7" spans="1:26" ht="14">
      <c r="A7" s="359"/>
      <c r="B7" s="360" t="s">
        <v>83</v>
      </c>
      <c r="D7" s="361" t="s">
        <v>96</v>
      </c>
      <c r="E7" s="361" t="s">
        <v>97</v>
      </c>
      <c r="F7" s="361" t="s">
        <v>98</v>
      </c>
      <c r="G7" s="361" t="s">
        <v>99</v>
      </c>
      <c r="H7" s="361">
        <v>2021</v>
      </c>
      <c r="I7" s="361" t="s">
        <v>100</v>
      </c>
      <c r="J7" s="361" t="s">
        <v>101</v>
      </c>
      <c r="K7" s="361" t="s">
        <v>336</v>
      </c>
      <c r="L7" s="361" t="s">
        <v>342</v>
      </c>
      <c r="M7" s="361">
        <v>2022</v>
      </c>
      <c r="N7" s="361" t="s">
        <v>357</v>
      </c>
      <c r="O7" s="361" t="s">
        <v>384</v>
      </c>
      <c r="P7" s="361" t="s">
        <v>395</v>
      </c>
      <c r="Q7" s="361" t="s">
        <v>396</v>
      </c>
      <c r="R7" s="361">
        <v>2023</v>
      </c>
      <c r="S7" s="361" t="s">
        <v>469</v>
      </c>
      <c r="T7" s="361" t="s">
        <v>473</v>
      </c>
      <c r="U7" s="361" t="s">
        <v>478</v>
      </c>
      <c r="V7" s="361" t="s">
        <v>480</v>
      </c>
      <c r="W7" s="361">
        <v>2024</v>
      </c>
      <c r="X7" s="361" t="s">
        <v>518</v>
      </c>
      <c r="Y7" s="361" t="s">
        <v>521</v>
      </c>
    </row>
    <row r="8" spans="1:26" ht="14">
      <c r="B8" s="362" t="s">
        <v>533</v>
      </c>
      <c r="D8" s="362"/>
      <c r="E8" s="362"/>
      <c r="F8" s="362"/>
      <c r="G8" s="362"/>
      <c r="H8" s="362"/>
      <c r="I8" s="362"/>
      <c r="J8" s="362"/>
      <c r="K8" s="362"/>
      <c r="L8" s="362"/>
      <c r="M8" s="362"/>
      <c r="N8" s="362"/>
      <c r="O8" s="362"/>
      <c r="P8" s="362"/>
      <c r="Q8" s="362"/>
      <c r="R8" s="362"/>
      <c r="S8" s="362"/>
      <c r="T8" s="362"/>
      <c r="U8" s="362"/>
      <c r="V8" s="362"/>
      <c r="W8" s="362"/>
      <c r="X8" s="362"/>
      <c r="Y8" s="362"/>
    </row>
    <row r="9" spans="1:26" ht="14">
      <c r="B9" s="363" t="s">
        <v>368</v>
      </c>
      <c r="C9" s="364"/>
      <c r="D9" s="365">
        <v>200</v>
      </c>
      <c r="E9" s="365">
        <v>200</v>
      </c>
      <c r="F9" s="365">
        <v>200</v>
      </c>
      <c r="G9" s="365">
        <v>200</v>
      </c>
      <c r="H9" s="366">
        <f>SUM(D9:G9)</f>
        <v>800</v>
      </c>
      <c r="I9" s="365">
        <v>200</v>
      </c>
      <c r="J9" s="365">
        <v>200</v>
      </c>
      <c r="K9" s="365">
        <v>200</v>
      </c>
      <c r="L9" s="365">
        <v>200</v>
      </c>
      <c r="M9" s="366">
        <f>SUM(I9:L9)</f>
        <v>800</v>
      </c>
      <c r="N9" s="365">
        <v>200</v>
      </c>
      <c r="O9" s="365">
        <v>200</v>
      </c>
      <c r="P9" s="365">
        <v>200</v>
      </c>
      <c r="Q9" s="365">
        <v>200</v>
      </c>
      <c r="R9" s="366">
        <f>SUM(N9:Q9)</f>
        <v>800</v>
      </c>
      <c r="S9" s="393">
        <v>200</v>
      </c>
      <c r="T9" s="393">
        <v>200</v>
      </c>
      <c r="U9" s="393">
        <v>200</v>
      </c>
      <c r="V9" s="393">
        <v>200</v>
      </c>
      <c r="W9" s="366">
        <f>SUM(S9:V9)</f>
        <v>800</v>
      </c>
      <c r="X9" s="393">
        <v>200</v>
      </c>
      <c r="Y9" s="393">
        <v>200</v>
      </c>
    </row>
    <row r="10" spans="1:26" ht="14">
      <c r="B10" s="363" t="s">
        <v>369</v>
      </c>
      <c r="C10" s="364"/>
      <c r="D10" s="365">
        <v>90</v>
      </c>
      <c r="E10" s="365">
        <v>90</v>
      </c>
      <c r="F10" s="365">
        <v>90</v>
      </c>
      <c r="G10" s="365">
        <v>90</v>
      </c>
      <c r="H10" s="366">
        <f>SUM(D10:G10)</f>
        <v>360</v>
      </c>
      <c r="I10" s="365">
        <v>94</v>
      </c>
      <c r="J10" s="365">
        <v>94</v>
      </c>
      <c r="K10" s="365">
        <v>94</v>
      </c>
      <c r="L10" s="365">
        <v>94</v>
      </c>
      <c r="M10" s="366">
        <f>SUM(I10:L10)</f>
        <v>376</v>
      </c>
      <c r="N10" s="365">
        <v>94</v>
      </c>
      <c r="O10" s="365">
        <v>94</v>
      </c>
      <c r="P10" s="365">
        <v>94</v>
      </c>
      <c r="Q10" s="365">
        <v>94</v>
      </c>
      <c r="R10" s="366">
        <f>SUM(N10:Q10)</f>
        <v>376</v>
      </c>
      <c r="S10" s="393">
        <v>94</v>
      </c>
      <c r="T10" s="393">
        <v>94</v>
      </c>
      <c r="U10" s="393">
        <v>94</v>
      </c>
      <c r="V10" s="365">
        <v>94</v>
      </c>
      <c r="W10" s="366">
        <f t="shared" ref="W10:W13" si="0">SUM(S10:V10)</f>
        <v>376</v>
      </c>
      <c r="X10" s="393">
        <v>94</v>
      </c>
      <c r="Y10" s="393">
        <v>94</v>
      </c>
      <c r="Z10" s="367"/>
    </row>
    <row r="11" spans="1:26" ht="14">
      <c r="B11" s="363" t="s">
        <v>370</v>
      </c>
      <c r="C11" s="364"/>
      <c r="D11" s="365">
        <v>129.60000000000002</v>
      </c>
      <c r="E11" s="365">
        <v>129.60000000000002</v>
      </c>
      <c r="F11" s="365">
        <v>129.60000000000002</v>
      </c>
      <c r="G11" s="365">
        <v>129.60000000000002</v>
      </c>
      <c r="H11" s="366">
        <f t="shared" ref="H11:H13" si="1">SUM(D11:G11)</f>
        <v>518.40000000000009</v>
      </c>
      <c r="I11" s="365">
        <v>129.60000000000002</v>
      </c>
      <c r="J11" s="365">
        <v>129.60000000000002</v>
      </c>
      <c r="K11" s="365">
        <v>129.60000000000002</v>
      </c>
      <c r="L11" s="365">
        <v>129.60000000000002</v>
      </c>
      <c r="M11" s="366">
        <f t="shared" ref="M11:M13" si="2">SUM(I11:L11)</f>
        <v>518.40000000000009</v>
      </c>
      <c r="N11" s="365">
        <v>129.33287671232881</v>
      </c>
      <c r="O11" s="365">
        <v>129.54657534246579</v>
      </c>
      <c r="P11" s="365">
        <v>129.54657534246579</v>
      </c>
      <c r="Q11" s="365">
        <v>129.54657534246579</v>
      </c>
      <c r="R11" s="366">
        <f t="shared" ref="R11:R13" si="3">SUM(N11:Q11)</f>
        <v>517.97260273972609</v>
      </c>
      <c r="S11" s="393">
        <v>129.54657534246579</v>
      </c>
      <c r="T11" s="393">
        <v>129.54657534246579</v>
      </c>
      <c r="U11" s="393">
        <v>129.54657534246579</v>
      </c>
      <c r="V11" s="365">
        <v>129.54657534246579</v>
      </c>
      <c r="W11" s="366">
        <f t="shared" si="0"/>
        <v>518.18630136986314</v>
      </c>
      <c r="X11" s="393">
        <v>129.54657534246579</v>
      </c>
      <c r="Y11" s="393">
        <v>129.54657534246579</v>
      </c>
    </row>
    <row r="12" spans="1:26" ht="14">
      <c r="B12" s="363" t="s">
        <v>371</v>
      </c>
      <c r="C12" s="364"/>
      <c r="D12" s="365">
        <v>55</v>
      </c>
      <c r="E12" s="365">
        <v>55</v>
      </c>
      <c r="F12" s="365">
        <v>55</v>
      </c>
      <c r="G12" s="365">
        <v>55</v>
      </c>
      <c r="H12" s="366">
        <f t="shared" si="1"/>
        <v>220</v>
      </c>
      <c r="I12" s="365">
        <v>55</v>
      </c>
      <c r="J12" s="365">
        <v>55</v>
      </c>
      <c r="K12" s="365">
        <v>55</v>
      </c>
      <c r="L12" s="365">
        <v>55</v>
      </c>
      <c r="M12" s="366">
        <f t="shared" si="2"/>
        <v>220</v>
      </c>
      <c r="N12" s="365">
        <v>53.75</v>
      </c>
      <c r="O12" s="365">
        <v>53.75</v>
      </c>
      <c r="P12" s="365">
        <v>53.75</v>
      </c>
      <c r="Q12" s="365">
        <v>53.75</v>
      </c>
      <c r="R12" s="366">
        <f t="shared" si="3"/>
        <v>215</v>
      </c>
      <c r="S12" s="393">
        <v>53.75</v>
      </c>
      <c r="T12" s="393">
        <v>53.75</v>
      </c>
      <c r="U12" s="393">
        <v>53.75</v>
      </c>
      <c r="V12" s="365">
        <v>53.75</v>
      </c>
      <c r="W12" s="366">
        <f t="shared" si="0"/>
        <v>215</v>
      </c>
      <c r="X12" s="393">
        <v>53.75</v>
      </c>
      <c r="Y12" s="393">
        <v>53.75</v>
      </c>
    </row>
    <row r="13" spans="1:26" ht="14">
      <c r="B13" s="363" t="s">
        <v>372</v>
      </c>
      <c r="C13" s="364"/>
      <c r="D13" s="365">
        <v>59.149999999999963</v>
      </c>
      <c r="E13" s="365">
        <v>59.149999999999963</v>
      </c>
      <c r="F13" s="365">
        <v>59.149999999999963</v>
      </c>
      <c r="G13" s="365">
        <v>59.149999999999963</v>
      </c>
      <c r="H13" s="366">
        <f t="shared" si="1"/>
        <v>236.59999999999985</v>
      </c>
      <c r="I13" s="365">
        <v>74.5</v>
      </c>
      <c r="J13" s="365">
        <v>74.5</v>
      </c>
      <c r="K13" s="365">
        <v>74.5</v>
      </c>
      <c r="L13" s="365">
        <v>74.5</v>
      </c>
      <c r="M13" s="366">
        <f t="shared" si="2"/>
        <v>298</v>
      </c>
      <c r="N13" s="365">
        <v>74.399999999999963</v>
      </c>
      <c r="O13" s="365">
        <v>74.399999999999963</v>
      </c>
      <c r="P13" s="365">
        <v>74.399999999999963</v>
      </c>
      <c r="Q13" s="365">
        <v>74.399999999999963</v>
      </c>
      <c r="R13" s="366">
        <f t="shared" si="3"/>
        <v>297.59999999999985</v>
      </c>
      <c r="S13" s="365">
        <v>74.399999999999963</v>
      </c>
      <c r="T13" s="365">
        <v>74.399999999999963</v>
      </c>
      <c r="U13" s="365">
        <v>74.399999999999963</v>
      </c>
      <c r="V13" s="365">
        <v>74.399999999999963</v>
      </c>
      <c r="W13" s="366">
        <f t="shared" si="0"/>
        <v>297.59999999999985</v>
      </c>
      <c r="X13" s="365">
        <v>74.399999999999963</v>
      </c>
      <c r="Y13" s="365">
        <v>74.399999999999963</v>
      </c>
      <c r="Z13" s="367"/>
    </row>
    <row r="14" spans="1:26">
      <c r="D14" s="368"/>
      <c r="E14" s="368"/>
      <c r="F14" s="368"/>
      <c r="G14" s="368"/>
      <c r="H14" s="368"/>
      <c r="I14" s="368"/>
      <c r="J14" s="368"/>
      <c r="K14" s="368"/>
      <c r="L14" s="368"/>
      <c r="M14" s="368"/>
      <c r="N14" s="368"/>
      <c r="O14" s="368"/>
      <c r="P14" s="368"/>
      <c r="Q14" s="368"/>
      <c r="R14" s="368"/>
      <c r="S14" s="368"/>
      <c r="T14" s="368"/>
      <c r="U14" s="368"/>
      <c r="V14" s="368"/>
      <c r="W14" s="368"/>
      <c r="X14" s="368"/>
      <c r="Y14" s="368"/>
    </row>
    <row r="15" spans="1:26" ht="14">
      <c r="A15" s="359"/>
      <c r="B15" s="360" t="s">
        <v>83</v>
      </c>
      <c r="D15" s="361" t="s">
        <v>96</v>
      </c>
      <c r="E15" s="361" t="s">
        <v>97</v>
      </c>
      <c r="F15" s="361" t="s">
        <v>98</v>
      </c>
      <c r="G15" s="361" t="s">
        <v>99</v>
      </c>
      <c r="H15" s="361">
        <v>2021</v>
      </c>
      <c r="I15" s="361" t="s">
        <v>100</v>
      </c>
      <c r="J15" s="361" t="s">
        <v>101</v>
      </c>
      <c r="K15" s="361" t="s">
        <v>336</v>
      </c>
      <c r="L15" s="361" t="s">
        <v>342</v>
      </c>
      <c r="M15" s="361">
        <v>2022</v>
      </c>
      <c r="N15" s="361" t="s">
        <v>357</v>
      </c>
      <c r="O15" s="361" t="s">
        <v>384</v>
      </c>
      <c r="P15" s="361" t="s">
        <v>395</v>
      </c>
      <c r="Q15" s="361" t="s">
        <v>396</v>
      </c>
      <c r="R15" s="361">
        <v>2023</v>
      </c>
      <c r="S15" s="361" t="s">
        <v>469</v>
      </c>
      <c r="T15" s="361" t="s">
        <v>473</v>
      </c>
      <c r="U15" s="361" t="str">
        <f>$U$7</f>
        <v>3T24</v>
      </c>
      <c r="V15" s="361" t="s">
        <v>480</v>
      </c>
      <c r="W15" s="361">
        <v>2024</v>
      </c>
      <c r="X15" s="361" t="str">
        <f>$X$7</f>
        <v>1T25</v>
      </c>
      <c r="Y15" s="361" t="s">
        <v>521</v>
      </c>
    </row>
    <row r="16" spans="1:26" ht="14">
      <c r="B16" s="362" t="s">
        <v>373</v>
      </c>
      <c r="D16" s="362"/>
      <c r="E16" s="362"/>
      <c r="F16" s="362"/>
      <c r="G16" s="362"/>
      <c r="H16" s="362"/>
      <c r="I16" s="362"/>
      <c r="J16" s="362"/>
      <c r="K16" s="362"/>
      <c r="L16" s="362"/>
      <c r="M16" s="362"/>
      <c r="N16" s="362"/>
      <c r="O16" s="362"/>
      <c r="P16" s="362"/>
      <c r="Q16" s="362"/>
      <c r="R16" s="362"/>
      <c r="S16" s="362"/>
      <c r="T16" s="362"/>
      <c r="U16" s="362"/>
      <c r="V16" s="362"/>
      <c r="W16" s="362"/>
      <c r="X16" s="362"/>
      <c r="Y16" s="362"/>
    </row>
    <row r="17" spans="1:29" ht="14">
      <c r="B17" s="363" t="s">
        <v>368</v>
      </c>
      <c r="C17" s="364"/>
      <c r="D17" s="365">
        <v>192.7</v>
      </c>
      <c r="E17" s="365">
        <v>182.48599999999999</v>
      </c>
      <c r="F17" s="365">
        <v>184.482</v>
      </c>
      <c r="G17" s="365">
        <v>184.57499999999999</v>
      </c>
      <c r="H17" s="366">
        <f>SUM(D17:G17)</f>
        <v>744.24299999999994</v>
      </c>
      <c r="I17" s="365">
        <v>182.44499999999999</v>
      </c>
      <c r="J17" s="365">
        <v>187.43799999999999</v>
      </c>
      <c r="K17" s="365">
        <v>196.18</v>
      </c>
      <c r="L17" s="369">
        <v>167.505</v>
      </c>
      <c r="M17" s="366">
        <f>SUM(I17:L17)</f>
        <v>733.56799999999998</v>
      </c>
      <c r="N17" s="365">
        <v>190.185</v>
      </c>
      <c r="O17" s="365">
        <v>184</v>
      </c>
      <c r="P17" s="365">
        <v>179</v>
      </c>
      <c r="Q17" s="365">
        <v>185</v>
      </c>
      <c r="R17" s="366">
        <f>SUM(N17:Q17)</f>
        <v>738.18499999999995</v>
      </c>
      <c r="S17" s="393">
        <v>184</v>
      </c>
      <c r="T17" s="393">
        <v>189</v>
      </c>
      <c r="U17" s="393">
        <v>203</v>
      </c>
      <c r="V17" s="365">
        <v>192.25</v>
      </c>
      <c r="W17" s="366">
        <f>SUM(S17:V17)</f>
        <v>768.25</v>
      </c>
      <c r="X17" s="393">
        <v>169</v>
      </c>
      <c r="Y17" s="393">
        <v>165.042</v>
      </c>
    </row>
    <row r="18" spans="1:29" ht="14">
      <c r="B18" s="363" t="s">
        <v>369</v>
      </c>
      <c r="C18" s="364"/>
      <c r="D18" s="365">
        <v>84.548930001000002</v>
      </c>
      <c r="E18" s="365">
        <v>86.888590002000001</v>
      </c>
      <c r="F18" s="365">
        <v>87.091770006000004</v>
      </c>
      <c r="G18" s="365">
        <v>86.400676505999996</v>
      </c>
      <c r="H18" s="366">
        <f t="shared" ref="H18:H21" si="4">SUM(D18:G18)</f>
        <v>344.92996651500005</v>
      </c>
      <c r="I18" s="365">
        <v>83.667260000000013</v>
      </c>
      <c r="J18" s="365">
        <v>85.175390499999992</v>
      </c>
      <c r="K18" s="393">
        <v>91.339854502999998</v>
      </c>
      <c r="L18" s="365">
        <v>87.168257002999894</v>
      </c>
      <c r="M18" s="366">
        <f t="shared" ref="M18:M21" si="5">SUM(I18:L18)</f>
        <v>347.35076200599985</v>
      </c>
      <c r="N18" s="365">
        <v>79</v>
      </c>
      <c r="O18" s="365">
        <v>80</v>
      </c>
      <c r="P18" s="365">
        <v>83.937839999999994</v>
      </c>
      <c r="Q18" s="365">
        <v>87</v>
      </c>
      <c r="R18" s="366">
        <f t="shared" ref="R18:R21" si="6">SUM(N18:Q18)</f>
        <v>329.93783999999999</v>
      </c>
      <c r="S18" s="393">
        <v>88</v>
      </c>
      <c r="T18" s="393">
        <v>91</v>
      </c>
      <c r="U18" s="393">
        <v>93</v>
      </c>
      <c r="V18" s="365">
        <v>93.367080000000001</v>
      </c>
      <c r="W18" s="366">
        <f t="shared" ref="W18:W21" si="7">SUM(S18:V18)</f>
        <v>365.36707999999999</v>
      </c>
      <c r="X18" s="393">
        <v>88.334770000000006</v>
      </c>
      <c r="Y18" s="393">
        <v>85.868283500000004</v>
      </c>
      <c r="Z18" s="535"/>
    </row>
    <row r="19" spans="1:29" ht="14">
      <c r="B19" s="363" t="s">
        <v>370</v>
      </c>
      <c r="C19" s="364"/>
      <c r="D19" s="369">
        <v>90.296617000000012</v>
      </c>
      <c r="E19" s="369">
        <v>90.672048999999987</v>
      </c>
      <c r="F19" s="369">
        <v>90.663606000000001</v>
      </c>
      <c r="G19" s="369">
        <v>90.474244000000013</v>
      </c>
      <c r="H19" s="366">
        <f t="shared" si="4"/>
        <v>362.106516</v>
      </c>
      <c r="I19" s="369">
        <v>86.359637000000021</v>
      </c>
      <c r="J19" s="369">
        <v>87.047460999999998</v>
      </c>
      <c r="K19" s="369">
        <v>93.176201000000006</v>
      </c>
      <c r="L19" s="369">
        <v>90.827029000000024</v>
      </c>
      <c r="M19" s="366">
        <f t="shared" si="5"/>
        <v>357.41032800000005</v>
      </c>
      <c r="N19" s="369">
        <v>87.271220000000014</v>
      </c>
      <c r="O19" s="392">
        <v>89</v>
      </c>
      <c r="P19" s="392">
        <v>89.071719000000002</v>
      </c>
      <c r="Q19" s="392">
        <v>96</v>
      </c>
      <c r="R19" s="366">
        <f t="shared" si="6"/>
        <v>361.342939</v>
      </c>
      <c r="S19" s="392">
        <v>100</v>
      </c>
      <c r="T19" s="392">
        <v>96</v>
      </c>
      <c r="U19" s="392">
        <v>96</v>
      </c>
      <c r="V19" s="365">
        <v>98.990000000000009</v>
      </c>
      <c r="W19" s="366">
        <f t="shared" si="7"/>
        <v>390.99</v>
      </c>
      <c r="X19" s="392">
        <v>92.151062749000019</v>
      </c>
      <c r="Y19" s="392">
        <v>93.714297547000001</v>
      </c>
    </row>
    <row r="20" spans="1:29" ht="14">
      <c r="B20" s="363" t="s">
        <v>371</v>
      </c>
      <c r="C20" s="370"/>
      <c r="D20" s="365">
        <v>39.201650000000001</v>
      </c>
      <c r="E20" s="365">
        <v>39.276492817000005</v>
      </c>
      <c r="F20" s="365">
        <v>38.757241487000002</v>
      </c>
      <c r="G20" s="365">
        <v>36.500897819000002</v>
      </c>
      <c r="H20" s="366">
        <f t="shared" si="4"/>
        <v>153.73628212300002</v>
      </c>
      <c r="I20" s="365">
        <v>34.168492082999997</v>
      </c>
      <c r="J20" s="365">
        <v>35.296938220000001</v>
      </c>
      <c r="K20" s="365">
        <v>34.975480656000002</v>
      </c>
      <c r="L20" s="365">
        <v>33.842385579000002</v>
      </c>
      <c r="M20" s="366">
        <f t="shared" si="5"/>
        <v>138.283296538</v>
      </c>
      <c r="N20" s="369">
        <v>35</v>
      </c>
      <c r="O20" s="392">
        <v>33</v>
      </c>
      <c r="P20" s="392">
        <v>31.308</v>
      </c>
      <c r="Q20" s="392">
        <v>31</v>
      </c>
      <c r="R20" s="366">
        <f t="shared" si="6"/>
        <v>130.30799999999999</v>
      </c>
      <c r="S20" s="392">
        <v>32</v>
      </c>
      <c r="T20" s="392">
        <v>33</v>
      </c>
      <c r="U20" s="392">
        <v>33</v>
      </c>
      <c r="V20" s="365">
        <v>35.112000000000002</v>
      </c>
      <c r="W20" s="366">
        <f t="shared" si="7"/>
        <v>133.11199999999999</v>
      </c>
      <c r="X20" s="392">
        <v>33.396000000000001</v>
      </c>
      <c r="Y20" s="392">
        <v>33.899000000000001</v>
      </c>
    </row>
    <row r="21" spans="1:29" ht="14">
      <c r="B21" s="363" t="s">
        <v>372</v>
      </c>
      <c r="C21" s="364"/>
      <c r="D21" s="365">
        <v>44.784945651612276</v>
      </c>
      <c r="E21" s="365">
        <v>49.820642551360066</v>
      </c>
      <c r="F21" s="365">
        <v>47.607908267587781</v>
      </c>
      <c r="G21" s="365">
        <v>50.225825052398505</v>
      </c>
      <c r="H21" s="366">
        <f t="shared" si="4"/>
        <v>192.43932152295864</v>
      </c>
      <c r="I21" s="365">
        <v>46.848014079306054</v>
      </c>
      <c r="J21" s="365">
        <v>42.291677973024875</v>
      </c>
      <c r="K21" s="365">
        <v>45.481106363227298</v>
      </c>
      <c r="L21" s="365">
        <v>44.468638725359838</v>
      </c>
      <c r="M21" s="366">
        <f t="shared" si="5"/>
        <v>179.08943714091805</v>
      </c>
      <c r="N21" s="365">
        <v>41.559602659939301</v>
      </c>
      <c r="O21" s="393">
        <v>39</v>
      </c>
      <c r="P21" s="393">
        <v>39.169999999999995</v>
      </c>
      <c r="Q21" s="393">
        <v>37</v>
      </c>
      <c r="R21" s="366">
        <f t="shared" si="6"/>
        <v>156.7296026599393</v>
      </c>
      <c r="S21" s="393">
        <v>35</v>
      </c>
      <c r="T21" s="393">
        <v>45</v>
      </c>
      <c r="U21" s="393">
        <v>45</v>
      </c>
      <c r="V21" s="365">
        <v>42.977049999999998</v>
      </c>
      <c r="W21" s="366">
        <f t="shared" si="7"/>
        <v>167.97704999999999</v>
      </c>
      <c r="X21" s="393">
        <v>40.363465367000003</v>
      </c>
      <c r="Y21" s="393">
        <v>36.992000000000004</v>
      </c>
    </row>
    <row r="23" spans="1:29" ht="14">
      <c r="B23" s="360" t="s">
        <v>374</v>
      </c>
      <c r="D23" s="361" t="s">
        <v>96</v>
      </c>
      <c r="E23" s="361" t="s">
        <v>97</v>
      </c>
      <c r="F23" s="361" t="s">
        <v>98</v>
      </c>
      <c r="G23" s="361" t="s">
        <v>99</v>
      </c>
      <c r="H23" s="361">
        <v>2021</v>
      </c>
      <c r="I23" s="361" t="s">
        <v>100</v>
      </c>
      <c r="J23" s="361" t="s">
        <v>101</v>
      </c>
      <c r="K23" s="361" t="s">
        <v>336</v>
      </c>
      <c r="L23" s="361" t="s">
        <v>342</v>
      </c>
      <c r="M23" s="361">
        <v>2022</v>
      </c>
      <c r="N23" s="361" t="s">
        <v>357</v>
      </c>
      <c r="O23" s="361" t="s">
        <v>384</v>
      </c>
      <c r="P23" s="361" t="s">
        <v>395</v>
      </c>
      <c r="Q23" s="361" t="s">
        <v>396</v>
      </c>
      <c r="R23" s="361">
        <v>2023</v>
      </c>
      <c r="S23" s="361" t="s">
        <v>469</v>
      </c>
      <c r="T23" s="361" t="s">
        <v>473</v>
      </c>
      <c r="U23" s="361" t="str">
        <f>$U$7</f>
        <v>3T24</v>
      </c>
      <c r="V23" s="361" t="s">
        <v>480</v>
      </c>
      <c r="W23" s="361">
        <v>2024</v>
      </c>
      <c r="X23" s="361" t="str">
        <f>$X$7</f>
        <v>1T25</v>
      </c>
      <c r="Y23" s="361" t="str">
        <f>$X$7</f>
        <v>1T25</v>
      </c>
    </row>
    <row r="24" spans="1:29" ht="14">
      <c r="B24" s="362" t="s">
        <v>375</v>
      </c>
      <c r="D24" s="362"/>
      <c r="E24" s="362"/>
      <c r="F24" s="362"/>
      <c r="G24" s="362"/>
      <c r="H24" s="362"/>
      <c r="I24" s="362"/>
      <c r="J24" s="362"/>
      <c r="K24" s="362"/>
      <c r="L24" s="362"/>
      <c r="M24" s="362"/>
      <c r="N24" s="362"/>
      <c r="O24" s="362"/>
      <c r="P24" s="362"/>
      <c r="Q24" s="362"/>
      <c r="R24" s="362"/>
      <c r="S24" s="362"/>
      <c r="T24" s="362"/>
      <c r="U24" s="362"/>
      <c r="V24" s="362"/>
      <c r="W24" s="362"/>
      <c r="X24" s="362"/>
      <c r="Y24" s="362"/>
    </row>
    <row r="25" spans="1:29" s="357" customFormat="1" ht="14">
      <c r="A25" s="275"/>
      <c r="B25" s="363" t="s">
        <v>368</v>
      </c>
      <c r="C25" s="356"/>
      <c r="D25" s="371">
        <f t="shared" ref="D25:M25" si="8">D17/D9</f>
        <v>0.96349999999999991</v>
      </c>
      <c r="E25" s="371">
        <f t="shared" si="8"/>
        <v>0.91242999999999996</v>
      </c>
      <c r="F25" s="371">
        <f t="shared" si="8"/>
        <v>0.92240999999999995</v>
      </c>
      <c r="G25" s="371">
        <f t="shared" si="8"/>
        <v>0.92287499999999989</v>
      </c>
      <c r="H25" s="372">
        <f t="shared" si="8"/>
        <v>0.93030374999999987</v>
      </c>
      <c r="I25" s="371">
        <f t="shared" si="8"/>
        <v>0.91222499999999995</v>
      </c>
      <c r="J25" s="371">
        <f t="shared" si="8"/>
        <v>0.93718999999999997</v>
      </c>
      <c r="K25" s="371">
        <f t="shared" si="8"/>
        <v>0.98089999999999999</v>
      </c>
      <c r="L25" s="371">
        <f t="shared" si="8"/>
        <v>0.83752499999999996</v>
      </c>
      <c r="M25" s="372">
        <f t="shared" si="8"/>
        <v>0.91696</v>
      </c>
      <c r="N25" s="371">
        <f t="shared" ref="N25:W25" si="9">N17/N9</f>
        <v>0.95092500000000002</v>
      </c>
      <c r="O25" s="371">
        <f t="shared" si="9"/>
        <v>0.92</v>
      </c>
      <c r="P25" s="371">
        <f t="shared" si="9"/>
        <v>0.89500000000000002</v>
      </c>
      <c r="Q25" s="371">
        <f t="shared" si="9"/>
        <v>0.92500000000000004</v>
      </c>
      <c r="R25" s="372">
        <f t="shared" si="9"/>
        <v>0.92273124999999989</v>
      </c>
      <c r="S25" s="371">
        <f t="shared" si="9"/>
        <v>0.92</v>
      </c>
      <c r="T25" s="371">
        <f t="shared" si="9"/>
        <v>0.94499999999999995</v>
      </c>
      <c r="U25" s="537">
        <f t="shared" si="9"/>
        <v>1.0149999999999999</v>
      </c>
      <c r="V25" s="371">
        <f t="shared" si="9"/>
        <v>0.96125000000000005</v>
      </c>
      <c r="W25" s="372">
        <f t="shared" si="9"/>
        <v>0.96031250000000001</v>
      </c>
      <c r="X25" s="371">
        <f t="shared" ref="X25:Y25" si="10">X17/X9</f>
        <v>0.84499999999999997</v>
      </c>
      <c r="Y25" s="371">
        <f t="shared" si="10"/>
        <v>0.82521</v>
      </c>
      <c r="Z25" s="356"/>
      <c r="AA25" s="356"/>
      <c r="AB25" s="356"/>
      <c r="AC25" s="356"/>
    </row>
    <row r="26" spans="1:29" s="357" customFormat="1" ht="14">
      <c r="A26" s="275"/>
      <c r="B26" s="363" t="s">
        <v>369</v>
      </c>
      <c r="C26" s="356"/>
      <c r="D26" s="371">
        <f t="shared" ref="D26:M26" si="11">D18/D10</f>
        <v>0.93943255556666672</v>
      </c>
      <c r="E26" s="371">
        <f t="shared" si="11"/>
        <v>0.96542877780000003</v>
      </c>
      <c r="F26" s="371">
        <f t="shared" si="11"/>
        <v>0.9676863334000001</v>
      </c>
      <c r="G26" s="371">
        <f t="shared" si="11"/>
        <v>0.96000751673333329</v>
      </c>
      <c r="H26" s="372">
        <f t="shared" si="11"/>
        <v>0.95813879587500017</v>
      </c>
      <c r="I26" s="371">
        <f t="shared" si="11"/>
        <v>0.89007723404255334</v>
      </c>
      <c r="J26" s="371">
        <f t="shared" si="11"/>
        <v>0.90612117553191485</v>
      </c>
      <c r="K26" s="371">
        <f t="shared" si="11"/>
        <v>0.97170057981914892</v>
      </c>
      <c r="L26" s="371">
        <f t="shared" si="11"/>
        <v>0.92732188301063723</v>
      </c>
      <c r="M26" s="372">
        <f t="shared" si="11"/>
        <v>0.92380521810106342</v>
      </c>
      <c r="N26" s="371">
        <f t="shared" ref="N26:W26" si="12">N18/N10</f>
        <v>0.84042553191489366</v>
      </c>
      <c r="O26" s="371">
        <f t="shared" si="12"/>
        <v>0.85106382978723405</v>
      </c>
      <c r="P26" s="371">
        <f t="shared" si="12"/>
        <v>0.89295574468085104</v>
      </c>
      <c r="Q26" s="371">
        <f t="shared" si="12"/>
        <v>0.92553191489361697</v>
      </c>
      <c r="R26" s="372">
        <f t="shared" si="12"/>
        <v>0.87749425531914893</v>
      </c>
      <c r="S26" s="371">
        <f t="shared" si="12"/>
        <v>0.93617021276595747</v>
      </c>
      <c r="T26" s="371">
        <f t="shared" si="12"/>
        <v>0.96808510638297873</v>
      </c>
      <c r="U26" s="371">
        <f t="shared" si="12"/>
        <v>0.98936170212765961</v>
      </c>
      <c r="V26" s="371">
        <f t="shared" si="12"/>
        <v>0.99326680851063831</v>
      </c>
      <c r="W26" s="372">
        <f t="shared" si="12"/>
        <v>0.97172095744680853</v>
      </c>
      <c r="X26" s="371">
        <f t="shared" ref="X26:Y26" si="13">X18/X10</f>
        <v>0.9397315957446809</v>
      </c>
      <c r="Y26" s="371">
        <f t="shared" si="13"/>
        <v>0.91349237765957447</v>
      </c>
      <c r="Z26" s="356"/>
      <c r="AA26" s="356"/>
      <c r="AB26" s="356"/>
      <c r="AC26" s="356"/>
    </row>
    <row r="27" spans="1:29" s="357" customFormat="1" ht="14">
      <c r="A27" s="275"/>
      <c r="B27" s="363" t="s">
        <v>370</v>
      </c>
      <c r="C27" s="356"/>
      <c r="D27" s="371">
        <f t="shared" ref="D27:M27" si="14">D19/D11</f>
        <v>0.69673315586419748</v>
      </c>
      <c r="E27" s="371">
        <f t="shared" si="14"/>
        <v>0.69963000771604911</v>
      </c>
      <c r="F27" s="371">
        <f t="shared" si="14"/>
        <v>0.69956486111111105</v>
      </c>
      <c r="G27" s="371">
        <f t="shared" si="14"/>
        <v>0.6981037345679012</v>
      </c>
      <c r="H27" s="372">
        <f t="shared" si="14"/>
        <v>0.69850793981481474</v>
      </c>
      <c r="I27" s="371">
        <f t="shared" si="14"/>
        <v>0.6663552237654321</v>
      </c>
      <c r="J27" s="371">
        <f t="shared" si="14"/>
        <v>0.6716625077160493</v>
      </c>
      <c r="K27" s="371">
        <f t="shared" si="14"/>
        <v>0.71895216820987651</v>
      </c>
      <c r="L27" s="371">
        <f t="shared" si="14"/>
        <v>0.70082584104938284</v>
      </c>
      <c r="M27" s="372">
        <f t="shared" si="14"/>
        <v>0.68944893518518513</v>
      </c>
      <c r="N27" s="371">
        <f t="shared" ref="N27:W27" si="15">N19/N11</f>
        <v>0.67477985658754613</v>
      </c>
      <c r="O27" s="371">
        <f t="shared" si="15"/>
        <v>0.68701159999577011</v>
      </c>
      <c r="P27" s="371">
        <f t="shared" si="15"/>
        <v>0.68756521555689476</v>
      </c>
      <c r="Q27" s="371">
        <f t="shared" si="15"/>
        <v>0.74104622022015654</v>
      </c>
      <c r="R27" s="372">
        <f t="shared" si="15"/>
        <v>0.69761013823653861</v>
      </c>
      <c r="S27" s="371">
        <f t="shared" si="15"/>
        <v>0.77192314606266299</v>
      </c>
      <c r="T27" s="371">
        <f t="shared" si="15"/>
        <v>0.74104622022015654</v>
      </c>
      <c r="U27" s="371">
        <f t="shared" si="15"/>
        <v>0.74104622022015654</v>
      </c>
      <c r="V27" s="371">
        <f t="shared" si="15"/>
        <v>0.76412672228743017</v>
      </c>
      <c r="W27" s="372">
        <f t="shared" si="15"/>
        <v>0.75453557719760156</v>
      </c>
      <c r="X27" s="371">
        <f t="shared" ref="X27:Y27" si="16">X19/X11</f>
        <v>0.71133538270225971</v>
      </c>
      <c r="Y27" s="371">
        <f t="shared" si="16"/>
        <v>0.72340235393532748</v>
      </c>
      <c r="Z27" s="356"/>
      <c r="AA27" s="356"/>
      <c r="AB27" s="356"/>
      <c r="AC27" s="356"/>
    </row>
    <row r="28" spans="1:29" s="357" customFormat="1" ht="14">
      <c r="A28" s="275"/>
      <c r="B28" s="363" t="s">
        <v>371</v>
      </c>
      <c r="C28" s="356"/>
      <c r="D28" s="373">
        <f t="shared" ref="D28:M28" si="17">D20/D12</f>
        <v>0.71275727272727274</v>
      </c>
      <c r="E28" s="373">
        <f t="shared" si="17"/>
        <v>0.71411805121818195</v>
      </c>
      <c r="F28" s="373">
        <f t="shared" si="17"/>
        <v>0.70467711794545462</v>
      </c>
      <c r="G28" s="373">
        <f t="shared" si="17"/>
        <v>0.66365268761818186</v>
      </c>
      <c r="H28" s="372">
        <f t="shared" si="17"/>
        <v>0.69880128237727279</v>
      </c>
      <c r="I28" s="373">
        <f t="shared" si="17"/>
        <v>0.62124531059999999</v>
      </c>
      <c r="J28" s="373">
        <f t="shared" si="17"/>
        <v>0.64176251309090915</v>
      </c>
      <c r="K28" s="373">
        <f t="shared" si="17"/>
        <v>0.63591783010909098</v>
      </c>
      <c r="L28" s="373">
        <f t="shared" si="17"/>
        <v>0.61531610143636362</v>
      </c>
      <c r="M28" s="372">
        <f t="shared" si="17"/>
        <v>0.62856043880909096</v>
      </c>
      <c r="N28" s="373">
        <f t="shared" ref="N28:W28" si="18">N20/N12</f>
        <v>0.65116279069767447</v>
      </c>
      <c r="O28" s="373">
        <f t="shared" si="18"/>
        <v>0.61395348837209307</v>
      </c>
      <c r="P28" s="373">
        <f t="shared" si="18"/>
        <v>0.58247441860465121</v>
      </c>
      <c r="Q28" s="373">
        <f t="shared" si="18"/>
        <v>0.57674418604651168</v>
      </c>
      <c r="R28" s="372">
        <f t="shared" si="18"/>
        <v>0.60608372093023255</v>
      </c>
      <c r="S28" s="373">
        <f t="shared" si="18"/>
        <v>0.59534883720930232</v>
      </c>
      <c r="T28" s="373">
        <f t="shared" si="18"/>
        <v>0.61395348837209307</v>
      </c>
      <c r="U28" s="373">
        <f t="shared" si="18"/>
        <v>0.61395348837209307</v>
      </c>
      <c r="V28" s="373">
        <f t="shared" si="18"/>
        <v>0.65324651162790703</v>
      </c>
      <c r="W28" s="372">
        <f t="shared" si="18"/>
        <v>0.61912558139534879</v>
      </c>
      <c r="X28" s="373">
        <f t="shared" ref="X28:Y28" si="19">X20/X12</f>
        <v>0.62132093023255819</v>
      </c>
      <c r="Y28" s="373">
        <f t="shared" si="19"/>
        <v>0.63067906976744192</v>
      </c>
      <c r="Z28" s="356"/>
      <c r="AA28" s="356"/>
      <c r="AB28" s="356"/>
      <c r="AC28" s="356"/>
    </row>
    <row r="29" spans="1:29" s="357" customFormat="1" ht="14">
      <c r="A29" s="275"/>
      <c r="B29" s="363" t="s">
        <v>372</v>
      </c>
      <c r="C29" s="356"/>
      <c r="D29" s="373">
        <f t="shared" ref="D29:M29" si="20">D21/D13</f>
        <v>0.75714193831973464</v>
      </c>
      <c r="E29" s="373">
        <f t="shared" si="20"/>
        <v>0.84227628996382242</v>
      </c>
      <c r="F29" s="373">
        <f t="shared" si="20"/>
        <v>0.80486742633284547</v>
      </c>
      <c r="G29" s="373">
        <f t="shared" si="20"/>
        <v>0.84912637451223227</v>
      </c>
      <c r="H29" s="372">
        <f t="shared" si="20"/>
        <v>0.81335300728215876</v>
      </c>
      <c r="I29" s="373">
        <f t="shared" si="20"/>
        <v>0.62883240374907456</v>
      </c>
      <c r="J29" s="373">
        <f t="shared" si="20"/>
        <v>0.56767352983926012</v>
      </c>
      <c r="K29" s="373">
        <f t="shared" si="20"/>
        <v>0.61048464917083622</v>
      </c>
      <c r="L29" s="373">
        <f t="shared" si="20"/>
        <v>0.59689447953503139</v>
      </c>
      <c r="M29" s="372">
        <f t="shared" si="20"/>
        <v>0.60097126557355052</v>
      </c>
      <c r="N29" s="373">
        <f t="shared" ref="N29:W29" si="21">N21/N13</f>
        <v>0.55859680994542105</v>
      </c>
      <c r="O29" s="373">
        <f t="shared" si="21"/>
        <v>0.52419354838709709</v>
      </c>
      <c r="P29" s="373">
        <f t="shared" si="21"/>
        <v>0.52647849462365615</v>
      </c>
      <c r="Q29" s="373">
        <f t="shared" si="21"/>
        <v>0.49731182795698947</v>
      </c>
      <c r="R29" s="372">
        <f t="shared" si="21"/>
        <v>0.52664517022829094</v>
      </c>
      <c r="S29" s="373">
        <f t="shared" si="21"/>
        <v>0.47043010752688197</v>
      </c>
      <c r="T29" s="373">
        <f t="shared" si="21"/>
        <v>0.60483870967741971</v>
      </c>
      <c r="U29" s="373">
        <f t="shared" si="21"/>
        <v>0.60483870967741971</v>
      </c>
      <c r="V29" s="373">
        <f t="shared" si="21"/>
        <v>0.5776485215053766</v>
      </c>
      <c r="W29" s="372">
        <f t="shared" si="21"/>
        <v>0.5644390120967745</v>
      </c>
      <c r="X29" s="373">
        <f t="shared" ref="X29:Y29" si="22">X21/X13</f>
        <v>0.54251969579301107</v>
      </c>
      <c r="Y29" s="373">
        <f t="shared" si="22"/>
        <v>0.49720430107526914</v>
      </c>
      <c r="Z29" s="374"/>
      <c r="AA29" s="356"/>
      <c r="AB29" s="356"/>
      <c r="AC29" s="356"/>
    </row>
    <row r="31" spans="1:29">
      <c r="B31" s="273" t="s">
        <v>534</v>
      </c>
    </row>
    <row r="35" spans="1:29" s="273" customFormat="1">
      <c r="A35" s="275"/>
      <c r="C35" s="356"/>
      <c r="Z35" s="356"/>
      <c r="AA35" s="356"/>
      <c r="AB35" s="356"/>
      <c r="AC35" s="356"/>
    </row>
    <row r="36" spans="1:29" s="273" customFormat="1">
      <c r="A36" s="275"/>
      <c r="C36" s="356"/>
      <c r="G36" s="298"/>
      <c r="Z36" s="356"/>
      <c r="AA36" s="356"/>
      <c r="AB36" s="356"/>
      <c r="AC36" s="356"/>
    </row>
    <row r="37" spans="1:29" s="273" customFormat="1">
      <c r="A37" s="275"/>
      <c r="C37" s="356"/>
      <c r="G37" s="298"/>
      <c r="Z37" s="356"/>
      <c r="AA37" s="356"/>
      <c r="AB37" s="356"/>
      <c r="AC37" s="356"/>
    </row>
    <row r="40" spans="1:29" s="273" customFormat="1">
      <c r="A40" s="275"/>
      <c r="C40" s="356"/>
      <c r="Z40" s="356"/>
      <c r="AA40" s="356"/>
      <c r="AB40" s="356"/>
      <c r="AC40" s="356"/>
    </row>
    <row r="41" spans="1:29" s="273" customFormat="1">
      <c r="A41" s="275"/>
      <c r="C41" s="356"/>
      <c r="Z41" s="356"/>
      <c r="AA41" s="356"/>
      <c r="AB41" s="356"/>
      <c r="AC41" s="356"/>
    </row>
    <row r="42" spans="1:29" s="273" customFormat="1">
      <c r="A42" s="275"/>
      <c r="C42" s="356"/>
      <c r="Z42" s="356"/>
      <c r="AA42" s="356"/>
      <c r="AB42" s="356"/>
      <c r="AC42" s="356"/>
    </row>
    <row r="43" spans="1:29" s="273" customFormat="1">
      <c r="A43" s="275"/>
      <c r="C43" s="356"/>
      <c r="Z43" s="356"/>
      <c r="AA43" s="356"/>
      <c r="AB43" s="356"/>
      <c r="AC43" s="356"/>
    </row>
  </sheetData>
  <pageMargins left="0.33" right="0.28999999999999998" top="0.984251969" bottom="0.984251969" header="0.49212598499999999" footer="0.49212598499999999"/>
  <pageSetup paperSize="9" orientation="landscape" r:id="rId1"/>
  <headerFooter alignWithMargins="0"/>
  <ignoredErrors>
    <ignoredError sqref="R14 R16 R24 R2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CD24-3209-4DC7-8621-4F471DA06560}">
  <sheetPr>
    <tabColor rgb="FF00B050"/>
    <pageSetUpPr fitToPage="1"/>
  </sheetPr>
  <dimension ref="B3:K87"/>
  <sheetViews>
    <sheetView showGridLines="0" zoomScale="90" zoomScaleNormal="90" zoomScaleSheetLayoutView="160" workbookViewId="0">
      <selection activeCell="I41" sqref="I41"/>
    </sheetView>
  </sheetViews>
  <sheetFormatPr defaultColWidth="9.1796875" defaultRowHeight="12.5"/>
  <cols>
    <col min="1" max="1" width="2.1796875" style="18" customWidth="1"/>
    <col min="2" max="2" width="25" style="18" customWidth="1"/>
    <col min="3" max="3" width="9.54296875" style="18" customWidth="1"/>
    <col min="4" max="8" width="16.81640625" style="18" customWidth="1"/>
    <col min="9" max="9" width="46.81640625" style="18" bestFit="1" customWidth="1"/>
    <col min="10" max="10" width="28.1796875" style="18" customWidth="1"/>
    <col min="11" max="11" width="20.54296875" style="18" bestFit="1" customWidth="1"/>
    <col min="12" max="16384" width="9.1796875" style="18"/>
  </cols>
  <sheetData>
    <row r="3" spans="2:11" ht="58.5" customHeight="1">
      <c r="B3" s="88" t="s">
        <v>26</v>
      </c>
      <c r="C3" s="88"/>
    </row>
    <row r="4" spans="2:11" ht="12.75" customHeight="1">
      <c r="B4" s="616" t="s">
        <v>543</v>
      </c>
      <c r="C4" s="616"/>
      <c r="D4" s="616"/>
      <c r="E4" s="616"/>
      <c r="F4" s="616"/>
      <c r="G4" s="616"/>
      <c r="H4" s="616"/>
      <c r="I4" s="616"/>
      <c r="J4" s="396"/>
    </row>
    <row r="5" spans="2:11" ht="12.75" customHeight="1">
      <c r="B5" s="616"/>
      <c r="C5" s="616"/>
      <c r="D5" s="616"/>
      <c r="E5" s="616"/>
      <c r="F5" s="616"/>
      <c r="G5" s="616"/>
      <c r="H5" s="616"/>
      <c r="I5" s="616"/>
      <c r="J5" s="193"/>
    </row>
    <row r="6" spans="2:11" ht="12.75" customHeight="1">
      <c r="B6" s="616"/>
      <c r="C6" s="616"/>
      <c r="D6" s="616"/>
      <c r="E6" s="616"/>
      <c r="F6" s="616"/>
      <c r="G6" s="616"/>
      <c r="H6" s="616"/>
      <c r="I6" s="616"/>
      <c r="J6" s="193"/>
    </row>
    <row r="7" spans="2:11" ht="12.75" customHeight="1">
      <c r="B7" s="616"/>
      <c r="C7" s="616"/>
      <c r="D7" s="616"/>
      <c r="E7" s="616"/>
      <c r="F7" s="616"/>
      <c r="G7" s="616"/>
      <c r="H7" s="616"/>
      <c r="I7" s="616"/>
      <c r="J7" s="193"/>
    </row>
    <row r="8" spans="2:11" ht="12.75" customHeight="1">
      <c r="B8" s="617"/>
      <c r="C8" s="617"/>
      <c r="D8" s="617"/>
      <c r="E8" s="617"/>
      <c r="F8" s="617"/>
      <c r="G8" s="617"/>
      <c r="H8" s="617"/>
      <c r="I8" s="617"/>
      <c r="J8" s="339"/>
    </row>
    <row r="9" spans="2:11" ht="28.5" thickBot="1">
      <c r="B9" s="194" t="s">
        <v>390</v>
      </c>
      <c r="C9" s="195" t="s">
        <v>27</v>
      </c>
      <c r="D9" s="196" t="s">
        <v>28</v>
      </c>
      <c r="E9" s="196" t="s">
        <v>29</v>
      </c>
      <c r="F9" s="196" t="s">
        <v>508</v>
      </c>
      <c r="G9" s="196" t="s">
        <v>30</v>
      </c>
      <c r="H9" s="196" t="s">
        <v>31</v>
      </c>
      <c r="I9" s="196" t="s">
        <v>32</v>
      </c>
      <c r="J9" s="196" t="s">
        <v>33</v>
      </c>
      <c r="K9" s="196" t="s">
        <v>34</v>
      </c>
    </row>
    <row r="10" spans="2:11" ht="12.75" customHeight="1" thickTop="1">
      <c r="B10" s="197" t="s">
        <v>35</v>
      </c>
      <c r="C10" s="198" t="s">
        <v>36</v>
      </c>
      <c r="D10" s="199">
        <v>1</v>
      </c>
      <c r="E10" s="200">
        <v>72</v>
      </c>
      <c r="F10" s="200">
        <f t="shared" ref="F10:F31" si="0">D10*E10</f>
        <v>72</v>
      </c>
      <c r="G10" s="200">
        <v>46.23</v>
      </c>
      <c r="H10" s="200" t="s">
        <v>37</v>
      </c>
      <c r="I10" s="200" t="s">
        <v>38</v>
      </c>
      <c r="J10" s="391" t="s">
        <v>39</v>
      </c>
      <c r="K10" s="449" t="s">
        <v>459</v>
      </c>
    </row>
    <row r="11" spans="2:11" ht="12.75" customHeight="1">
      <c r="B11" s="202" t="s">
        <v>40</v>
      </c>
      <c r="C11" s="203" t="s">
        <v>36</v>
      </c>
      <c r="D11" s="204">
        <v>1</v>
      </c>
      <c r="E11" s="200">
        <v>40.4</v>
      </c>
      <c r="F11" s="200">
        <f t="shared" si="0"/>
        <v>40.4</v>
      </c>
      <c r="G11" s="200">
        <v>27.4</v>
      </c>
      <c r="H11" s="200" t="s">
        <v>37</v>
      </c>
      <c r="I11" s="200" t="s">
        <v>38</v>
      </c>
      <c r="J11" s="391" t="s">
        <v>39</v>
      </c>
      <c r="K11" s="201" t="s">
        <v>460</v>
      </c>
    </row>
    <row r="12" spans="2:11" ht="12.75" customHeight="1">
      <c r="B12" s="197" t="s">
        <v>41</v>
      </c>
      <c r="C12" s="198" t="s">
        <v>36</v>
      </c>
      <c r="D12" s="204">
        <v>1</v>
      </c>
      <c r="E12" s="200">
        <v>36.4</v>
      </c>
      <c r="F12" s="200">
        <f t="shared" si="0"/>
        <v>36.4</v>
      </c>
      <c r="G12" s="200">
        <v>25.11</v>
      </c>
      <c r="H12" s="200" t="s">
        <v>37</v>
      </c>
      <c r="I12" s="200" t="s">
        <v>38</v>
      </c>
      <c r="J12" s="391" t="s">
        <v>39</v>
      </c>
      <c r="K12" s="201" t="s">
        <v>460</v>
      </c>
    </row>
    <row r="13" spans="2:11" ht="12.75" customHeight="1">
      <c r="B13" s="202" t="s">
        <v>42</v>
      </c>
      <c r="C13" s="203" t="s">
        <v>36</v>
      </c>
      <c r="D13" s="204">
        <v>1</v>
      </c>
      <c r="E13" s="200">
        <v>29.5</v>
      </c>
      <c r="F13" s="200">
        <f t="shared" si="0"/>
        <v>29.5</v>
      </c>
      <c r="G13" s="200">
        <v>17.690000000000001</v>
      </c>
      <c r="H13" s="200" t="s">
        <v>37</v>
      </c>
      <c r="I13" s="200" t="s">
        <v>38</v>
      </c>
      <c r="J13" s="391" t="s">
        <v>39</v>
      </c>
      <c r="K13" s="201" t="s">
        <v>460</v>
      </c>
    </row>
    <row r="14" spans="2:11" ht="12.75" customHeight="1">
      <c r="B14" s="197" t="s">
        <v>43</v>
      </c>
      <c r="C14" s="198" t="s">
        <v>36</v>
      </c>
      <c r="D14" s="204">
        <v>1</v>
      </c>
      <c r="E14" s="200">
        <v>28.4</v>
      </c>
      <c r="F14" s="200">
        <f t="shared" si="0"/>
        <v>28.4</v>
      </c>
      <c r="G14" s="200">
        <v>19.41</v>
      </c>
      <c r="H14" s="200" t="s">
        <v>37</v>
      </c>
      <c r="I14" s="200" t="s">
        <v>38</v>
      </c>
      <c r="J14" s="391" t="s">
        <v>39</v>
      </c>
      <c r="K14" s="201" t="s">
        <v>460</v>
      </c>
    </row>
    <row r="15" spans="2:11" ht="12.75" customHeight="1">
      <c r="B15" s="202" t="s">
        <v>44</v>
      </c>
      <c r="C15" s="203" t="s">
        <v>36</v>
      </c>
      <c r="D15" s="204">
        <v>1</v>
      </c>
      <c r="E15" s="200">
        <v>24</v>
      </c>
      <c r="F15" s="200">
        <f t="shared" si="0"/>
        <v>24</v>
      </c>
      <c r="G15" s="200">
        <v>16.55</v>
      </c>
      <c r="H15" s="200" t="s">
        <v>37</v>
      </c>
      <c r="I15" s="200" t="s">
        <v>38</v>
      </c>
      <c r="J15" s="391" t="s">
        <v>39</v>
      </c>
      <c r="K15" s="201" t="s">
        <v>460</v>
      </c>
    </row>
    <row r="16" spans="2:11" ht="12.75" customHeight="1">
      <c r="B16" s="197" t="s">
        <v>45</v>
      </c>
      <c r="C16" s="198" t="s">
        <v>36</v>
      </c>
      <c r="D16" s="204">
        <v>1</v>
      </c>
      <c r="E16" s="200">
        <v>36.869999999999997</v>
      </c>
      <c r="F16" s="200">
        <f t="shared" si="0"/>
        <v>36.869999999999997</v>
      </c>
      <c r="G16" s="200">
        <v>26.83</v>
      </c>
      <c r="H16" s="200" t="s">
        <v>37</v>
      </c>
      <c r="I16" s="200" t="s">
        <v>38</v>
      </c>
      <c r="J16" s="391" t="s">
        <v>39</v>
      </c>
      <c r="K16" s="201" t="s">
        <v>465</v>
      </c>
    </row>
    <row r="17" spans="2:11" ht="12.75" customHeight="1">
      <c r="B17" s="202" t="s">
        <v>46</v>
      </c>
      <c r="C17" s="203" t="s">
        <v>36</v>
      </c>
      <c r="D17" s="204">
        <v>1</v>
      </c>
      <c r="E17" s="200">
        <v>55</v>
      </c>
      <c r="F17" s="200">
        <f t="shared" si="0"/>
        <v>55</v>
      </c>
      <c r="G17" s="200">
        <v>17.12</v>
      </c>
      <c r="H17" s="200" t="s">
        <v>37</v>
      </c>
      <c r="I17" s="200" t="s">
        <v>47</v>
      </c>
      <c r="J17" s="391" t="s">
        <v>39</v>
      </c>
      <c r="K17" s="201" t="s">
        <v>466</v>
      </c>
    </row>
    <row r="18" spans="2:11" ht="12.75" customHeight="1">
      <c r="B18" s="197" t="s">
        <v>477</v>
      </c>
      <c r="C18" s="198" t="s">
        <v>36</v>
      </c>
      <c r="D18" s="204">
        <v>1</v>
      </c>
      <c r="E18" s="200">
        <v>4.4000000000000004</v>
      </c>
      <c r="F18" s="200">
        <f t="shared" si="0"/>
        <v>4.4000000000000004</v>
      </c>
      <c r="G18" s="200">
        <v>3.42</v>
      </c>
      <c r="H18" s="200" t="s">
        <v>37</v>
      </c>
      <c r="I18" s="200" t="s">
        <v>47</v>
      </c>
      <c r="J18" s="391" t="s">
        <v>39</v>
      </c>
      <c r="K18" s="201" t="s">
        <v>467</v>
      </c>
    </row>
    <row r="19" spans="2:11" ht="12.75" customHeight="1">
      <c r="B19" s="202" t="s">
        <v>48</v>
      </c>
      <c r="C19" s="203" t="s">
        <v>36</v>
      </c>
      <c r="D19" s="204">
        <v>1</v>
      </c>
      <c r="E19" s="200">
        <v>2.2400000000000002</v>
      </c>
      <c r="F19" s="200">
        <f t="shared" si="0"/>
        <v>2.2400000000000002</v>
      </c>
      <c r="G19" s="200">
        <v>1.67</v>
      </c>
      <c r="H19" s="200" t="s">
        <v>37</v>
      </c>
      <c r="I19" s="200" t="s">
        <v>47</v>
      </c>
      <c r="J19" s="391" t="s">
        <v>39</v>
      </c>
      <c r="K19" s="201" t="s">
        <v>467</v>
      </c>
    </row>
    <row r="20" spans="2:11" ht="12.75" customHeight="1">
      <c r="B20" s="197" t="s">
        <v>49</v>
      </c>
      <c r="C20" s="198" t="s">
        <v>36</v>
      </c>
      <c r="D20" s="204">
        <v>1</v>
      </c>
      <c r="E20" s="200">
        <v>3</v>
      </c>
      <c r="F20" s="200">
        <f t="shared" si="0"/>
        <v>3</v>
      </c>
      <c r="G20" s="200">
        <v>2.48</v>
      </c>
      <c r="H20" s="200" t="s">
        <v>37</v>
      </c>
      <c r="I20" s="200" t="s">
        <v>47</v>
      </c>
      <c r="J20" s="391" t="s">
        <v>39</v>
      </c>
      <c r="K20" s="201" t="s">
        <v>467</v>
      </c>
    </row>
    <row r="21" spans="2:11" ht="12.75" customHeight="1">
      <c r="B21" s="202" t="s">
        <v>50</v>
      </c>
      <c r="C21" s="203" t="s">
        <v>51</v>
      </c>
      <c r="D21" s="204">
        <v>1</v>
      </c>
      <c r="E21" s="200">
        <v>60</v>
      </c>
      <c r="F21" s="200">
        <f t="shared" si="0"/>
        <v>60</v>
      </c>
      <c r="G21" s="200">
        <v>37.799999999999997</v>
      </c>
      <c r="H21" s="200" t="s">
        <v>52</v>
      </c>
      <c r="I21" s="200" t="s">
        <v>53</v>
      </c>
      <c r="J21" s="391" t="s">
        <v>39</v>
      </c>
      <c r="K21" s="201">
        <v>45679</v>
      </c>
    </row>
    <row r="22" spans="2:11" ht="12.75" customHeight="1">
      <c r="B22" s="197" t="s">
        <v>54</v>
      </c>
      <c r="C22" s="198" t="s">
        <v>36</v>
      </c>
      <c r="D22" s="204">
        <v>1</v>
      </c>
      <c r="E22" s="200">
        <v>80</v>
      </c>
      <c r="F22" s="200">
        <f t="shared" si="0"/>
        <v>80</v>
      </c>
      <c r="G22" s="200">
        <v>40.4</v>
      </c>
      <c r="H22" s="200" t="s">
        <v>52</v>
      </c>
      <c r="I22" s="200" t="s">
        <v>55</v>
      </c>
      <c r="J22" s="391" t="s">
        <v>39</v>
      </c>
      <c r="K22" s="201">
        <v>50710</v>
      </c>
    </row>
    <row r="23" spans="2:11" ht="12.75" customHeight="1">
      <c r="B23" s="202" t="s">
        <v>56</v>
      </c>
      <c r="C23" s="203" t="s">
        <v>36</v>
      </c>
      <c r="D23" s="204">
        <v>1</v>
      </c>
      <c r="E23" s="200">
        <v>44.1</v>
      </c>
      <c r="F23" s="200">
        <f t="shared" si="0"/>
        <v>44.1</v>
      </c>
      <c r="G23" s="200">
        <v>23.3</v>
      </c>
      <c r="H23" s="200" t="s">
        <v>52</v>
      </c>
      <c r="I23" s="200" t="s">
        <v>55</v>
      </c>
      <c r="J23" s="391" t="s">
        <v>39</v>
      </c>
      <c r="K23" s="201">
        <v>51448</v>
      </c>
    </row>
    <row r="24" spans="2:11" ht="12.75" customHeight="1">
      <c r="B24" s="197" t="s">
        <v>57</v>
      </c>
      <c r="C24" s="198" t="s">
        <v>58</v>
      </c>
      <c r="D24" s="204">
        <v>1</v>
      </c>
      <c r="E24" s="200">
        <v>93</v>
      </c>
      <c r="F24" s="200">
        <f t="shared" si="0"/>
        <v>93</v>
      </c>
      <c r="G24" s="200">
        <v>57.8</v>
      </c>
      <c r="H24" s="200" t="s">
        <v>52</v>
      </c>
      <c r="I24" s="200" t="s">
        <v>59</v>
      </c>
      <c r="J24" s="391" t="s">
        <v>39</v>
      </c>
      <c r="K24" s="201">
        <v>52940</v>
      </c>
    </row>
    <row r="25" spans="2:11" ht="12.75" customHeight="1">
      <c r="B25" s="202" t="s">
        <v>60</v>
      </c>
      <c r="C25" s="203" t="s">
        <v>61</v>
      </c>
      <c r="D25" s="205">
        <v>0.6</v>
      </c>
      <c r="E25" s="200">
        <v>191.89</v>
      </c>
      <c r="F25" s="200">
        <f t="shared" si="0"/>
        <v>115.13399999999999</v>
      </c>
      <c r="G25" s="200">
        <v>68.459999999999994</v>
      </c>
      <c r="H25" s="200" t="s">
        <v>52</v>
      </c>
      <c r="I25" s="200" t="s">
        <v>62</v>
      </c>
      <c r="J25" s="391" t="s">
        <v>39</v>
      </c>
      <c r="K25" s="201">
        <v>51888</v>
      </c>
    </row>
    <row r="26" spans="2:11" ht="12.75" customHeight="1">
      <c r="B26" s="202" t="s">
        <v>63</v>
      </c>
      <c r="C26" s="203" t="s">
        <v>389</v>
      </c>
      <c r="D26" s="205">
        <v>0.503</v>
      </c>
      <c r="E26" s="200">
        <v>82.5</v>
      </c>
      <c r="F26" s="200">
        <f t="shared" si="0"/>
        <v>41.497500000000002</v>
      </c>
      <c r="G26" s="200">
        <v>27.26</v>
      </c>
      <c r="H26" s="200" t="s">
        <v>52</v>
      </c>
      <c r="I26" s="200" t="s">
        <v>64</v>
      </c>
      <c r="J26" s="391" t="s">
        <v>39</v>
      </c>
      <c r="K26" s="201">
        <v>50250</v>
      </c>
    </row>
    <row r="27" spans="2:11" ht="12.75" customHeight="1">
      <c r="B27" s="202" t="s">
        <v>65</v>
      </c>
      <c r="C27" s="203" t="s">
        <v>389</v>
      </c>
      <c r="D27" s="205">
        <v>0.503</v>
      </c>
      <c r="E27" s="200">
        <v>72</v>
      </c>
      <c r="F27" s="200">
        <f t="shared" si="0"/>
        <v>36.216000000000001</v>
      </c>
      <c r="G27" s="200">
        <v>22.94</v>
      </c>
      <c r="H27" s="200" t="s">
        <v>52</v>
      </c>
      <c r="I27" s="200" t="s">
        <v>64</v>
      </c>
      <c r="J27" s="391" t="s">
        <v>39</v>
      </c>
      <c r="K27" s="201">
        <v>50247</v>
      </c>
    </row>
    <row r="28" spans="2:11" ht="12.75" customHeight="1">
      <c r="B28" s="202" t="s">
        <v>66</v>
      </c>
      <c r="C28" s="203" t="s">
        <v>61</v>
      </c>
      <c r="D28" s="205">
        <v>0.292296</v>
      </c>
      <c r="E28" s="200">
        <v>1140</v>
      </c>
      <c r="F28" s="200">
        <f t="shared" si="0"/>
        <v>333.21744000000001</v>
      </c>
      <c r="G28" s="200">
        <v>135.16999999999999</v>
      </c>
      <c r="H28" s="200" t="s">
        <v>52</v>
      </c>
      <c r="I28" s="200" t="s">
        <v>67</v>
      </c>
      <c r="J28" s="391" t="s">
        <v>39</v>
      </c>
      <c r="K28" s="201">
        <v>49590</v>
      </c>
    </row>
    <row r="29" spans="2:11" ht="12.75" customHeight="1">
      <c r="B29" s="202" t="s">
        <v>68</v>
      </c>
      <c r="C29" s="203" t="s">
        <v>61</v>
      </c>
      <c r="D29" s="205">
        <v>0.25438655999999998</v>
      </c>
      <c r="E29" s="200">
        <v>880</v>
      </c>
      <c r="F29" s="200">
        <f t="shared" si="0"/>
        <v>223.86017279999999</v>
      </c>
      <c r="G29" s="200">
        <f>379.7*23.78%</f>
        <v>90.292659999999998</v>
      </c>
      <c r="H29" s="200" t="s">
        <v>52</v>
      </c>
      <c r="I29" s="200" t="s">
        <v>69</v>
      </c>
      <c r="J29" s="200" t="s">
        <v>70</v>
      </c>
      <c r="K29" s="201">
        <v>50776</v>
      </c>
    </row>
    <row r="30" spans="2:11" ht="12.75" customHeight="1">
      <c r="B30" s="202" t="s">
        <v>71</v>
      </c>
      <c r="C30" s="203" t="s">
        <v>72</v>
      </c>
      <c r="D30" s="205">
        <v>0.15</v>
      </c>
      <c r="E30" s="200">
        <v>690</v>
      </c>
      <c r="F30" s="200">
        <f t="shared" si="0"/>
        <v>103.5</v>
      </c>
      <c r="G30" s="200">
        <v>55.92</v>
      </c>
      <c r="H30" s="200" t="s">
        <v>52</v>
      </c>
      <c r="I30" s="200" t="s">
        <v>73</v>
      </c>
      <c r="J30" s="200" t="s">
        <v>70</v>
      </c>
      <c r="K30" s="201">
        <v>51566</v>
      </c>
    </row>
    <row r="31" spans="2:11" ht="12.75" customHeight="1">
      <c r="B31" s="202" t="s">
        <v>393</v>
      </c>
      <c r="C31" s="203" t="s">
        <v>391</v>
      </c>
      <c r="D31" s="205">
        <v>0.98</v>
      </c>
      <c r="E31" s="200">
        <v>171.60000000000002</v>
      </c>
      <c r="F31" s="200">
        <f t="shared" si="0"/>
        <v>168.16800000000001</v>
      </c>
      <c r="G31" s="200">
        <v>74.400000000000006</v>
      </c>
      <c r="H31" s="200" t="s">
        <v>52</v>
      </c>
      <c r="I31" s="200" t="s">
        <v>392</v>
      </c>
      <c r="J31" s="391" t="s">
        <v>39</v>
      </c>
      <c r="K31" s="201">
        <v>20394</v>
      </c>
    </row>
    <row r="32" spans="2:11" ht="12.75" customHeight="1" thickBot="1">
      <c r="B32" s="194" t="s">
        <v>74</v>
      </c>
      <c r="C32" s="194"/>
      <c r="D32" s="194"/>
      <c r="E32" s="390">
        <f>SUM(E10:E31)</f>
        <v>3837.2999999999997</v>
      </c>
      <c r="F32" s="390">
        <f>SUM(F10:F31)</f>
        <v>1630.9031128000001</v>
      </c>
      <c r="G32" s="390">
        <f>SUM(G10:G31)</f>
        <v>837.65265999999986</v>
      </c>
      <c r="H32" s="194"/>
      <c r="I32" s="194"/>
      <c r="J32" s="194"/>
      <c r="K32" s="194"/>
    </row>
    <row r="33" spans="2:11" ht="12.75" customHeight="1" thickTop="1"/>
    <row r="34" spans="2:11" ht="12.75" customHeight="1">
      <c r="B34" s="576" t="s">
        <v>461</v>
      </c>
      <c r="C34" s="576"/>
      <c r="D34" s="576"/>
      <c r="E34" s="576"/>
      <c r="F34" s="576"/>
      <c r="G34" s="576"/>
      <c r="H34" s="576"/>
      <c r="I34" s="576"/>
      <c r="J34" s="576"/>
      <c r="K34" s="576"/>
    </row>
    <row r="35" spans="2:11" ht="12.75" customHeight="1">
      <c r="B35" s="576" t="s">
        <v>462</v>
      </c>
      <c r="C35" s="576"/>
      <c r="D35" s="576"/>
      <c r="E35" s="576"/>
      <c r="F35" s="576"/>
      <c r="G35" s="576"/>
      <c r="H35" s="576"/>
      <c r="I35" s="216"/>
      <c r="J35" s="216"/>
      <c r="K35" s="216"/>
    </row>
    <row r="36" spans="2:11" ht="12.75" customHeight="1">
      <c r="B36" s="576" t="s">
        <v>463</v>
      </c>
      <c r="C36" s="576"/>
      <c r="D36" s="576"/>
      <c r="E36" s="576"/>
      <c r="F36" s="576"/>
      <c r="G36" s="576"/>
      <c r="H36" s="576"/>
      <c r="I36" s="216"/>
      <c r="J36" s="216"/>
      <c r="K36" s="216"/>
    </row>
    <row r="37" spans="2:11" ht="12.75" customHeight="1">
      <c r="B37" s="576" t="s">
        <v>464</v>
      </c>
      <c r="C37" s="576"/>
      <c r="D37" s="576"/>
      <c r="E37" s="576"/>
      <c r="F37" s="576"/>
      <c r="G37" s="576"/>
      <c r="H37" s="576"/>
      <c r="I37" s="450"/>
      <c r="J37" s="450"/>
      <c r="K37" s="450"/>
    </row>
    <row r="38" spans="2:11" ht="12.75" customHeight="1">
      <c r="B38" s="618" t="s">
        <v>468</v>
      </c>
      <c r="C38" s="619"/>
      <c r="D38" s="619"/>
      <c r="E38" s="619"/>
      <c r="F38" s="619"/>
      <c r="G38" s="619"/>
      <c r="H38" s="619"/>
    </row>
    <row r="39" spans="2:11" ht="12.75" customHeight="1">
      <c r="B39" s="451"/>
    </row>
    <row r="40" spans="2:11" ht="12.75" customHeight="1"/>
    <row r="41" spans="2:11" ht="12.75" customHeight="1">
      <c r="B41" s="88" t="s">
        <v>75</v>
      </c>
      <c r="C41" s="88"/>
    </row>
    <row r="42" spans="2:11" ht="12.75" customHeight="1">
      <c r="B42" s="615" t="s">
        <v>76</v>
      </c>
      <c r="C42" s="615"/>
      <c r="D42" s="615"/>
      <c r="E42" s="206">
        <f>E17+E18+E19+E20</f>
        <v>64.64</v>
      </c>
      <c r="F42" s="206"/>
    </row>
    <row r="43" spans="2:11" ht="12.75" customHeight="1">
      <c r="B43" s="615" t="s">
        <v>77</v>
      </c>
      <c r="C43" s="615"/>
      <c r="D43" s="615"/>
      <c r="E43" s="206">
        <f>E10+E11+E12+E13+E14+E15+E16</f>
        <v>267.57</v>
      </c>
      <c r="F43" s="206"/>
    </row>
    <row r="44" spans="2:11" ht="12.75" customHeight="1">
      <c r="D44" s="207" t="s">
        <v>74</v>
      </c>
      <c r="E44" s="394">
        <f>SUM(E42:E43)</f>
        <v>332.21</v>
      </c>
      <c r="F44" s="394"/>
      <c r="G44" s="208"/>
    </row>
    <row r="45" spans="2:11" ht="12.75" customHeight="1">
      <c r="E45" s="395"/>
      <c r="F45" s="395"/>
    </row>
    <row r="46" spans="2:11" ht="12.75" customHeight="1"/>
    <row r="47" spans="2:11" ht="12.75" customHeight="1"/>
    <row r="48" spans="2:11" ht="12.75" customHeight="1"/>
    <row r="75" spans="2:6" ht="13">
      <c r="B75" s="209"/>
    </row>
    <row r="76" spans="2:6" s="117" customFormat="1" ht="12.75" customHeight="1"/>
    <row r="77" spans="2:6" ht="12.75" customHeight="1">
      <c r="C77" s="209"/>
    </row>
    <row r="78" spans="2:6" ht="12.75" customHeight="1">
      <c r="C78" s="209"/>
    </row>
    <row r="79" spans="2:6" ht="12.75" customHeight="1">
      <c r="C79" s="209"/>
    </row>
    <row r="80" spans="2:6" ht="13">
      <c r="B80" s="209"/>
      <c r="C80" s="209"/>
      <c r="D80" s="209"/>
      <c r="E80" s="209"/>
      <c r="F80" s="209"/>
    </row>
    <row r="82" spans="2:9" ht="13">
      <c r="B82" s="209" t="s">
        <v>78</v>
      </c>
    </row>
    <row r="83" spans="2:9" ht="13">
      <c r="B83" s="209"/>
    </row>
    <row r="84" spans="2:9" ht="14.5" thickBot="1">
      <c r="B84" s="117" t="s">
        <v>79</v>
      </c>
    </row>
    <row r="85" spans="2:9" ht="13">
      <c r="B85" s="340" t="s">
        <v>80</v>
      </c>
      <c r="C85" s="340"/>
      <c r="D85" s="340"/>
      <c r="E85" s="340"/>
      <c r="F85" s="340"/>
      <c r="G85" s="340"/>
      <c r="H85" s="340"/>
      <c r="I85" s="340"/>
    </row>
    <row r="86" spans="2:9" ht="13">
      <c r="B86" s="209" t="s">
        <v>81</v>
      </c>
    </row>
    <row r="87" spans="2:9" ht="13">
      <c r="B87" s="209" t="s">
        <v>82</v>
      </c>
    </row>
  </sheetData>
  <mergeCells count="9">
    <mergeCell ref="B43:D43"/>
    <mergeCell ref="B4:I7"/>
    <mergeCell ref="B8:I8"/>
    <mergeCell ref="B34:K34"/>
    <mergeCell ref="B35:H35"/>
    <mergeCell ref="B42:D42"/>
    <mergeCell ref="B36:H36"/>
    <mergeCell ref="B37:H37"/>
    <mergeCell ref="B38:H38"/>
  </mergeCells>
  <pageMargins left="0.35433070866141736" right="0.31496062992125984" top="0.39370078740157483" bottom="0.23622047244094491" header="0.35433070866141736" footer="0.27559055118110237"/>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42374-C992-4F41-A22E-2AAC3263C6AC}">
  <sheetPr>
    <tabColor rgb="FF00B050"/>
  </sheetPr>
  <dimension ref="A1:AM63"/>
  <sheetViews>
    <sheetView showGridLines="0" zoomScale="90" zoomScaleNormal="90" workbookViewId="0">
      <selection activeCell="AL35" sqref="AL35"/>
    </sheetView>
  </sheetViews>
  <sheetFormatPr defaultColWidth="9.1796875" defaultRowHeight="12.5" outlineLevelCol="1"/>
  <cols>
    <col min="1" max="1" width="2.1796875" style="284" customWidth="1"/>
    <col min="2" max="2" width="62" style="284" bestFit="1" customWidth="1"/>
    <col min="3" max="17" width="9.1796875" style="284" hidden="1" customWidth="1" outlineLevel="1"/>
    <col min="18" max="18" width="10.1796875" style="284" hidden="1" customWidth="1" outlineLevel="1"/>
    <col min="19" max="19" width="9.1796875" style="284" collapsed="1"/>
    <col min="20" max="24" width="9.1796875" style="284"/>
    <col min="25" max="28" width="9.1796875" style="284" customWidth="1"/>
    <col min="29" max="29" width="9.1796875" style="284"/>
    <col min="30" max="34" width="0" style="284" hidden="1" customWidth="1" outlineLevel="1"/>
    <col min="35" max="35" width="9.1796875" style="284" collapsed="1"/>
    <col min="36" max="16384" width="9.1796875" style="284"/>
  </cols>
  <sheetData>
    <row r="1" spans="2:38" s="273" customFormat="1"/>
    <row r="2" spans="2:38" s="273" customFormat="1" ht="13.5" customHeight="1"/>
    <row r="3" spans="2:38" s="273" customFormat="1"/>
    <row r="4" spans="2:38" s="273" customFormat="1" ht="20.25" customHeight="1"/>
    <row r="5" spans="2:38" s="273" customFormat="1" ht="13">
      <c r="B5" s="274"/>
    </row>
    <row r="6" spans="2:38" s="273" customFormat="1" ht="13">
      <c r="B6" s="274"/>
      <c r="W6" s="550"/>
      <c r="X6" s="550"/>
      <c r="Y6" s="550"/>
      <c r="Z6" s="550"/>
      <c r="AA6" s="550"/>
      <c r="AB6" s="550"/>
    </row>
    <row r="7" spans="2:38" s="273" customFormat="1" ht="14.5" thickBot="1">
      <c r="B7" s="276" t="s">
        <v>484</v>
      </c>
      <c r="C7" s="277" t="s">
        <v>88</v>
      </c>
      <c r="D7" s="277" t="s">
        <v>89</v>
      </c>
      <c r="E7" s="277" t="s">
        <v>90</v>
      </c>
      <c r="F7" s="277" t="s">
        <v>91</v>
      </c>
      <c r="G7" s="277" t="s">
        <v>92</v>
      </c>
      <c r="H7" s="277" t="s">
        <v>93</v>
      </c>
      <c r="I7" s="277" t="s">
        <v>94</v>
      </c>
      <c r="J7" s="277" t="s">
        <v>95</v>
      </c>
      <c r="K7" s="277" t="s">
        <v>96</v>
      </c>
      <c r="L7" s="277" t="s">
        <v>97</v>
      </c>
      <c r="M7" s="277" t="s">
        <v>98</v>
      </c>
      <c r="N7" s="277" t="s">
        <v>99</v>
      </c>
      <c r="O7" s="277" t="s">
        <v>100</v>
      </c>
      <c r="P7" s="277" t="s">
        <v>101</v>
      </c>
      <c r="Q7" s="277" t="s">
        <v>336</v>
      </c>
      <c r="R7" s="277" t="s">
        <v>342</v>
      </c>
      <c r="S7" s="277" t="s">
        <v>357</v>
      </c>
      <c r="T7" s="277" t="s">
        <v>384</v>
      </c>
      <c r="U7" s="277" t="s">
        <v>395</v>
      </c>
      <c r="V7" s="277" t="s">
        <v>396</v>
      </c>
      <c r="W7" s="277" t="s">
        <v>469</v>
      </c>
      <c r="X7" s="277" t="s">
        <v>473</v>
      </c>
      <c r="Y7" s="277" t="s">
        <v>478</v>
      </c>
      <c r="Z7" s="277" t="s">
        <v>480</v>
      </c>
      <c r="AA7" s="277" t="s">
        <v>518</v>
      </c>
      <c r="AB7" s="277" t="s">
        <v>521</v>
      </c>
      <c r="AC7" s="275"/>
      <c r="AD7" s="277">
        <v>2018</v>
      </c>
      <c r="AE7" s="277">
        <v>2019</v>
      </c>
      <c r="AF7" s="277">
        <v>2020</v>
      </c>
      <c r="AG7" s="277">
        <v>2021</v>
      </c>
      <c r="AH7" s="277">
        <v>2022</v>
      </c>
      <c r="AI7" s="277">
        <v>2023</v>
      </c>
      <c r="AJ7" s="277">
        <v>2024</v>
      </c>
    </row>
    <row r="8" spans="2:38" s="273" customFormat="1" ht="14.5" thickTop="1">
      <c r="B8" s="312" t="s">
        <v>511</v>
      </c>
      <c r="C8" s="497">
        <v>0</v>
      </c>
      <c r="D8" s="497">
        <v>0</v>
      </c>
      <c r="E8" s="497">
        <v>0</v>
      </c>
      <c r="F8" s="497">
        <v>0</v>
      </c>
      <c r="G8" s="497">
        <v>0</v>
      </c>
      <c r="H8" s="497">
        <v>0</v>
      </c>
      <c r="I8" s="497">
        <v>0</v>
      </c>
      <c r="J8" s="497">
        <v>0</v>
      </c>
      <c r="K8" s="497">
        <f>SUM(K9:K11)</f>
        <v>185.25</v>
      </c>
      <c r="L8" s="497">
        <f t="shared" ref="L8:AB8" si="0">SUM(L9:L11)</f>
        <v>152.04500000000002</v>
      </c>
      <c r="M8" s="497">
        <f t="shared" si="0"/>
        <v>206.58599999999998</v>
      </c>
      <c r="N8" s="497">
        <f t="shared" si="0"/>
        <v>183.52500000000001</v>
      </c>
      <c r="O8" s="497">
        <f t="shared" si="0"/>
        <v>152.15699999999998</v>
      </c>
      <c r="P8" s="497">
        <f t="shared" si="0"/>
        <v>156.29299999999998</v>
      </c>
      <c r="Q8" s="497">
        <f t="shared" si="0"/>
        <v>166.64499999999998</v>
      </c>
      <c r="R8" s="497">
        <f t="shared" si="0"/>
        <v>159.33999999999997</v>
      </c>
      <c r="S8" s="497">
        <f t="shared" si="0"/>
        <v>136.23599999999999</v>
      </c>
      <c r="T8" s="497">
        <f t="shared" si="0"/>
        <v>153.08199999999999</v>
      </c>
      <c r="U8" s="497">
        <f t="shared" si="0"/>
        <v>139.62299999999999</v>
      </c>
      <c r="V8" s="497">
        <f t="shared" si="0"/>
        <v>109.48700000000004</v>
      </c>
      <c r="W8" s="497">
        <f t="shared" si="0"/>
        <v>71.621000000000009</v>
      </c>
      <c r="X8" s="497">
        <f t="shared" si="0"/>
        <v>62.226000000000006</v>
      </c>
      <c r="Y8" s="497">
        <f t="shared" si="0"/>
        <v>67.382000000000005</v>
      </c>
      <c r="Z8" s="497">
        <f t="shared" si="0"/>
        <v>109.718</v>
      </c>
      <c r="AA8" s="497">
        <f t="shared" si="0"/>
        <v>93.050307549964685</v>
      </c>
      <c r="AB8" s="497">
        <f t="shared" si="0"/>
        <v>118.2643807188</v>
      </c>
      <c r="AC8" s="551"/>
      <c r="AD8" s="497"/>
      <c r="AE8" s="497"/>
      <c r="AF8" s="497"/>
      <c r="AG8" s="497">
        <f t="shared" ref="AG8:AG22" si="1">SUM(K8:N8)</f>
        <v>727.40599999999995</v>
      </c>
      <c r="AH8" s="497">
        <f t="shared" ref="AH8:AH22" si="2">SUM(O8:R8)</f>
        <v>634.43499999999995</v>
      </c>
      <c r="AI8" s="497">
        <f t="shared" ref="AI8:AI22" si="3">SUM(S8:V8)</f>
        <v>538.428</v>
      </c>
      <c r="AJ8" s="497">
        <f t="shared" ref="AJ8:AJ22" si="4">SUM(W8:Z8)</f>
        <v>310.947</v>
      </c>
    </row>
    <row r="9" spans="2:38" s="273" customFormat="1" ht="14">
      <c r="B9" s="282" t="s">
        <v>485</v>
      </c>
      <c r="C9" s="497">
        <v>0</v>
      </c>
      <c r="D9" s="497">
        <v>0</v>
      </c>
      <c r="E9" s="497">
        <v>0</v>
      </c>
      <c r="F9" s="497">
        <v>0</v>
      </c>
      <c r="G9" s="497">
        <v>0</v>
      </c>
      <c r="H9" s="497">
        <v>0</v>
      </c>
      <c r="I9" s="497">
        <v>0</v>
      </c>
      <c r="J9" s="497">
        <v>0</v>
      </c>
      <c r="K9" s="498">
        <v>98.033154453584331</v>
      </c>
      <c r="L9" s="498">
        <v>70.073289795721877</v>
      </c>
      <c r="M9" s="498">
        <v>171.09975079453625</v>
      </c>
      <c r="N9" s="498">
        <v>81.879793776157456</v>
      </c>
      <c r="O9" s="498">
        <v>97.715980406399922</v>
      </c>
      <c r="P9" s="498">
        <v>104.52454399474831</v>
      </c>
      <c r="Q9" s="498">
        <v>114.23303410195169</v>
      </c>
      <c r="R9" s="498">
        <v>92.412031388284532</v>
      </c>
      <c r="S9" s="498">
        <v>35.303735980824996</v>
      </c>
      <c r="T9" s="498">
        <v>35.612759513999997</v>
      </c>
      <c r="U9" s="498">
        <v>37.56191653095</v>
      </c>
      <c r="V9" s="498">
        <v>36.235428824875001</v>
      </c>
      <c r="W9" s="498">
        <v>27.286620096000004</v>
      </c>
      <c r="X9" s="498">
        <v>32.474431953800007</v>
      </c>
      <c r="Y9" s="498">
        <v>32.437248961399995</v>
      </c>
      <c r="Z9" s="498">
        <v>35.445326325425007</v>
      </c>
      <c r="AA9" s="498">
        <v>36.308835349964696</v>
      </c>
      <c r="AB9" s="498">
        <v>36.236980168800002</v>
      </c>
      <c r="AC9" s="275"/>
      <c r="AD9" s="498"/>
      <c r="AE9" s="498"/>
      <c r="AF9" s="498"/>
      <c r="AG9" s="498">
        <f t="shared" si="1"/>
        <v>421.0859888199999</v>
      </c>
      <c r="AH9" s="498">
        <f t="shared" si="2"/>
        <v>408.88558989138448</v>
      </c>
      <c r="AI9" s="498">
        <f t="shared" si="3"/>
        <v>144.71384085065</v>
      </c>
      <c r="AJ9" s="498">
        <f t="shared" si="4"/>
        <v>127.64362733662503</v>
      </c>
    </row>
    <row r="10" spans="2:38" s="273" customFormat="1" ht="14">
      <c r="B10" s="282" t="s">
        <v>486</v>
      </c>
      <c r="C10" s="497">
        <v>0</v>
      </c>
      <c r="D10" s="497">
        <v>0</v>
      </c>
      <c r="E10" s="497">
        <v>0</v>
      </c>
      <c r="F10" s="497">
        <v>0</v>
      </c>
      <c r="G10" s="497">
        <v>0</v>
      </c>
      <c r="H10" s="497">
        <v>0</v>
      </c>
      <c r="I10" s="497">
        <v>0</v>
      </c>
      <c r="J10" s="497">
        <v>0</v>
      </c>
      <c r="K10" s="498">
        <v>20.499771599999999</v>
      </c>
      <c r="L10" s="498">
        <v>20.727546839999999</v>
      </c>
      <c r="M10" s="498">
        <v>20.955322079999998</v>
      </c>
      <c r="N10" s="498">
        <v>20.955322079999998</v>
      </c>
      <c r="O10" s="498">
        <v>33.635071799999999</v>
      </c>
      <c r="P10" s="498">
        <v>34.499230293330001</v>
      </c>
      <c r="Q10" s="498">
        <v>42.151879439999988</v>
      </c>
      <c r="R10" s="498">
        <v>42.237257039999982</v>
      </c>
      <c r="S10" s="498">
        <v>54.774652680000003</v>
      </c>
      <c r="T10" s="498">
        <v>46.519448976</v>
      </c>
      <c r="U10" s="498">
        <v>42.626658393000007</v>
      </c>
      <c r="V10" s="498">
        <v>43.3612812402</v>
      </c>
      <c r="W10" s="498">
        <v>18.628843464000006</v>
      </c>
      <c r="X10" s="498">
        <v>18.291297023999999</v>
      </c>
      <c r="Y10" s="498">
        <v>18.492300287999999</v>
      </c>
      <c r="Z10" s="498">
        <v>18.492300288000003</v>
      </c>
      <c r="AA10" s="498">
        <v>18.741472199999997</v>
      </c>
      <c r="AB10" s="498">
        <v>18.949710779999997</v>
      </c>
      <c r="AC10" s="275"/>
      <c r="AD10" s="498"/>
      <c r="AE10" s="498"/>
      <c r="AF10" s="498"/>
      <c r="AG10" s="498">
        <f t="shared" si="1"/>
        <v>83.137962599999994</v>
      </c>
      <c r="AH10" s="498">
        <f t="shared" si="2"/>
        <v>152.52343857332997</v>
      </c>
      <c r="AI10" s="498">
        <f t="shared" si="3"/>
        <v>187.28204128920004</v>
      </c>
      <c r="AJ10" s="498">
        <f t="shared" si="4"/>
        <v>73.904741064000007</v>
      </c>
    </row>
    <row r="11" spans="2:38" s="273" customFormat="1" ht="14">
      <c r="B11" s="282" t="s">
        <v>532</v>
      </c>
      <c r="C11" s="497">
        <v>0</v>
      </c>
      <c r="D11" s="497">
        <v>0</v>
      </c>
      <c r="E11" s="497">
        <v>0</v>
      </c>
      <c r="F11" s="497">
        <v>0</v>
      </c>
      <c r="G11" s="497">
        <v>0</v>
      </c>
      <c r="H11" s="497">
        <v>0</v>
      </c>
      <c r="I11" s="497">
        <v>0</v>
      </c>
      <c r="J11" s="497">
        <v>0</v>
      </c>
      <c r="K11" s="498">
        <v>66.717073946415667</v>
      </c>
      <c r="L11" s="498">
        <v>61.244163364278123</v>
      </c>
      <c r="M11" s="498">
        <v>14.530927125463743</v>
      </c>
      <c r="N11" s="498">
        <v>80.689884143842548</v>
      </c>
      <c r="O11" s="498">
        <v>20.805947793600083</v>
      </c>
      <c r="P11" s="498">
        <v>17.269225711921688</v>
      </c>
      <c r="Q11" s="498">
        <v>10.260086458048317</v>
      </c>
      <c r="R11" s="498">
        <v>24.690711571715482</v>
      </c>
      <c r="S11" s="498">
        <v>46.157611339174998</v>
      </c>
      <c r="T11" s="498">
        <v>70.949791509999997</v>
      </c>
      <c r="U11" s="498">
        <v>59.434425076049983</v>
      </c>
      <c r="V11" s="498">
        <v>29.890289934925036</v>
      </c>
      <c r="W11" s="498">
        <v>25.705536439999996</v>
      </c>
      <c r="X11" s="498">
        <v>11.460271022199995</v>
      </c>
      <c r="Y11" s="498">
        <v>16.452450750600008</v>
      </c>
      <c r="Z11" s="498">
        <v>55.780373386574993</v>
      </c>
      <c r="AA11" s="498">
        <v>38</v>
      </c>
      <c r="AB11" s="498">
        <v>63.077689770000006</v>
      </c>
      <c r="AC11" s="275"/>
      <c r="AD11" s="498"/>
      <c r="AE11" s="498"/>
      <c r="AF11" s="498"/>
      <c r="AG11" s="498">
        <f t="shared" si="1"/>
        <v>223.18204858000007</v>
      </c>
      <c r="AH11" s="498">
        <f t="shared" si="2"/>
        <v>73.025971535285578</v>
      </c>
      <c r="AI11" s="498">
        <f t="shared" si="3"/>
        <v>206.43211786015002</v>
      </c>
      <c r="AJ11" s="498">
        <f t="shared" si="4"/>
        <v>109.39863159937499</v>
      </c>
    </row>
    <row r="12" spans="2:38" s="273" customFormat="1" ht="14">
      <c r="B12" s="312" t="s">
        <v>510</v>
      </c>
      <c r="C12" s="497">
        <v>0</v>
      </c>
      <c r="D12" s="497">
        <v>0</v>
      </c>
      <c r="E12" s="497">
        <v>0</v>
      </c>
      <c r="F12" s="497">
        <v>0</v>
      </c>
      <c r="G12" s="497">
        <v>0</v>
      </c>
      <c r="H12" s="497">
        <v>0</v>
      </c>
      <c r="I12" s="497">
        <v>0</v>
      </c>
      <c r="J12" s="497">
        <v>0</v>
      </c>
      <c r="K12" s="497">
        <f>SUM(K13:K17)</f>
        <v>-20.552000000000021</v>
      </c>
      <c r="L12" s="497">
        <f t="shared" ref="L12:AB12" si="5">SUM(L13:L17)</f>
        <v>-149.53299999999999</v>
      </c>
      <c r="M12" s="497">
        <f t="shared" si="5"/>
        <v>-237.57399999999998</v>
      </c>
      <c r="N12" s="497">
        <f t="shared" si="5"/>
        <v>-71.834000000000003</v>
      </c>
      <c r="O12" s="497">
        <f t="shared" si="5"/>
        <v>-194.20399999999998</v>
      </c>
      <c r="P12" s="497">
        <f t="shared" si="5"/>
        <v>-152.35799999999998</v>
      </c>
      <c r="Q12" s="497">
        <f t="shared" si="5"/>
        <v>-171.08099999999999</v>
      </c>
      <c r="R12" s="497">
        <f t="shared" si="5"/>
        <v>-203.84999999999997</v>
      </c>
      <c r="S12" s="497">
        <f t="shared" si="5"/>
        <v>-219.05939776199997</v>
      </c>
      <c r="T12" s="497">
        <f t="shared" si="5"/>
        <v>-221.38207349961814</v>
      </c>
      <c r="U12" s="497">
        <f t="shared" si="5"/>
        <v>-217.90880875849996</v>
      </c>
      <c r="V12" s="497">
        <f t="shared" si="5"/>
        <v>-182.38779537369592</v>
      </c>
      <c r="W12" s="497">
        <f t="shared" si="5"/>
        <v>-113.83199999999998</v>
      </c>
      <c r="X12" s="497">
        <f t="shared" si="5"/>
        <v>-73.506</v>
      </c>
      <c r="Y12" s="497">
        <f t="shared" si="5"/>
        <v>-34.999999999999993</v>
      </c>
      <c r="Z12" s="497">
        <f>SUM(Z13:Z17)</f>
        <v>-334.53800000000001</v>
      </c>
      <c r="AA12" s="497">
        <f>SUM(AA13:AA17)</f>
        <v>-149.15561709818556</v>
      </c>
      <c r="AB12" s="497">
        <f t="shared" si="5"/>
        <v>-173.4</v>
      </c>
      <c r="AC12" s="552"/>
      <c r="AD12" s="497"/>
      <c r="AE12" s="497"/>
      <c r="AF12" s="497"/>
      <c r="AG12" s="497">
        <f t="shared" si="1"/>
        <v>-479.49299999999999</v>
      </c>
      <c r="AH12" s="497">
        <f t="shared" si="2"/>
        <v>-721.49299999999994</v>
      </c>
      <c r="AI12" s="497">
        <f t="shared" si="3"/>
        <v>-840.73807539381403</v>
      </c>
      <c r="AJ12" s="497">
        <f t="shared" si="4"/>
        <v>-556.87599999999998</v>
      </c>
    </row>
    <row r="13" spans="2:38" s="273" customFormat="1" ht="14">
      <c r="B13" s="282" t="s">
        <v>487</v>
      </c>
      <c r="C13" s="497">
        <v>0</v>
      </c>
      <c r="D13" s="497">
        <v>0</v>
      </c>
      <c r="E13" s="497">
        <v>0</v>
      </c>
      <c r="F13" s="497">
        <v>0</v>
      </c>
      <c r="G13" s="497">
        <v>0</v>
      </c>
      <c r="H13" s="497">
        <v>0</v>
      </c>
      <c r="I13" s="497">
        <v>0</v>
      </c>
      <c r="J13" s="497">
        <v>0</v>
      </c>
      <c r="K13" s="498">
        <v>-37.445350026621128</v>
      </c>
      <c r="L13" s="498">
        <v>-17.308031567577903</v>
      </c>
      <c r="M13" s="498">
        <v>-118.85995959476028</v>
      </c>
      <c r="N13" s="498">
        <v>-23.478543055559559</v>
      </c>
      <c r="O13" s="498">
        <v>-31.349492739601203</v>
      </c>
      <c r="P13" s="498">
        <v>-38.220519399404957</v>
      </c>
      <c r="Q13" s="498">
        <v>-46.256359318871127</v>
      </c>
      <c r="R13" s="498">
        <v>-39.42928657427008</v>
      </c>
      <c r="S13" s="498">
        <v>-27.393523715325003</v>
      </c>
      <c r="T13" s="498">
        <v>-25.7062691255</v>
      </c>
      <c r="U13" s="498">
        <v>-28.855193045949999</v>
      </c>
      <c r="V13" s="498">
        <v>-27.661392619375</v>
      </c>
      <c r="W13" s="498">
        <v>-21.515300094499999</v>
      </c>
      <c r="X13" s="498">
        <v>-15.579674770800001</v>
      </c>
      <c r="Y13" s="498">
        <v>-18.294593090900001</v>
      </c>
      <c r="Z13" s="498">
        <v>-17.621963900925</v>
      </c>
      <c r="AA13" s="498">
        <v>-18.717997978185572</v>
      </c>
      <c r="AB13" s="498">
        <v>-23</v>
      </c>
      <c r="AC13" s="301"/>
      <c r="AD13" s="498"/>
      <c r="AE13" s="498"/>
      <c r="AF13" s="498"/>
      <c r="AG13" s="498">
        <f t="shared" si="1"/>
        <v>-197.09188424451887</v>
      </c>
      <c r="AH13" s="498">
        <f t="shared" si="2"/>
        <v>-155.25565803214738</v>
      </c>
      <c r="AI13" s="498">
        <f t="shared" si="3"/>
        <v>-109.61637850615</v>
      </c>
      <c r="AJ13" s="498">
        <f t="shared" si="4"/>
        <v>-73.011531857125007</v>
      </c>
      <c r="AK13" s="561"/>
      <c r="AL13" s="561"/>
    </row>
    <row r="14" spans="2:38" s="273" customFormat="1" ht="14">
      <c r="B14" s="282" t="s">
        <v>486</v>
      </c>
      <c r="C14" s="497">
        <v>0</v>
      </c>
      <c r="D14" s="497">
        <v>0</v>
      </c>
      <c r="E14" s="497">
        <v>0</v>
      </c>
      <c r="F14" s="497">
        <v>0</v>
      </c>
      <c r="G14" s="497">
        <v>0</v>
      </c>
      <c r="H14" s="497">
        <v>0</v>
      </c>
      <c r="I14" s="497">
        <v>0</v>
      </c>
      <c r="J14" s="497">
        <v>0</v>
      </c>
      <c r="K14" s="498">
        <v>-20.499771599999995</v>
      </c>
      <c r="L14" s="498">
        <v>-20.727546839999999</v>
      </c>
      <c r="M14" s="498">
        <v>-20.955322079999998</v>
      </c>
      <c r="N14" s="498">
        <v>-20.955322079999998</v>
      </c>
      <c r="O14" s="498">
        <v>-33.635071799999999</v>
      </c>
      <c r="P14" s="498">
        <v>-34.008794820000006</v>
      </c>
      <c r="Q14" s="498">
        <v>-63.321527192849686</v>
      </c>
      <c r="R14" s="498">
        <v>-73.392897428898948</v>
      </c>
      <c r="S14" s="498">
        <v>-76.959958799433039</v>
      </c>
      <c r="T14" s="498">
        <v>-80.880261212016052</v>
      </c>
      <c r="U14" s="498">
        <v>-82.989266376589157</v>
      </c>
      <c r="V14" s="498">
        <v>-82.489057843741776</v>
      </c>
      <c r="W14" s="498">
        <v>-18.317459159999999</v>
      </c>
      <c r="X14" s="498">
        <v>-18.317459159999995</v>
      </c>
      <c r="Y14" s="498">
        <v>-19.154784359999997</v>
      </c>
      <c r="Z14" s="498">
        <v>-17.882715479999995</v>
      </c>
      <c r="AA14" s="498">
        <v>-18.741472199999997</v>
      </c>
      <c r="AB14" s="498">
        <v>-19</v>
      </c>
      <c r="AC14" s="275"/>
      <c r="AD14" s="498"/>
      <c r="AE14" s="498"/>
      <c r="AF14" s="498"/>
      <c r="AG14" s="498">
        <f t="shared" si="1"/>
        <v>-83.137962599999994</v>
      </c>
      <c r="AH14" s="498">
        <f t="shared" si="2"/>
        <v>-204.35829124174865</v>
      </c>
      <c r="AI14" s="498">
        <f t="shared" si="3"/>
        <v>-323.31854423178004</v>
      </c>
      <c r="AJ14" s="498">
        <f t="shared" si="4"/>
        <v>-73.672418159999978</v>
      </c>
      <c r="AK14" s="561"/>
      <c r="AL14" s="561"/>
    </row>
    <row r="15" spans="2:38" s="273" customFormat="1" ht="14">
      <c r="B15" s="282" t="s">
        <v>488</v>
      </c>
      <c r="C15" s="497">
        <v>0</v>
      </c>
      <c r="D15" s="497">
        <v>0</v>
      </c>
      <c r="E15" s="497">
        <v>0</v>
      </c>
      <c r="F15" s="497">
        <v>0</v>
      </c>
      <c r="G15" s="497">
        <v>0</v>
      </c>
      <c r="H15" s="497">
        <v>0</v>
      </c>
      <c r="I15" s="497">
        <v>0</v>
      </c>
      <c r="J15" s="497">
        <v>0</v>
      </c>
      <c r="K15" s="283">
        <v>-97.165878373378888</v>
      </c>
      <c r="L15" s="283">
        <v>-111.49742159242209</v>
      </c>
      <c r="M15" s="283">
        <v>-97.758718325239698</v>
      </c>
      <c r="N15" s="283">
        <v>-67.888134864440445</v>
      </c>
      <c r="O15" s="283">
        <v>-129.21943546039878</v>
      </c>
      <c r="P15" s="283">
        <v>-80.128685780595021</v>
      </c>
      <c r="Q15" s="283">
        <v>-61.503113488279176</v>
      </c>
      <c r="R15" s="283">
        <v>-91.027815996830924</v>
      </c>
      <c r="S15" s="498">
        <v>-88.035213457241923</v>
      </c>
      <c r="T15" s="498">
        <v>-154.3078757621021</v>
      </c>
      <c r="U15" s="498">
        <v>-149.72286839895114</v>
      </c>
      <c r="V15" s="498">
        <v>-119.80719667057915</v>
      </c>
      <c r="W15" s="498">
        <v>-116.70610618549998</v>
      </c>
      <c r="X15" s="498">
        <v>-80.091973709200005</v>
      </c>
      <c r="Y15" s="498">
        <v>-35.061057449099991</v>
      </c>
      <c r="Z15" s="498">
        <v>-64.318028549075024</v>
      </c>
      <c r="AA15" s="498">
        <v>-92</v>
      </c>
      <c r="AB15" s="498">
        <v>-114.8</v>
      </c>
      <c r="AC15" s="275"/>
      <c r="AD15" s="283"/>
      <c r="AE15" s="283"/>
      <c r="AF15" s="283"/>
      <c r="AG15" s="283">
        <f t="shared" si="1"/>
        <v>-374.31015315548109</v>
      </c>
      <c r="AH15" s="283">
        <f t="shared" si="2"/>
        <v>-361.87905072610386</v>
      </c>
      <c r="AI15" s="283">
        <f t="shared" si="3"/>
        <v>-511.87315428887428</v>
      </c>
      <c r="AJ15" s="283">
        <f t="shared" si="4"/>
        <v>-296.177165892875</v>
      </c>
      <c r="AK15" s="561"/>
      <c r="AL15" s="561"/>
    </row>
    <row r="16" spans="2:38" s="273" customFormat="1" ht="14">
      <c r="B16" s="282" t="s">
        <v>489</v>
      </c>
      <c r="C16" s="497">
        <v>0</v>
      </c>
      <c r="D16" s="497">
        <v>0</v>
      </c>
      <c r="E16" s="497">
        <v>0</v>
      </c>
      <c r="F16" s="497">
        <v>0</v>
      </c>
      <c r="G16" s="497">
        <v>0</v>
      </c>
      <c r="H16" s="497">
        <v>0</v>
      </c>
      <c r="I16" s="497">
        <v>0</v>
      </c>
      <c r="J16" s="497">
        <v>0</v>
      </c>
      <c r="K16" s="498">
        <v>0</v>
      </c>
      <c r="L16" s="498">
        <v>0</v>
      </c>
      <c r="M16" s="498">
        <v>0</v>
      </c>
      <c r="N16" s="498">
        <v>0</v>
      </c>
      <c r="O16" s="498">
        <v>0</v>
      </c>
      <c r="P16" s="498">
        <v>0</v>
      </c>
      <c r="Q16" s="498">
        <v>0</v>
      </c>
      <c r="R16" s="498">
        <v>0</v>
      </c>
      <c r="S16" s="498">
        <v>-26.670701789999999</v>
      </c>
      <c r="T16" s="498">
        <v>39.512332600000001</v>
      </c>
      <c r="U16" s="498">
        <v>43.658519062990308</v>
      </c>
      <c r="V16" s="498">
        <v>47.569851759999999</v>
      </c>
      <c r="W16" s="498">
        <v>42.706865439999987</v>
      </c>
      <c r="X16" s="498">
        <v>40.48310764</v>
      </c>
      <c r="Y16" s="498">
        <v>37.5104349</v>
      </c>
      <c r="Z16" s="498">
        <v>39.284707929999996</v>
      </c>
      <c r="AA16" s="498">
        <v>-41.696146919999997</v>
      </c>
      <c r="AB16" s="498">
        <v>-40</v>
      </c>
      <c r="AC16" s="275"/>
      <c r="AD16" s="498"/>
      <c r="AE16" s="498"/>
      <c r="AF16" s="498"/>
      <c r="AG16" s="498">
        <f t="shared" si="1"/>
        <v>0</v>
      </c>
      <c r="AH16" s="498">
        <f t="shared" si="2"/>
        <v>0</v>
      </c>
      <c r="AI16" s="498">
        <f t="shared" si="3"/>
        <v>104.07000163299031</v>
      </c>
      <c r="AJ16" s="498">
        <f t="shared" si="4"/>
        <v>159.98511590999999</v>
      </c>
      <c r="AK16" s="561"/>
      <c r="AL16" s="561"/>
    </row>
    <row r="17" spans="1:39" s="273" customFormat="1" ht="14">
      <c r="B17" s="282" t="s">
        <v>509</v>
      </c>
      <c r="C17" s="497">
        <v>0</v>
      </c>
      <c r="D17" s="497">
        <v>0</v>
      </c>
      <c r="E17" s="497">
        <v>0</v>
      </c>
      <c r="F17" s="497">
        <v>0</v>
      </c>
      <c r="G17" s="497">
        <v>0</v>
      </c>
      <c r="H17" s="497">
        <v>0</v>
      </c>
      <c r="I17" s="497">
        <v>0</v>
      </c>
      <c r="J17" s="497">
        <v>0</v>
      </c>
      <c r="K17" s="190">
        <f>141.559-7</f>
        <v>134.559</v>
      </c>
      <c r="L17" s="190">
        <v>0</v>
      </c>
      <c r="M17" s="190">
        <v>0</v>
      </c>
      <c r="N17" s="190">
        <f>-6+46.488</f>
        <v>40.488</v>
      </c>
      <c r="O17" s="190">
        <v>0</v>
      </c>
      <c r="P17" s="190">
        <v>0</v>
      </c>
      <c r="Q17" s="190">
        <v>0</v>
      </c>
      <c r="R17" s="190">
        <v>0</v>
      </c>
      <c r="S17" s="190">
        <v>0</v>
      </c>
      <c r="T17" s="190">
        <v>0</v>
      </c>
      <c r="U17" s="190">
        <v>0</v>
      </c>
      <c r="V17" s="190">
        <v>0</v>
      </c>
      <c r="W17" s="190">
        <v>0</v>
      </c>
      <c r="X17" s="190">
        <v>0</v>
      </c>
      <c r="Y17" s="498">
        <v>0</v>
      </c>
      <c r="Z17" s="498">
        <v>-274</v>
      </c>
      <c r="AA17" s="498">
        <v>22</v>
      </c>
      <c r="AB17" s="498">
        <v>23.4</v>
      </c>
      <c r="AC17" s="275"/>
      <c r="AD17" s="498"/>
      <c r="AE17" s="498"/>
      <c r="AF17" s="498"/>
      <c r="AG17" s="498">
        <f t="shared" si="1"/>
        <v>175.047</v>
      </c>
      <c r="AH17" s="498">
        <f t="shared" si="2"/>
        <v>0</v>
      </c>
      <c r="AI17" s="498">
        <f t="shared" si="3"/>
        <v>0</v>
      </c>
      <c r="AJ17" s="498">
        <f t="shared" si="4"/>
        <v>-274</v>
      </c>
    </row>
    <row r="18" spans="1:39" s="273" customFormat="1" ht="14">
      <c r="B18" s="312" t="s">
        <v>512</v>
      </c>
      <c r="C18" s="497">
        <v>0</v>
      </c>
      <c r="D18" s="497">
        <v>0</v>
      </c>
      <c r="E18" s="497">
        <v>0</v>
      </c>
      <c r="F18" s="497">
        <v>0</v>
      </c>
      <c r="G18" s="497">
        <v>0</v>
      </c>
      <c r="H18" s="497">
        <v>0</v>
      </c>
      <c r="I18" s="497">
        <v>0</v>
      </c>
      <c r="J18" s="497">
        <v>0</v>
      </c>
      <c r="K18" s="497">
        <f>SUM(K8,K12)</f>
        <v>164.69799999999998</v>
      </c>
      <c r="L18" s="497">
        <f t="shared" ref="L18:Z18" si="6">SUM(L8,L12)</f>
        <v>2.5120000000000289</v>
      </c>
      <c r="M18" s="497">
        <f t="shared" si="6"/>
        <v>-30.988</v>
      </c>
      <c r="N18" s="497">
        <f t="shared" si="6"/>
        <v>111.691</v>
      </c>
      <c r="O18" s="497">
        <f t="shared" si="6"/>
        <v>-42.046999999999997</v>
      </c>
      <c r="P18" s="497">
        <f t="shared" si="6"/>
        <v>3.9350000000000023</v>
      </c>
      <c r="Q18" s="497">
        <f t="shared" si="6"/>
        <v>-4.436000000000007</v>
      </c>
      <c r="R18" s="497">
        <f t="shared" si="6"/>
        <v>-44.509999999999991</v>
      </c>
      <c r="S18" s="497">
        <f t="shared" si="6"/>
        <v>-82.823397761999985</v>
      </c>
      <c r="T18" s="497">
        <f t="shared" si="6"/>
        <v>-68.300073499618151</v>
      </c>
      <c r="U18" s="497">
        <f t="shared" si="6"/>
        <v>-78.285808758499968</v>
      </c>
      <c r="V18" s="497">
        <f t="shared" si="6"/>
        <v>-72.900795373695885</v>
      </c>
      <c r="W18" s="497">
        <f t="shared" si="6"/>
        <v>-42.21099999999997</v>
      </c>
      <c r="X18" s="497">
        <f t="shared" si="6"/>
        <v>-11.279999999999994</v>
      </c>
      <c r="Y18" s="497">
        <f t="shared" si="6"/>
        <v>32.382000000000012</v>
      </c>
      <c r="Z18" s="497">
        <f t="shared" si="6"/>
        <v>-224.82</v>
      </c>
      <c r="AA18" s="497">
        <f>SUM(AA8,AA12)</f>
        <v>-56.105309548220873</v>
      </c>
      <c r="AB18" s="497">
        <f>SUM(AB8,AB12)</f>
        <v>-55.135619281200007</v>
      </c>
      <c r="AC18" s="551"/>
      <c r="AD18" s="497"/>
      <c r="AE18" s="497"/>
      <c r="AF18" s="497"/>
      <c r="AG18" s="497">
        <f t="shared" si="1"/>
        <v>247.91300000000001</v>
      </c>
      <c r="AH18" s="497">
        <f t="shared" si="2"/>
        <v>-87.057999999999993</v>
      </c>
      <c r="AI18" s="497">
        <f t="shared" si="3"/>
        <v>-302.31007539381397</v>
      </c>
      <c r="AJ18" s="497">
        <f t="shared" si="4"/>
        <v>-245.92899999999995</v>
      </c>
    </row>
    <row r="19" spans="1:39" s="273" customFormat="1" ht="14">
      <c r="B19" s="312" t="s">
        <v>513</v>
      </c>
      <c r="C19" s="497">
        <v>0</v>
      </c>
      <c r="D19" s="497">
        <v>0</v>
      </c>
      <c r="E19" s="497">
        <v>0</v>
      </c>
      <c r="F19" s="497">
        <v>0</v>
      </c>
      <c r="G19" s="497">
        <v>0</v>
      </c>
      <c r="H19" s="497">
        <v>0</v>
      </c>
      <c r="I19" s="497">
        <v>0</v>
      </c>
      <c r="J19" s="497">
        <v>0</v>
      </c>
      <c r="K19" s="497">
        <v>-1.8080000000000001</v>
      </c>
      <c r="L19" s="497">
        <v>-5.64</v>
      </c>
      <c r="M19" s="497">
        <v>-16.971</v>
      </c>
      <c r="N19" s="497">
        <v>-12.143000000000001</v>
      </c>
      <c r="O19" s="497">
        <v>-8.202</v>
      </c>
      <c r="P19" s="497">
        <v>-5.9349999999999996</v>
      </c>
      <c r="Q19" s="497">
        <v>-6.5640000000000001</v>
      </c>
      <c r="R19" s="497">
        <v>-7.2409999999999997</v>
      </c>
      <c r="S19" s="497">
        <f>S20</f>
        <v>-0.17660223799999994</v>
      </c>
      <c r="T19" s="497">
        <f t="shared" ref="T19:AB19" si="7">T20</f>
        <v>-1.3898945204999982</v>
      </c>
      <c r="U19" s="497">
        <f t="shared" si="7"/>
        <v>-3.5545032415000022</v>
      </c>
      <c r="V19" s="497">
        <f t="shared" si="7"/>
        <v>-4.7089999999999996</v>
      </c>
      <c r="W19" s="497">
        <f t="shared" si="7"/>
        <v>0.63400000000000001</v>
      </c>
      <c r="X19" s="497">
        <f t="shared" si="7"/>
        <v>6.8000000000000005E-2</v>
      </c>
      <c r="Y19" s="497">
        <f t="shared" si="7"/>
        <v>-1.2210000000000001</v>
      </c>
      <c r="Z19" s="497">
        <f t="shared" si="7"/>
        <v>-16.370999999999999</v>
      </c>
      <c r="AA19" s="497">
        <f t="shared" si="7"/>
        <v>194</v>
      </c>
      <c r="AB19" s="497">
        <f t="shared" si="7"/>
        <v>-3.5509795586698729</v>
      </c>
      <c r="AC19" s="275"/>
      <c r="AD19" s="497"/>
      <c r="AE19" s="497"/>
      <c r="AF19" s="497"/>
      <c r="AG19" s="497">
        <f t="shared" si="1"/>
        <v>-36.561999999999998</v>
      </c>
      <c r="AH19" s="497">
        <f t="shared" si="2"/>
        <v>-27.942</v>
      </c>
      <c r="AI19" s="497">
        <f t="shared" si="3"/>
        <v>-9.83</v>
      </c>
      <c r="AJ19" s="497">
        <f t="shared" si="4"/>
        <v>-16.89</v>
      </c>
    </row>
    <row r="20" spans="1:39" s="273" customFormat="1" ht="14">
      <c r="B20" s="282" t="s">
        <v>514</v>
      </c>
      <c r="C20" s="497">
        <v>0</v>
      </c>
      <c r="D20" s="497">
        <v>0</v>
      </c>
      <c r="E20" s="497">
        <v>0</v>
      </c>
      <c r="F20" s="497">
        <v>0</v>
      </c>
      <c r="G20" s="497">
        <v>0</v>
      </c>
      <c r="H20" s="497">
        <v>0</v>
      </c>
      <c r="I20" s="497">
        <v>0</v>
      </c>
      <c r="J20" s="497">
        <v>0</v>
      </c>
      <c r="K20" s="498">
        <v>-1.8080000000000001</v>
      </c>
      <c r="L20" s="498">
        <v>-5.64</v>
      </c>
      <c r="M20" s="498">
        <v>-16.971</v>
      </c>
      <c r="N20" s="498">
        <v>-12.143000000000001</v>
      </c>
      <c r="O20" s="498">
        <v>-8.202</v>
      </c>
      <c r="P20" s="498">
        <v>-5.9349999999999996</v>
      </c>
      <c r="Q20" s="498">
        <v>-6.5640000000000001</v>
      </c>
      <c r="R20" s="498">
        <v>-7.2409999999999997</v>
      </c>
      <c r="S20" s="498">
        <v>-0.17660223799999994</v>
      </c>
      <c r="T20" s="498">
        <v>-1.3898945204999982</v>
      </c>
      <c r="U20" s="498">
        <v>-3.5545032415000022</v>
      </c>
      <c r="V20" s="498">
        <v>-4.7089999999999996</v>
      </c>
      <c r="W20" s="498">
        <v>0.63400000000000001</v>
      </c>
      <c r="X20" s="498">
        <v>6.8000000000000005E-2</v>
      </c>
      <c r="Y20" s="498">
        <v>-1.2210000000000001</v>
      </c>
      <c r="Z20" s="498">
        <v>-16.370999999999999</v>
      </c>
      <c r="AA20" s="498">
        <v>194</v>
      </c>
      <c r="AB20" s="498">
        <v>-3.5509795586698729</v>
      </c>
      <c r="AC20" s="275"/>
      <c r="AD20" s="498"/>
      <c r="AE20" s="498"/>
      <c r="AF20" s="498"/>
      <c r="AG20" s="498">
        <f t="shared" si="1"/>
        <v>-36.561999999999998</v>
      </c>
      <c r="AH20" s="498">
        <f t="shared" si="2"/>
        <v>-27.942</v>
      </c>
      <c r="AI20" s="498">
        <f t="shared" si="3"/>
        <v>-9.83</v>
      </c>
      <c r="AJ20" s="498">
        <f t="shared" si="4"/>
        <v>-16.89</v>
      </c>
    </row>
    <row r="21" spans="1:39" s="273" customFormat="1" ht="14">
      <c r="B21" s="312" t="s">
        <v>490</v>
      </c>
      <c r="C21" s="497">
        <v>0</v>
      </c>
      <c r="D21" s="497">
        <v>0</v>
      </c>
      <c r="E21" s="497">
        <v>0</v>
      </c>
      <c r="F21" s="497">
        <v>0</v>
      </c>
      <c r="G21" s="497">
        <v>0</v>
      </c>
      <c r="H21" s="497">
        <v>0</v>
      </c>
      <c r="I21" s="497">
        <v>0</v>
      </c>
      <c r="J21" s="497">
        <v>0</v>
      </c>
      <c r="K21" s="497">
        <f t="shared" ref="K21:Z21" si="8">SUM(K18:K19)</f>
        <v>162.88999999999999</v>
      </c>
      <c r="L21" s="497">
        <f t="shared" si="8"/>
        <v>-3.1279999999999708</v>
      </c>
      <c r="M21" s="497">
        <f t="shared" si="8"/>
        <v>-47.959000000000003</v>
      </c>
      <c r="N21" s="497">
        <f t="shared" si="8"/>
        <v>99.548000000000002</v>
      </c>
      <c r="O21" s="497">
        <f t="shared" si="8"/>
        <v>-50.248999999999995</v>
      </c>
      <c r="P21" s="497">
        <f t="shared" si="8"/>
        <v>-1.9999999999999973</v>
      </c>
      <c r="Q21" s="497">
        <f t="shared" si="8"/>
        <v>-11.000000000000007</v>
      </c>
      <c r="R21" s="497">
        <f t="shared" si="8"/>
        <v>-51.750999999999991</v>
      </c>
      <c r="S21" s="497">
        <f t="shared" si="8"/>
        <v>-82.999999999999986</v>
      </c>
      <c r="T21" s="497">
        <f t="shared" si="8"/>
        <v>-69.689968020118144</v>
      </c>
      <c r="U21" s="497">
        <f t="shared" si="8"/>
        <v>-81.840311999999969</v>
      </c>
      <c r="V21" s="497">
        <f t="shared" si="8"/>
        <v>-77.609795373695889</v>
      </c>
      <c r="W21" s="497">
        <f t="shared" si="8"/>
        <v>-41.57699999999997</v>
      </c>
      <c r="X21" s="497">
        <f t="shared" si="8"/>
        <v>-11.211999999999994</v>
      </c>
      <c r="Y21" s="497">
        <f t="shared" si="8"/>
        <v>31.161000000000012</v>
      </c>
      <c r="Z21" s="497">
        <f t="shared" si="8"/>
        <v>-241.191</v>
      </c>
      <c r="AA21" s="497">
        <f>SUM(AA18:AA19)</f>
        <v>137.89469045177913</v>
      </c>
      <c r="AB21" s="497">
        <f>SUM(AB18:AB19)</f>
        <v>-58.68659883986988</v>
      </c>
      <c r="AC21" s="275"/>
      <c r="AD21" s="497"/>
      <c r="AE21" s="497"/>
      <c r="AF21" s="497"/>
      <c r="AG21" s="497">
        <f t="shared" si="1"/>
        <v>211.35100000000003</v>
      </c>
      <c r="AH21" s="497">
        <f t="shared" si="2"/>
        <v>-115</v>
      </c>
      <c r="AI21" s="497">
        <f t="shared" si="3"/>
        <v>-312.14007539381396</v>
      </c>
      <c r="AJ21" s="497">
        <f t="shared" si="4"/>
        <v>-262.81899999999996</v>
      </c>
    </row>
    <row r="22" spans="1:39" s="273" customFormat="1" ht="14">
      <c r="B22" s="282" t="s">
        <v>515</v>
      </c>
      <c r="C22" s="497">
        <v>0</v>
      </c>
      <c r="D22" s="497">
        <v>0</v>
      </c>
      <c r="E22" s="497">
        <v>0</v>
      </c>
      <c r="F22" s="497">
        <v>0</v>
      </c>
      <c r="G22" s="497">
        <v>0</v>
      </c>
      <c r="H22" s="497">
        <v>0</v>
      </c>
      <c r="I22" s="497">
        <v>0</v>
      </c>
      <c r="J22" s="497">
        <v>0</v>
      </c>
      <c r="K22" s="498">
        <v>0</v>
      </c>
      <c r="L22" s="498">
        <v>0</v>
      </c>
      <c r="M22" s="498">
        <v>0</v>
      </c>
      <c r="N22" s="498">
        <v>0</v>
      </c>
      <c r="O22" s="498">
        <v>0</v>
      </c>
      <c r="P22" s="498">
        <v>0</v>
      </c>
      <c r="Q22" s="498">
        <v>0</v>
      </c>
      <c r="R22" s="498">
        <v>0</v>
      </c>
      <c r="S22" s="498">
        <v>0</v>
      </c>
      <c r="T22" s="498">
        <v>36.689968020118179</v>
      </c>
      <c r="U22" s="498">
        <v>50.877311999999989</v>
      </c>
      <c r="V22" s="498">
        <v>35.753795373695887</v>
      </c>
      <c r="W22" s="498">
        <v>0</v>
      </c>
      <c r="X22" s="498">
        <v>57.236976000000013</v>
      </c>
      <c r="Y22" s="498">
        <v>40.701849600000003</v>
      </c>
      <c r="Z22" s="498">
        <v>59.780841600000002</v>
      </c>
      <c r="AA22" s="498">
        <v>0</v>
      </c>
      <c r="AB22" s="498">
        <v>63.596640000000001</v>
      </c>
      <c r="AC22" s="275"/>
      <c r="AD22" s="498"/>
      <c r="AE22" s="498"/>
      <c r="AF22" s="498"/>
      <c r="AG22" s="498">
        <f t="shared" si="1"/>
        <v>0</v>
      </c>
      <c r="AH22" s="498">
        <f t="shared" si="2"/>
        <v>0</v>
      </c>
      <c r="AI22" s="498">
        <f t="shared" si="3"/>
        <v>123.32107539381406</v>
      </c>
      <c r="AJ22" s="498">
        <f t="shared" si="4"/>
        <v>157.7196672</v>
      </c>
    </row>
    <row r="23" spans="1:39" s="273" customFormat="1" ht="14">
      <c r="B23" s="282" t="s">
        <v>507</v>
      </c>
      <c r="C23" s="497"/>
      <c r="D23" s="497"/>
      <c r="E23" s="497"/>
      <c r="F23" s="497"/>
      <c r="G23" s="497"/>
      <c r="H23" s="497"/>
      <c r="I23" s="497"/>
      <c r="J23" s="497"/>
      <c r="K23" s="498">
        <v>0</v>
      </c>
      <c r="L23" s="498">
        <v>0</v>
      </c>
      <c r="M23" s="498">
        <v>0</v>
      </c>
      <c r="N23" s="498">
        <v>0</v>
      </c>
      <c r="O23" s="498">
        <v>0</v>
      </c>
      <c r="P23" s="498">
        <v>0</v>
      </c>
      <c r="Q23" s="498">
        <v>0</v>
      </c>
      <c r="R23" s="498">
        <v>0</v>
      </c>
      <c r="S23" s="498">
        <v>0</v>
      </c>
      <c r="T23" s="498">
        <v>0</v>
      </c>
      <c r="U23" s="498">
        <v>0</v>
      </c>
      <c r="V23" s="498">
        <v>0</v>
      </c>
      <c r="W23" s="498">
        <v>0</v>
      </c>
      <c r="X23" s="498">
        <v>0</v>
      </c>
      <c r="Y23" s="498">
        <v>0</v>
      </c>
      <c r="Z23" s="498">
        <v>274</v>
      </c>
      <c r="AA23" s="498">
        <v>-214</v>
      </c>
      <c r="AB23" s="301">
        <f>-AB17</f>
        <v>-23.4</v>
      </c>
      <c r="AC23" s="275"/>
      <c r="AD23" s="498"/>
      <c r="AE23" s="498"/>
      <c r="AF23" s="498"/>
      <c r="AG23" s="498"/>
      <c r="AH23" s="498"/>
      <c r="AI23" s="498"/>
      <c r="AJ23" s="498"/>
    </row>
    <row r="24" spans="1:39" s="273" customFormat="1" ht="14">
      <c r="B24" s="312" t="s">
        <v>491</v>
      </c>
      <c r="C24" s="497">
        <v>0</v>
      </c>
      <c r="D24" s="497">
        <v>0</v>
      </c>
      <c r="E24" s="497">
        <v>0</v>
      </c>
      <c r="F24" s="497">
        <v>0</v>
      </c>
      <c r="G24" s="497">
        <v>0</v>
      </c>
      <c r="H24" s="497">
        <v>0</v>
      </c>
      <c r="I24" s="497">
        <v>0</v>
      </c>
      <c r="J24" s="497">
        <v>0</v>
      </c>
      <c r="K24" s="497">
        <f t="shared" ref="K24:Y24" si="9">SUM(K21:K23)</f>
        <v>162.88999999999999</v>
      </c>
      <c r="L24" s="497">
        <f t="shared" si="9"/>
        <v>-3.1279999999999708</v>
      </c>
      <c r="M24" s="497">
        <f t="shared" si="9"/>
        <v>-47.959000000000003</v>
      </c>
      <c r="N24" s="497">
        <f t="shared" si="9"/>
        <v>99.548000000000002</v>
      </c>
      <c r="O24" s="497">
        <f t="shared" si="9"/>
        <v>-50.248999999999995</v>
      </c>
      <c r="P24" s="497">
        <f t="shared" si="9"/>
        <v>-1.9999999999999973</v>
      </c>
      <c r="Q24" s="497">
        <f t="shared" si="9"/>
        <v>-11.000000000000007</v>
      </c>
      <c r="R24" s="497">
        <f t="shared" si="9"/>
        <v>-51.750999999999991</v>
      </c>
      <c r="S24" s="497">
        <f t="shared" si="9"/>
        <v>-82.999999999999986</v>
      </c>
      <c r="T24" s="497">
        <f t="shared" si="9"/>
        <v>-32.999999999999964</v>
      </c>
      <c r="U24" s="497">
        <f t="shared" si="9"/>
        <v>-30.96299999999998</v>
      </c>
      <c r="V24" s="497">
        <f t="shared" si="9"/>
        <v>-41.856000000000002</v>
      </c>
      <c r="W24" s="497">
        <f t="shared" si="9"/>
        <v>-41.57699999999997</v>
      </c>
      <c r="X24" s="497">
        <f t="shared" si="9"/>
        <v>46.024976000000017</v>
      </c>
      <c r="Y24" s="497">
        <f t="shared" si="9"/>
        <v>71.862849600000018</v>
      </c>
      <c r="Z24" s="497">
        <f>SUM(Z21:Z23)</f>
        <v>92.5898416</v>
      </c>
      <c r="AA24" s="497">
        <f>SUM(AA21:AA23)</f>
        <v>-76.105309548220873</v>
      </c>
      <c r="AB24" s="497">
        <f>SUM(AB21:AB23)</f>
        <v>-18.489958839869878</v>
      </c>
      <c r="AC24" s="551"/>
      <c r="AD24" s="497"/>
      <c r="AE24" s="497"/>
      <c r="AF24" s="497"/>
      <c r="AG24" s="497">
        <f>SUM(K24:N24)</f>
        <v>211.35100000000003</v>
      </c>
      <c r="AH24" s="497">
        <f>SUM(O24:R24)</f>
        <v>-115</v>
      </c>
      <c r="AI24" s="497">
        <f>SUM(S24:V24)</f>
        <v>-188.8189999999999</v>
      </c>
      <c r="AJ24" s="497">
        <f>SUM(W24:Z24)</f>
        <v>168.90066720000007</v>
      </c>
    </row>
    <row r="25" spans="1:39" s="281" customFormat="1" ht="15" customHeight="1">
      <c r="A25" s="278"/>
      <c r="B25" s="375"/>
      <c r="K25" s="506"/>
      <c r="L25" s="506"/>
      <c r="M25" s="506"/>
      <c r="N25" s="506"/>
      <c r="O25" s="506"/>
      <c r="P25" s="506"/>
      <c r="Q25" s="506"/>
      <c r="R25" s="506"/>
      <c r="S25" s="506"/>
      <c r="T25" s="506"/>
      <c r="U25" s="506"/>
      <c r="V25" s="506"/>
      <c r="W25" s="506"/>
      <c r="X25" s="506"/>
      <c r="Y25" s="506"/>
      <c r="Z25" s="506"/>
      <c r="AA25" s="506"/>
      <c r="AB25" s="506"/>
      <c r="AC25" s="288"/>
      <c r="AK25" s="280"/>
      <c r="AL25" s="280"/>
      <c r="AM25" s="280"/>
    </row>
    <row r="26" spans="1:39" s="281" customFormat="1" ht="15" customHeight="1">
      <c r="A26" s="278"/>
      <c r="B26" s="274"/>
      <c r="K26" s="506"/>
      <c r="L26" s="506"/>
      <c r="M26" s="506"/>
      <c r="N26" s="506"/>
      <c r="O26" s="506"/>
      <c r="P26" s="506"/>
      <c r="Q26" s="506"/>
      <c r="R26" s="506"/>
      <c r="S26" s="506"/>
      <c r="T26" s="506"/>
      <c r="U26" s="506"/>
      <c r="V26" s="506"/>
      <c r="W26" s="506"/>
      <c r="X26" s="506"/>
      <c r="Y26" s="506"/>
      <c r="Z26" s="506"/>
      <c r="AA26" s="506"/>
      <c r="AB26" s="506"/>
      <c r="AC26" s="288"/>
      <c r="AK26" s="280"/>
      <c r="AL26" s="280"/>
      <c r="AM26" s="280"/>
    </row>
    <row r="27" spans="1:39" s="273" customFormat="1" ht="14.25" customHeight="1" thickBot="1">
      <c r="B27" s="276" t="s">
        <v>377</v>
      </c>
      <c r="C27" s="277" t="s">
        <v>88</v>
      </c>
      <c r="D27" s="277" t="s">
        <v>89</v>
      </c>
      <c r="E27" s="277" t="s">
        <v>90</v>
      </c>
      <c r="F27" s="277" t="s">
        <v>91</v>
      </c>
      <c r="G27" s="277" t="s">
        <v>92</v>
      </c>
      <c r="H27" s="277" t="s">
        <v>93</v>
      </c>
      <c r="I27" s="277" t="s">
        <v>94</v>
      </c>
      <c r="J27" s="277" t="s">
        <v>95</v>
      </c>
      <c r="K27" s="277" t="s">
        <v>96</v>
      </c>
      <c r="L27" s="277" t="s">
        <v>97</v>
      </c>
      <c r="M27" s="277" t="s">
        <v>98</v>
      </c>
      <c r="N27" s="277" t="s">
        <v>99</v>
      </c>
      <c r="O27" s="277" t="s">
        <v>100</v>
      </c>
      <c r="P27" s="277" t="s">
        <v>101</v>
      </c>
      <c r="Q27" s="277" t="s">
        <v>336</v>
      </c>
      <c r="R27" s="277" t="s">
        <v>342</v>
      </c>
      <c r="S27" s="277" t="s">
        <v>357</v>
      </c>
      <c r="T27" s="277" t="s">
        <v>384</v>
      </c>
      <c r="U27" s="277" t="s">
        <v>395</v>
      </c>
      <c r="V27" s="277" t="s">
        <v>396</v>
      </c>
      <c r="W27" s="277" t="s">
        <v>469</v>
      </c>
      <c r="X27" s="277" t="s">
        <v>473</v>
      </c>
      <c r="Y27" s="277" t="s">
        <v>478</v>
      </c>
      <c r="Z27" s="277" t="s">
        <v>480</v>
      </c>
      <c r="AA27" s="277" t="s">
        <v>518</v>
      </c>
      <c r="AB27" s="277" t="s">
        <v>521</v>
      </c>
      <c r="AC27" s="275"/>
      <c r="AD27" s="277">
        <v>2018</v>
      </c>
      <c r="AE27" s="277">
        <v>2019</v>
      </c>
      <c r="AF27" s="277">
        <v>2020</v>
      </c>
      <c r="AG27" s="277">
        <v>2021</v>
      </c>
      <c r="AH27" s="277">
        <v>2022</v>
      </c>
      <c r="AI27" s="277">
        <v>2023</v>
      </c>
      <c r="AJ27" s="277">
        <v>2024</v>
      </c>
    </row>
    <row r="28" spans="1:39" ht="14.5" thickTop="1">
      <c r="B28" s="279"/>
      <c r="C28" s="280"/>
      <c r="D28" s="280"/>
      <c r="E28" s="280"/>
      <c r="F28" s="280"/>
      <c r="G28" s="280"/>
      <c r="H28" s="280"/>
      <c r="I28" s="280"/>
      <c r="J28" s="280"/>
      <c r="K28" s="280"/>
      <c r="L28" s="280"/>
      <c r="M28" s="280"/>
      <c r="N28" s="280"/>
      <c r="O28" s="280"/>
      <c r="P28" s="280"/>
      <c r="Q28" s="280"/>
      <c r="R28" s="280"/>
      <c r="S28" s="397"/>
      <c r="T28" s="397"/>
      <c r="U28" s="397"/>
      <c r="V28" s="397"/>
      <c r="W28" s="397"/>
      <c r="X28" s="397"/>
      <c r="Y28" s="397"/>
      <c r="Z28" s="280"/>
      <c r="AA28" s="280"/>
      <c r="AB28" s="280"/>
      <c r="AC28" s="280"/>
      <c r="AD28" s="280"/>
      <c r="AE28" s="280"/>
      <c r="AF28" s="280"/>
      <c r="AG28" s="280"/>
      <c r="AH28" s="280"/>
      <c r="AI28" s="280"/>
      <c r="AJ28" s="280"/>
    </row>
    <row r="29" spans="1:39" ht="14">
      <c r="B29" s="282" t="s">
        <v>378</v>
      </c>
      <c r="C29" s="219">
        <v>662.82204176666664</v>
      </c>
      <c r="D29" s="219">
        <v>750.51905757142868</v>
      </c>
      <c r="E29" s="219">
        <v>712.93568519565224</v>
      </c>
      <c r="F29" s="219">
        <v>680.64828307608695</v>
      </c>
      <c r="G29" s="219">
        <v>802.46928982417569</v>
      </c>
      <c r="H29" s="219">
        <v>667.4227351648351</v>
      </c>
      <c r="I29" s="283">
        <v>627.93007177173911</v>
      </c>
      <c r="J29" s="219">
        <v>628.38889458695655</v>
      </c>
      <c r="K29" s="219">
        <v>706.0410344666667</v>
      </c>
      <c r="L29" s="219">
        <v>641</v>
      </c>
      <c r="M29" s="219">
        <v>542</v>
      </c>
      <c r="N29" s="219">
        <v>595</v>
      </c>
      <c r="O29" s="219">
        <v>674</v>
      </c>
      <c r="P29" s="282">
        <v>632</v>
      </c>
      <c r="Q29" s="282">
        <v>617</v>
      </c>
      <c r="R29" s="283">
        <v>691.67511064130429</v>
      </c>
      <c r="S29" s="283">
        <v>794</v>
      </c>
      <c r="T29" s="283">
        <v>739</v>
      </c>
      <c r="U29" s="283">
        <v>740</v>
      </c>
      <c r="V29" s="283">
        <v>753.49250172826089</v>
      </c>
      <c r="W29" s="283">
        <v>756</v>
      </c>
      <c r="X29" s="283">
        <v>714.13555268131859</v>
      </c>
      <c r="Y29" s="283">
        <v>694.11463743478248</v>
      </c>
      <c r="Z29" s="283">
        <v>699.18416965217386</v>
      </c>
      <c r="AA29" s="283">
        <v>693.91214625555563</v>
      </c>
      <c r="AB29" s="283">
        <v>694.7425898901098</v>
      </c>
      <c r="AC29" s="502"/>
      <c r="AD29" s="219">
        <v>653</v>
      </c>
      <c r="AE29" s="219">
        <v>702</v>
      </c>
      <c r="AF29" s="219">
        <v>679</v>
      </c>
      <c r="AG29" s="282">
        <v>620</v>
      </c>
      <c r="AH29" s="283">
        <v>653.9930297835615</v>
      </c>
      <c r="AI29" s="283">
        <f>AVERAGE(S29:V29)</f>
        <v>756.62312543206519</v>
      </c>
      <c r="AJ29" s="283">
        <f>AVERAGE(W29:Z29)</f>
        <v>715.85858994206876</v>
      </c>
    </row>
    <row r="30" spans="1:39" ht="14">
      <c r="B30" s="282" t="s">
        <v>379</v>
      </c>
      <c r="C30" s="219">
        <v>457.19448436666676</v>
      </c>
      <c r="D30" s="219">
        <v>447.02152794505497</v>
      </c>
      <c r="E30" s="219">
        <v>452.51884891304348</v>
      </c>
      <c r="F30" s="219">
        <v>465.41510322826088</v>
      </c>
      <c r="G30" s="219">
        <v>196.47009016483514</v>
      </c>
      <c r="H30" s="219">
        <v>198.02853434745666</v>
      </c>
      <c r="I30" s="283">
        <v>246.27657911956521</v>
      </c>
      <c r="J30" s="219">
        <v>296.68596006521739</v>
      </c>
      <c r="K30" s="219">
        <v>209</v>
      </c>
      <c r="L30" s="219">
        <v>257</v>
      </c>
      <c r="M30" s="219">
        <v>310</v>
      </c>
      <c r="N30" s="219">
        <v>258</v>
      </c>
      <c r="O30" s="219">
        <v>163</v>
      </c>
      <c r="P30" s="282">
        <v>172</v>
      </c>
      <c r="Q30" s="282">
        <v>184</v>
      </c>
      <c r="R30" s="283">
        <v>164.68862369565215</v>
      </c>
      <c r="S30" s="283">
        <v>164</v>
      </c>
      <c r="T30" s="283">
        <v>164</v>
      </c>
      <c r="U30" s="283">
        <v>172</v>
      </c>
      <c r="V30" s="283">
        <v>172.51206934782607</v>
      </c>
      <c r="W30" s="283">
        <v>104</v>
      </c>
      <c r="X30" s="283">
        <v>104</v>
      </c>
      <c r="Y30" s="283">
        <v>85.536304347826089</v>
      </c>
      <c r="Z30" s="283">
        <v>126.01347065217396</v>
      </c>
      <c r="AA30" s="283">
        <v>163.99433333333334</v>
      </c>
      <c r="AB30" s="283">
        <v>165.32308791208791</v>
      </c>
      <c r="AD30" s="219">
        <v>460</v>
      </c>
      <c r="AE30" s="219">
        <v>457</v>
      </c>
      <c r="AF30" s="219">
        <v>236</v>
      </c>
      <c r="AG30" s="282">
        <v>259</v>
      </c>
      <c r="AH30" s="283">
        <v>165.93460824657535</v>
      </c>
      <c r="AI30" s="283">
        <f>AVERAGE(S30:V30)</f>
        <v>168.12801733695653</v>
      </c>
      <c r="AJ30" s="283">
        <f>AVERAGE(W30:Z30)</f>
        <v>104.88744375000002</v>
      </c>
    </row>
    <row r="31" spans="1:39" ht="14.5" thickBot="1">
      <c r="B31" s="285" t="s">
        <v>380</v>
      </c>
      <c r="C31" s="503">
        <f t="shared" ref="C31:X31" si="10">SUM(C29:C30)</f>
        <v>1120.0165261333334</v>
      </c>
      <c r="D31" s="503">
        <f t="shared" si="10"/>
        <v>1197.5405855164836</v>
      </c>
      <c r="E31" s="503">
        <f t="shared" si="10"/>
        <v>1165.4545341086957</v>
      </c>
      <c r="F31" s="503">
        <f t="shared" si="10"/>
        <v>1146.0633863043479</v>
      </c>
      <c r="G31" s="503">
        <f t="shared" si="10"/>
        <v>998.93937998901083</v>
      </c>
      <c r="H31" s="503">
        <f t="shared" si="10"/>
        <v>865.45126951229179</v>
      </c>
      <c r="I31" s="503">
        <f t="shared" si="10"/>
        <v>874.20665089130432</v>
      </c>
      <c r="J31" s="503">
        <f t="shared" si="10"/>
        <v>925.07485465217394</v>
      </c>
      <c r="K31" s="503">
        <f t="shared" si="10"/>
        <v>915.0410344666667</v>
      </c>
      <c r="L31" s="503">
        <f t="shared" si="10"/>
        <v>898</v>
      </c>
      <c r="M31" s="503">
        <f t="shared" si="10"/>
        <v>852</v>
      </c>
      <c r="N31" s="503">
        <f t="shared" si="10"/>
        <v>853</v>
      </c>
      <c r="O31" s="503">
        <f t="shared" si="10"/>
        <v>837</v>
      </c>
      <c r="P31" s="503">
        <f t="shared" si="10"/>
        <v>804</v>
      </c>
      <c r="Q31" s="503">
        <f t="shared" si="10"/>
        <v>801</v>
      </c>
      <c r="R31" s="503">
        <f t="shared" si="10"/>
        <v>856.36373433695644</v>
      </c>
      <c r="S31" s="503">
        <f t="shared" si="10"/>
        <v>958</v>
      </c>
      <c r="T31" s="503">
        <f t="shared" si="10"/>
        <v>903</v>
      </c>
      <c r="U31" s="503">
        <f t="shared" si="10"/>
        <v>912</v>
      </c>
      <c r="V31" s="503">
        <f t="shared" si="10"/>
        <v>926.0045710760869</v>
      </c>
      <c r="W31" s="503">
        <f t="shared" si="10"/>
        <v>860</v>
      </c>
      <c r="X31" s="503">
        <f t="shared" si="10"/>
        <v>818.13555268131859</v>
      </c>
      <c r="Y31" s="503">
        <f>SUM(Y29:Y30)</f>
        <v>779.65094178260858</v>
      </c>
      <c r="Z31" s="503">
        <f>SUM(Z29:Z30)</f>
        <v>825.19764030434783</v>
      </c>
      <c r="AA31" s="503">
        <f>SUM(AA29:AA30)</f>
        <v>857.90647958888894</v>
      </c>
      <c r="AB31" s="503">
        <f>SUM(AB29:AB30)</f>
        <v>860.06567780219768</v>
      </c>
      <c r="AD31" s="504">
        <f t="shared" ref="AD31:AJ31" si="11">AD29+AD30</f>
        <v>1113</v>
      </c>
      <c r="AE31" s="504">
        <f t="shared" si="11"/>
        <v>1159</v>
      </c>
      <c r="AF31" s="504">
        <f t="shared" si="11"/>
        <v>915</v>
      </c>
      <c r="AG31" s="504">
        <f t="shared" si="11"/>
        <v>879</v>
      </c>
      <c r="AH31" s="505">
        <f t="shared" si="11"/>
        <v>819.9276380301369</v>
      </c>
      <c r="AI31" s="505">
        <f t="shared" si="11"/>
        <v>924.75114276902173</v>
      </c>
      <c r="AJ31" s="505">
        <f t="shared" si="11"/>
        <v>820.74603369206875</v>
      </c>
    </row>
    <row r="32" spans="1:39" ht="14">
      <c r="B32" s="282" t="s">
        <v>381</v>
      </c>
      <c r="C32" s="219">
        <v>659.23111111111109</v>
      </c>
      <c r="D32" s="219">
        <v>652.18901098901097</v>
      </c>
      <c r="E32" s="219">
        <v>628.92826086956529</v>
      </c>
      <c r="F32" s="219">
        <v>576.6945652173913</v>
      </c>
      <c r="G32" s="219">
        <v>577.29692276895969</v>
      </c>
      <c r="H32" s="219">
        <v>574.51471159384869</v>
      </c>
      <c r="I32" s="283">
        <v>649.44155434782613</v>
      </c>
      <c r="J32" s="219">
        <v>673.40265217391311</v>
      </c>
      <c r="K32" s="219">
        <v>687</v>
      </c>
      <c r="L32" s="219">
        <v>690</v>
      </c>
      <c r="M32" s="219">
        <v>687.36283164037138</v>
      </c>
      <c r="N32" s="219">
        <v>688</v>
      </c>
      <c r="O32" s="219">
        <v>690</v>
      </c>
      <c r="P32" s="282">
        <v>709</v>
      </c>
      <c r="Q32" s="282">
        <v>726</v>
      </c>
      <c r="R32" s="283">
        <v>717.8987282608698</v>
      </c>
      <c r="S32" s="283">
        <v>705</v>
      </c>
      <c r="T32" s="283">
        <v>686</v>
      </c>
      <c r="U32" s="283">
        <v>696</v>
      </c>
      <c r="V32" s="283">
        <v>715.40398913043498</v>
      </c>
      <c r="W32" s="283">
        <v>725</v>
      </c>
      <c r="X32" s="283">
        <v>741.88618681318678</v>
      </c>
      <c r="Y32" s="283">
        <v>747.42227173913034</v>
      </c>
      <c r="Z32" s="283">
        <v>744.80422826086954</v>
      </c>
      <c r="AA32" s="283">
        <v>731.37312222222215</v>
      </c>
      <c r="AB32" s="283">
        <v>708.27601098901107</v>
      </c>
      <c r="AD32" s="219">
        <v>692</v>
      </c>
      <c r="AE32" s="219">
        <v>641</v>
      </c>
      <c r="AF32" s="219">
        <v>619</v>
      </c>
      <c r="AG32" s="282">
        <v>688</v>
      </c>
      <c r="AH32" s="283">
        <v>711.38699819780709</v>
      </c>
      <c r="AI32" s="283">
        <f>AVERAGE(S32:V32)</f>
        <v>700.60099728260877</v>
      </c>
      <c r="AJ32" s="283">
        <f>AVERAGE(W32:Z32)</f>
        <v>739.77817170329661</v>
      </c>
    </row>
    <row r="33" spans="2:38" ht="14">
      <c r="B33" s="286"/>
      <c r="C33" s="220"/>
      <c r="D33" s="220"/>
      <c r="E33" s="220"/>
      <c r="F33" s="220"/>
      <c r="G33" s="220"/>
      <c r="H33" s="220"/>
      <c r="I33" s="220"/>
      <c r="J33" s="220"/>
      <c r="K33" s="220"/>
      <c r="L33" s="220"/>
      <c r="M33" s="220"/>
      <c r="N33" s="220"/>
      <c r="O33" s="220"/>
      <c r="P33" s="220"/>
      <c r="Q33" s="220"/>
      <c r="R33" s="287"/>
      <c r="S33" s="287"/>
      <c r="T33" s="287"/>
      <c r="U33" s="287"/>
      <c r="V33" s="287"/>
      <c r="W33" s="287"/>
      <c r="X33" s="287"/>
      <c r="Y33" s="487"/>
      <c r="Z33" s="487"/>
      <c r="AA33" s="487"/>
      <c r="AB33" s="487"/>
      <c r="AC33" s="502"/>
      <c r="AD33" s="220"/>
      <c r="AE33" s="220"/>
      <c r="AF33" s="220"/>
      <c r="AG33" s="220"/>
      <c r="AH33" s="287"/>
      <c r="AI33" s="287"/>
      <c r="AJ33" s="287"/>
    </row>
    <row r="34" spans="2:38" ht="14">
      <c r="B34" s="286" t="s">
        <v>361</v>
      </c>
      <c r="C34" s="220">
        <f>C31-C32</f>
        <v>460.78541502222231</v>
      </c>
      <c r="D34" s="220">
        <f t="shared" ref="D34:AA34" si="12">D31-D32</f>
        <v>545.35157452747262</v>
      </c>
      <c r="E34" s="220">
        <f t="shared" si="12"/>
        <v>536.52627323913043</v>
      </c>
      <c r="F34" s="220">
        <f t="shared" si="12"/>
        <v>569.36882108695659</v>
      </c>
      <c r="G34" s="220">
        <f t="shared" si="12"/>
        <v>421.64245722005114</v>
      </c>
      <c r="H34" s="220">
        <f t="shared" si="12"/>
        <v>290.9365579184431</v>
      </c>
      <c r="I34" s="220">
        <f t="shared" si="12"/>
        <v>224.76509654347819</v>
      </c>
      <c r="J34" s="220">
        <f t="shared" si="12"/>
        <v>251.67220247826083</v>
      </c>
      <c r="K34" s="220">
        <f t="shared" si="12"/>
        <v>228.0410344666667</v>
      </c>
      <c r="L34" s="220">
        <f t="shared" si="12"/>
        <v>208</v>
      </c>
      <c r="M34" s="220">
        <f t="shared" si="12"/>
        <v>164.63716835962862</v>
      </c>
      <c r="N34" s="220">
        <f t="shared" si="12"/>
        <v>165</v>
      </c>
      <c r="O34" s="220">
        <f t="shared" si="12"/>
        <v>147</v>
      </c>
      <c r="P34" s="220">
        <f t="shared" si="12"/>
        <v>95</v>
      </c>
      <c r="Q34" s="220">
        <f t="shared" si="12"/>
        <v>75</v>
      </c>
      <c r="R34" s="220">
        <f t="shared" si="12"/>
        <v>138.46500607608664</v>
      </c>
      <c r="S34" s="220">
        <f t="shared" si="12"/>
        <v>253</v>
      </c>
      <c r="T34" s="220">
        <f t="shared" si="12"/>
        <v>217</v>
      </c>
      <c r="U34" s="220">
        <f t="shared" si="12"/>
        <v>216</v>
      </c>
      <c r="V34" s="220">
        <f t="shared" si="12"/>
        <v>210.60058194565192</v>
      </c>
      <c r="W34" s="220">
        <f t="shared" si="12"/>
        <v>135</v>
      </c>
      <c r="X34" s="220">
        <f t="shared" si="12"/>
        <v>76.249365868131804</v>
      </c>
      <c r="Y34" s="220">
        <f t="shared" si="12"/>
        <v>32.228670043478246</v>
      </c>
      <c r="Z34" s="220">
        <f t="shared" si="12"/>
        <v>80.393412043478293</v>
      </c>
      <c r="AA34" s="220">
        <f t="shared" si="12"/>
        <v>126.53335736666679</v>
      </c>
      <c r="AB34" s="220">
        <v>151.78966681318661</v>
      </c>
      <c r="AC34" s="502"/>
      <c r="AD34" s="220">
        <f t="shared" ref="AD34:AJ34" si="13">AD31-AD32</f>
        <v>421</v>
      </c>
      <c r="AE34" s="220">
        <f t="shared" si="13"/>
        <v>518</v>
      </c>
      <c r="AF34" s="220">
        <f t="shared" si="13"/>
        <v>296</v>
      </c>
      <c r="AG34" s="220">
        <f t="shared" si="13"/>
        <v>191</v>
      </c>
      <c r="AH34" s="220">
        <f t="shared" si="13"/>
        <v>108.54063983232982</v>
      </c>
      <c r="AI34" s="220">
        <f t="shared" si="13"/>
        <v>224.15014548641295</v>
      </c>
      <c r="AJ34" s="220">
        <f t="shared" si="13"/>
        <v>80.967861988772142</v>
      </c>
    </row>
    <row r="35" spans="2:38" ht="14">
      <c r="B35" s="286" t="s">
        <v>542</v>
      </c>
      <c r="C35" s="220">
        <v>0</v>
      </c>
      <c r="D35" s="220">
        <v>0</v>
      </c>
      <c r="E35" s="220">
        <v>0</v>
      </c>
      <c r="F35" s="220">
        <v>0</v>
      </c>
      <c r="G35" s="220">
        <v>0</v>
      </c>
      <c r="H35" s="220">
        <v>0</v>
      </c>
      <c r="I35" s="220">
        <v>0</v>
      </c>
      <c r="J35" s="220">
        <v>0</v>
      </c>
      <c r="K35" s="220">
        <v>50</v>
      </c>
      <c r="L35" s="220">
        <v>50</v>
      </c>
      <c r="M35" s="220">
        <v>50</v>
      </c>
      <c r="N35" s="220">
        <v>50</v>
      </c>
      <c r="O35" s="220">
        <v>100</v>
      </c>
      <c r="P35" s="220">
        <v>100</v>
      </c>
      <c r="Q35" s="220">
        <v>100</v>
      </c>
      <c r="R35" s="220">
        <v>100</v>
      </c>
      <c r="S35" s="220">
        <v>180</v>
      </c>
      <c r="T35" s="220">
        <v>180</v>
      </c>
      <c r="U35" s="220">
        <v>180</v>
      </c>
      <c r="V35" s="220">
        <v>180</v>
      </c>
      <c r="W35" s="220">
        <v>120</v>
      </c>
      <c r="X35" s="220">
        <v>120</v>
      </c>
      <c r="Y35" s="488">
        <v>120</v>
      </c>
      <c r="Z35" s="220">
        <v>120</v>
      </c>
      <c r="AA35" s="220">
        <v>100</v>
      </c>
      <c r="AB35" s="220">
        <v>100</v>
      </c>
      <c r="AD35" s="378" t="s">
        <v>362</v>
      </c>
      <c r="AE35" s="378" t="s">
        <v>362</v>
      </c>
      <c r="AF35" s="378" t="s">
        <v>362</v>
      </c>
      <c r="AG35" s="220">
        <v>50</v>
      </c>
      <c r="AH35" s="220">
        <v>100</v>
      </c>
      <c r="AI35" s="283">
        <f>AVERAGE(S35:V35)</f>
        <v>180</v>
      </c>
      <c r="AJ35" s="283">
        <f>AVERAGE(W35:Z35)</f>
        <v>120</v>
      </c>
    </row>
    <row r="36" spans="2:38" ht="14">
      <c r="B36" s="376" t="s">
        <v>382</v>
      </c>
      <c r="C36" s="489">
        <f t="shared" ref="C36:X36" si="14">SUM(C34:C35)</f>
        <v>460.78541502222231</v>
      </c>
      <c r="D36" s="489">
        <f t="shared" si="14"/>
        <v>545.35157452747262</v>
      </c>
      <c r="E36" s="489">
        <f t="shared" si="14"/>
        <v>536.52627323913043</v>
      </c>
      <c r="F36" s="489">
        <f t="shared" si="14"/>
        <v>569.36882108695659</v>
      </c>
      <c r="G36" s="489">
        <f t="shared" si="14"/>
        <v>421.64245722005114</v>
      </c>
      <c r="H36" s="489">
        <f t="shared" si="14"/>
        <v>290.9365579184431</v>
      </c>
      <c r="I36" s="489">
        <f t="shared" si="14"/>
        <v>224.76509654347819</v>
      </c>
      <c r="J36" s="489">
        <f t="shared" si="14"/>
        <v>251.67220247826083</v>
      </c>
      <c r="K36" s="489">
        <f t="shared" si="14"/>
        <v>278.0410344666667</v>
      </c>
      <c r="L36" s="489">
        <f t="shared" si="14"/>
        <v>258</v>
      </c>
      <c r="M36" s="489">
        <f t="shared" si="14"/>
        <v>214.63716835962862</v>
      </c>
      <c r="N36" s="489">
        <f t="shared" si="14"/>
        <v>215</v>
      </c>
      <c r="O36" s="489">
        <f t="shared" si="14"/>
        <v>247</v>
      </c>
      <c r="P36" s="489">
        <f t="shared" si="14"/>
        <v>195</v>
      </c>
      <c r="Q36" s="489">
        <f t="shared" si="14"/>
        <v>175</v>
      </c>
      <c r="R36" s="489">
        <f t="shared" si="14"/>
        <v>238.46500607608664</v>
      </c>
      <c r="S36" s="489">
        <f t="shared" si="14"/>
        <v>433</v>
      </c>
      <c r="T36" s="489">
        <f t="shared" si="14"/>
        <v>397</v>
      </c>
      <c r="U36" s="489">
        <f t="shared" si="14"/>
        <v>396</v>
      </c>
      <c r="V36" s="489">
        <f t="shared" si="14"/>
        <v>390.60058194565192</v>
      </c>
      <c r="W36" s="489">
        <f t="shared" si="14"/>
        <v>255</v>
      </c>
      <c r="X36" s="489">
        <f t="shared" si="14"/>
        <v>196.2493658681318</v>
      </c>
      <c r="Y36" s="489">
        <f>SUM(Y34:Y35)</f>
        <v>152.22867004347825</v>
      </c>
      <c r="Z36" s="377">
        <f>SUM(Z34:Z35)</f>
        <v>200.39341204347829</v>
      </c>
      <c r="AA36" s="377">
        <f>SUM(AA34:AA35)</f>
        <v>226.53335736666679</v>
      </c>
      <c r="AB36" s="377">
        <f>SUM(AB34:AB35)</f>
        <v>251.78966681318661</v>
      </c>
      <c r="AD36" s="377">
        <f t="shared" ref="AD36:AJ36" si="15">SUM(AD34:AD35)</f>
        <v>421</v>
      </c>
      <c r="AE36" s="377">
        <f t="shared" si="15"/>
        <v>518</v>
      </c>
      <c r="AF36" s="377">
        <f t="shared" si="15"/>
        <v>296</v>
      </c>
      <c r="AG36" s="377">
        <f t="shared" si="15"/>
        <v>241</v>
      </c>
      <c r="AH36" s="377">
        <f t="shared" si="15"/>
        <v>208.54063983232982</v>
      </c>
      <c r="AI36" s="377">
        <f t="shared" si="15"/>
        <v>404.15014548641295</v>
      </c>
      <c r="AJ36" s="377">
        <f t="shared" si="15"/>
        <v>200.96786198877214</v>
      </c>
    </row>
    <row r="37" spans="2:38" ht="14">
      <c r="B37" s="288"/>
      <c r="C37" s="221"/>
      <c r="D37" s="221"/>
      <c r="E37" s="221"/>
      <c r="F37" s="221"/>
      <c r="G37" s="221"/>
      <c r="H37" s="221"/>
      <c r="I37" s="221"/>
      <c r="J37" s="221"/>
      <c r="K37" s="221"/>
      <c r="L37" s="221"/>
      <c r="M37" s="221"/>
      <c r="N37" s="221"/>
      <c r="O37" s="221"/>
      <c r="P37" s="221"/>
      <c r="Q37" s="221"/>
      <c r="R37" s="354"/>
      <c r="S37" s="354"/>
      <c r="T37" s="354"/>
      <c r="U37" s="354"/>
      <c r="V37" s="354"/>
      <c r="W37" s="354"/>
      <c r="X37" s="354"/>
      <c r="Y37" s="490"/>
      <c r="Z37" s="536"/>
      <c r="AA37" s="490"/>
      <c r="AB37" s="490"/>
      <c r="AD37" s="221"/>
      <c r="AE37" s="221"/>
      <c r="AF37" s="221"/>
      <c r="AG37" s="221"/>
      <c r="AH37" s="354"/>
      <c r="AI37" s="354"/>
      <c r="AJ37" s="354"/>
    </row>
    <row r="38" spans="2:38" ht="14.5" thickBot="1">
      <c r="B38" s="353" t="s">
        <v>335</v>
      </c>
      <c r="C38" s="499"/>
      <c r="D38" s="499"/>
      <c r="E38" s="499"/>
      <c r="F38" s="499"/>
      <c r="G38" s="499"/>
      <c r="H38" s="499"/>
      <c r="I38" s="499"/>
      <c r="J38" s="499"/>
      <c r="K38" s="499"/>
      <c r="L38" s="499"/>
      <c r="M38" s="499"/>
      <c r="N38" s="499"/>
      <c r="O38" s="499"/>
      <c r="P38" s="499"/>
      <c r="Q38" s="499"/>
      <c r="R38" s="500"/>
      <c r="S38" s="500"/>
      <c r="T38" s="500"/>
      <c r="U38" s="500"/>
      <c r="V38" s="500"/>
      <c r="W38" s="500"/>
      <c r="X38" s="500"/>
      <c r="Y38" s="501"/>
      <c r="Z38" s="501"/>
      <c r="AA38" s="501"/>
      <c r="AB38" s="501"/>
      <c r="AD38" s="499"/>
      <c r="AE38" s="499"/>
      <c r="AF38" s="499"/>
      <c r="AG38" s="499"/>
      <c r="AH38" s="500"/>
      <c r="AI38" s="500"/>
      <c r="AJ38" s="500"/>
    </row>
    <row r="39" spans="2:38" ht="14">
      <c r="B39" s="282" t="s">
        <v>333</v>
      </c>
      <c r="C39" s="219">
        <v>58.283851627831808</v>
      </c>
      <c r="D39" s="219">
        <v>60.446615663063568</v>
      </c>
      <c r="E39" s="219">
        <v>60.795416866660446</v>
      </c>
      <c r="F39" s="219">
        <v>80.936501502989898</v>
      </c>
      <c r="G39" s="219">
        <v>57.768251049856225</v>
      </c>
      <c r="H39" s="219">
        <v>69.166129196780545</v>
      </c>
      <c r="I39" s="283">
        <v>81.803726723234774</v>
      </c>
      <c r="J39" s="219">
        <v>81.709248529798685</v>
      </c>
      <c r="K39" s="219">
        <v>70</v>
      </c>
      <c r="L39" s="219">
        <v>80</v>
      </c>
      <c r="M39" s="219">
        <v>106.96150161362078</v>
      </c>
      <c r="N39" s="219">
        <v>103</v>
      </c>
      <c r="O39" s="219">
        <v>74</v>
      </c>
      <c r="P39" s="282">
        <v>83</v>
      </c>
      <c r="Q39" s="282">
        <v>106</v>
      </c>
      <c r="R39" s="283">
        <v>98</v>
      </c>
      <c r="S39" s="283">
        <v>81</v>
      </c>
      <c r="T39" s="283">
        <v>96</v>
      </c>
      <c r="U39" s="283">
        <v>110</v>
      </c>
      <c r="V39" s="283">
        <v>103.03334077459581</v>
      </c>
      <c r="W39" s="283">
        <v>85</v>
      </c>
      <c r="X39" s="283">
        <v>99.318655876559518</v>
      </c>
      <c r="Y39" s="283">
        <v>106.72314743836652</v>
      </c>
      <c r="Z39" s="283">
        <v>108</v>
      </c>
      <c r="AA39" s="283">
        <v>97</v>
      </c>
      <c r="AB39" s="283">
        <v>99</v>
      </c>
      <c r="AC39" s="502"/>
      <c r="AD39" s="219">
        <v>62</v>
      </c>
      <c r="AE39" s="219">
        <v>65</v>
      </c>
      <c r="AF39" s="219">
        <v>72</v>
      </c>
      <c r="AG39" s="282">
        <v>88</v>
      </c>
      <c r="AH39" s="283">
        <v>91</v>
      </c>
      <c r="AI39" s="283">
        <f>AVERAGE(S39:V39)</f>
        <v>97.508335193648946</v>
      </c>
      <c r="AJ39" s="283">
        <f>AVERAGE(W39:Z39)</f>
        <v>99.760450828731507</v>
      </c>
      <c r="AK39" s="561"/>
      <c r="AL39" s="561"/>
    </row>
    <row r="40" spans="2:38" s="273" customFormat="1" ht="14.25" customHeight="1">
      <c r="B40" s="282" t="s">
        <v>334</v>
      </c>
      <c r="C40" s="219">
        <v>265.28521467631174</v>
      </c>
      <c r="D40" s="219">
        <v>282.06297448815906</v>
      </c>
      <c r="E40" s="219">
        <v>286.29612353510703</v>
      </c>
      <c r="F40" s="219">
        <v>293.47906506528227</v>
      </c>
      <c r="G40" s="219">
        <v>231.31690998975981</v>
      </c>
      <c r="H40" s="219">
        <v>222.89718231928629</v>
      </c>
      <c r="I40" s="283">
        <v>206.15020854433149</v>
      </c>
      <c r="J40" s="219">
        <v>188.41205244112209</v>
      </c>
      <c r="K40" s="219">
        <v>245</v>
      </c>
      <c r="L40" s="219">
        <v>271</v>
      </c>
      <c r="M40" s="219">
        <v>338.60966116799625</v>
      </c>
      <c r="N40" s="219">
        <v>309</v>
      </c>
      <c r="O40" s="219">
        <v>328</v>
      </c>
      <c r="P40" s="282">
        <v>322</v>
      </c>
      <c r="Q40" s="282">
        <v>330</v>
      </c>
      <c r="R40" s="283">
        <v>351</v>
      </c>
      <c r="S40" s="283">
        <v>260</v>
      </c>
      <c r="T40" s="283">
        <v>238</v>
      </c>
      <c r="U40" s="283">
        <v>201</v>
      </c>
      <c r="V40" s="283">
        <v>199.5381646749656</v>
      </c>
      <c r="W40" s="283">
        <v>217</v>
      </c>
      <c r="X40" s="283">
        <v>227.49583458944741</v>
      </c>
      <c r="Y40" s="283">
        <v>254.32663650539376</v>
      </c>
      <c r="Z40" s="283">
        <v>270</v>
      </c>
      <c r="AA40" s="283">
        <v>417</v>
      </c>
      <c r="AB40" s="283">
        <v>419</v>
      </c>
      <c r="AC40" s="502"/>
      <c r="AD40" s="219">
        <v>209</v>
      </c>
      <c r="AE40" s="219">
        <v>220</v>
      </c>
      <c r="AF40" s="219">
        <v>205</v>
      </c>
      <c r="AG40" s="282">
        <v>288</v>
      </c>
      <c r="AH40" s="283">
        <v>322</v>
      </c>
      <c r="AI40" s="283">
        <f>AVERAGE(S40:V40)</f>
        <v>224.63454116874141</v>
      </c>
      <c r="AJ40" s="283">
        <f>AVERAGE(W40:Z40)</f>
        <v>242.20561777371029</v>
      </c>
      <c r="AK40" s="561"/>
      <c r="AL40" s="561"/>
    </row>
    <row r="41" spans="2:38" s="273" customFormat="1" ht="14.25" customHeight="1">
      <c r="B41" s="282" t="s">
        <v>492</v>
      </c>
      <c r="C41" s="219"/>
      <c r="D41" s="219"/>
      <c r="E41" s="219"/>
      <c r="F41" s="219"/>
      <c r="G41" s="219"/>
      <c r="H41" s="219"/>
      <c r="I41" s="283"/>
      <c r="J41" s="219"/>
      <c r="K41" s="219">
        <f t="shared" ref="K41:Z41" si="16">K11/(K34*K44)*1000000</f>
        <v>133.95883268452349</v>
      </c>
      <c r="L41" s="219">
        <f t="shared" si="16"/>
        <v>134.81826607027975</v>
      </c>
      <c r="M41" s="219">
        <f t="shared" si="16"/>
        <v>39.972965408591278</v>
      </c>
      <c r="N41" s="219">
        <f t="shared" si="16"/>
        <v>221.48079749627402</v>
      </c>
      <c r="O41" s="219">
        <f t="shared" si="16"/>
        <v>65.526416583522561</v>
      </c>
      <c r="P41" s="219">
        <f t="shared" si="16"/>
        <v>83.23320663158708</v>
      </c>
      <c r="Q41" s="219">
        <f t="shared" si="16"/>
        <v>61.957043828794184</v>
      </c>
      <c r="R41" s="219">
        <f t="shared" si="16"/>
        <v>80.759664871897328</v>
      </c>
      <c r="S41" s="219">
        <f>S11/(S34*S44)*1000000</f>
        <v>84.463496082519029</v>
      </c>
      <c r="T41" s="219">
        <f t="shared" si="16"/>
        <v>149.70584457976739</v>
      </c>
      <c r="U41" s="219">
        <f t="shared" si="16"/>
        <v>124.61928231525509</v>
      </c>
      <c r="V41" s="219">
        <f t="shared" si="16"/>
        <v>64.27935225630209</v>
      </c>
      <c r="W41" s="219">
        <f t="shared" si="16"/>
        <v>87.1846982770316</v>
      </c>
      <c r="X41" s="219">
        <f t="shared" si="16"/>
        <v>68.818629268886681</v>
      </c>
      <c r="Y41" s="219">
        <f t="shared" si="16"/>
        <v>231.20070082826933</v>
      </c>
      <c r="Z41" s="219">
        <f t="shared" si="16"/>
        <v>314.2403043174275</v>
      </c>
      <c r="AA41" s="219">
        <f>AA11/(AA34*AA44)*1000000</f>
        <v>139.03521536706717</v>
      </c>
      <c r="AB41" s="219">
        <f t="shared" ref="AB41" si="17">AB11/(AB34*AB44)*1000000</f>
        <v>190.27465236293514</v>
      </c>
      <c r="AC41" s="502"/>
      <c r="AD41" s="219"/>
      <c r="AE41" s="219"/>
      <c r="AF41" s="219"/>
      <c r="AG41" s="219">
        <f>AG11/(AG34*AG44)*1000000</f>
        <v>133.02509118196821</v>
      </c>
      <c r="AH41" s="219">
        <f>AH11/(AH34*AH44)*1000000</f>
        <v>76.803473181511023</v>
      </c>
      <c r="AI41" s="219">
        <f>AI11/(AI34*AI44)*1000000</f>
        <v>105.13180889028878</v>
      </c>
      <c r="AJ41" s="219">
        <f>AJ11/(AJ34*AJ44)*1000000</f>
        <v>153.81790466190557</v>
      </c>
    </row>
    <row r="42" spans="2:38" s="273" customFormat="1" ht="13.5" customHeight="1">
      <c r="B42" s="282" t="s">
        <v>493</v>
      </c>
      <c r="C42" s="219"/>
      <c r="D42" s="219"/>
      <c r="E42" s="219"/>
      <c r="F42" s="219"/>
      <c r="G42" s="219"/>
      <c r="H42" s="219"/>
      <c r="I42" s="283"/>
      <c r="J42" s="219"/>
      <c r="K42" s="219">
        <f t="shared" ref="K42:Y42" si="18">K15/(K34*K44)*1000000</f>
        <v>-195.09590085018272</v>
      </c>
      <c r="L42" s="219">
        <f t="shared" si="18"/>
        <v>-245.44198540174625</v>
      </c>
      <c r="M42" s="219">
        <f t="shared" si="18"/>
        <v>-268.9233682244012</v>
      </c>
      <c r="N42" s="219">
        <f t="shared" si="18"/>
        <v>-186.34204782729591</v>
      </c>
      <c r="O42" s="219">
        <f t="shared" si="18"/>
        <v>-406.96471233433732</v>
      </c>
      <c r="P42" s="219">
        <f t="shared" si="18"/>
        <v>-386.19956516577514</v>
      </c>
      <c r="Q42" s="219">
        <f t="shared" si="18"/>
        <v>-371.39561285192741</v>
      </c>
      <c r="R42" s="219">
        <f t="shared" si="18"/>
        <v>-297.73851970901438</v>
      </c>
      <c r="S42" s="219">
        <f>S15/(S34*S44)*1000000</f>
        <v>-161.0950326768444</v>
      </c>
      <c r="T42" s="219">
        <f t="shared" si="18"/>
        <v>-325.59349893254267</v>
      </c>
      <c r="U42" s="219">
        <f t="shared" si="18"/>
        <v>-313.93180605657693</v>
      </c>
      <c r="V42" s="219">
        <f t="shared" si="18"/>
        <v>-257.64651378071466</v>
      </c>
      <c r="W42" s="219">
        <f t="shared" si="18"/>
        <v>-395.82860597442669</v>
      </c>
      <c r="X42" s="219">
        <f t="shared" si="18"/>
        <v>-480.95021796864677</v>
      </c>
      <c r="Y42" s="219">
        <f t="shared" si="18"/>
        <v>-492.70112865808193</v>
      </c>
      <c r="Z42" s="219">
        <f>Z15/(Z34*Z44)*1000000</f>
        <v>-362.33742510627775</v>
      </c>
      <c r="AA42" s="219">
        <f>AA15/(AA34*AA44)*1000000</f>
        <v>-336.61157404658366</v>
      </c>
      <c r="AB42" s="219">
        <f t="shared" ref="AB42" si="19">AB15/(AB34*AB44)*1000000</f>
        <v>-346.29565811482559</v>
      </c>
      <c r="AC42" s="502"/>
      <c r="AD42" s="219"/>
      <c r="AE42" s="219"/>
      <c r="AF42" s="219"/>
      <c r="AG42" s="219">
        <f>AG15/(AG34*AG44)*1000000</f>
        <v>-223.10325839668096</v>
      </c>
      <c r="AH42" s="219">
        <f>AH15/(AH34*AH44)*1000000</f>
        <v>-380.59840058359714</v>
      </c>
      <c r="AI42" s="219">
        <f>AI15/(AI34*AI44)*1000000</f>
        <v>-260.68690856150732</v>
      </c>
      <c r="AJ42" s="219">
        <f>AJ15/(AJ34*AJ44)*1000000</f>
        <v>-416.43437765453655</v>
      </c>
    </row>
    <row r="43" spans="2:38" s="273" customFormat="1" ht="14.25" customHeight="1">
      <c r="B43" s="288"/>
      <c r="C43" s="221"/>
      <c r="D43" s="221"/>
      <c r="E43" s="221"/>
      <c r="F43" s="221"/>
      <c r="G43" s="221"/>
      <c r="H43" s="221"/>
      <c r="I43" s="289"/>
      <c r="J43" s="221"/>
      <c r="K43" s="221"/>
      <c r="L43" s="221"/>
      <c r="M43" s="221"/>
      <c r="N43" s="221"/>
      <c r="O43" s="221"/>
      <c r="P43" s="288"/>
      <c r="Q43" s="288"/>
      <c r="R43" s="288"/>
      <c r="S43" s="288"/>
      <c r="T43" s="288"/>
      <c r="U43" s="288"/>
      <c r="V43" s="288"/>
      <c r="W43" s="288"/>
      <c r="X43" s="288"/>
      <c r="Y43" s="288"/>
      <c r="Z43" s="288"/>
      <c r="AA43" s="288"/>
      <c r="AB43" s="288"/>
      <c r="AD43" s="221"/>
      <c r="AE43" s="221"/>
      <c r="AF43" s="221"/>
      <c r="AG43" s="288"/>
      <c r="AH43" s="288"/>
      <c r="AI43" s="288"/>
      <c r="AJ43" s="288"/>
    </row>
    <row r="44" spans="2:38" ht="14">
      <c r="B44" s="221" t="s">
        <v>494</v>
      </c>
      <c r="C44" s="221"/>
      <c r="D44" s="221"/>
      <c r="E44" s="221"/>
      <c r="F44" s="221"/>
      <c r="G44" s="221"/>
      <c r="H44" s="221"/>
      <c r="I44" s="221"/>
      <c r="J44" s="221"/>
      <c r="K44" s="221">
        <f>91*24</f>
        <v>2184</v>
      </c>
      <c r="L44" s="221">
        <f>91*24</f>
        <v>2184</v>
      </c>
      <c r="M44" s="221">
        <f>92*24</f>
        <v>2208</v>
      </c>
      <c r="N44" s="221">
        <f>92*24</f>
        <v>2208</v>
      </c>
      <c r="O44" s="221">
        <f>90*24</f>
        <v>2160</v>
      </c>
      <c r="P44" s="221">
        <f>91*24</f>
        <v>2184</v>
      </c>
      <c r="Q44" s="221">
        <f>92*24</f>
        <v>2208</v>
      </c>
      <c r="R44" s="221">
        <f>92*24</f>
        <v>2208</v>
      </c>
      <c r="S44" s="221">
        <f>90*24</f>
        <v>2160</v>
      </c>
      <c r="T44" s="221">
        <f>91*24</f>
        <v>2184</v>
      </c>
      <c r="U44" s="221">
        <f>92*24</f>
        <v>2208</v>
      </c>
      <c r="V44" s="221">
        <f>92*24</f>
        <v>2208</v>
      </c>
      <c r="W44" s="221">
        <f>91*24</f>
        <v>2184</v>
      </c>
      <c r="X44" s="221">
        <f>91*24</f>
        <v>2184</v>
      </c>
      <c r="Y44" s="221">
        <f>92*24</f>
        <v>2208</v>
      </c>
      <c r="Z44" s="221">
        <f>92*24</f>
        <v>2208</v>
      </c>
      <c r="AA44" s="221">
        <v>2160</v>
      </c>
      <c r="AB44" s="221">
        <v>2184</v>
      </c>
      <c r="AG44" s="221">
        <f t="shared" ref="AG44" si="20">SUM(K44:N44)</f>
        <v>8784</v>
      </c>
      <c r="AH44" s="221">
        <f t="shared" ref="AH44" si="21">SUM(O44:R44)</f>
        <v>8760</v>
      </c>
      <c r="AI44" s="221">
        <f t="shared" ref="AI44" si="22">SUM(S44:V44)</f>
        <v>8760</v>
      </c>
      <c r="AJ44" s="221">
        <f t="shared" ref="AJ44" si="23">SUM(W44:Z44)</f>
        <v>8784</v>
      </c>
    </row>
    <row r="45" spans="2:38" ht="14">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G45" s="221"/>
      <c r="AH45" s="221"/>
      <c r="AI45" s="221"/>
      <c r="AJ45" s="221"/>
    </row>
    <row r="58" spans="11:28">
      <c r="K58" s="524"/>
      <c r="L58" s="364"/>
      <c r="M58" s="364"/>
      <c r="N58" s="364"/>
      <c r="O58" s="364"/>
      <c r="P58" s="364"/>
      <c r="Q58" s="364"/>
      <c r="R58" s="364"/>
      <c r="S58" s="364"/>
      <c r="T58" s="364"/>
      <c r="U58" s="364"/>
      <c r="V58" s="364"/>
      <c r="W58" s="364"/>
      <c r="X58" s="364"/>
      <c r="Y58" s="364"/>
      <c r="Z58" s="364"/>
      <c r="AA58" s="364"/>
      <c r="AB58" s="364"/>
    </row>
    <row r="59" spans="11:28">
      <c r="K59" s="524"/>
      <c r="L59" s="364"/>
      <c r="M59" s="364"/>
      <c r="N59" s="364"/>
      <c r="O59" s="364"/>
      <c r="P59" s="364"/>
      <c r="Q59" s="364"/>
      <c r="R59" s="364"/>
      <c r="S59" s="364"/>
      <c r="T59" s="364"/>
      <c r="U59" s="364"/>
      <c r="V59" s="364"/>
      <c r="W59" s="364"/>
      <c r="X59" s="364"/>
      <c r="Y59" s="364"/>
      <c r="Z59" s="364"/>
      <c r="AA59" s="364"/>
      <c r="AB59" s="364"/>
    </row>
    <row r="60" spans="11:28">
      <c r="K60" s="524"/>
      <c r="L60" s="364"/>
      <c r="M60" s="364"/>
      <c r="N60" s="364"/>
      <c r="O60" s="364"/>
      <c r="P60" s="364"/>
      <c r="Q60" s="364"/>
      <c r="R60" s="364"/>
      <c r="S60" s="364"/>
      <c r="T60" s="364"/>
      <c r="U60" s="364"/>
      <c r="V60" s="364"/>
      <c r="W60" s="364"/>
      <c r="X60" s="364"/>
      <c r="Y60" s="364"/>
      <c r="Z60" s="364"/>
      <c r="AA60" s="364"/>
      <c r="AB60" s="364"/>
    </row>
    <row r="61" spans="11:28">
      <c r="K61" s="524"/>
      <c r="L61" s="364"/>
      <c r="M61" s="364"/>
      <c r="N61" s="364"/>
      <c r="O61" s="364"/>
      <c r="P61" s="364"/>
      <c r="Q61" s="364"/>
      <c r="R61" s="364"/>
      <c r="S61" s="364"/>
      <c r="T61" s="364"/>
      <c r="U61" s="364"/>
      <c r="V61" s="364"/>
      <c r="W61" s="364"/>
      <c r="X61" s="364"/>
      <c r="Y61" s="364"/>
      <c r="Z61" s="364"/>
      <c r="AA61" s="364"/>
      <c r="AB61" s="364"/>
    </row>
    <row r="63" spans="11:28">
      <c r="K63" s="525"/>
      <c r="L63" s="525"/>
      <c r="M63" s="525"/>
      <c r="N63" s="525"/>
      <c r="O63" s="525"/>
      <c r="P63" s="525"/>
      <c r="Q63" s="525"/>
      <c r="R63" s="525"/>
      <c r="S63" s="525"/>
      <c r="T63" s="525"/>
      <c r="U63" s="525"/>
      <c r="V63" s="525"/>
      <c r="W63" s="525"/>
      <c r="X63" s="525"/>
      <c r="Y63" s="525"/>
      <c r="Z63" s="525"/>
      <c r="AA63" s="525"/>
      <c r="AB63" s="525"/>
    </row>
  </sheetData>
  <dataConsolidate/>
  <phoneticPr fontId="98" type="noConversion"/>
  <pageMargins left="0.511811024" right="0.511811024" top="0.78740157499999996" bottom="0.78740157499999996" header="0.31496062000000002" footer="0.31496062000000002"/>
  <pageSetup paperSize="9" orientation="portrait" r:id="rId1"/>
  <ignoredErrors>
    <ignoredError sqref="AG24:AJ24 AG21:AJ22 AG9:AJ2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EE56-75B7-4841-BB1A-D37128F47B4F}">
  <sheetPr>
    <tabColor rgb="FF00B050"/>
    <pageSetUpPr fitToPage="1"/>
  </sheetPr>
  <dimension ref="A1:EP30"/>
  <sheetViews>
    <sheetView showGridLines="0" zoomScale="80" zoomScaleNormal="80" zoomScaleSheetLayoutView="90" workbookViewId="0">
      <pane xSplit="2" ySplit="7" topLeftCell="W8" activePane="bottomRight" state="frozen"/>
      <selection activeCell="AC26" sqref="AC26"/>
      <selection pane="topRight" activeCell="AC26" sqref="AC26"/>
      <selection pane="bottomLeft" activeCell="AC26" sqref="AC26"/>
      <selection pane="bottomRight" activeCell="AG9" sqref="AG9"/>
    </sheetView>
  </sheetViews>
  <sheetFormatPr defaultColWidth="9.1796875" defaultRowHeight="12.5" outlineLevelCol="1"/>
  <cols>
    <col min="1" max="1" width="2.1796875" style="227" customWidth="1"/>
    <col min="2" max="2" width="41.453125" style="227" customWidth="1"/>
    <col min="3" max="3" width="11.1796875" style="227" customWidth="1" outlineLevel="1"/>
    <col min="4" max="14" width="9.1796875" style="227" customWidth="1" outlineLevel="1"/>
    <col min="15" max="15" width="10.453125" style="227" customWidth="1" outlineLevel="1"/>
    <col min="16" max="16" width="9.81640625" style="227" customWidth="1" outlineLevel="1"/>
    <col min="17" max="22" width="9.1796875" style="227" customWidth="1" outlineLevel="1"/>
    <col min="23" max="34" width="9.1796875" style="227"/>
    <col min="35" max="39" width="9.1796875" style="227" hidden="1" customWidth="1" outlineLevel="1"/>
    <col min="40" max="40" width="9.1796875" style="227" collapsed="1"/>
    <col min="41" max="41" width="9.1796875" style="227" customWidth="1"/>
    <col min="42" max="42" width="9.1796875" style="227"/>
    <col min="43" max="46" width="9.1796875" style="227" hidden="1" customWidth="1" outlineLevel="1"/>
    <col min="47" max="50" width="0" style="227" hidden="1" customWidth="1" outlineLevel="1"/>
    <col min="51" max="51" width="9.1796875" style="227" collapsed="1"/>
    <col min="52" max="16384" width="9.1796875" style="227"/>
  </cols>
  <sheetData>
    <row r="1" spans="1:146">
      <c r="A1" s="225"/>
      <c r="B1" s="226"/>
    </row>
    <row r="2" spans="1:146">
      <c r="A2" s="225"/>
      <c r="B2" s="226"/>
    </row>
    <row r="3" spans="1:146">
      <c r="A3" s="225"/>
      <c r="B3" s="226"/>
    </row>
    <row r="4" spans="1:146" ht="21" customHeight="1">
      <c r="A4" s="225"/>
      <c r="B4" s="228"/>
    </row>
    <row r="5" spans="1:146" ht="13">
      <c r="B5" s="229"/>
    </row>
    <row r="6" spans="1:146" ht="12" customHeight="1">
      <c r="B6" s="230"/>
      <c r="C6" s="620"/>
      <c r="D6" s="620"/>
      <c r="E6" s="620"/>
      <c r="F6" s="620"/>
      <c r="G6" s="620"/>
      <c r="H6" s="620"/>
      <c r="I6" s="620"/>
      <c r="J6" s="620"/>
      <c r="K6" s="620"/>
      <c r="L6" s="620"/>
      <c r="M6" s="620"/>
      <c r="N6" s="620"/>
      <c r="O6" s="620"/>
      <c r="P6" s="620"/>
      <c r="Q6" s="231"/>
      <c r="R6" s="231"/>
    </row>
    <row r="7" spans="1:146" s="232" customFormat="1" ht="14.25" customHeight="1" thickBot="1">
      <c r="B7" s="233" t="s">
        <v>83</v>
      </c>
      <c r="C7" s="234" t="s">
        <v>84</v>
      </c>
      <c r="D7" s="234" t="s">
        <v>85</v>
      </c>
      <c r="E7" s="234" t="s">
        <v>86</v>
      </c>
      <c r="F7" s="234" t="s">
        <v>87</v>
      </c>
      <c r="G7" s="234" t="s">
        <v>88</v>
      </c>
      <c r="H7" s="234" t="s">
        <v>89</v>
      </c>
      <c r="I7" s="234" t="s">
        <v>90</v>
      </c>
      <c r="J7" s="234" t="s">
        <v>91</v>
      </c>
      <c r="K7" s="234" t="s">
        <v>92</v>
      </c>
      <c r="L7" s="234" t="s">
        <v>93</v>
      </c>
      <c r="M7" s="234" t="s">
        <v>94</v>
      </c>
      <c r="N7" s="234" t="s">
        <v>95</v>
      </c>
      <c r="O7" s="234" t="s">
        <v>96</v>
      </c>
      <c r="P7" s="234" t="s">
        <v>97</v>
      </c>
      <c r="Q7" s="234" t="s">
        <v>98</v>
      </c>
      <c r="R7" s="234" t="s">
        <v>99</v>
      </c>
      <c r="S7" s="234" t="s">
        <v>100</v>
      </c>
      <c r="T7" s="234" t="s">
        <v>101</v>
      </c>
      <c r="U7" s="234" t="s">
        <v>336</v>
      </c>
      <c r="V7" s="234" t="s">
        <v>342</v>
      </c>
      <c r="W7" s="234" t="s">
        <v>357</v>
      </c>
      <c r="X7" s="234" t="s">
        <v>384</v>
      </c>
      <c r="Y7" s="234" t="s">
        <v>395</v>
      </c>
      <c r="Z7" s="234" t="s">
        <v>396</v>
      </c>
      <c r="AA7" s="234" t="s">
        <v>469</v>
      </c>
      <c r="AB7" s="234" t="s">
        <v>473</v>
      </c>
      <c r="AC7" s="234" t="s">
        <v>478</v>
      </c>
      <c r="AD7" s="234" t="s">
        <v>480</v>
      </c>
      <c r="AE7" s="234" t="s">
        <v>518</v>
      </c>
      <c r="AF7" s="234" t="s">
        <v>521</v>
      </c>
      <c r="AG7" s="235"/>
      <c r="AI7" s="234">
        <v>2018</v>
      </c>
      <c r="AJ7" s="234">
        <v>2019</v>
      </c>
      <c r="AK7" s="234">
        <v>2020</v>
      </c>
      <c r="AL7" s="234">
        <v>2021</v>
      </c>
      <c r="AM7" s="234">
        <v>2022</v>
      </c>
      <c r="AN7" s="234">
        <v>2023</v>
      </c>
      <c r="AO7" s="234">
        <v>2024</v>
      </c>
      <c r="AQ7" s="234" t="s">
        <v>100</v>
      </c>
      <c r="AR7" s="234" t="s">
        <v>101</v>
      </c>
      <c r="AS7" s="234" t="s">
        <v>336</v>
      </c>
      <c r="AT7" s="234" t="s">
        <v>342</v>
      </c>
      <c r="AU7" s="234" t="s">
        <v>357</v>
      </c>
      <c r="AV7" s="234" t="s">
        <v>384</v>
      </c>
      <c r="AW7" s="234" t="s">
        <v>395</v>
      </c>
      <c r="AX7" s="234" t="s">
        <v>396</v>
      </c>
      <c r="AY7" s="234" t="s">
        <v>469</v>
      </c>
      <c r="AZ7" s="234" t="s">
        <v>473</v>
      </c>
      <c r="BA7" s="234" t="s">
        <v>478</v>
      </c>
      <c r="BB7" s="494" t="s">
        <v>480</v>
      </c>
      <c r="BC7" s="494" t="s">
        <v>518</v>
      </c>
      <c r="BD7" s="494" t="s">
        <v>521</v>
      </c>
    </row>
    <row r="8" spans="1:146" ht="14.25" customHeight="1" thickTop="1">
      <c r="B8" s="236"/>
      <c r="L8" s="237"/>
      <c r="AG8" s="225"/>
      <c r="AI8" s="238"/>
      <c r="AJ8" s="238"/>
      <c r="AK8" s="238"/>
      <c r="AL8" s="238"/>
      <c r="AM8" s="238"/>
      <c r="AN8" s="238"/>
      <c r="AO8" s="238"/>
      <c r="AQ8" s="238"/>
      <c r="AR8" s="238"/>
      <c r="AS8" s="238"/>
    </row>
    <row r="9" spans="1:146" s="232" customFormat="1" ht="14.5" thickBot="1">
      <c r="B9" s="239" t="s">
        <v>74</v>
      </c>
      <c r="C9" s="240">
        <f t="shared" ref="C9:AC9" si="0">SUM(C10,C13,C17)</f>
        <v>112.89437155300001</v>
      </c>
      <c r="D9" s="240">
        <f t="shared" si="0"/>
        <v>108.97964737</v>
      </c>
      <c r="E9" s="240">
        <f t="shared" si="0"/>
        <v>113.08253432399999</v>
      </c>
      <c r="F9" s="240">
        <f t="shared" si="0"/>
        <v>107.871675829</v>
      </c>
      <c r="G9" s="240">
        <f t="shared" si="0"/>
        <v>103.44017012099999</v>
      </c>
      <c r="H9" s="240">
        <f t="shared" si="0"/>
        <v>100.370531649</v>
      </c>
      <c r="I9" s="240">
        <f t="shared" si="0"/>
        <v>101.44061324500002</v>
      </c>
      <c r="J9" s="240">
        <f t="shared" si="0"/>
        <v>93.765105867000003</v>
      </c>
      <c r="K9" s="240">
        <f t="shared" si="0"/>
        <v>106.24764933500001</v>
      </c>
      <c r="L9" s="240">
        <f t="shared" si="0"/>
        <v>93.516977307999994</v>
      </c>
      <c r="M9" s="240">
        <f t="shared" si="0"/>
        <v>123.194917874</v>
      </c>
      <c r="N9" s="240">
        <f t="shared" si="0"/>
        <v>118.13206369500001</v>
      </c>
      <c r="O9" s="240">
        <f t="shared" si="0"/>
        <v>119.73352715</v>
      </c>
      <c r="P9" s="240">
        <f t="shared" si="0"/>
        <v>119.32094736799999</v>
      </c>
      <c r="Q9" s="240">
        <f t="shared" si="0"/>
        <v>123.513382165</v>
      </c>
      <c r="R9" s="240">
        <f t="shared" si="0"/>
        <v>122.179759633</v>
      </c>
      <c r="S9" s="240">
        <f t="shared" si="0"/>
        <v>109</v>
      </c>
      <c r="T9" s="240">
        <f t="shared" si="0"/>
        <v>112</v>
      </c>
      <c r="U9" s="240">
        <f t="shared" si="0"/>
        <v>129</v>
      </c>
      <c r="V9" s="240">
        <f t="shared" si="0"/>
        <v>122.46210662099998</v>
      </c>
      <c r="W9" s="240">
        <f t="shared" si="0"/>
        <v>106</v>
      </c>
      <c r="X9" s="240">
        <f t="shared" si="0"/>
        <v>105</v>
      </c>
      <c r="Y9" s="240">
        <f t="shared" si="0"/>
        <v>119</v>
      </c>
      <c r="Z9" s="240">
        <f t="shared" si="0"/>
        <v>128.00780246599999</v>
      </c>
      <c r="AA9" s="240">
        <f t="shared" si="0"/>
        <v>119.74037091399998</v>
      </c>
      <c r="AB9" s="240">
        <f t="shared" si="0"/>
        <v>128.45955910900003</v>
      </c>
      <c r="AC9" s="240">
        <f t="shared" si="0"/>
        <v>128.76663717800002</v>
      </c>
      <c r="AD9" s="240">
        <f>SUM(AD10,AD13,AD17)</f>
        <v>124.57268817400001</v>
      </c>
      <c r="AE9" s="240">
        <f>SUM(AE10,AE13,AE17)</f>
        <v>120.359143461</v>
      </c>
      <c r="AF9" s="240">
        <f>SUM(AF10,AF13,AF17)</f>
        <v>119</v>
      </c>
      <c r="AG9" s="241"/>
      <c r="AI9" s="242">
        <v>1</v>
      </c>
      <c r="AJ9" s="242">
        <v>1</v>
      </c>
      <c r="AK9" s="242">
        <v>1</v>
      </c>
      <c r="AL9" s="242">
        <v>1</v>
      </c>
      <c r="AM9" s="242">
        <v>1</v>
      </c>
      <c r="AN9" s="242">
        <f>SUM(AN10,AN13,AN17)</f>
        <v>1</v>
      </c>
      <c r="AO9" s="242">
        <f>SUM(AO10,AO13,AO17)</f>
        <v>1</v>
      </c>
      <c r="AQ9" s="242">
        <v>1</v>
      </c>
      <c r="AR9" s="242">
        <v>1</v>
      </c>
      <c r="AS9" s="242">
        <v>1</v>
      </c>
      <c r="AT9" s="242">
        <v>1</v>
      </c>
      <c r="AU9" s="242">
        <v>1</v>
      </c>
      <c r="AV9" s="242">
        <v>1</v>
      </c>
      <c r="AW9" s="242">
        <v>1</v>
      </c>
      <c r="AX9" s="242">
        <f t="shared" ref="AX9:BC9" si="1">SUM(AX10,AX13,AX17)</f>
        <v>1</v>
      </c>
      <c r="AY9" s="242">
        <f t="shared" si="1"/>
        <v>1</v>
      </c>
      <c r="AZ9" s="242">
        <f t="shared" si="1"/>
        <v>1</v>
      </c>
      <c r="BA9" s="242">
        <f t="shared" si="1"/>
        <v>1</v>
      </c>
      <c r="BB9" s="242">
        <f t="shared" si="1"/>
        <v>1</v>
      </c>
      <c r="BC9" s="242">
        <f t="shared" si="1"/>
        <v>1</v>
      </c>
      <c r="BD9" s="242">
        <f t="shared" ref="BD9" si="2">SUM(BD10,BD13,BD17)</f>
        <v>1</v>
      </c>
      <c r="EP9" s="401" t="e" cm="1">
        <f t="array" ref="EP9">EI16EI11EI11CG7+CW7+DF7</f>
        <v>#NAME?</v>
      </c>
    </row>
    <row r="10" spans="1:146" ht="14.25" customHeight="1" thickBot="1">
      <c r="B10" s="243" t="s">
        <v>102</v>
      </c>
      <c r="C10" s="244">
        <f>SUM(C11:C12)</f>
        <v>67.302429000000004</v>
      </c>
      <c r="D10" s="244">
        <f t="shared" ref="D10:Q10" si="3">SUM(D11:D12)</f>
        <v>62.631048899999996</v>
      </c>
      <c r="E10" s="244">
        <f t="shared" si="3"/>
        <v>61.544618</v>
      </c>
      <c r="F10" s="244">
        <f t="shared" si="3"/>
        <v>59.126366991000005</v>
      </c>
      <c r="G10" s="244">
        <f t="shared" si="3"/>
        <v>54.335425426999997</v>
      </c>
      <c r="H10" s="244">
        <f t="shared" si="3"/>
        <v>54.805229999999995</v>
      </c>
      <c r="I10" s="244">
        <f t="shared" si="3"/>
        <v>60.521159593</v>
      </c>
      <c r="J10" s="244">
        <f t="shared" si="3"/>
        <v>51.064089999999993</v>
      </c>
      <c r="K10" s="244">
        <f t="shared" si="3"/>
        <v>58.648728999999996</v>
      </c>
      <c r="L10" s="244">
        <f t="shared" si="3"/>
        <v>53.227482999999999</v>
      </c>
      <c r="M10" s="244">
        <f t="shared" si="3"/>
        <v>65.377861999999993</v>
      </c>
      <c r="N10" s="244">
        <f t="shared" si="3"/>
        <v>63.190384999999992</v>
      </c>
      <c r="O10" s="244">
        <f t="shared" si="3"/>
        <v>61.475999999999999</v>
      </c>
      <c r="P10" s="244">
        <f t="shared" si="3"/>
        <v>61.634</v>
      </c>
      <c r="Q10" s="244">
        <f t="shared" si="3"/>
        <v>62.716999999999999</v>
      </c>
      <c r="R10" s="244">
        <v>65.878</v>
      </c>
      <c r="S10" s="244">
        <f t="shared" ref="S10:AA10" si="4">SUM(S11:S12)</f>
        <v>52</v>
      </c>
      <c r="T10" s="244">
        <f t="shared" si="4"/>
        <v>55</v>
      </c>
      <c r="U10" s="244">
        <f t="shared" si="4"/>
        <v>65</v>
      </c>
      <c r="V10" s="244">
        <f t="shared" si="4"/>
        <v>62.288383859999996</v>
      </c>
      <c r="W10" s="244">
        <f t="shared" si="4"/>
        <v>53</v>
      </c>
      <c r="X10" s="244">
        <f t="shared" si="4"/>
        <v>53</v>
      </c>
      <c r="Y10" s="244">
        <f t="shared" si="4"/>
        <v>67</v>
      </c>
      <c r="Z10" s="244">
        <f t="shared" si="4"/>
        <v>76.961147202999996</v>
      </c>
      <c r="AA10" s="244">
        <f t="shared" si="4"/>
        <v>66.084968289999992</v>
      </c>
      <c r="AB10" s="244">
        <v>71.690663190000024</v>
      </c>
      <c r="AC10" s="244">
        <v>66.853626202000044</v>
      </c>
      <c r="AD10" s="244">
        <f>SUM(AD11:AD12)</f>
        <v>65.880043763000003</v>
      </c>
      <c r="AE10" s="244">
        <f>SUM(AE11:AE12)</f>
        <v>61.327143461000006</v>
      </c>
      <c r="AF10" s="244">
        <f>SUM(AF11:AF12)</f>
        <v>61</v>
      </c>
      <c r="AG10" s="567"/>
      <c r="AI10" s="245">
        <f>SUM(C10:F10)/SUM(C9:F9)</f>
        <v>0.56591799356131445</v>
      </c>
      <c r="AJ10" s="245">
        <f>SUM(G10:J10)/SUM($G$9:$J$9)</f>
        <v>0.55317499097430534</v>
      </c>
      <c r="AK10" s="245">
        <f>SUM(K10:N10)/SUM($K$9:$N$9)</f>
        <v>0.5451122953226446</v>
      </c>
      <c r="AL10" s="245">
        <f>SUM(O10:R10)/SUM($O$9:$R$9)</f>
        <v>0.51924958788434172</v>
      </c>
      <c r="AM10" s="245">
        <f t="shared" ref="AM10:AM19" si="5">SUM(S10:V10)/SUM($S$9:$V$9)</f>
        <v>0.49588820050692795</v>
      </c>
      <c r="AN10" s="245">
        <f t="shared" ref="AN10:AN11" si="6">SUM(W10:Z10)/SUM($W$9:$Z$9)</f>
        <v>0.54575739945294</v>
      </c>
      <c r="AO10" s="245">
        <f t="shared" ref="AO10:AO19" si="7">SUM(AA10:AD10)/SUM($AA$9:$AD$9)</f>
        <v>0.53935818292576265</v>
      </c>
      <c r="AQ10" s="245">
        <f t="shared" ref="AQ10:AQ19" si="8">S10/$S$9</f>
        <v>0.47706422018348627</v>
      </c>
      <c r="AR10" s="245">
        <f t="shared" ref="AR10:AR19" si="9">T10/T$9</f>
        <v>0.49107142857142855</v>
      </c>
      <c r="AS10" s="245">
        <f t="shared" ref="AS10:AS19" si="10">U10/U$9</f>
        <v>0.50387596899224807</v>
      </c>
      <c r="AT10" s="245">
        <f t="shared" ref="AT10:AT19" si="11">V10/V$9</f>
        <v>0.50863394056066891</v>
      </c>
      <c r="AU10" s="245">
        <f t="shared" ref="AU10:AU19" si="12">W10/W$9</f>
        <v>0.5</v>
      </c>
      <c r="AV10" s="245">
        <f t="shared" ref="AV10:AV19" si="13">X10/X$9</f>
        <v>0.50476190476190474</v>
      </c>
      <c r="AW10" s="245">
        <f t="shared" ref="AW10:AW19" si="14">Y10/Y$9</f>
        <v>0.56302521008403361</v>
      </c>
      <c r="AX10" s="245">
        <f t="shared" ref="AX10:AX19" si="15">Z10/Z$9</f>
        <v>0.6012223139557572</v>
      </c>
      <c r="AY10" s="245">
        <f t="shared" ref="AY10:AY19" si="16">AA10/AA$9</f>
        <v>0.55190215117559294</v>
      </c>
      <c r="AZ10" s="245">
        <f t="shared" ref="AZ10:AZ19" si="17">AB10/AB$9</f>
        <v>0.55807962978581716</v>
      </c>
      <c r="BA10" s="245">
        <f t="shared" ref="BA10:BA19" si="18">AC10/AC$9</f>
        <v>0.51918437622615876</v>
      </c>
      <c r="BB10" s="245">
        <f t="shared" ref="BB10:BB19" si="19">AD10/AD$9</f>
        <v>0.52884821487500067</v>
      </c>
      <c r="BC10" s="245">
        <f t="shared" ref="BC10:BC19" si="20">AE10/AE$9</f>
        <v>0.50953456212383108</v>
      </c>
      <c r="BD10" s="245">
        <f t="shared" ref="BD10:BD19" si="21">AF10/AF$9</f>
        <v>0.51260504201680668</v>
      </c>
      <c r="EP10" s="402" t="e" cm="1">
        <f t="array" ref="EP10">EI16EI11EI11CG7+CW7+DF7</f>
        <v>#NAME?</v>
      </c>
    </row>
    <row r="11" spans="1:146" ht="14">
      <c r="B11" s="246" t="s">
        <v>103</v>
      </c>
      <c r="C11" s="247">
        <v>28.820508000000004</v>
      </c>
      <c r="D11" s="247">
        <v>19.130030999999999</v>
      </c>
      <c r="E11" s="247">
        <v>19.785311999999998</v>
      </c>
      <c r="F11" s="247">
        <v>15.902756990999999</v>
      </c>
      <c r="G11" s="247">
        <v>16.527532426999997</v>
      </c>
      <c r="H11" s="247">
        <v>12.984525999999997</v>
      </c>
      <c r="I11" s="247">
        <v>21.018723593000004</v>
      </c>
      <c r="J11" s="247">
        <v>16.730824999999996</v>
      </c>
      <c r="K11" s="247">
        <v>15.699796999999997</v>
      </c>
      <c r="L11" s="247">
        <v>38.591225999999999</v>
      </c>
      <c r="M11" s="247">
        <v>31.359652999999994</v>
      </c>
      <c r="N11" s="247">
        <v>23.252006999999995</v>
      </c>
      <c r="O11" s="247">
        <v>13.062580222000014</v>
      </c>
      <c r="P11" s="247">
        <v>9.706273999999997</v>
      </c>
      <c r="Q11" s="247">
        <v>9.2005250000000007</v>
      </c>
      <c r="R11" s="247">
        <v>15.667989</v>
      </c>
      <c r="S11" s="247">
        <v>14</v>
      </c>
      <c r="T11" s="247">
        <v>21</v>
      </c>
      <c r="U11" s="247">
        <v>30</v>
      </c>
      <c r="V11" s="247">
        <v>20.128543860000001</v>
      </c>
      <c r="W11" s="247">
        <v>7</v>
      </c>
      <c r="X11" s="247">
        <v>10</v>
      </c>
      <c r="Y11" s="247">
        <v>21</v>
      </c>
      <c r="Z11" s="247">
        <v>27.490092099999998</v>
      </c>
      <c r="AA11" s="481">
        <v>13.544537999999996</v>
      </c>
      <c r="AB11" s="247">
        <v>17.620719000000005</v>
      </c>
      <c r="AC11" s="247">
        <v>18.103810725000002</v>
      </c>
      <c r="AD11" s="247">
        <v>15.4128206</v>
      </c>
      <c r="AE11" s="247">
        <v>15.347</v>
      </c>
      <c r="AF11" s="247">
        <v>15</v>
      </c>
      <c r="AG11" s="355"/>
      <c r="AI11" s="248">
        <f>SUM(C11:F11)/SUM(C9:F9)</f>
        <v>0.18887370429278935</v>
      </c>
      <c r="AJ11" s="248">
        <f>SUM(G11:J11)/SUM($G$9:$J$9)</f>
        <v>0.16856851873745585</v>
      </c>
      <c r="AK11" s="248">
        <f t="shared" ref="AK11:AK19" si="22">SUM(K11:N11)/SUM($K$9:$N$9)</f>
        <v>0.24689357261056427</v>
      </c>
      <c r="AL11" s="248">
        <f t="shared" ref="AL11:AL19" si="23">SUM(O11:R11)/SUM($O$9:$R$9)</f>
        <v>9.8272516704746182E-2</v>
      </c>
      <c r="AM11" s="248">
        <f t="shared" si="5"/>
        <v>0.18018068045463059</v>
      </c>
      <c r="AN11" s="248">
        <f t="shared" si="6"/>
        <v>0.14298903151297651</v>
      </c>
      <c r="AO11" s="248">
        <f t="shared" si="7"/>
        <v>0.12896675112028363</v>
      </c>
      <c r="AQ11" s="248">
        <f t="shared" si="8"/>
        <v>0.12844036697247707</v>
      </c>
      <c r="AR11" s="248">
        <f t="shared" si="9"/>
        <v>0.1875</v>
      </c>
      <c r="AS11" s="248">
        <f t="shared" si="10"/>
        <v>0.23255813953488372</v>
      </c>
      <c r="AT11" s="248">
        <f t="shared" si="11"/>
        <v>0.1643654875405216</v>
      </c>
      <c r="AU11" s="248">
        <f t="shared" si="12"/>
        <v>6.6037735849056603E-2</v>
      </c>
      <c r="AV11" s="248">
        <f t="shared" si="13"/>
        <v>9.5238095238095233E-2</v>
      </c>
      <c r="AW11" s="248">
        <f t="shared" si="14"/>
        <v>0.17647058823529413</v>
      </c>
      <c r="AX11" s="248">
        <f t="shared" si="15"/>
        <v>0.21475325386748681</v>
      </c>
      <c r="AY11" s="248">
        <f t="shared" si="16"/>
        <v>0.11311588478148246</v>
      </c>
      <c r="AZ11" s="248">
        <f t="shared" si="17"/>
        <v>0.13716938717692886</v>
      </c>
      <c r="BA11" s="248">
        <f t="shared" si="18"/>
        <v>0.14059395447265019</v>
      </c>
      <c r="BB11" s="248">
        <f t="shared" si="19"/>
        <v>0.12372551982238481</v>
      </c>
      <c r="BC11" s="248">
        <f t="shared" si="20"/>
        <v>0.1275100466710524</v>
      </c>
      <c r="BD11" s="248">
        <f t="shared" si="21"/>
        <v>0.12605042016806722</v>
      </c>
    </row>
    <row r="12" spans="1:146" ht="14">
      <c r="B12" s="249" t="s">
        <v>104</v>
      </c>
      <c r="C12" s="250">
        <v>38.481921</v>
      </c>
      <c r="D12" s="250">
        <v>43.501017899999994</v>
      </c>
      <c r="E12" s="250">
        <v>41.759306000000002</v>
      </c>
      <c r="F12" s="250">
        <v>43.223610000000008</v>
      </c>
      <c r="G12" s="250">
        <v>37.807893</v>
      </c>
      <c r="H12" s="250">
        <v>41.820703999999999</v>
      </c>
      <c r="I12" s="250">
        <v>39.502435999999996</v>
      </c>
      <c r="J12" s="250">
        <v>34.333264999999997</v>
      </c>
      <c r="K12" s="250">
        <v>42.948931999999999</v>
      </c>
      <c r="L12" s="250">
        <v>14.636256999999999</v>
      </c>
      <c r="M12" s="250">
        <v>34.018208999999999</v>
      </c>
      <c r="N12" s="250">
        <v>39.938378</v>
      </c>
      <c r="O12" s="250">
        <v>48.413419777999984</v>
      </c>
      <c r="P12" s="250">
        <v>51.927726000000007</v>
      </c>
      <c r="Q12" s="250">
        <v>53.516475</v>
      </c>
      <c r="R12" s="250">
        <v>50.210011000000002</v>
      </c>
      <c r="S12" s="250">
        <v>38</v>
      </c>
      <c r="T12" s="250">
        <v>34</v>
      </c>
      <c r="U12" s="250">
        <v>35</v>
      </c>
      <c r="V12" s="250">
        <v>42.159839999999996</v>
      </c>
      <c r="W12" s="250">
        <v>46</v>
      </c>
      <c r="X12" s="250">
        <v>43</v>
      </c>
      <c r="Y12" s="250">
        <v>46</v>
      </c>
      <c r="Z12" s="250">
        <v>49.471055103000005</v>
      </c>
      <c r="AA12" s="482">
        <v>52.540430289999996</v>
      </c>
      <c r="AB12" s="250">
        <v>54.069944190000015</v>
      </c>
      <c r="AC12" s="250">
        <v>48.749815477000034</v>
      </c>
      <c r="AD12" s="250">
        <v>50.467223163</v>
      </c>
      <c r="AE12" s="250">
        <v>45.980143461000004</v>
      </c>
      <c r="AF12" s="250">
        <v>46</v>
      </c>
      <c r="AG12" s="241"/>
      <c r="AI12" s="251">
        <f>SUM(C12:F12)/SUM(C9:F9)</f>
        <v>0.37704428926852507</v>
      </c>
      <c r="AJ12" s="251">
        <f>SUM(G12:J12)/SUM($G$9:$J$9)</f>
        <v>0.38460647223684952</v>
      </c>
      <c r="AK12" s="251">
        <f t="shared" si="22"/>
        <v>0.29821872271208033</v>
      </c>
      <c r="AL12" s="251">
        <f t="shared" si="23"/>
        <v>0.4209770711795956</v>
      </c>
      <c r="AM12" s="251">
        <f t="shared" si="5"/>
        <v>0.31570752005229735</v>
      </c>
      <c r="AN12" s="251">
        <f>SUM(W12:Z12)/SUM($W$9:$Z$9)</f>
        <v>0.40276836793996351</v>
      </c>
      <c r="AO12" s="251">
        <f t="shared" si="7"/>
        <v>0.41039143180547899</v>
      </c>
      <c r="AQ12" s="251">
        <f t="shared" si="8"/>
        <v>0.34862385321100919</v>
      </c>
      <c r="AR12" s="251">
        <f t="shared" si="9"/>
        <v>0.30357142857142855</v>
      </c>
      <c r="AS12" s="251">
        <f t="shared" si="10"/>
        <v>0.27131782945736432</v>
      </c>
      <c r="AT12" s="251">
        <f t="shared" si="11"/>
        <v>0.34426845302014725</v>
      </c>
      <c r="AU12" s="251">
        <f t="shared" si="12"/>
        <v>0.43396226415094341</v>
      </c>
      <c r="AV12" s="251">
        <f t="shared" si="13"/>
        <v>0.40952380952380951</v>
      </c>
      <c r="AW12" s="251">
        <f t="shared" si="14"/>
        <v>0.38655462184873951</v>
      </c>
      <c r="AX12" s="251">
        <f t="shared" si="15"/>
        <v>0.38646906008827048</v>
      </c>
      <c r="AY12" s="251">
        <f t="shared" si="16"/>
        <v>0.4387862663941105</v>
      </c>
      <c r="AZ12" s="251">
        <f t="shared" si="17"/>
        <v>0.42091024260888821</v>
      </c>
      <c r="BA12" s="251">
        <f t="shared" si="18"/>
        <v>0.37859042175350849</v>
      </c>
      <c r="BB12" s="251">
        <f t="shared" si="19"/>
        <v>0.40512269505261578</v>
      </c>
      <c r="BC12" s="251">
        <f t="shared" si="20"/>
        <v>0.38202451545277871</v>
      </c>
      <c r="BD12" s="251">
        <f t="shared" si="21"/>
        <v>0.38655462184873951</v>
      </c>
    </row>
    <row r="13" spans="1:146" ht="14.5" thickBot="1">
      <c r="B13" s="239" t="s">
        <v>105</v>
      </c>
      <c r="C13" s="240">
        <f>SUM(C14:C16)</f>
        <v>21.849239433000001</v>
      </c>
      <c r="D13" s="240">
        <f t="shared" ref="D13:Q13" si="24">SUM(D14:D16)</f>
        <v>21.156238260000002</v>
      </c>
      <c r="E13" s="240">
        <f t="shared" si="24"/>
        <v>26.802773402</v>
      </c>
      <c r="F13" s="240">
        <f t="shared" si="24"/>
        <v>26.801142587999998</v>
      </c>
      <c r="G13" s="240">
        <f t="shared" si="24"/>
        <v>26.811185641999998</v>
      </c>
      <c r="H13" s="240">
        <f t="shared" si="24"/>
        <v>24.009905988999996</v>
      </c>
      <c r="I13" s="240">
        <f t="shared" si="24"/>
        <v>18.902411745999999</v>
      </c>
      <c r="J13" s="240">
        <f t="shared" si="24"/>
        <v>18.027284611000006</v>
      </c>
      <c r="K13" s="240">
        <f t="shared" si="24"/>
        <v>24.745711639000007</v>
      </c>
      <c r="L13" s="240">
        <f t="shared" si="24"/>
        <v>26.021858814000005</v>
      </c>
      <c r="M13" s="240">
        <f t="shared" si="24"/>
        <v>34.798597752999996</v>
      </c>
      <c r="N13" s="240">
        <f t="shared" si="24"/>
        <v>34.455406182000004</v>
      </c>
      <c r="O13" s="240">
        <f t="shared" si="24"/>
        <v>37.768581999999995</v>
      </c>
      <c r="P13" s="240">
        <f t="shared" si="24"/>
        <v>35.350337367999998</v>
      </c>
      <c r="Q13" s="240">
        <f t="shared" si="24"/>
        <v>38.164663165</v>
      </c>
      <c r="R13" s="240">
        <v>35.327348633</v>
      </c>
      <c r="S13" s="240">
        <f t="shared" ref="S13:AA13" si="25">SUM(S14:S16)</f>
        <v>33</v>
      </c>
      <c r="T13" s="240">
        <f t="shared" si="25"/>
        <v>32</v>
      </c>
      <c r="U13" s="240">
        <f t="shared" si="25"/>
        <v>34</v>
      </c>
      <c r="V13" s="240">
        <f t="shared" si="25"/>
        <v>32.920320684999993</v>
      </c>
      <c r="W13" s="240">
        <f t="shared" si="25"/>
        <v>33</v>
      </c>
      <c r="X13" s="240">
        <f t="shared" si="25"/>
        <v>30</v>
      </c>
      <c r="Y13" s="240">
        <f t="shared" si="25"/>
        <v>32</v>
      </c>
      <c r="Z13" s="240">
        <f t="shared" si="25"/>
        <v>31.866948262999991</v>
      </c>
      <c r="AA13" s="240">
        <f t="shared" si="25"/>
        <v>32.104370624000005</v>
      </c>
      <c r="AB13" s="240">
        <v>33.247879355999999</v>
      </c>
      <c r="AC13" s="240">
        <v>32.910507560999989</v>
      </c>
      <c r="AD13" s="240">
        <f>SUM(AD14:AD16)</f>
        <v>34.517418245000002</v>
      </c>
      <c r="AE13" s="240">
        <f>SUM(AE14:AE16)</f>
        <v>32.870999999999995</v>
      </c>
      <c r="AF13" s="240">
        <f>SUM(AF14:AF16)</f>
        <v>34</v>
      </c>
      <c r="AG13" s="567"/>
      <c r="AI13" s="242">
        <f>SUM(C13:F13)/SUM(C9:F9)</f>
        <v>0.21816448758152571</v>
      </c>
      <c r="AJ13" s="242">
        <f>SUM(G13:J13)/SUM($G$9:$J$9)</f>
        <v>0.21991773620251653</v>
      </c>
      <c r="AK13" s="242">
        <f t="shared" si="22"/>
        <v>0.27210124190418639</v>
      </c>
      <c r="AL13" s="242">
        <f t="shared" si="23"/>
        <v>0.30244796721274941</v>
      </c>
      <c r="AM13" s="242">
        <f t="shared" si="5"/>
        <v>0.27921883858259117</v>
      </c>
      <c r="AN13" s="242">
        <f t="shared" ref="AN13:AN19" si="26">SUM(W13:Z13)/SUM($W$9:$Z$9)</f>
        <v>0.27699735152965632</v>
      </c>
      <c r="AO13" s="242">
        <f t="shared" si="7"/>
        <v>0.26474533022688423</v>
      </c>
      <c r="AQ13" s="242">
        <f t="shared" si="8"/>
        <v>0.30275229357798167</v>
      </c>
      <c r="AR13" s="242">
        <f t="shared" si="9"/>
        <v>0.2857142857142857</v>
      </c>
      <c r="AS13" s="242">
        <f t="shared" si="10"/>
        <v>0.26356589147286824</v>
      </c>
      <c r="AT13" s="242">
        <f t="shared" si="11"/>
        <v>0.26882046694560757</v>
      </c>
      <c r="AU13" s="242">
        <f t="shared" si="12"/>
        <v>0.31132075471698112</v>
      </c>
      <c r="AV13" s="242">
        <f t="shared" si="13"/>
        <v>0.2857142857142857</v>
      </c>
      <c r="AW13" s="242">
        <f t="shared" si="14"/>
        <v>0.26890756302521007</v>
      </c>
      <c r="AX13" s="242">
        <f t="shared" si="15"/>
        <v>0.24894535840082199</v>
      </c>
      <c r="AY13" s="242">
        <f t="shared" si="16"/>
        <v>0.26811651224179045</v>
      </c>
      <c r="AZ13" s="242">
        <f t="shared" si="17"/>
        <v>0.25881981525243003</v>
      </c>
      <c r="BA13" s="242">
        <f t="shared" si="18"/>
        <v>0.25558256612313551</v>
      </c>
      <c r="BB13" s="242">
        <f t="shared" si="19"/>
        <v>0.27708656488801892</v>
      </c>
      <c r="BC13" s="242">
        <f t="shared" si="20"/>
        <v>0.2731076265148995</v>
      </c>
      <c r="BD13" s="242">
        <f t="shared" si="21"/>
        <v>0.2857142857142857</v>
      </c>
    </row>
    <row r="14" spans="1:146" ht="14">
      <c r="B14" s="246" t="s">
        <v>106</v>
      </c>
      <c r="C14" s="247">
        <v>7.7414242700000013</v>
      </c>
      <c r="D14" s="247">
        <v>7.7920490820000001</v>
      </c>
      <c r="E14" s="247">
        <v>12.240301650999999</v>
      </c>
      <c r="F14" s="247">
        <v>11.628609453000001</v>
      </c>
      <c r="G14" s="247">
        <v>13.063120272999999</v>
      </c>
      <c r="H14" s="247">
        <v>9.2690898119999989</v>
      </c>
      <c r="I14" s="247">
        <v>6.9609749380000006</v>
      </c>
      <c r="J14" s="247">
        <v>6.7663581129999999</v>
      </c>
      <c r="K14" s="247">
        <v>8.313239982999999</v>
      </c>
      <c r="L14" s="247">
        <v>7.2726355590000002</v>
      </c>
      <c r="M14" s="247">
        <v>11.189902652000001</v>
      </c>
      <c r="N14" s="247">
        <v>12.549597534</v>
      </c>
      <c r="O14" s="247">
        <v>14.864000000000001</v>
      </c>
      <c r="P14" s="247">
        <v>13.696301757999999</v>
      </c>
      <c r="Q14" s="247">
        <v>15.148364015</v>
      </c>
      <c r="R14" s="247">
        <v>14.172973257999999</v>
      </c>
      <c r="S14" s="247">
        <v>13</v>
      </c>
      <c r="T14" s="247">
        <v>12</v>
      </c>
      <c r="U14" s="247">
        <v>11</v>
      </c>
      <c r="V14" s="247">
        <v>10.521738605999998</v>
      </c>
      <c r="W14" s="247">
        <v>11</v>
      </c>
      <c r="X14" s="247">
        <v>11</v>
      </c>
      <c r="Y14" s="247">
        <v>11</v>
      </c>
      <c r="Z14" s="247">
        <v>10.461696932999992</v>
      </c>
      <c r="AA14" s="481">
        <v>11.675292282000003</v>
      </c>
      <c r="AB14" s="247">
        <v>11.416684611999997</v>
      </c>
      <c r="AC14" s="247">
        <v>11.573134056999992</v>
      </c>
      <c r="AD14" s="247">
        <v>11.455805352999999</v>
      </c>
      <c r="AE14" s="247">
        <v>11.384</v>
      </c>
      <c r="AF14" s="247">
        <v>13</v>
      </c>
      <c r="AG14" s="355"/>
      <c r="AI14" s="252">
        <f>SUM(C14:F14)/SUM(C9:F9)</f>
        <v>8.8978935552994312E-2</v>
      </c>
      <c r="AJ14" s="252">
        <f t="shared" ref="AJ14:AJ19" si="27">SUM(G14:J14)/SUM($G$9:$J$9)</f>
        <v>9.0371075597071207E-2</v>
      </c>
      <c r="AK14" s="252">
        <f t="shared" si="22"/>
        <v>8.9154667637882629E-2</v>
      </c>
      <c r="AL14" s="252">
        <f t="shared" si="23"/>
        <v>0.11940572182879552</v>
      </c>
      <c r="AM14" s="252">
        <f t="shared" si="5"/>
        <v>9.8466602832380887E-2</v>
      </c>
      <c r="AN14" s="252">
        <f t="shared" si="26"/>
        <v>9.4892918197013357E-2</v>
      </c>
      <c r="AO14" s="252">
        <f t="shared" si="7"/>
        <v>9.1958736648670616E-2</v>
      </c>
      <c r="AQ14" s="252">
        <f t="shared" si="8"/>
        <v>0.11926605504587157</v>
      </c>
      <c r="AR14" s="252">
        <f t="shared" si="9"/>
        <v>0.10714285714285714</v>
      </c>
      <c r="AS14" s="252">
        <f t="shared" si="10"/>
        <v>8.5271317829457363E-2</v>
      </c>
      <c r="AT14" s="252">
        <f t="shared" si="11"/>
        <v>8.5918321155155727E-2</v>
      </c>
      <c r="AU14" s="252">
        <f t="shared" si="12"/>
        <v>0.10377358490566038</v>
      </c>
      <c r="AV14" s="252">
        <f t="shared" si="13"/>
        <v>0.10476190476190476</v>
      </c>
      <c r="AW14" s="252">
        <f t="shared" si="14"/>
        <v>9.2436974789915971E-2</v>
      </c>
      <c r="AX14" s="252">
        <f t="shared" si="15"/>
        <v>8.1727025473925408E-2</v>
      </c>
      <c r="AY14" s="252">
        <f t="shared" si="16"/>
        <v>9.7505061934253068E-2</v>
      </c>
      <c r="AZ14" s="252">
        <f t="shared" si="17"/>
        <v>8.8873764562065444E-2</v>
      </c>
      <c r="BA14" s="252">
        <f t="shared" si="18"/>
        <v>8.9876805907433285E-2</v>
      </c>
      <c r="BB14" s="252">
        <f t="shared" si="19"/>
        <v>9.1960810358357334E-2</v>
      </c>
      <c r="BC14" s="252">
        <f t="shared" si="20"/>
        <v>9.4583591014742979E-2</v>
      </c>
      <c r="BD14" s="252">
        <f t="shared" si="21"/>
        <v>0.1092436974789916</v>
      </c>
    </row>
    <row r="15" spans="1:146" ht="14">
      <c r="B15" s="249" t="s">
        <v>107</v>
      </c>
      <c r="C15" s="250">
        <v>3.4224137699999999</v>
      </c>
      <c r="D15" s="250">
        <v>3.3780349230000026</v>
      </c>
      <c r="E15" s="250">
        <v>4.0994903209999993</v>
      </c>
      <c r="F15" s="250">
        <v>3.8977554830000001</v>
      </c>
      <c r="G15" s="250">
        <v>3.667836599000001</v>
      </c>
      <c r="H15" s="250">
        <v>3.8347721639999994</v>
      </c>
      <c r="I15" s="250">
        <v>4.3248990430000012</v>
      </c>
      <c r="J15" s="250">
        <v>4.261538748000004</v>
      </c>
      <c r="K15" s="250">
        <v>4.1067749030000025</v>
      </c>
      <c r="L15" s="250">
        <v>3.2280229950000017</v>
      </c>
      <c r="M15" s="250">
        <v>4.5709807050000002</v>
      </c>
      <c r="N15" s="250">
        <v>4.3858410380000006</v>
      </c>
      <c r="O15" s="250">
        <v>5.1710000000000003</v>
      </c>
      <c r="P15" s="250">
        <v>5.7569999999999997</v>
      </c>
      <c r="Q15" s="250">
        <v>5.5229999999999997</v>
      </c>
      <c r="R15" s="250">
        <v>4.5609999999999999</v>
      </c>
      <c r="S15" s="250">
        <v>4</v>
      </c>
      <c r="T15" s="250">
        <v>4</v>
      </c>
      <c r="U15" s="250">
        <v>5</v>
      </c>
      <c r="V15" s="250">
        <v>4.4799350909999989</v>
      </c>
      <c r="W15" s="250">
        <v>5</v>
      </c>
      <c r="X15" s="250">
        <v>4</v>
      </c>
      <c r="Y15" s="250">
        <v>5</v>
      </c>
      <c r="Z15" s="250">
        <v>6.7504497280000004</v>
      </c>
      <c r="AA15" s="482">
        <v>5.0248760230000027</v>
      </c>
      <c r="AB15" s="250">
        <v>5.091320847000004</v>
      </c>
      <c r="AC15" s="250">
        <v>4.8267214040000015</v>
      </c>
      <c r="AD15" s="250">
        <v>5.0616128920000012</v>
      </c>
      <c r="AE15" s="250">
        <v>4.3309999999999995</v>
      </c>
      <c r="AF15" s="250">
        <v>4</v>
      </c>
      <c r="AG15" s="355"/>
      <c r="AI15" s="253">
        <f>SUM(C15:F15)/SUM($C$9:$F$9)</f>
        <v>3.3416330589124126E-2</v>
      </c>
      <c r="AJ15" s="253">
        <f t="shared" si="27"/>
        <v>4.0321765501370121E-2</v>
      </c>
      <c r="AK15" s="253">
        <f t="shared" si="22"/>
        <v>3.6934775764697461E-2</v>
      </c>
      <c r="AL15" s="253">
        <f t="shared" si="23"/>
        <v>4.3346267815998048E-2</v>
      </c>
      <c r="AM15" s="253">
        <f t="shared" si="5"/>
        <v>3.6997538735994477E-2</v>
      </c>
      <c r="AN15" s="253">
        <f t="shared" si="26"/>
        <v>4.530588696584574E-2</v>
      </c>
      <c r="AO15" s="253">
        <f t="shared" si="7"/>
        <v>3.9886272014824947E-2</v>
      </c>
      <c r="AQ15" s="253">
        <f t="shared" si="8"/>
        <v>3.669724770642202E-2</v>
      </c>
      <c r="AR15" s="253">
        <f t="shared" si="9"/>
        <v>3.5714285714285712E-2</v>
      </c>
      <c r="AS15" s="253">
        <f t="shared" si="10"/>
        <v>3.875968992248062E-2</v>
      </c>
      <c r="AT15" s="253">
        <f t="shared" si="11"/>
        <v>3.6582214814127434E-2</v>
      </c>
      <c r="AU15" s="253">
        <f t="shared" si="12"/>
        <v>4.716981132075472E-2</v>
      </c>
      <c r="AV15" s="253">
        <f t="shared" si="13"/>
        <v>3.8095238095238099E-2</v>
      </c>
      <c r="AW15" s="253">
        <f t="shared" si="14"/>
        <v>4.2016806722689079E-2</v>
      </c>
      <c r="AX15" s="253">
        <f t="shared" si="15"/>
        <v>5.2734673964838823E-2</v>
      </c>
      <c r="AY15" s="253">
        <f t="shared" si="16"/>
        <v>4.1964760795746764E-2</v>
      </c>
      <c r="AZ15" s="253">
        <f t="shared" si="17"/>
        <v>3.9633647214061631E-2</v>
      </c>
      <c r="BA15" s="253">
        <f t="shared" si="18"/>
        <v>3.7484254538136329E-2</v>
      </c>
      <c r="BB15" s="253">
        <f t="shared" si="19"/>
        <v>4.0631802734561427E-2</v>
      </c>
      <c r="BC15" s="253">
        <f t="shared" si="20"/>
        <v>3.5983971599161259E-2</v>
      </c>
      <c r="BD15" s="253">
        <f t="shared" si="21"/>
        <v>3.3613445378151259E-2</v>
      </c>
    </row>
    <row r="16" spans="1:146" ht="14">
      <c r="B16" s="249" t="s">
        <v>108</v>
      </c>
      <c r="C16" s="250">
        <v>10.685401392999999</v>
      </c>
      <c r="D16" s="250">
        <v>9.9861542549999989</v>
      </c>
      <c r="E16" s="250">
        <v>10.462981430000001</v>
      </c>
      <c r="F16" s="250">
        <v>11.274777651999999</v>
      </c>
      <c r="G16" s="250">
        <v>10.080228769999998</v>
      </c>
      <c r="H16" s="250">
        <v>10.906044012999997</v>
      </c>
      <c r="I16" s="250">
        <v>7.6165377649999986</v>
      </c>
      <c r="J16" s="250">
        <v>6.9993877500000004</v>
      </c>
      <c r="K16" s="250">
        <v>12.325696753000004</v>
      </c>
      <c r="L16" s="250">
        <v>15.521200260000002</v>
      </c>
      <c r="M16" s="250">
        <v>19.037714395999998</v>
      </c>
      <c r="N16" s="250">
        <v>17.519967609999998</v>
      </c>
      <c r="O16" s="250">
        <v>17.733581999999995</v>
      </c>
      <c r="P16" s="250">
        <v>15.89703561</v>
      </c>
      <c r="Q16" s="250">
        <v>17.493299149999999</v>
      </c>
      <c r="R16" s="250">
        <v>16.593375375000004</v>
      </c>
      <c r="S16" s="250">
        <v>16</v>
      </c>
      <c r="T16" s="250">
        <v>16</v>
      </c>
      <c r="U16" s="250">
        <v>18</v>
      </c>
      <c r="V16" s="250">
        <v>17.918646987999999</v>
      </c>
      <c r="W16" s="250">
        <v>17</v>
      </c>
      <c r="X16" s="250">
        <v>15</v>
      </c>
      <c r="Y16" s="250">
        <v>16</v>
      </c>
      <c r="Z16" s="250">
        <v>14.654801601999997</v>
      </c>
      <c r="AA16" s="482">
        <v>15.404202318999998</v>
      </c>
      <c r="AB16" s="250">
        <v>16.739873896999999</v>
      </c>
      <c r="AC16" s="250">
        <v>16.510652099999994</v>
      </c>
      <c r="AD16" s="250">
        <v>18</v>
      </c>
      <c r="AE16" s="250">
        <v>17.155999999999999</v>
      </c>
      <c r="AF16" s="250">
        <v>17</v>
      </c>
      <c r="AG16" s="355"/>
      <c r="AI16" s="248">
        <f>SUM(C16:F16)/SUM($C$9:$F$9)</f>
        <v>9.5769221439407248E-2</v>
      </c>
      <c r="AJ16" s="248">
        <f t="shared" si="27"/>
        <v>8.9224895104075247E-2</v>
      </c>
      <c r="AK16" s="248">
        <f t="shared" si="22"/>
        <v>0.14601179850160625</v>
      </c>
      <c r="AL16" s="248">
        <f t="shared" si="23"/>
        <v>0.13969597756795582</v>
      </c>
      <c r="AM16" s="248">
        <f t="shared" si="5"/>
        <v>0.14375469701421587</v>
      </c>
      <c r="AN16" s="248">
        <f t="shared" si="26"/>
        <v>0.13679854636679722</v>
      </c>
      <c r="AO16" s="248">
        <f t="shared" si="7"/>
        <v>0.13290032156338863</v>
      </c>
      <c r="AQ16" s="248">
        <f t="shared" si="8"/>
        <v>0.14678899082568808</v>
      </c>
      <c r="AR16" s="248">
        <f t="shared" si="9"/>
        <v>0.14285714285714285</v>
      </c>
      <c r="AS16" s="248">
        <f t="shared" si="10"/>
        <v>0.13953488372093023</v>
      </c>
      <c r="AT16" s="248">
        <f t="shared" si="11"/>
        <v>0.14631993097632442</v>
      </c>
      <c r="AU16" s="248">
        <f t="shared" si="12"/>
        <v>0.16037735849056603</v>
      </c>
      <c r="AV16" s="248">
        <f t="shared" si="13"/>
        <v>0.14285714285714285</v>
      </c>
      <c r="AW16" s="248">
        <f t="shared" si="14"/>
        <v>0.13445378151260504</v>
      </c>
      <c r="AX16" s="248">
        <f t="shared" si="15"/>
        <v>0.11448365896205775</v>
      </c>
      <c r="AY16" s="248">
        <f t="shared" si="16"/>
        <v>0.12864668951179059</v>
      </c>
      <c r="AZ16" s="248">
        <f t="shared" si="17"/>
        <v>0.13031240347630293</v>
      </c>
      <c r="BA16" s="248">
        <f t="shared" si="18"/>
        <v>0.12822150567756588</v>
      </c>
      <c r="BB16" s="248">
        <f t="shared" si="19"/>
        <v>0.14449395179510016</v>
      </c>
      <c r="BC16" s="248">
        <f t="shared" si="20"/>
        <v>0.14254006390099527</v>
      </c>
      <c r="BD16" s="248">
        <f t="shared" si="21"/>
        <v>0.14285714285714285</v>
      </c>
    </row>
    <row r="17" spans="2:56" ht="14.5" thickBot="1">
      <c r="B17" s="239" t="s">
        <v>109</v>
      </c>
      <c r="C17" s="240">
        <f>SUM(C18:C19)</f>
        <v>23.742703120000009</v>
      </c>
      <c r="D17" s="240">
        <f t="shared" ref="D17:Q17" si="28">SUM(D18:D19)</f>
        <v>25.192360209999986</v>
      </c>
      <c r="E17" s="240">
        <f t="shared" si="28"/>
        <v>24.735142921999994</v>
      </c>
      <c r="F17" s="240">
        <f t="shared" si="28"/>
        <v>21.944166249999988</v>
      </c>
      <c r="G17" s="240">
        <f t="shared" si="28"/>
        <v>22.293559052000013</v>
      </c>
      <c r="H17" s="240">
        <f t="shared" si="28"/>
        <v>21.555395659999999</v>
      </c>
      <c r="I17" s="240">
        <f t="shared" si="28"/>
        <v>22.017041906000017</v>
      </c>
      <c r="J17" s="240">
        <f t="shared" si="28"/>
        <v>24.673731256000014</v>
      </c>
      <c r="K17" s="240">
        <f t="shared" si="28"/>
        <v>22.853208695999999</v>
      </c>
      <c r="L17" s="240">
        <f t="shared" si="28"/>
        <v>14.267635493999993</v>
      </c>
      <c r="M17" s="240">
        <f t="shared" si="28"/>
        <v>23.018458121000002</v>
      </c>
      <c r="N17" s="240">
        <f t="shared" si="28"/>
        <v>20.486272513000014</v>
      </c>
      <c r="O17" s="240">
        <f t="shared" si="28"/>
        <v>20.488945150000003</v>
      </c>
      <c r="P17" s="240">
        <f t="shared" si="28"/>
        <v>22.336609999999993</v>
      </c>
      <c r="Q17" s="240">
        <f t="shared" si="28"/>
        <v>22.631718999999997</v>
      </c>
      <c r="R17" s="240">
        <v>20.974410999999996</v>
      </c>
      <c r="S17" s="240">
        <f t="shared" ref="S17:AA17" si="29">SUM(S18:S19)</f>
        <v>24</v>
      </c>
      <c r="T17" s="240">
        <f t="shared" si="29"/>
        <v>25</v>
      </c>
      <c r="U17" s="240">
        <f t="shared" si="29"/>
        <v>30</v>
      </c>
      <c r="V17" s="240">
        <f t="shared" si="29"/>
        <v>27.253402075999993</v>
      </c>
      <c r="W17" s="240">
        <f t="shared" si="29"/>
        <v>20</v>
      </c>
      <c r="X17" s="240">
        <f t="shared" si="29"/>
        <v>22</v>
      </c>
      <c r="Y17" s="240">
        <f t="shared" si="29"/>
        <v>20</v>
      </c>
      <c r="Z17" s="240">
        <f t="shared" si="29"/>
        <v>19.179707000000001</v>
      </c>
      <c r="AA17" s="240">
        <f t="shared" si="29"/>
        <v>21.551031999999999</v>
      </c>
      <c r="AB17" s="240">
        <v>23.521016563000003</v>
      </c>
      <c r="AC17" s="240">
        <v>29.002503415</v>
      </c>
      <c r="AD17" s="240">
        <f>SUM(AD18:AD19)</f>
        <v>24.175226165999995</v>
      </c>
      <c r="AE17" s="240">
        <f>SUM(AE18:AE19)</f>
        <v>26.160999999999998</v>
      </c>
      <c r="AF17" s="240">
        <f>SUM(AF18:AF19)</f>
        <v>24</v>
      </c>
      <c r="AG17" s="567"/>
      <c r="AI17" s="242">
        <f>SUM(C17:F17)/SUM(C9:F9)</f>
        <v>0.21591751885715998</v>
      </c>
      <c r="AJ17" s="242">
        <f t="shared" si="27"/>
        <v>0.22690727282317813</v>
      </c>
      <c r="AK17" s="242">
        <f t="shared" si="22"/>
        <v>0.18278646277316907</v>
      </c>
      <c r="AL17" s="242">
        <f t="shared" si="23"/>
        <v>0.17830244490290886</v>
      </c>
      <c r="AM17" s="242">
        <f t="shared" si="5"/>
        <v>0.22489296091048086</v>
      </c>
      <c r="AN17" s="242">
        <f t="shared" si="26"/>
        <v>0.17724524901740368</v>
      </c>
      <c r="AO17" s="242">
        <f t="shared" si="7"/>
        <v>0.1958964868473532</v>
      </c>
      <c r="AQ17" s="242">
        <f t="shared" si="8"/>
        <v>0.22018348623853212</v>
      </c>
      <c r="AR17" s="242">
        <f t="shared" si="9"/>
        <v>0.22321428571428573</v>
      </c>
      <c r="AS17" s="242">
        <f t="shared" si="10"/>
        <v>0.23255813953488372</v>
      </c>
      <c r="AT17" s="242">
        <f t="shared" si="11"/>
        <v>0.2225455924937236</v>
      </c>
      <c r="AU17" s="242">
        <f t="shared" si="12"/>
        <v>0.18867924528301888</v>
      </c>
      <c r="AV17" s="242">
        <f t="shared" si="13"/>
        <v>0.20952380952380953</v>
      </c>
      <c r="AW17" s="242">
        <f t="shared" si="14"/>
        <v>0.16806722689075632</v>
      </c>
      <c r="AX17" s="242">
        <f t="shared" si="15"/>
        <v>0.1498323276434208</v>
      </c>
      <c r="AY17" s="242">
        <f t="shared" si="16"/>
        <v>0.17998133658261672</v>
      </c>
      <c r="AZ17" s="242">
        <f t="shared" si="17"/>
        <v>0.1831005549617529</v>
      </c>
      <c r="BA17" s="242">
        <f t="shared" si="18"/>
        <v>0.22523305765070584</v>
      </c>
      <c r="BB17" s="242">
        <f t="shared" si="19"/>
        <v>0.19406522023698039</v>
      </c>
      <c r="BC17" s="242">
        <f t="shared" si="20"/>
        <v>0.21735781136126939</v>
      </c>
      <c r="BD17" s="242">
        <f t="shared" si="21"/>
        <v>0.20168067226890757</v>
      </c>
    </row>
    <row r="18" spans="2:56" ht="14">
      <c r="B18" s="254" t="s">
        <v>110</v>
      </c>
      <c r="C18" s="255">
        <v>15.903005120000008</v>
      </c>
      <c r="D18" s="255">
        <v>16.219191209999991</v>
      </c>
      <c r="E18" s="255">
        <v>16.462892921999998</v>
      </c>
      <c r="F18" s="255">
        <v>15.104305249999987</v>
      </c>
      <c r="G18" s="255">
        <v>14.932924052000013</v>
      </c>
      <c r="H18" s="255">
        <v>15.019213660000002</v>
      </c>
      <c r="I18" s="255">
        <v>14.892277906000015</v>
      </c>
      <c r="J18" s="255">
        <v>18.095719256000017</v>
      </c>
      <c r="K18" s="255">
        <v>16.037484696000007</v>
      </c>
      <c r="L18" s="255">
        <v>10.820729493999995</v>
      </c>
      <c r="M18" s="255">
        <v>17.034508120999998</v>
      </c>
      <c r="N18" s="255">
        <v>13.905561513000022</v>
      </c>
      <c r="O18" s="255">
        <v>14.542796150000003</v>
      </c>
      <c r="P18" s="255">
        <v>16.138854999999996</v>
      </c>
      <c r="Q18" s="255">
        <v>15.847426999999998</v>
      </c>
      <c r="R18" s="255">
        <v>14.653885999999995</v>
      </c>
      <c r="S18" s="255">
        <v>14</v>
      </c>
      <c r="T18" s="255">
        <v>14</v>
      </c>
      <c r="U18" s="255">
        <v>16</v>
      </c>
      <c r="V18" s="255">
        <v>13.424488075999996</v>
      </c>
      <c r="W18" s="255">
        <v>9</v>
      </c>
      <c r="X18" s="255">
        <v>12</v>
      </c>
      <c r="Y18" s="255">
        <v>10</v>
      </c>
      <c r="Z18" s="255">
        <v>9.0980250000000016</v>
      </c>
      <c r="AA18" s="483">
        <v>8.5653979999999983</v>
      </c>
      <c r="AB18" s="255">
        <v>11.157155063000005</v>
      </c>
      <c r="AC18" s="255">
        <v>15.996385914999998</v>
      </c>
      <c r="AD18" s="255">
        <v>14.175226165999996</v>
      </c>
      <c r="AE18" s="255">
        <v>14.280999999999999</v>
      </c>
      <c r="AF18" s="255">
        <v>12</v>
      </c>
      <c r="AG18" s="247"/>
      <c r="AI18" s="253">
        <f>SUM(C18:F18)/SUM($C$9:$F$9)</f>
        <v>0.14382415194011799</v>
      </c>
      <c r="AJ18" s="253">
        <f t="shared" si="27"/>
        <v>0.15773820720178622</v>
      </c>
      <c r="AK18" s="253">
        <f t="shared" si="22"/>
        <v>0.13103464846744642</v>
      </c>
      <c r="AL18" s="253">
        <f t="shared" si="23"/>
        <v>0.12621612173151089</v>
      </c>
      <c r="AM18" s="253">
        <f t="shared" si="5"/>
        <v>0.12154305556205128</v>
      </c>
      <c r="AN18" s="253">
        <f t="shared" si="26"/>
        <v>8.7548781448928831E-2</v>
      </c>
      <c r="AO18" s="253">
        <f t="shared" si="7"/>
        <v>9.9482073654821312E-2</v>
      </c>
      <c r="AQ18" s="253">
        <f t="shared" si="8"/>
        <v>0.12844036697247707</v>
      </c>
      <c r="AR18" s="253">
        <f t="shared" si="9"/>
        <v>0.125</v>
      </c>
      <c r="AS18" s="253">
        <f t="shared" si="10"/>
        <v>0.12403100775193798</v>
      </c>
      <c r="AT18" s="253">
        <f t="shared" si="11"/>
        <v>0.10962156740898286</v>
      </c>
      <c r="AU18" s="253">
        <f t="shared" si="12"/>
        <v>8.4905660377358486E-2</v>
      </c>
      <c r="AV18" s="253">
        <f t="shared" si="13"/>
        <v>0.11428571428571428</v>
      </c>
      <c r="AW18" s="253">
        <f t="shared" si="14"/>
        <v>8.4033613445378158E-2</v>
      </c>
      <c r="AX18" s="253">
        <f t="shared" si="15"/>
        <v>7.1073987872079261E-2</v>
      </c>
      <c r="AY18" s="253">
        <f t="shared" si="16"/>
        <v>7.1533083909952513E-2</v>
      </c>
      <c r="AZ18" s="253">
        <f t="shared" si="17"/>
        <v>8.6853443530294047E-2</v>
      </c>
      <c r="BA18" s="253">
        <f t="shared" si="18"/>
        <v>0.12422772129155986</v>
      </c>
      <c r="BB18" s="253">
        <f t="shared" si="19"/>
        <v>0.11379080257303588</v>
      </c>
      <c r="BC18" s="253">
        <f t="shared" si="20"/>
        <v>0.11865322059746523</v>
      </c>
      <c r="BD18" s="253">
        <f t="shared" si="21"/>
        <v>0.10084033613445378</v>
      </c>
    </row>
    <row r="19" spans="2:56" ht="14">
      <c r="B19" s="254" t="s">
        <v>111</v>
      </c>
      <c r="C19" s="255">
        <v>7.8396980000000021</v>
      </c>
      <c r="D19" s="255">
        <v>8.9731689999999951</v>
      </c>
      <c r="E19" s="255">
        <v>8.2722499999999979</v>
      </c>
      <c r="F19" s="255">
        <v>6.8398609999999991</v>
      </c>
      <c r="G19" s="255">
        <v>7.360635000000002</v>
      </c>
      <c r="H19" s="255">
        <v>6.5361819999999957</v>
      </c>
      <c r="I19" s="255">
        <v>7.1247640000000008</v>
      </c>
      <c r="J19" s="255">
        <v>6.5780119999999975</v>
      </c>
      <c r="K19" s="255">
        <v>6.8157239999999932</v>
      </c>
      <c r="L19" s="255">
        <v>3.4469059999999985</v>
      </c>
      <c r="M19" s="255">
        <v>5.9839500000000019</v>
      </c>
      <c r="N19" s="255">
        <v>6.5807109999999929</v>
      </c>
      <c r="O19" s="255">
        <v>5.946149000000001</v>
      </c>
      <c r="P19" s="255">
        <v>6.197754999999999</v>
      </c>
      <c r="Q19" s="255">
        <v>6.784291999999998</v>
      </c>
      <c r="R19" s="255">
        <v>6.3205250000000026</v>
      </c>
      <c r="S19" s="255">
        <v>10</v>
      </c>
      <c r="T19" s="255">
        <v>11</v>
      </c>
      <c r="U19" s="255">
        <v>14</v>
      </c>
      <c r="V19" s="255">
        <v>13.828913999999999</v>
      </c>
      <c r="W19" s="255">
        <v>11</v>
      </c>
      <c r="X19" s="255">
        <v>10</v>
      </c>
      <c r="Y19" s="255">
        <v>10</v>
      </c>
      <c r="Z19" s="255">
        <v>10.081682000000001</v>
      </c>
      <c r="AA19" s="483">
        <v>12.985634000000001</v>
      </c>
      <c r="AB19" s="255">
        <v>12.363861499999999</v>
      </c>
      <c r="AC19" s="255">
        <v>13.006117500000002</v>
      </c>
      <c r="AD19" s="255">
        <v>10</v>
      </c>
      <c r="AE19" s="255">
        <v>11.879999999999999</v>
      </c>
      <c r="AF19" s="255">
        <v>12</v>
      </c>
      <c r="AG19" s="247"/>
      <c r="AI19" s="248">
        <f>SUM(C19:F19)/SUM($C$9:$F$9)</f>
        <v>7.2093366917042004E-2</v>
      </c>
      <c r="AJ19" s="248">
        <f t="shared" si="27"/>
        <v>6.9169065621391926E-2</v>
      </c>
      <c r="AK19" s="248">
        <f t="shared" si="22"/>
        <v>5.1751814305722642E-2</v>
      </c>
      <c r="AL19" s="248">
        <f t="shared" si="23"/>
        <v>5.2086323171397962E-2</v>
      </c>
      <c r="AM19" s="248">
        <f t="shared" si="5"/>
        <v>0.1033499053484296</v>
      </c>
      <c r="AN19" s="248">
        <f t="shared" si="26"/>
        <v>8.9696467568474839E-2</v>
      </c>
      <c r="AO19" s="248">
        <f t="shared" si="7"/>
        <v>9.6414413192531856E-2</v>
      </c>
      <c r="AQ19" s="248">
        <f t="shared" si="8"/>
        <v>9.1743119266055051E-2</v>
      </c>
      <c r="AR19" s="248">
        <f t="shared" si="9"/>
        <v>9.8214285714285712E-2</v>
      </c>
      <c r="AS19" s="248">
        <f t="shared" si="10"/>
        <v>0.10852713178294573</v>
      </c>
      <c r="AT19" s="248">
        <f t="shared" si="11"/>
        <v>0.11292402508474077</v>
      </c>
      <c r="AU19" s="248">
        <f t="shared" si="12"/>
        <v>0.10377358490566038</v>
      </c>
      <c r="AV19" s="248">
        <f t="shared" si="13"/>
        <v>9.5238095238095233E-2</v>
      </c>
      <c r="AW19" s="248">
        <f t="shared" si="14"/>
        <v>8.4033613445378158E-2</v>
      </c>
      <c r="AX19" s="248">
        <f t="shared" si="15"/>
        <v>7.8758339771341557E-2</v>
      </c>
      <c r="AY19" s="248">
        <f t="shared" si="16"/>
        <v>0.1084482526726642</v>
      </c>
      <c r="AZ19" s="248">
        <f t="shared" si="17"/>
        <v>9.6247111431458837E-2</v>
      </c>
      <c r="BA19" s="248">
        <f t="shared" si="18"/>
        <v>0.10100533635914596</v>
      </c>
      <c r="BB19" s="248">
        <f t="shared" si="19"/>
        <v>8.0274417663944525E-2</v>
      </c>
      <c r="BC19" s="248">
        <f t="shared" si="20"/>
        <v>9.870459076380414E-2</v>
      </c>
      <c r="BD19" s="248">
        <f t="shared" si="21"/>
        <v>0.10084033613445378</v>
      </c>
    </row>
    <row r="20" spans="2:56" ht="14">
      <c r="B20" s="246"/>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I20" s="256"/>
      <c r="AJ20" s="256"/>
      <c r="AK20" s="256"/>
      <c r="AL20" s="256"/>
      <c r="AM20" s="256"/>
      <c r="AN20" s="256"/>
      <c r="AO20" s="256"/>
      <c r="AQ20" s="256"/>
      <c r="AR20" s="256"/>
      <c r="AS20" s="256"/>
      <c r="AT20" s="256"/>
      <c r="AU20" s="256"/>
      <c r="AV20" s="256"/>
      <c r="AW20" s="256"/>
      <c r="AX20" s="256"/>
      <c r="AY20" s="256"/>
      <c r="AZ20" s="256"/>
      <c r="BA20" s="256"/>
      <c r="BB20" s="256"/>
      <c r="BC20" s="256"/>
      <c r="BD20" s="256"/>
    </row>
    <row r="21" spans="2:56" ht="14">
      <c r="B21" s="379" t="s">
        <v>363</v>
      </c>
      <c r="C21" s="380">
        <v>6.0861586946115681E-2</v>
      </c>
      <c r="D21" s="380">
        <v>7.7829844440613305E-2</v>
      </c>
      <c r="E21" s="380">
        <v>0.11231588923900179</v>
      </c>
      <c r="F21" s="380">
        <v>0.14977171791241073</v>
      </c>
      <c r="G21" s="380">
        <v>0.13194738213437165</v>
      </c>
      <c r="H21" s="380">
        <v>0.11079044277544974</v>
      </c>
      <c r="I21" s="380">
        <v>5.8856747145052228E-2</v>
      </c>
      <c r="J21" s="380">
        <v>6.8369280701214272E-2</v>
      </c>
      <c r="K21" s="380">
        <v>7.202524719273129E-2</v>
      </c>
      <c r="L21" s="380">
        <v>0.33233711056164889</v>
      </c>
      <c r="M21" s="380">
        <v>0.10522496110804135</v>
      </c>
      <c r="N21" s="380">
        <v>9.4000213097690924E-2</v>
      </c>
      <c r="O21" s="380">
        <v>0.12155816952394868</v>
      </c>
      <c r="P21" s="380">
        <v>0.12221225035220255</v>
      </c>
      <c r="Q21" s="380">
        <v>0.14276756499504939</v>
      </c>
      <c r="R21" s="380">
        <v>0.20737940803868204</v>
      </c>
      <c r="S21" s="380">
        <v>0.11998273510994163</v>
      </c>
      <c r="T21" s="380">
        <v>0.10222918749999996</v>
      </c>
      <c r="U21" s="380">
        <v>6.7339448162790749E-2</v>
      </c>
      <c r="V21" s="380">
        <v>5.9157542172785849E-2</v>
      </c>
      <c r="W21" s="380">
        <v>7.0000000000000007E-2</v>
      </c>
      <c r="X21" s="380">
        <v>0.05</v>
      </c>
      <c r="Y21" s="380">
        <v>7.8539744316575621E-2</v>
      </c>
      <c r="Z21" s="380">
        <v>7.0000000000000007E-2</v>
      </c>
      <c r="AA21" s="380">
        <v>0.1</v>
      </c>
      <c r="AB21" s="380">
        <v>0.13</v>
      </c>
      <c r="AC21" s="380">
        <v>0.11</v>
      </c>
      <c r="AD21" s="380">
        <v>6.7598228525493242E-2</v>
      </c>
      <c r="AE21" s="380">
        <v>6.4816376343022064E-2</v>
      </c>
      <c r="AF21" s="539">
        <v>9.4760798258966855E-2</v>
      </c>
      <c r="AG21" s="381"/>
      <c r="AI21" s="382"/>
      <c r="AJ21" s="382"/>
      <c r="AK21" s="382"/>
      <c r="AL21" s="382"/>
      <c r="AM21" s="382"/>
      <c r="AN21" s="382"/>
      <c r="AO21" s="382"/>
      <c r="AQ21" s="382"/>
      <c r="AR21" s="382"/>
      <c r="AS21" s="382"/>
      <c r="AT21" s="382"/>
      <c r="AU21" s="382"/>
      <c r="AV21" s="382"/>
      <c r="AW21" s="382"/>
      <c r="AX21" s="382"/>
      <c r="AY21" s="382"/>
      <c r="AZ21" s="382"/>
      <c r="BA21" s="382"/>
      <c r="BB21" s="382"/>
      <c r="BC21" s="382"/>
      <c r="BD21" s="382"/>
    </row>
    <row r="22" spans="2:56" ht="14">
      <c r="B22" s="379" t="s">
        <v>364</v>
      </c>
      <c r="C22" s="380">
        <v>0.93913841305388446</v>
      </c>
      <c r="D22" s="380">
        <v>0.92217015555938642</v>
      </c>
      <c r="E22" s="380">
        <v>0.88768411076099829</v>
      </c>
      <c r="F22" s="380">
        <v>0.85022828208758916</v>
      </c>
      <c r="G22" s="380">
        <v>0.8680526178656286</v>
      </c>
      <c r="H22" s="380">
        <v>0.8892095572245502</v>
      </c>
      <c r="I22" s="380">
        <v>0.9411432528549476</v>
      </c>
      <c r="J22" s="380">
        <v>0.93163071929878571</v>
      </c>
      <c r="K22" s="380">
        <v>0.92797475280726882</v>
      </c>
      <c r="L22" s="380">
        <v>0.66766288943835117</v>
      </c>
      <c r="M22" s="380">
        <v>0.89477503889195853</v>
      </c>
      <c r="N22" s="380">
        <v>0.9059997869023092</v>
      </c>
      <c r="O22" s="380">
        <v>0.88284939931296424</v>
      </c>
      <c r="P22" s="380">
        <v>0.87393806229505377</v>
      </c>
      <c r="Q22" s="380">
        <v>0.85764292747233595</v>
      </c>
      <c r="R22" s="380">
        <v>0.79069237288716321</v>
      </c>
      <c r="S22" s="380">
        <v>0.8827215844819527</v>
      </c>
      <c r="T22" s="380">
        <v>0.90336519126785697</v>
      </c>
      <c r="U22" s="380">
        <v>0.93239285138759698</v>
      </c>
      <c r="V22" s="380">
        <v>0.9408424578272141</v>
      </c>
      <c r="W22" s="380">
        <v>0.93</v>
      </c>
      <c r="X22" s="380">
        <v>0.95</v>
      </c>
      <c r="Y22" s="380">
        <v>0.92146025568342449</v>
      </c>
      <c r="Z22" s="380">
        <v>0.93</v>
      </c>
      <c r="AA22" s="380">
        <v>0.9</v>
      </c>
      <c r="AB22" s="380">
        <v>0.87</v>
      </c>
      <c r="AC22" s="380">
        <v>0.89</v>
      </c>
      <c r="AD22" s="380">
        <v>0.93240177147450676</v>
      </c>
      <c r="AE22" s="380">
        <v>0.9351836236569786</v>
      </c>
      <c r="AF22" s="539">
        <v>0.90523920174103889</v>
      </c>
      <c r="AG22" s="381"/>
      <c r="AI22" s="382"/>
      <c r="AJ22" s="382"/>
      <c r="AK22" s="382"/>
      <c r="AL22" s="382"/>
      <c r="AM22" s="382"/>
      <c r="AN22" s="382"/>
      <c r="AO22" s="382"/>
      <c r="AQ22" s="382"/>
      <c r="AR22" s="382"/>
      <c r="AS22" s="382"/>
      <c r="AT22" s="382"/>
      <c r="AU22" s="382"/>
      <c r="AV22" s="382"/>
      <c r="AW22" s="382"/>
      <c r="AX22" s="382"/>
      <c r="AY22" s="382"/>
      <c r="AZ22" s="382"/>
      <c r="BA22" s="382"/>
      <c r="BB22" s="382"/>
      <c r="BC22" s="382"/>
      <c r="BD22" s="382"/>
    </row>
    <row r="23" spans="2:56" ht="14">
      <c r="B23" s="246"/>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540"/>
      <c r="AG23" s="247"/>
      <c r="AI23" s="256"/>
      <c r="AJ23" s="256"/>
      <c r="AK23" s="256"/>
      <c r="AL23" s="256"/>
      <c r="AM23" s="256"/>
      <c r="AN23" s="256"/>
      <c r="AO23" s="256"/>
      <c r="AQ23" s="256"/>
      <c r="AR23" s="256"/>
      <c r="AS23" s="256"/>
      <c r="AT23" s="256"/>
      <c r="AU23" s="256"/>
      <c r="AV23" s="256"/>
      <c r="AW23" s="256"/>
      <c r="AX23" s="256"/>
      <c r="AY23" s="256"/>
      <c r="AZ23" s="256"/>
      <c r="BA23" s="256"/>
      <c r="BB23" s="256"/>
      <c r="BC23" s="256"/>
      <c r="BD23" s="256"/>
    </row>
    <row r="24" spans="2:56" ht="14.5" thickBot="1">
      <c r="B24" s="239" t="s">
        <v>112</v>
      </c>
      <c r="C24" s="240">
        <f>SUM(C25:C27)</f>
        <v>77.641544307000004</v>
      </c>
      <c r="D24" s="240">
        <f t="shared" ref="D24:Q24" si="30">SUM(D25:D27)</f>
        <v>109.94406289199999</v>
      </c>
      <c r="E24" s="240">
        <f t="shared" si="30"/>
        <v>76.657510399000003</v>
      </c>
      <c r="F24" s="240">
        <f t="shared" si="30"/>
        <v>83.634122278999996</v>
      </c>
      <c r="G24" s="240">
        <f t="shared" si="30"/>
        <v>69.343831260000002</v>
      </c>
      <c r="H24" s="240">
        <f t="shared" si="30"/>
        <v>76.864452054000012</v>
      </c>
      <c r="I24" s="240">
        <f t="shared" si="30"/>
        <v>80.795289935999989</v>
      </c>
      <c r="J24" s="240">
        <f t="shared" si="30"/>
        <v>90.699982214000016</v>
      </c>
      <c r="K24" s="240">
        <f t="shared" si="30"/>
        <v>71.340493295000002</v>
      </c>
      <c r="L24" s="240">
        <f t="shared" si="30"/>
        <v>83.083679769999989</v>
      </c>
      <c r="M24" s="240">
        <f t="shared" si="30"/>
        <v>98.629878641999994</v>
      </c>
      <c r="N24" s="240">
        <f t="shared" si="30"/>
        <v>49.110717475000001</v>
      </c>
      <c r="O24" s="240">
        <f t="shared" si="30"/>
        <v>99.317999999999984</v>
      </c>
      <c r="P24" s="240">
        <f t="shared" si="30"/>
        <v>76.420332000000002</v>
      </c>
      <c r="Q24" s="240">
        <f t="shared" si="30"/>
        <v>150.30603400000001</v>
      </c>
      <c r="R24" s="240">
        <v>88.364221999999998</v>
      </c>
      <c r="S24" s="240">
        <f t="shared" ref="S24:AA24" si="31">SUM(S25:S27)</f>
        <v>77</v>
      </c>
      <c r="T24" s="240">
        <f t="shared" si="31"/>
        <v>121</v>
      </c>
      <c r="U24" s="240">
        <f t="shared" si="31"/>
        <v>95</v>
      </c>
      <c r="V24" s="240">
        <f t="shared" si="31"/>
        <v>63.918865140000001</v>
      </c>
      <c r="W24" s="240">
        <f t="shared" si="31"/>
        <v>70</v>
      </c>
      <c r="X24" s="240">
        <f t="shared" si="31"/>
        <v>76</v>
      </c>
      <c r="Y24" s="240">
        <f t="shared" si="31"/>
        <v>99</v>
      </c>
      <c r="Z24" s="240">
        <f t="shared" si="31"/>
        <v>102.76431966999999</v>
      </c>
      <c r="AA24" s="240">
        <f t="shared" si="31"/>
        <v>76.044326000000012</v>
      </c>
      <c r="AB24" s="240">
        <v>104.05676200000002</v>
      </c>
      <c r="AC24" s="240">
        <v>65.781452000000002</v>
      </c>
      <c r="AD24" s="240">
        <f>SUM(AD25:AD27)</f>
        <v>74.954833999999991</v>
      </c>
      <c r="AE24" s="240">
        <f>SUM(AE25:AE27)</f>
        <v>52.316000000000003</v>
      </c>
      <c r="AF24" s="240">
        <f>SUM(AF25:AF27)</f>
        <v>19.403000000000002</v>
      </c>
      <c r="AG24" s="241"/>
      <c r="AI24" s="257">
        <f>SUM(C24:F24)/SUM($C$24:$F$24)</f>
        <v>1</v>
      </c>
      <c r="AJ24" s="257">
        <f>SUM(G24:J24)/SUM($G$24:$J$24)</f>
        <v>1</v>
      </c>
      <c r="AK24" s="257">
        <f>SUM(K24:N24)/SUM($K$24:$N$24)</f>
        <v>1</v>
      </c>
      <c r="AL24" s="257">
        <f>SUM(O24:R24)/SUM($O$24:$R$24)</f>
        <v>1</v>
      </c>
      <c r="AM24" s="257">
        <f>SUM(S24:V24)/SUM($S$24:$V$24)</f>
        <v>1</v>
      </c>
      <c r="AN24" s="257">
        <f>SUM(AN25:AN27)</f>
        <v>1</v>
      </c>
      <c r="AO24" s="257">
        <f>SUM(AO25:AO27)</f>
        <v>1</v>
      </c>
      <c r="AP24" s="258"/>
      <c r="AQ24" s="257">
        <f>S24/$S$24</f>
        <v>1</v>
      </c>
      <c r="AR24" s="257">
        <f t="shared" ref="AR24:AW24" si="32">T24/T$24</f>
        <v>1</v>
      </c>
      <c r="AS24" s="257">
        <f t="shared" si="32"/>
        <v>1</v>
      </c>
      <c r="AT24" s="257">
        <f t="shared" si="32"/>
        <v>1</v>
      </c>
      <c r="AU24" s="257">
        <f t="shared" si="32"/>
        <v>1</v>
      </c>
      <c r="AV24" s="257">
        <f t="shared" si="32"/>
        <v>1</v>
      </c>
      <c r="AW24" s="257">
        <f t="shared" si="32"/>
        <v>1</v>
      </c>
      <c r="AX24" s="257">
        <f t="shared" ref="AX24:BC24" si="33">SUM(AX25:AX27)</f>
        <v>1</v>
      </c>
      <c r="AY24" s="257">
        <f t="shared" si="33"/>
        <v>1</v>
      </c>
      <c r="AZ24" s="257">
        <f t="shared" si="33"/>
        <v>1</v>
      </c>
      <c r="BA24" s="257">
        <f t="shared" si="33"/>
        <v>1</v>
      </c>
      <c r="BB24" s="257">
        <f t="shared" si="33"/>
        <v>1</v>
      </c>
      <c r="BC24" s="257">
        <f t="shared" si="33"/>
        <v>1</v>
      </c>
      <c r="BD24" s="257">
        <f t="shared" ref="BD24" si="34">SUM(BD25:BD27)</f>
        <v>1</v>
      </c>
    </row>
    <row r="25" spans="2:56" ht="14">
      <c r="B25" s="254" t="s">
        <v>113</v>
      </c>
      <c r="C25" s="255">
        <v>10.12533206</v>
      </c>
      <c r="D25" s="255">
        <v>15.675384237999999</v>
      </c>
      <c r="E25" s="255">
        <v>12.922318450000001</v>
      </c>
      <c r="F25" s="255">
        <v>18.657504320000001</v>
      </c>
      <c r="G25" s="255">
        <v>9.1780918760000016</v>
      </c>
      <c r="H25" s="255">
        <v>11.389824150999999</v>
      </c>
      <c r="I25" s="255">
        <v>12.235593348999998</v>
      </c>
      <c r="J25" s="255">
        <v>9.4482463729999999</v>
      </c>
      <c r="K25" s="255">
        <v>9.6393049370000004</v>
      </c>
      <c r="L25" s="255">
        <v>6.3630703510000002</v>
      </c>
      <c r="M25" s="255">
        <v>6.7301339999999996</v>
      </c>
      <c r="N25" s="255">
        <v>19.468394647</v>
      </c>
      <c r="O25" s="255">
        <v>16.277999999999999</v>
      </c>
      <c r="P25" s="255">
        <v>17.087</v>
      </c>
      <c r="Q25" s="255">
        <v>26.210999999999999</v>
      </c>
      <c r="R25" s="255">
        <v>27.231999999999999</v>
      </c>
      <c r="S25" s="255">
        <v>14</v>
      </c>
      <c r="T25" s="255">
        <v>1</v>
      </c>
      <c r="U25" s="255">
        <v>0</v>
      </c>
      <c r="V25" s="255">
        <v>1.3419400000000001</v>
      </c>
      <c r="W25" s="255">
        <v>7</v>
      </c>
      <c r="X25" s="255">
        <v>4</v>
      </c>
      <c r="Y25" s="255">
        <v>4</v>
      </c>
      <c r="Z25" s="255">
        <v>0.38559400000000005</v>
      </c>
      <c r="AA25" s="483">
        <v>0</v>
      </c>
      <c r="AB25" s="255">
        <v>0</v>
      </c>
      <c r="AC25" s="255">
        <v>0</v>
      </c>
      <c r="AD25" s="255">
        <v>0</v>
      </c>
      <c r="AE25" s="255">
        <v>0</v>
      </c>
      <c r="AF25" s="483"/>
      <c r="AG25" s="355"/>
      <c r="AI25" s="259">
        <f>SUM(C25:F25)/SUM($C$24:$F$24)</f>
        <v>0.164944792272953</v>
      </c>
      <c r="AJ25" s="259">
        <f t="shared" ref="AJ25:AJ27" si="35">SUM(G25:J25)/SUM($G$24:$J$24)</f>
        <v>0.13299113284172129</v>
      </c>
      <c r="AK25" s="259">
        <f t="shared" ref="AK25:AK27" si="36">SUM(K25:N25)/SUM($K$24:$N$24)</f>
        <v>0.13966189390392345</v>
      </c>
      <c r="AL25" s="259">
        <f t="shared" ref="AL25:AL27" si="37">SUM(O25:R25)/SUM($O$24:$R$24)</f>
        <v>0.20947442334375563</v>
      </c>
      <c r="AM25" s="259">
        <f>SUM(S25:V25)/SUM($S$24:$V$24)</f>
        <v>4.5786148046811539E-2</v>
      </c>
      <c r="AN25" s="259">
        <f>SUM(W25:Z25)/SUM($W$24:$Z$24)</f>
        <v>4.4241439186744849E-2</v>
      </c>
      <c r="AO25" s="259">
        <f>SUM(AA25:AB25)/SUM($AA$24:$AB$24)</f>
        <v>0</v>
      </c>
      <c r="AP25" s="260"/>
      <c r="AQ25" s="259">
        <f t="shared" ref="AQ25:AQ27" si="38">S25/$S$24</f>
        <v>0.18181818181818182</v>
      </c>
      <c r="AR25" s="259">
        <f t="shared" ref="AR25:BD27" si="39">T25/T$24</f>
        <v>8.2644628099173556E-3</v>
      </c>
      <c r="AS25" s="259">
        <f t="shared" si="39"/>
        <v>0</v>
      </c>
      <c r="AT25" s="259">
        <f t="shared" si="39"/>
        <v>2.0994427811895287E-2</v>
      </c>
      <c r="AU25" s="259">
        <f t="shared" si="39"/>
        <v>0.1</v>
      </c>
      <c r="AV25" s="259">
        <f t="shared" si="39"/>
        <v>5.2631578947368418E-2</v>
      </c>
      <c r="AW25" s="259">
        <f t="shared" si="39"/>
        <v>4.0404040404040407E-2</v>
      </c>
      <c r="AX25" s="259">
        <f t="shared" si="39"/>
        <v>3.7522167347405363E-3</v>
      </c>
      <c r="AY25" s="259">
        <f t="shared" si="39"/>
        <v>0</v>
      </c>
      <c r="AZ25" s="259">
        <f t="shared" si="39"/>
        <v>0</v>
      </c>
      <c r="BA25" s="259">
        <f t="shared" si="39"/>
        <v>0</v>
      </c>
      <c r="BB25" s="259">
        <f t="shared" si="39"/>
        <v>0</v>
      </c>
      <c r="BC25" s="259">
        <f t="shared" si="39"/>
        <v>0</v>
      </c>
      <c r="BD25" s="259">
        <f t="shared" si="39"/>
        <v>0</v>
      </c>
    </row>
    <row r="26" spans="2:56" ht="14">
      <c r="B26" s="254" t="s">
        <v>114</v>
      </c>
      <c r="C26" s="255">
        <v>0</v>
      </c>
      <c r="D26" s="255">
        <v>62.987079999999999</v>
      </c>
      <c r="E26" s="255">
        <v>31.15597</v>
      </c>
      <c r="F26" s="255">
        <v>26.251439999999999</v>
      </c>
      <c r="G26" s="255">
        <v>26.250810000000001</v>
      </c>
      <c r="H26" s="255">
        <v>30.80414</v>
      </c>
      <c r="I26" s="255">
        <v>36.75047</v>
      </c>
      <c r="J26" s="255">
        <v>47.501480000000001</v>
      </c>
      <c r="K26" s="255">
        <v>31.500299999999999</v>
      </c>
      <c r="L26" s="255">
        <v>54.975319999999996</v>
      </c>
      <c r="M26" s="255">
        <v>63.004020000000004</v>
      </c>
      <c r="N26" s="255">
        <v>0</v>
      </c>
      <c r="O26" s="255">
        <v>52.5</v>
      </c>
      <c r="P26" s="255">
        <v>30.102</v>
      </c>
      <c r="Q26" s="255">
        <v>94.506</v>
      </c>
      <c r="R26" s="255">
        <v>31.501999999999999</v>
      </c>
      <c r="S26" s="255">
        <v>36</v>
      </c>
      <c r="T26" s="255">
        <v>93</v>
      </c>
      <c r="U26" s="255">
        <v>63</v>
      </c>
      <c r="V26" s="255">
        <v>30.40211</v>
      </c>
      <c r="W26" s="255">
        <v>33</v>
      </c>
      <c r="X26" s="255">
        <v>34</v>
      </c>
      <c r="Y26" s="255">
        <v>64</v>
      </c>
      <c r="Z26" s="255">
        <v>65.366830000000007</v>
      </c>
      <c r="AA26" s="483">
        <v>36.050940000000004</v>
      </c>
      <c r="AB26" s="255">
        <v>67.320310000000006</v>
      </c>
      <c r="AC26" s="255">
        <v>33.6</v>
      </c>
      <c r="AD26" s="255">
        <v>30.939</v>
      </c>
      <c r="AE26" s="255">
        <v>30.280999999999999</v>
      </c>
      <c r="AF26" s="255">
        <v>0</v>
      </c>
      <c r="AG26" s="247"/>
      <c r="AI26" s="522">
        <f>SUM(C26:F26)/SUM(C24:F24)</f>
        <v>0.34608326213743751</v>
      </c>
      <c r="AJ26" s="259">
        <f t="shared" si="35"/>
        <v>0.44477594779707119</v>
      </c>
      <c r="AK26" s="259">
        <f t="shared" si="36"/>
        <v>0.49469579264538732</v>
      </c>
      <c r="AL26" s="259">
        <f t="shared" si="37"/>
        <v>0.50339207738619562</v>
      </c>
      <c r="AM26" s="259">
        <f>SUM(S26:V26)/SUM($S$24:$V$24)</f>
        <v>0.62311671284946979</v>
      </c>
      <c r="AN26" s="259">
        <f t="shared" ref="AN26:AN27" si="40">SUM(W26:Z26)/SUM($W$24:$Z$24)</f>
        <v>0.5646549082043153</v>
      </c>
      <c r="AO26" s="259">
        <f t="shared" ref="AO26:AO27" si="41">SUM(AA26:AB26)/SUM($AA$24:$AB$24)</f>
        <v>0.57396238494683605</v>
      </c>
      <c r="AP26" s="260"/>
      <c r="AQ26" s="259">
        <f t="shared" si="38"/>
        <v>0.46753246753246752</v>
      </c>
      <c r="AR26" s="259">
        <f t="shared" si="39"/>
        <v>0.76859504132231404</v>
      </c>
      <c r="AS26" s="259">
        <f t="shared" si="39"/>
        <v>0.66315789473684206</v>
      </c>
      <c r="AT26" s="259">
        <f t="shared" si="39"/>
        <v>0.47563594775049539</v>
      </c>
      <c r="AU26" s="259">
        <f t="shared" si="39"/>
        <v>0.47142857142857142</v>
      </c>
      <c r="AV26" s="259">
        <f t="shared" si="39"/>
        <v>0.44736842105263158</v>
      </c>
      <c r="AW26" s="259">
        <f t="shared" si="39"/>
        <v>0.64646464646464652</v>
      </c>
      <c r="AX26" s="259">
        <f t="shared" si="39"/>
        <v>0.63608488052962375</v>
      </c>
      <c r="AY26" s="259">
        <f t="shared" si="39"/>
        <v>0.47407797394377588</v>
      </c>
      <c r="AZ26" s="259">
        <f t="shared" si="39"/>
        <v>0.64695757109951191</v>
      </c>
      <c r="BA26" s="259">
        <f t="shared" si="39"/>
        <v>0.51078227947902399</v>
      </c>
      <c r="BB26" s="259">
        <f t="shared" si="39"/>
        <v>0.41276857473928907</v>
      </c>
      <c r="BC26" s="259">
        <f t="shared" si="39"/>
        <v>0.57880954201391543</v>
      </c>
      <c r="BD26" s="259">
        <f t="shared" si="39"/>
        <v>0</v>
      </c>
    </row>
    <row r="27" spans="2:56" ht="14">
      <c r="B27" s="254" t="s">
        <v>115</v>
      </c>
      <c r="C27" s="255">
        <v>67.516212246999999</v>
      </c>
      <c r="D27" s="255">
        <v>31.281598653999996</v>
      </c>
      <c r="E27" s="255">
        <v>32.579221949000001</v>
      </c>
      <c r="F27" s="255">
        <v>38.725177959</v>
      </c>
      <c r="G27" s="255">
        <v>33.914929383999997</v>
      </c>
      <c r="H27" s="255">
        <v>34.670487903000009</v>
      </c>
      <c r="I27" s="255">
        <v>31.809226586999998</v>
      </c>
      <c r="J27" s="255">
        <v>33.750255841000005</v>
      </c>
      <c r="K27" s="255">
        <v>30.200888357999997</v>
      </c>
      <c r="L27" s="255">
        <v>21.745289418999995</v>
      </c>
      <c r="M27" s="255">
        <v>28.895724641999998</v>
      </c>
      <c r="N27" s="255">
        <v>29.642322828000001</v>
      </c>
      <c r="O27" s="255">
        <v>30.54</v>
      </c>
      <c r="P27" s="255">
        <v>29.231331999999998</v>
      </c>
      <c r="Q27" s="255">
        <v>29.589033999999998</v>
      </c>
      <c r="R27" s="255">
        <v>29.630222</v>
      </c>
      <c r="S27" s="255">
        <v>27</v>
      </c>
      <c r="T27" s="255">
        <v>27</v>
      </c>
      <c r="U27" s="255">
        <v>32</v>
      </c>
      <c r="V27" s="255">
        <v>32.17481514</v>
      </c>
      <c r="W27" s="255">
        <v>30</v>
      </c>
      <c r="X27" s="255">
        <v>38</v>
      </c>
      <c r="Y27" s="255">
        <v>31</v>
      </c>
      <c r="Z27" s="255">
        <v>37.011895669999987</v>
      </c>
      <c r="AA27" s="483">
        <v>39.993386000000001</v>
      </c>
      <c r="AB27" s="255">
        <v>36.736452000000014</v>
      </c>
      <c r="AC27" s="255">
        <v>32.181452000000007</v>
      </c>
      <c r="AD27" s="255">
        <v>44.015833999999991</v>
      </c>
      <c r="AE27" s="255">
        <v>22.035</v>
      </c>
      <c r="AF27" s="255">
        <v>19.403000000000002</v>
      </c>
      <c r="AG27" s="247"/>
      <c r="AI27" s="523">
        <f>SUM(C27:F27)/SUM($C$24:$F$24)</f>
        <v>0.48897194558960955</v>
      </c>
      <c r="AJ27" s="259">
        <f t="shared" si="35"/>
        <v>0.42223291936120738</v>
      </c>
      <c r="AK27" s="259">
        <f t="shared" si="36"/>
        <v>0.36564231345068915</v>
      </c>
      <c r="AL27" s="259">
        <f t="shared" si="37"/>
        <v>0.28713349927004894</v>
      </c>
      <c r="AM27" s="259">
        <f>SUM(S27:V27)/SUM($S$24:$V$24)</f>
        <v>0.33109713910371869</v>
      </c>
      <c r="AN27" s="259">
        <f t="shared" si="40"/>
        <v>0.39110365260893992</v>
      </c>
      <c r="AO27" s="259">
        <f t="shared" si="41"/>
        <v>0.42603761505316395</v>
      </c>
      <c r="AP27" s="260"/>
      <c r="AQ27" s="259">
        <f t="shared" si="38"/>
        <v>0.35064935064935066</v>
      </c>
      <c r="AR27" s="259">
        <f t="shared" si="39"/>
        <v>0.2231404958677686</v>
      </c>
      <c r="AS27" s="259">
        <f t="shared" si="39"/>
        <v>0.33684210526315789</v>
      </c>
      <c r="AT27" s="259">
        <f t="shared" si="39"/>
        <v>0.50336962443760935</v>
      </c>
      <c r="AU27" s="259">
        <f t="shared" si="39"/>
        <v>0.42857142857142855</v>
      </c>
      <c r="AV27" s="259">
        <f t="shared" si="39"/>
        <v>0.5</v>
      </c>
      <c r="AW27" s="259">
        <f t="shared" si="39"/>
        <v>0.31313131313131315</v>
      </c>
      <c r="AX27" s="259">
        <f t="shared" si="39"/>
        <v>0.36016290273563573</v>
      </c>
      <c r="AY27" s="259">
        <f t="shared" si="39"/>
        <v>0.52592202605622407</v>
      </c>
      <c r="AZ27" s="259">
        <f t="shared" si="39"/>
        <v>0.35304242890048804</v>
      </c>
      <c r="BA27" s="259">
        <f t="shared" si="39"/>
        <v>0.48921772052097612</v>
      </c>
      <c r="BB27" s="259">
        <f t="shared" si="39"/>
        <v>0.58723142526071093</v>
      </c>
      <c r="BC27" s="259">
        <f t="shared" si="39"/>
        <v>0.42119045798608457</v>
      </c>
      <c r="BD27" s="259">
        <f t="shared" si="39"/>
        <v>1</v>
      </c>
    </row>
    <row r="28" spans="2:56" ht="13">
      <c r="B28" s="261" t="s">
        <v>116</v>
      </c>
      <c r="T28" s="262"/>
      <c r="AI28" s="260"/>
      <c r="AJ28" s="260"/>
      <c r="AK28" s="260"/>
      <c r="AL28" s="260"/>
      <c r="AM28" s="260"/>
      <c r="AN28" s="260"/>
      <c r="AO28" s="260"/>
      <c r="AP28" s="260"/>
      <c r="AQ28" s="260"/>
      <c r="AR28" s="260"/>
    </row>
    <row r="29" spans="2:56" ht="13">
      <c r="B29" s="261" t="s">
        <v>117</v>
      </c>
      <c r="C29" s="262"/>
      <c r="D29" s="262"/>
      <c r="E29" s="262"/>
      <c r="F29" s="262"/>
      <c r="G29" s="262"/>
      <c r="H29" s="262"/>
      <c r="I29" s="262"/>
      <c r="J29" s="262"/>
      <c r="K29" s="262"/>
      <c r="L29" s="262"/>
      <c r="M29" s="262"/>
      <c r="N29" s="262"/>
      <c r="O29" s="262"/>
      <c r="P29" s="262"/>
      <c r="Q29" s="262"/>
      <c r="R29" s="262"/>
      <c r="AI29" s="260"/>
      <c r="AJ29" s="260"/>
      <c r="AK29" s="260"/>
      <c r="AL29" s="260"/>
      <c r="AM29" s="260"/>
      <c r="AN29" s="260"/>
      <c r="AO29" s="260"/>
      <c r="AP29" s="260"/>
      <c r="AQ29" s="260"/>
      <c r="AR29" s="260"/>
    </row>
    <row r="30" spans="2:56" ht="13">
      <c r="B30" s="261" t="s">
        <v>118</v>
      </c>
      <c r="C30" s="262"/>
      <c r="D30" s="262"/>
      <c r="E30" s="262"/>
      <c r="F30" s="262"/>
      <c r="G30" s="262"/>
      <c r="H30" s="262"/>
      <c r="I30" s="262"/>
      <c r="J30" s="262"/>
      <c r="K30" s="262"/>
      <c r="L30" s="262"/>
      <c r="M30" s="262"/>
      <c r="N30" s="262"/>
      <c r="O30" s="262"/>
      <c r="P30" s="262"/>
      <c r="Q30" s="262"/>
      <c r="R30" s="262"/>
      <c r="AI30" s="260"/>
      <c r="AJ30" s="260"/>
      <c r="AK30" s="260"/>
      <c r="AL30" s="260"/>
      <c r="AM30" s="260"/>
      <c r="AN30" s="260"/>
      <c r="AO30" s="260"/>
      <c r="AP30" s="260"/>
      <c r="AQ30" s="260"/>
      <c r="AR30" s="260"/>
    </row>
  </sheetData>
  <mergeCells count="1">
    <mergeCell ref="C6:P6"/>
  </mergeCells>
  <phoneticPr fontId="6"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tabColor rgb="FF00B050"/>
    <pageSetUpPr fitToPage="1"/>
  </sheetPr>
  <dimension ref="B5:AQ43"/>
  <sheetViews>
    <sheetView showGridLines="0" zoomScale="80" zoomScaleNormal="80" zoomScaleSheetLayoutView="80" workbookViewId="0">
      <pane xSplit="2" ySplit="6" topLeftCell="C7" activePane="bottomRight" state="frozen"/>
      <selection activeCell="AC26" sqref="AC26"/>
      <selection pane="topRight" activeCell="AC26" sqref="AC26"/>
      <selection pane="bottomLeft" activeCell="AC26" sqref="AC26"/>
      <selection pane="bottomRight" activeCell="AH15" sqref="AH15"/>
    </sheetView>
  </sheetViews>
  <sheetFormatPr defaultColWidth="9.1796875" defaultRowHeight="12.5" outlineLevelCol="1"/>
  <cols>
    <col min="1" max="1" width="2.1796875" style="40" customWidth="1"/>
    <col min="2" max="2" width="47.81640625" style="40" customWidth="1"/>
    <col min="3" max="17" width="8.1796875" style="40" hidden="1" customWidth="1" outlineLevel="1"/>
    <col min="18" max="18" width="8.81640625" style="40" hidden="1" customWidth="1" outlineLevel="1"/>
    <col min="19" max="22" width="9.1796875" style="40" hidden="1" customWidth="1" outlineLevel="1"/>
    <col min="23" max="23" width="9.1796875" style="40" collapsed="1"/>
    <col min="24" max="26" width="9.1796875" style="40"/>
    <col min="27" max="28" width="10.81640625" style="40" bestFit="1" customWidth="1"/>
    <col min="29" max="32" width="10.81640625" style="40" customWidth="1"/>
    <col min="33" max="34" width="11.1796875" style="40" bestFit="1" customWidth="1"/>
    <col min="35" max="35" width="10.1796875" style="40" bestFit="1" customWidth="1"/>
    <col min="36" max="16384" width="9.1796875" style="40"/>
  </cols>
  <sheetData>
    <row r="5" spans="2:43" ht="18" customHeight="1">
      <c r="B5" s="41"/>
    </row>
    <row r="6" spans="2:43" ht="14.5" thickBot="1">
      <c r="B6" s="53" t="s">
        <v>119</v>
      </c>
      <c r="C6" s="54" t="s">
        <v>84</v>
      </c>
      <c r="D6" s="54" t="s">
        <v>85</v>
      </c>
      <c r="E6" s="54" t="s">
        <v>86</v>
      </c>
      <c r="F6" s="54" t="s">
        <v>87</v>
      </c>
      <c r="G6" s="54" t="s">
        <v>88</v>
      </c>
      <c r="H6" s="54" t="s">
        <v>89</v>
      </c>
      <c r="I6" s="54" t="s">
        <v>90</v>
      </c>
      <c r="J6" s="54" t="s">
        <v>91</v>
      </c>
      <c r="K6" s="54" t="s">
        <v>92</v>
      </c>
      <c r="L6" s="54" t="s">
        <v>93</v>
      </c>
      <c r="M6" s="54" t="s">
        <v>94</v>
      </c>
      <c r="N6" s="54" t="s">
        <v>95</v>
      </c>
      <c r="O6" s="54" t="s">
        <v>96</v>
      </c>
      <c r="P6" s="54" t="s">
        <v>97</v>
      </c>
      <c r="Q6" s="54" t="s">
        <v>98</v>
      </c>
      <c r="R6" s="54" t="s">
        <v>99</v>
      </c>
      <c r="S6" s="54" t="s">
        <v>100</v>
      </c>
      <c r="T6" s="54" t="s">
        <v>101</v>
      </c>
      <c r="U6" s="54" t="s">
        <v>336</v>
      </c>
      <c r="V6" s="54" t="s">
        <v>342</v>
      </c>
      <c r="W6" s="54" t="s">
        <v>357</v>
      </c>
      <c r="X6" s="54" t="s">
        <v>384</v>
      </c>
      <c r="Y6" s="54" t="s">
        <v>395</v>
      </c>
      <c r="Z6" s="54" t="s">
        <v>396</v>
      </c>
      <c r="AA6" s="54" t="s">
        <v>469</v>
      </c>
      <c r="AB6" s="54" t="s">
        <v>473</v>
      </c>
      <c r="AC6" s="54" t="s">
        <v>478</v>
      </c>
      <c r="AD6" s="54" t="s">
        <v>480</v>
      </c>
      <c r="AE6" s="54" t="s">
        <v>518</v>
      </c>
      <c r="AF6" s="54" t="s">
        <v>521</v>
      </c>
    </row>
    <row r="7" spans="2:43" ht="14.5" thickTop="1">
      <c r="B7" s="55"/>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row>
    <row r="8" spans="2:43" s="43" customFormat="1" ht="14.25" customHeight="1" thickBot="1">
      <c r="B8" s="93" t="s">
        <v>120</v>
      </c>
      <c r="C8" s="145">
        <v>238.93799999999999</v>
      </c>
      <c r="D8" s="145">
        <v>193.37700000000001</v>
      </c>
      <c r="E8" s="145">
        <v>163.18899999999999</v>
      </c>
      <c r="F8" s="145">
        <v>118.095</v>
      </c>
      <c r="G8" s="145">
        <v>135.06100000000001</v>
      </c>
      <c r="H8" s="145">
        <v>124.26902001798319</v>
      </c>
      <c r="I8" s="145">
        <v>144.9937248166915</v>
      </c>
      <c r="J8" s="145">
        <v>126.56036483350766</v>
      </c>
      <c r="K8" s="145">
        <v>158.99118751278539</v>
      </c>
      <c r="L8" s="145">
        <v>127.53195661799795</v>
      </c>
      <c r="M8" s="145">
        <v>161.8117794433341</v>
      </c>
      <c r="N8" s="145">
        <v>63.838999999999999</v>
      </c>
      <c r="O8" s="145">
        <v>89.61</v>
      </c>
      <c r="P8" s="145">
        <v>60</v>
      </c>
      <c r="Q8" s="145">
        <v>87</v>
      </c>
      <c r="R8" s="145">
        <v>69.382999999999996</v>
      </c>
      <c r="S8" s="145">
        <v>92.506</v>
      </c>
      <c r="T8" s="145">
        <v>68</v>
      </c>
      <c r="U8" s="145">
        <v>126</v>
      </c>
      <c r="V8" s="145">
        <v>108</v>
      </c>
      <c r="W8" s="145">
        <v>124.751</v>
      </c>
      <c r="X8" s="145">
        <v>115</v>
      </c>
      <c r="Y8" s="145">
        <v>108</v>
      </c>
      <c r="Z8" s="145">
        <v>103.107</v>
      </c>
      <c r="AA8" s="145">
        <v>274.98</v>
      </c>
      <c r="AB8" s="145">
        <v>277.38099999999997</v>
      </c>
      <c r="AC8" s="145">
        <v>272</v>
      </c>
      <c r="AD8" s="145">
        <v>117</v>
      </c>
      <c r="AE8" s="145">
        <v>95</v>
      </c>
      <c r="AF8" s="555">
        <v>105</v>
      </c>
      <c r="AL8" s="44"/>
      <c r="AM8" s="44"/>
      <c r="AN8" s="44"/>
      <c r="AO8" s="44"/>
      <c r="AP8" s="44"/>
      <c r="AQ8" s="44"/>
    </row>
    <row r="9" spans="2:43" s="45" customFormat="1" ht="14.25" customHeight="1">
      <c r="B9" s="94"/>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556"/>
      <c r="AL9" s="44"/>
      <c r="AM9" s="44"/>
      <c r="AN9" s="44"/>
      <c r="AO9" s="44"/>
      <c r="AP9" s="44"/>
      <c r="AQ9" s="44"/>
    </row>
    <row r="10" spans="2:43" s="43" customFormat="1" ht="14.25" customHeight="1" thickBot="1">
      <c r="B10" s="93" t="s">
        <v>121</v>
      </c>
      <c r="C10" s="145">
        <v>2571.6379999999999</v>
      </c>
      <c r="D10" s="145">
        <v>1969.777</v>
      </c>
      <c r="E10" s="145">
        <v>1992.5550000000001</v>
      </c>
      <c r="F10" s="145">
        <v>1940.7719999999999</v>
      </c>
      <c r="G10" s="145">
        <v>1930.1010000000001</v>
      </c>
      <c r="H10" s="145">
        <v>1953.2140004</v>
      </c>
      <c r="I10" s="145">
        <v>2130.1550003999996</v>
      </c>
      <c r="J10" s="145">
        <v>2053.9435004000002</v>
      </c>
      <c r="K10" s="145">
        <v>2822.2581347951018</v>
      </c>
      <c r="L10" s="145">
        <v>2982.8553897949596</v>
      </c>
      <c r="M10" s="145">
        <v>3230.6062217404219</v>
      </c>
      <c r="N10" s="145">
        <v>2882.6660000000002</v>
      </c>
      <c r="O10" s="145">
        <v>3116.6350000000002</v>
      </c>
      <c r="P10" s="145">
        <v>2752</v>
      </c>
      <c r="Q10" s="145">
        <v>2946</v>
      </c>
      <c r="R10" s="145">
        <v>3036.6819999999998</v>
      </c>
      <c r="S10" s="145">
        <v>2637.21</v>
      </c>
      <c r="T10" s="145">
        <v>2809.8389999999999</v>
      </c>
      <c r="U10" s="145">
        <v>2917</v>
      </c>
      <c r="V10" s="145">
        <v>2861</v>
      </c>
      <c r="W10" s="145">
        <v>3510.4549999999999</v>
      </c>
      <c r="X10" s="145">
        <v>3849</v>
      </c>
      <c r="Y10" s="145">
        <v>4328</v>
      </c>
      <c r="Z10" s="145">
        <v>4241.3850000000002</v>
      </c>
      <c r="AA10" s="145">
        <v>4214.2120000000004</v>
      </c>
      <c r="AB10" s="145">
        <v>5055.1220000000003</v>
      </c>
      <c r="AC10" s="145">
        <v>4512</v>
      </c>
      <c r="AD10" s="145">
        <v>4512</v>
      </c>
      <c r="AE10" s="145">
        <v>3767</v>
      </c>
      <c r="AF10" s="555">
        <v>3646</v>
      </c>
      <c r="AL10" s="44"/>
      <c r="AM10" s="44"/>
      <c r="AN10" s="44"/>
      <c r="AO10" s="44"/>
      <c r="AP10" s="44"/>
      <c r="AQ10" s="44"/>
    </row>
    <row r="11" spans="2:43" ht="14.25" customHeight="1">
      <c r="B11" s="95"/>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556"/>
      <c r="AL11" s="44"/>
      <c r="AM11" s="44"/>
      <c r="AN11" s="44"/>
      <c r="AO11" s="44"/>
      <c r="AP11" s="44"/>
      <c r="AQ11" s="44"/>
    </row>
    <row r="12" spans="2:43" ht="14.25" customHeight="1" thickBot="1">
      <c r="B12" s="93" t="s">
        <v>122</v>
      </c>
      <c r="C12" s="145">
        <v>2810.576</v>
      </c>
      <c r="D12" s="145">
        <v>2163.154</v>
      </c>
      <c r="E12" s="145">
        <v>2155.7440000000001</v>
      </c>
      <c r="F12" s="145">
        <v>2058.8669999999997</v>
      </c>
      <c r="G12" s="145">
        <v>2065.1620000000003</v>
      </c>
      <c r="H12" s="145">
        <v>2077.4830204179834</v>
      </c>
      <c r="I12" s="145">
        <v>2275.1487252166912</v>
      </c>
      <c r="J12" s="145">
        <v>2180.5038652335079</v>
      </c>
      <c r="K12" s="145">
        <v>2981.2493223078873</v>
      </c>
      <c r="L12" s="145">
        <v>3110.3873464129574</v>
      </c>
      <c r="M12" s="145">
        <v>3392.4180011837561</v>
      </c>
      <c r="N12" s="145">
        <v>2946.5050000000001</v>
      </c>
      <c r="O12" s="145">
        <v>3206.2450000000003</v>
      </c>
      <c r="P12" s="145">
        <v>2812</v>
      </c>
      <c r="Q12" s="145">
        <v>3033</v>
      </c>
      <c r="R12" s="145">
        <v>3106.0649999999996</v>
      </c>
      <c r="S12" s="145">
        <v>2729.7159999999999</v>
      </c>
      <c r="T12" s="145">
        <v>2877.8389999999999</v>
      </c>
      <c r="U12" s="145">
        <v>3043</v>
      </c>
      <c r="V12" s="145">
        <v>2969</v>
      </c>
      <c r="W12" s="145">
        <f>W8+W10</f>
        <v>3635.2060000000001</v>
      </c>
      <c r="X12" s="145">
        <f t="shared" ref="X12:AC12" si="0">X8+X10</f>
        <v>3964</v>
      </c>
      <c r="Y12" s="145">
        <f t="shared" si="0"/>
        <v>4436</v>
      </c>
      <c r="Z12" s="145">
        <f t="shared" si="0"/>
        <v>4344.4920000000002</v>
      </c>
      <c r="AA12" s="145">
        <f t="shared" si="0"/>
        <v>4489.1920000000009</v>
      </c>
      <c r="AB12" s="145">
        <f t="shared" si="0"/>
        <v>5332.5030000000006</v>
      </c>
      <c r="AC12" s="145">
        <f t="shared" si="0"/>
        <v>4784</v>
      </c>
      <c r="AD12" s="145">
        <v>4629</v>
      </c>
      <c r="AE12" s="145">
        <f t="shared" ref="AE12:AF12" si="1">AE8+AE10</f>
        <v>3862</v>
      </c>
      <c r="AF12" s="555">
        <f t="shared" si="1"/>
        <v>3751</v>
      </c>
      <c r="AG12" s="192"/>
      <c r="AH12" s="45"/>
      <c r="AK12" s="455"/>
      <c r="AL12" s="44"/>
      <c r="AM12" s="44"/>
      <c r="AN12" s="44"/>
      <c r="AO12" s="44"/>
      <c r="AP12" s="44"/>
      <c r="AQ12" s="44"/>
    </row>
    <row r="13" spans="2:43" ht="14.25" customHeight="1">
      <c r="B13" s="95"/>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556"/>
      <c r="AL13" s="44"/>
      <c r="AM13" s="44"/>
      <c r="AN13" s="44"/>
      <c r="AO13" s="44"/>
      <c r="AP13" s="44"/>
      <c r="AQ13" s="44"/>
    </row>
    <row r="14" spans="2:43" ht="14.25" customHeight="1" thickBot="1">
      <c r="B14" s="96" t="s">
        <v>123</v>
      </c>
      <c r="C14" s="144">
        <v>-46.537999999999997</v>
      </c>
      <c r="D14" s="144">
        <v>-48.152999999999999</v>
      </c>
      <c r="E14" s="144">
        <v>-32.043999999999997</v>
      </c>
      <c r="F14" s="144">
        <v>-116.81100000000001</v>
      </c>
      <c r="G14" s="144">
        <v>-76.706000000000003</v>
      </c>
      <c r="H14" s="144">
        <v>-59.725000000000001</v>
      </c>
      <c r="I14" s="144">
        <v>-87.718000000000004</v>
      </c>
      <c r="J14" s="144">
        <v>-190.321</v>
      </c>
      <c r="K14" s="144">
        <v>-193.85400000000001</v>
      </c>
      <c r="L14" s="144">
        <v>-172.03899999999999</v>
      </c>
      <c r="M14" s="144">
        <v>-458</v>
      </c>
      <c r="N14" s="144">
        <v>-632.43799999999999</v>
      </c>
      <c r="O14" s="144">
        <v>-514.62400000000002</v>
      </c>
      <c r="P14" s="144">
        <v>-296</v>
      </c>
      <c r="Q14" s="144">
        <v>-686</v>
      </c>
      <c r="R14" s="144">
        <v>-1449.345</v>
      </c>
      <c r="S14" s="144">
        <v>-1263.009</v>
      </c>
      <c r="T14" s="144">
        <v>-1126</v>
      </c>
      <c r="U14" s="144">
        <v>-1177</v>
      </c>
      <c r="V14" s="144">
        <v>-849</v>
      </c>
      <c r="W14" s="144">
        <v>-886.06299999999999</v>
      </c>
      <c r="X14" s="144">
        <v>-1028</v>
      </c>
      <c r="Y14" s="144">
        <v>-937</v>
      </c>
      <c r="Z14" s="144">
        <v>-1350.229</v>
      </c>
      <c r="AA14" s="144">
        <v>-1072.8920000000001</v>
      </c>
      <c r="AB14" s="144">
        <v>-1580.2940000000001</v>
      </c>
      <c r="AC14" s="144">
        <v>-1284</v>
      </c>
      <c r="AD14" s="144">
        <v>-1142</v>
      </c>
      <c r="AE14" s="144">
        <v>-653</v>
      </c>
      <c r="AF14" s="557">
        <v>-580</v>
      </c>
      <c r="AG14" s="192"/>
      <c r="AH14" s="192"/>
      <c r="AI14" s="192"/>
      <c r="AL14" s="44"/>
      <c r="AM14" s="44"/>
      <c r="AN14" s="44"/>
      <c r="AO14" s="44"/>
      <c r="AP14" s="44"/>
      <c r="AQ14" s="44"/>
    </row>
    <row r="15" spans="2:43" ht="14.25" customHeight="1" thickBot="1">
      <c r="B15" s="96" t="s">
        <v>124</v>
      </c>
      <c r="C15" s="144">
        <v>-21.651</v>
      </c>
      <c r="D15" s="144">
        <v>153.012</v>
      </c>
      <c r="E15" s="144">
        <v>101.964</v>
      </c>
      <c r="F15" s="144">
        <v>-110.52600000000001</v>
      </c>
      <c r="G15" s="144">
        <v>-79.686000000000007</v>
      </c>
      <c r="H15" s="144">
        <v>-78.290512183516725</v>
      </c>
      <c r="I15" s="144">
        <v>-28.971102527477704</v>
      </c>
      <c r="J15" s="144">
        <v>-23.435157180000001</v>
      </c>
      <c r="K15" s="144">
        <v>110.42942256464863</v>
      </c>
      <c r="L15" s="144">
        <v>236.49829787719776</v>
      </c>
      <c r="M15" s="144">
        <v>430.98965287222745</v>
      </c>
      <c r="N15" s="144">
        <v>324.12699999999995</v>
      </c>
      <c r="O15" s="144">
        <v>667.84299999999996</v>
      </c>
      <c r="P15" s="144">
        <v>365</v>
      </c>
      <c r="Q15" s="144">
        <v>591</v>
      </c>
      <c r="R15" s="144">
        <v>301.15500000000003</v>
      </c>
      <c r="S15" s="144">
        <v>-33.256</v>
      </c>
      <c r="T15" s="144">
        <v>-78.242999999999995</v>
      </c>
      <c r="U15" s="144">
        <v>-94</v>
      </c>
      <c r="V15" s="144">
        <v>-104</v>
      </c>
      <c r="W15" s="144">
        <v>-146</v>
      </c>
      <c r="X15" s="144">
        <v>-321</v>
      </c>
      <c r="Y15" s="144">
        <v>-160</v>
      </c>
      <c r="Z15" s="144">
        <v>-303</v>
      </c>
      <c r="AA15" s="144">
        <v>-183.453</v>
      </c>
      <c r="AB15" s="144">
        <v>172</v>
      </c>
      <c r="AC15" s="144">
        <v>216</v>
      </c>
      <c r="AD15" s="144">
        <v>627</v>
      </c>
      <c r="AE15" s="144">
        <v>389</v>
      </c>
      <c r="AF15" s="557">
        <v>219</v>
      </c>
      <c r="AG15" s="192"/>
      <c r="AH15" s="192"/>
      <c r="AL15" s="44"/>
      <c r="AM15" s="44"/>
      <c r="AN15" s="44"/>
      <c r="AO15" s="44"/>
      <c r="AP15" s="44"/>
      <c r="AQ15" s="44"/>
    </row>
    <row r="16" spans="2:43" ht="14.25" customHeight="1" thickBot="1">
      <c r="B16" s="96" t="s">
        <v>125</v>
      </c>
      <c r="C16" s="144">
        <v>0</v>
      </c>
      <c r="D16" s="144">
        <v>0</v>
      </c>
      <c r="E16" s="144">
        <v>0</v>
      </c>
      <c r="F16" s="144">
        <v>0</v>
      </c>
      <c r="G16" s="144">
        <v>25.639000000000003</v>
      </c>
      <c r="H16" s="144">
        <v>20.811999999999998</v>
      </c>
      <c r="I16" s="144">
        <v>15.691000000000001</v>
      </c>
      <c r="J16" s="144">
        <v>15.782999999999999</v>
      </c>
      <c r="K16" s="144">
        <v>13.385999999999999</v>
      </c>
      <c r="L16" s="144">
        <v>10.949000000000002</v>
      </c>
      <c r="M16" s="144">
        <v>12.685</v>
      </c>
      <c r="N16" s="144">
        <v>15.914999999999999</v>
      </c>
      <c r="O16" s="144">
        <v>20.756</v>
      </c>
      <c r="P16" s="144">
        <v>44</v>
      </c>
      <c r="Q16" s="144">
        <v>47</v>
      </c>
      <c r="R16" s="144">
        <v>44.689</v>
      </c>
      <c r="S16" s="144">
        <v>41.478999999999999</v>
      </c>
      <c r="T16" s="144">
        <v>41.111000000000004</v>
      </c>
      <c r="U16" s="144">
        <v>31</v>
      </c>
      <c r="V16" s="144">
        <v>31</v>
      </c>
      <c r="W16" s="144">
        <v>24.746000000000002</v>
      </c>
      <c r="X16" s="144">
        <v>25</v>
      </c>
      <c r="Y16" s="144">
        <v>34</v>
      </c>
      <c r="Z16" s="144">
        <v>48.472999999999999</v>
      </c>
      <c r="AA16" s="144">
        <v>41.201999999999998</v>
      </c>
      <c r="AB16" s="144">
        <v>40.137</v>
      </c>
      <c r="AC16" s="144">
        <v>59</v>
      </c>
      <c r="AD16" s="144">
        <v>184</v>
      </c>
      <c r="AE16" s="144">
        <v>181</v>
      </c>
      <c r="AF16" s="557">
        <v>178</v>
      </c>
      <c r="AG16" s="192"/>
      <c r="AL16" s="44"/>
      <c r="AM16" s="44"/>
      <c r="AN16" s="44"/>
      <c r="AO16" s="44"/>
      <c r="AP16" s="44"/>
      <c r="AQ16" s="44"/>
    </row>
    <row r="17" spans="2:43" ht="14.25" customHeight="1" thickBot="1">
      <c r="B17" s="96" t="s">
        <v>126</v>
      </c>
      <c r="C17" s="144">
        <v>-913.71999999999991</v>
      </c>
      <c r="D17" s="144">
        <v>-780.226</v>
      </c>
      <c r="E17" s="144">
        <v>-553.904</v>
      </c>
      <c r="F17" s="144">
        <v>-455.55200000000002</v>
      </c>
      <c r="G17" s="144">
        <v>-502.06</v>
      </c>
      <c r="H17" s="144">
        <v>-583.07800000000009</v>
      </c>
      <c r="I17" s="144">
        <v>-633.846</v>
      </c>
      <c r="J17" s="144">
        <v>-418.43900000000002</v>
      </c>
      <c r="K17" s="144">
        <v>-411.29300000000001</v>
      </c>
      <c r="L17" s="144">
        <v>-374.26800000000003</v>
      </c>
      <c r="M17" s="144">
        <v>-548.58799999999997</v>
      </c>
      <c r="N17" s="144">
        <v>-617</v>
      </c>
      <c r="O17" s="144">
        <v>-339.04</v>
      </c>
      <c r="P17" s="144">
        <v>-424</v>
      </c>
      <c r="Q17" s="144">
        <v>-693.06399999999996</v>
      </c>
      <c r="R17" s="144">
        <v>-337.41400000000004</v>
      </c>
      <c r="S17" s="144">
        <v>-321.87600000000003</v>
      </c>
      <c r="T17" s="144">
        <v>-356</v>
      </c>
      <c r="U17" s="144">
        <v>-457</v>
      </c>
      <c r="V17" s="144">
        <v>-340</v>
      </c>
      <c r="W17" s="144">
        <v>-410.37099999999998</v>
      </c>
      <c r="X17" s="144">
        <v>-344</v>
      </c>
      <c r="Y17" s="144">
        <v>-390</v>
      </c>
      <c r="Z17" s="144">
        <v>-379.04199999999997</v>
      </c>
      <c r="AA17" s="144">
        <v>-365.952</v>
      </c>
      <c r="AB17" s="144">
        <v>-383.52800000000002</v>
      </c>
      <c r="AC17" s="144">
        <v>-380</v>
      </c>
      <c r="AD17" s="144">
        <v>-385</v>
      </c>
      <c r="AE17" s="144">
        <v>-205</v>
      </c>
      <c r="AF17" s="557">
        <v>-93</v>
      </c>
      <c r="AG17" s="192"/>
      <c r="AL17" s="44"/>
      <c r="AM17" s="44"/>
      <c r="AN17" s="44"/>
      <c r="AO17" s="44"/>
      <c r="AP17" s="44"/>
      <c r="AQ17" s="44"/>
    </row>
    <row r="18" spans="2:43" ht="14.25" customHeight="1">
      <c r="B18" s="95"/>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556"/>
      <c r="AL18" s="44"/>
      <c r="AM18" s="44"/>
      <c r="AN18" s="44"/>
      <c r="AO18" s="44"/>
      <c r="AP18" s="44"/>
      <c r="AQ18" s="44"/>
    </row>
    <row r="19" spans="2:43" ht="14.25" customHeight="1" thickBot="1">
      <c r="B19" s="93" t="s">
        <v>127</v>
      </c>
      <c r="C19" s="145">
        <v>1828.6670000000004</v>
      </c>
      <c r="D19" s="145">
        <v>1487.7870000000003</v>
      </c>
      <c r="E19" s="145">
        <v>1671.7600000000002</v>
      </c>
      <c r="F19" s="145">
        <v>1375.9779999999996</v>
      </c>
      <c r="G19" s="145">
        <v>1432.3490000000004</v>
      </c>
      <c r="H19" s="145">
        <v>1377.2015082344665</v>
      </c>
      <c r="I19" s="145">
        <v>1540.3046226892134</v>
      </c>
      <c r="J19" s="145">
        <v>1564.0917080535078</v>
      </c>
      <c r="K19" s="145">
        <v>2499.9177448725359</v>
      </c>
      <c r="L19" s="145">
        <v>2811.5276442901554</v>
      </c>
      <c r="M19" s="145">
        <v>2829.5046540559833</v>
      </c>
      <c r="N19" s="145">
        <v>2037.1089999999999</v>
      </c>
      <c r="O19" s="145">
        <v>3041.2439999999997</v>
      </c>
      <c r="P19" s="145">
        <v>2500</v>
      </c>
      <c r="Q19" s="145">
        <v>2291.9360000000001</v>
      </c>
      <c r="R19" s="145">
        <v>1665.1499999999996</v>
      </c>
      <c r="S19" s="145">
        <v>1153.0539999999999</v>
      </c>
      <c r="T19" s="145">
        <v>1358.7070000000001</v>
      </c>
      <c r="U19" s="145">
        <v>1346</v>
      </c>
      <c r="V19" s="145">
        <v>1707</v>
      </c>
      <c r="W19" s="145">
        <f>SUM(W12:W17)</f>
        <v>2217.518</v>
      </c>
      <c r="X19" s="145">
        <f>SUM(X12:X17)</f>
        <v>2296</v>
      </c>
      <c r="Y19" s="145">
        <f t="shared" ref="Y19:AC19" si="2">SUM(Y12:Y17)</f>
        <v>2983</v>
      </c>
      <c r="Z19" s="145">
        <f t="shared" si="2"/>
        <v>2360.694</v>
      </c>
      <c r="AA19" s="145">
        <f t="shared" si="2"/>
        <v>2908.0970000000007</v>
      </c>
      <c r="AB19" s="145">
        <f t="shared" si="2"/>
        <v>3580.8180000000011</v>
      </c>
      <c r="AC19" s="145">
        <f t="shared" si="2"/>
        <v>3395</v>
      </c>
      <c r="AD19" s="145">
        <f>SUM(AD12:AD17)</f>
        <v>3913</v>
      </c>
      <c r="AE19" s="145">
        <f>SUM(AE12:AE17)</f>
        <v>3574</v>
      </c>
      <c r="AF19" s="555">
        <f>SUM(AF12:AF17)</f>
        <v>3475</v>
      </c>
      <c r="AG19" s="455"/>
      <c r="AL19" s="44"/>
      <c r="AM19" s="44"/>
      <c r="AN19" s="44"/>
      <c r="AO19" s="44"/>
      <c r="AP19" s="44"/>
      <c r="AQ19" s="44"/>
    </row>
    <row r="20" spans="2:43" ht="14.25" customHeight="1" thickBot="1">
      <c r="B20" s="97"/>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558"/>
      <c r="AL20" s="44"/>
      <c r="AM20" s="44"/>
      <c r="AN20" s="44"/>
      <c r="AO20" s="44"/>
      <c r="AP20" s="44"/>
      <c r="AQ20" s="44"/>
    </row>
    <row r="21" spans="2:43" ht="14.5" thickBot="1">
      <c r="B21" s="98" t="s">
        <v>128</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L21" s="44"/>
      <c r="AM21" s="44"/>
      <c r="AN21" s="44"/>
      <c r="AO21" s="44"/>
      <c r="AP21" s="44"/>
      <c r="AQ21" s="44"/>
    </row>
    <row r="22" spans="2:43" ht="14">
      <c r="B22" s="99" t="s">
        <v>129</v>
      </c>
      <c r="C22" s="148">
        <v>633.30700000000002</v>
      </c>
      <c r="D22" s="148">
        <v>614.63499999999999</v>
      </c>
      <c r="E22" s="148">
        <v>533.12400000000002</v>
      </c>
      <c r="F22" s="148">
        <v>514.22900000000004</v>
      </c>
      <c r="G22" s="148">
        <v>492.87799999999999</v>
      </c>
      <c r="H22" s="148">
        <v>474.45499999999993</v>
      </c>
      <c r="I22" s="148">
        <v>510.20900000000006</v>
      </c>
      <c r="J22" s="148">
        <v>491.90600000000001</v>
      </c>
      <c r="K22" s="148">
        <v>472.46100000000001</v>
      </c>
      <c r="L22" s="148">
        <v>495.80500000000006</v>
      </c>
      <c r="M22" s="148">
        <v>404.88100000000009</v>
      </c>
      <c r="N22" s="148">
        <v>219.61799999999999</v>
      </c>
      <c r="O22" s="148">
        <v>213.91900000000001</v>
      </c>
      <c r="P22" s="148">
        <v>209</v>
      </c>
      <c r="Q22" s="148">
        <v>175</v>
      </c>
      <c r="R22" s="148">
        <v>480</v>
      </c>
      <c r="S22" s="148">
        <v>482</v>
      </c>
      <c r="T22" s="148">
        <v>470.113</v>
      </c>
      <c r="U22" s="148">
        <v>441</v>
      </c>
      <c r="V22" s="148">
        <v>465</v>
      </c>
      <c r="W22" s="148">
        <v>508.92884000000009</v>
      </c>
      <c r="X22" s="148">
        <v>991</v>
      </c>
      <c r="Y22" s="148">
        <v>1064.6399999999999</v>
      </c>
      <c r="Z22" s="148">
        <v>999.23316000000011</v>
      </c>
      <c r="AA22" s="148">
        <v>897.83840000000021</v>
      </c>
      <c r="AB22" s="148">
        <v>906.52551000000017</v>
      </c>
      <c r="AC22" s="148">
        <v>908.96</v>
      </c>
      <c r="AD22" s="148">
        <v>1431</v>
      </c>
      <c r="AE22" s="148">
        <v>1435.694</v>
      </c>
      <c r="AF22" s="559">
        <v>1399.2421076926075</v>
      </c>
      <c r="AG22" s="192"/>
      <c r="AL22" s="44"/>
      <c r="AM22" s="44"/>
      <c r="AN22" s="44"/>
      <c r="AO22" s="44"/>
      <c r="AP22" s="44"/>
      <c r="AQ22" s="44"/>
    </row>
    <row r="23" spans="2:43" ht="14.25" customHeight="1" thickBot="1">
      <c r="B23" s="100" t="s">
        <v>130</v>
      </c>
      <c r="C23" s="149">
        <f t="shared" ref="C23:V23" si="3">C12-C22</f>
        <v>2177.2690000000002</v>
      </c>
      <c r="D23" s="149">
        <f t="shared" si="3"/>
        <v>1548.519</v>
      </c>
      <c r="E23" s="149">
        <f t="shared" si="3"/>
        <v>1622.6200000000001</v>
      </c>
      <c r="F23" s="149">
        <f t="shared" si="3"/>
        <v>1544.6379999999997</v>
      </c>
      <c r="G23" s="149">
        <f t="shared" si="3"/>
        <v>1572.2840000000003</v>
      </c>
      <c r="H23" s="149">
        <f t="shared" si="3"/>
        <v>1603.0280204179835</v>
      </c>
      <c r="I23" s="149">
        <f t="shared" si="3"/>
        <v>1764.9397252166912</v>
      </c>
      <c r="J23" s="149">
        <f t="shared" si="3"/>
        <v>1688.5978652335079</v>
      </c>
      <c r="K23" s="149">
        <f t="shared" si="3"/>
        <v>2508.788322307887</v>
      </c>
      <c r="L23" s="149">
        <f t="shared" si="3"/>
        <v>2614.5823464129571</v>
      </c>
      <c r="M23" s="149">
        <f t="shared" si="3"/>
        <v>2987.5370011837558</v>
      </c>
      <c r="N23" s="149">
        <f t="shared" si="3"/>
        <v>2726.8870000000002</v>
      </c>
      <c r="O23" s="149">
        <f t="shared" si="3"/>
        <v>2992.3260000000005</v>
      </c>
      <c r="P23" s="149">
        <f t="shared" si="3"/>
        <v>2603</v>
      </c>
      <c r="Q23" s="149">
        <f t="shared" si="3"/>
        <v>2858</v>
      </c>
      <c r="R23" s="149">
        <f t="shared" si="3"/>
        <v>2626.0649999999996</v>
      </c>
      <c r="S23" s="149">
        <f t="shared" si="3"/>
        <v>2247.7159999999999</v>
      </c>
      <c r="T23" s="149">
        <f t="shared" si="3"/>
        <v>2407.7260000000001</v>
      </c>
      <c r="U23" s="149">
        <f t="shared" si="3"/>
        <v>2602</v>
      </c>
      <c r="V23" s="149">
        <f t="shared" si="3"/>
        <v>2504</v>
      </c>
      <c r="W23" s="149">
        <f t="shared" ref="W23:AC23" si="4">W12-W22</f>
        <v>3126.2771600000001</v>
      </c>
      <c r="X23" s="149">
        <f t="shared" si="4"/>
        <v>2973</v>
      </c>
      <c r="Y23" s="149">
        <f t="shared" si="4"/>
        <v>3371.36</v>
      </c>
      <c r="Z23" s="149">
        <f t="shared" si="4"/>
        <v>3345.25884</v>
      </c>
      <c r="AA23" s="149">
        <f t="shared" si="4"/>
        <v>3591.3536000000008</v>
      </c>
      <c r="AB23" s="149">
        <f t="shared" si="4"/>
        <v>4425.9774900000002</v>
      </c>
      <c r="AC23" s="149">
        <f t="shared" si="4"/>
        <v>3875.04</v>
      </c>
      <c r="AD23" s="149">
        <f>AD12-AD22</f>
        <v>3198</v>
      </c>
      <c r="AE23" s="149">
        <f>AE12-AE22</f>
        <v>2426.306</v>
      </c>
      <c r="AF23" s="565">
        <f>AF12-AF22</f>
        <v>2351.7578923073925</v>
      </c>
      <c r="AG23" s="192"/>
      <c r="AL23" s="44"/>
      <c r="AM23" s="44"/>
      <c r="AN23" s="44"/>
      <c r="AO23" s="44"/>
      <c r="AP23" s="44"/>
      <c r="AQ23" s="44"/>
    </row>
    <row r="24" spans="2:43" ht="14">
      <c r="B24" s="57"/>
      <c r="C24" s="150"/>
      <c r="D24" s="150"/>
      <c r="E24" s="150"/>
      <c r="F24" s="150"/>
      <c r="G24" s="94"/>
      <c r="H24" s="151"/>
      <c r="I24" s="151"/>
      <c r="J24" s="150"/>
      <c r="K24" s="150"/>
      <c r="L24" s="150"/>
      <c r="M24" s="150"/>
      <c r="N24" s="150"/>
      <c r="O24" s="150"/>
      <c r="P24" s="182"/>
      <c r="Q24" s="150"/>
      <c r="R24" s="150"/>
      <c r="S24" s="150"/>
      <c r="T24" s="150"/>
      <c r="U24" s="150"/>
      <c r="V24" s="150"/>
      <c r="W24" s="182"/>
      <c r="X24" s="182"/>
      <c r="Y24" s="182"/>
      <c r="Z24" s="182"/>
      <c r="AA24" s="182"/>
      <c r="AB24" s="182"/>
      <c r="AC24" s="182"/>
      <c r="AD24" s="182"/>
      <c r="AE24" s="182"/>
      <c r="AF24" s="182"/>
    </row>
    <row r="25" spans="2:43" ht="14.5" thickBot="1">
      <c r="B25" s="101" t="s">
        <v>131</v>
      </c>
      <c r="C25" s="93"/>
      <c r="D25" s="93"/>
      <c r="E25" s="93"/>
      <c r="F25" s="93"/>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43" ht="14.25" customHeight="1">
      <c r="B26" s="102">
        <v>2018</v>
      </c>
      <c r="C26" s="153">
        <v>214.917</v>
      </c>
      <c r="D26" s="153">
        <v>143.67599999999999</v>
      </c>
      <c r="E26" s="153">
        <v>52.478999999999999</v>
      </c>
      <c r="F26" s="153">
        <v>0</v>
      </c>
      <c r="G26" s="153">
        <v>0</v>
      </c>
      <c r="H26" s="153">
        <v>0</v>
      </c>
      <c r="I26" s="153">
        <v>0</v>
      </c>
      <c r="J26" s="153">
        <v>0</v>
      </c>
      <c r="K26" s="153">
        <v>0</v>
      </c>
      <c r="L26" s="153">
        <v>0</v>
      </c>
      <c r="M26" s="153">
        <v>0</v>
      </c>
      <c r="N26" s="153">
        <v>0</v>
      </c>
      <c r="O26" s="153">
        <v>0</v>
      </c>
      <c r="P26" s="153">
        <v>0</v>
      </c>
      <c r="Q26" s="153">
        <v>0</v>
      </c>
      <c r="R26" s="153">
        <v>0</v>
      </c>
      <c r="S26" s="153">
        <v>0</v>
      </c>
      <c r="T26" s="153">
        <v>0</v>
      </c>
      <c r="U26" s="153">
        <v>0</v>
      </c>
      <c r="V26" s="153">
        <v>0</v>
      </c>
      <c r="W26" s="153">
        <v>0</v>
      </c>
      <c r="X26" s="153">
        <v>0</v>
      </c>
      <c r="Y26" s="153">
        <v>0</v>
      </c>
      <c r="Z26" s="153">
        <v>0</v>
      </c>
      <c r="AA26" s="153">
        <v>0</v>
      </c>
      <c r="AB26" s="153">
        <v>0</v>
      </c>
      <c r="AC26" s="153">
        <v>0</v>
      </c>
      <c r="AD26" s="153">
        <v>0</v>
      </c>
      <c r="AE26" s="153">
        <v>0</v>
      </c>
      <c r="AF26" s="560">
        <v>0</v>
      </c>
      <c r="AH26" s="192"/>
    </row>
    <row r="27" spans="2:43" ht="14.25" customHeight="1">
      <c r="B27" s="102">
        <v>2019</v>
      </c>
      <c r="C27" s="153">
        <v>125.113</v>
      </c>
      <c r="D27" s="153">
        <v>128.36699999999999</v>
      </c>
      <c r="E27" s="153">
        <v>136.99199999999999</v>
      </c>
      <c r="F27" s="153">
        <v>118.095</v>
      </c>
      <c r="G27" s="153">
        <v>114.61779442034361</v>
      </c>
      <c r="H27" s="153">
        <v>86.747</v>
      </c>
      <c r="I27" s="153">
        <v>61.167051490514908</v>
      </c>
      <c r="J27" s="153">
        <v>0</v>
      </c>
      <c r="K27" s="153">
        <v>0</v>
      </c>
      <c r="L27" s="153">
        <v>0</v>
      </c>
      <c r="M27" s="153">
        <v>0</v>
      </c>
      <c r="N27" s="153">
        <v>0</v>
      </c>
      <c r="O27" s="153">
        <v>0</v>
      </c>
      <c r="P27" s="153">
        <v>0</v>
      </c>
      <c r="Q27" s="153">
        <v>0</v>
      </c>
      <c r="R27" s="153">
        <v>0</v>
      </c>
      <c r="S27" s="153">
        <v>0</v>
      </c>
      <c r="T27" s="153">
        <v>0</v>
      </c>
      <c r="U27" s="153">
        <v>0</v>
      </c>
      <c r="V27" s="153">
        <v>0</v>
      </c>
      <c r="W27" s="153">
        <v>0</v>
      </c>
      <c r="X27" s="153">
        <v>0</v>
      </c>
      <c r="Y27" s="153">
        <v>0</v>
      </c>
      <c r="Z27" s="153">
        <v>0</v>
      </c>
      <c r="AA27" s="153">
        <v>0</v>
      </c>
      <c r="AB27" s="153">
        <v>0</v>
      </c>
      <c r="AC27" s="153">
        <v>0</v>
      </c>
      <c r="AD27" s="153">
        <v>0</v>
      </c>
      <c r="AE27" s="153">
        <v>0</v>
      </c>
      <c r="AF27" s="560">
        <v>0</v>
      </c>
    </row>
    <row r="28" spans="2:43" ht="14.25" customHeight="1">
      <c r="B28" s="102">
        <v>2020</v>
      </c>
      <c r="C28" s="153">
        <v>106.904</v>
      </c>
      <c r="D28" s="153">
        <v>109.70399999999999</v>
      </c>
      <c r="E28" s="153">
        <v>117.858</v>
      </c>
      <c r="F28" s="153">
        <v>112.489</v>
      </c>
      <c r="G28" s="153">
        <v>112.79650540505985</v>
      </c>
      <c r="H28" s="153">
        <v>112.901</v>
      </c>
      <c r="I28" s="153">
        <v>113.215</v>
      </c>
      <c r="J28" s="153">
        <v>126.48399999999999</v>
      </c>
      <c r="K28" s="153">
        <v>135.39058413639734</v>
      </c>
      <c r="L28" s="153">
        <v>66.585091650508829</v>
      </c>
      <c r="M28" s="153">
        <v>50.231518297236747</v>
      </c>
      <c r="N28" s="153">
        <v>0</v>
      </c>
      <c r="O28" s="153">
        <v>0</v>
      </c>
      <c r="P28" s="153">
        <v>0</v>
      </c>
      <c r="Q28" s="153">
        <v>0</v>
      </c>
      <c r="R28" s="153">
        <v>0</v>
      </c>
      <c r="S28" s="153">
        <v>0</v>
      </c>
      <c r="T28" s="153">
        <v>0</v>
      </c>
      <c r="U28" s="153">
        <v>0</v>
      </c>
      <c r="V28" s="153">
        <v>0</v>
      </c>
      <c r="W28" s="153">
        <v>0</v>
      </c>
      <c r="X28" s="153">
        <v>0</v>
      </c>
      <c r="Y28" s="153">
        <v>0</v>
      </c>
      <c r="Z28" s="153">
        <v>0</v>
      </c>
      <c r="AA28" s="153">
        <v>0</v>
      </c>
      <c r="AB28" s="153">
        <v>0</v>
      </c>
      <c r="AC28" s="153">
        <v>0</v>
      </c>
      <c r="AD28" s="153">
        <v>0</v>
      </c>
      <c r="AE28" s="153">
        <v>0</v>
      </c>
      <c r="AF28" s="560">
        <v>0</v>
      </c>
    </row>
    <row r="29" spans="2:43" ht="14.25" customHeight="1">
      <c r="B29" s="103">
        <v>2021</v>
      </c>
      <c r="C29" s="143">
        <v>893.37300000000005</v>
      </c>
      <c r="D29" s="143">
        <v>98.006</v>
      </c>
      <c r="E29" s="143">
        <v>105.518</v>
      </c>
      <c r="F29" s="143">
        <v>109.76</v>
      </c>
      <c r="G29" s="143">
        <v>110.05271779526474</v>
      </c>
      <c r="H29" s="143">
        <v>110.14</v>
      </c>
      <c r="I29" s="143">
        <v>116.337</v>
      </c>
      <c r="J29" s="143">
        <v>117.325</v>
      </c>
      <c r="K29" s="143">
        <v>118.68951890289104</v>
      </c>
      <c r="L29" s="143">
        <v>139.43615139158186</v>
      </c>
      <c r="M29" s="143">
        <v>113.85479014189693</v>
      </c>
      <c r="N29" s="143">
        <v>63.84</v>
      </c>
      <c r="O29" s="143">
        <v>86.688999999999993</v>
      </c>
      <c r="P29" s="143">
        <v>55</v>
      </c>
      <c r="Q29" s="143">
        <v>47</v>
      </c>
      <c r="R29" s="143">
        <v>0</v>
      </c>
      <c r="S29" s="143">
        <v>0</v>
      </c>
      <c r="T29" s="143">
        <v>0</v>
      </c>
      <c r="U29" s="143">
        <v>0</v>
      </c>
      <c r="V29" s="143">
        <v>0</v>
      </c>
      <c r="W29" s="143">
        <v>0</v>
      </c>
      <c r="X29" s="143">
        <v>0</v>
      </c>
      <c r="Y29" s="143">
        <v>0</v>
      </c>
      <c r="Z29" s="143">
        <v>0</v>
      </c>
      <c r="AA29" s="143">
        <v>0</v>
      </c>
      <c r="AB29" s="143">
        <v>0</v>
      </c>
      <c r="AC29" s="143">
        <v>0</v>
      </c>
      <c r="AD29" s="143">
        <v>0</v>
      </c>
      <c r="AE29" s="143">
        <v>0</v>
      </c>
      <c r="AF29" s="556">
        <v>0</v>
      </c>
    </row>
    <row r="30" spans="2:43" ht="14.25" customHeight="1">
      <c r="B30" s="102">
        <v>2022</v>
      </c>
      <c r="C30" s="153">
        <v>66.046999999999997</v>
      </c>
      <c r="D30" s="153">
        <v>66.283000000000001</v>
      </c>
      <c r="E30" s="153">
        <v>66.453000000000003</v>
      </c>
      <c r="F30" s="153">
        <v>70.388000000000005</v>
      </c>
      <c r="G30" s="153">
        <v>70.48438918115987</v>
      </c>
      <c r="H30" s="153">
        <v>70.361999999999995</v>
      </c>
      <c r="I30" s="153">
        <v>76.915999999999997</v>
      </c>
      <c r="J30" s="153">
        <v>76.816000000000003</v>
      </c>
      <c r="K30" s="153">
        <v>76.401518902891027</v>
      </c>
      <c r="L30" s="153">
        <v>83.625151391581866</v>
      </c>
      <c r="M30" s="153">
        <v>72.250790141896928</v>
      </c>
      <c r="N30" s="153">
        <v>42.707000000000001</v>
      </c>
      <c r="O30" s="153">
        <v>42.728000000000002</v>
      </c>
      <c r="P30" s="153">
        <v>42</v>
      </c>
      <c r="Q30" s="153">
        <v>43</v>
      </c>
      <c r="R30" s="153">
        <v>69</v>
      </c>
      <c r="S30" s="153">
        <v>88</v>
      </c>
      <c r="T30" s="153">
        <v>59.398000000000003</v>
      </c>
      <c r="U30" s="153">
        <v>47</v>
      </c>
      <c r="V30" s="153">
        <v>0</v>
      </c>
      <c r="W30" s="153">
        <v>0</v>
      </c>
      <c r="X30" s="153">
        <v>0</v>
      </c>
      <c r="Y30" s="153">
        <v>0</v>
      </c>
      <c r="Z30" s="153">
        <v>0</v>
      </c>
      <c r="AA30" s="153">
        <v>0</v>
      </c>
      <c r="AB30" s="153">
        <v>0</v>
      </c>
      <c r="AC30" s="153">
        <v>0</v>
      </c>
      <c r="AD30" s="153">
        <v>0</v>
      </c>
      <c r="AE30" s="153">
        <v>0</v>
      </c>
      <c r="AF30" s="560">
        <v>0</v>
      </c>
    </row>
    <row r="31" spans="2:43" ht="14.25" customHeight="1">
      <c r="B31" s="104">
        <v>2023</v>
      </c>
      <c r="C31" s="143">
        <v>23.108000000000001</v>
      </c>
      <c r="D31" s="143">
        <v>23.132999999999999</v>
      </c>
      <c r="E31" s="143">
        <v>23.157</v>
      </c>
      <c r="F31" s="143">
        <v>27.06</v>
      </c>
      <c r="G31" s="143">
        <v>27.127402451275177</v>
      </c>
      <c r="H31" s="143">
        <v>26.995000000000001</v>
      </c>
      <c r="I31" s="143">
        <v>33.548000000000002</v>
      </c>
      <c r="J31" s="143">
        <v>33.548000000000002</v>
      </c>
      <c r="K31" s="143">
        <v>98.008573758339509</v>
      </c>
      <c r="L31" s="143">
        <v>105.60658181248876</v>
      </c>
      <c r="M31" s="143">
        <v>99.94528304705004</v>
      </c>
      <c r="N31" s="143">
        <v>78.501000000000005</v>
      </c>
      <c r="O31" s="143">
        <v>88.165999999999997</v>
      </c>
      <c r="P31" s="143">
        <v>69</v>
      </c>
      <c r="Q31" s="143">
        <v>74</v>
      </c>
      <c r="R31" s="143">
        <v>82</v>
      </c>
      <c r="S31" s="143">
        <v>72</v>
      </c>
      <c r="T31" s="143">
        <v>78.141000000000005</v>
      </c>
      <c r="U31" s="143">
        <v>84</v>
      </c>
      <c r="V31" s="143">
        <v>108</v>
      </c>
      <c r="W31" s="143">
        <v>119.77200000000001</v>
      </c>
      <c r="X31" s="143">
        <v>100</v>
      </c>
      <c r="Y31" s="143">
        <v>65</v>
      </c>
      <c r="Z31" s="143">
        <v>0</v>
      </c>
      <c r="AA31" s="143">
        <v>0</v>
      </c>
      <c r="AB31" s="143">
        <v>0</v>
      </c>
      <c r="AC31" s="143">
        <v>0</v>
      </c>
      <c r="AD31" s="143">
        <v>0</v>
      </c>
      <c r="AE31" s="143">
        <v>0</v>
      </c>
      <c r="AF31" s="556">
        <v>0</v>
      </c>
      <c r="AG31" s="462"/>
    </row>
    <row r="32" spans="2:43" ht="14">
      <c r="B32" s="102">
        <v>2024</v>
      </c>
      <c r="C32" s="153">
        <v>1350.5450000000001</v>
      </c>
      <c r="D32" s="153">
        <v>1563.3720000000001</v>
      </c>
      <c r="E32" s="153">
        <v>1622.6320000000001</v>
      </c>
      <c r="F32" s="153">
        <v>1574.896</v>
      </c>
      <c r="G32" s="153">
        <v>1583.7245524304415</v>
      </c>
      <c r="H32" s="153">
        <v>575.98500000000001</v>
      </c>
      <c r="I32" s="153">
        <v>630.34900000000005</v>
      </c>
      <c r="J32" s="153">
        <v>611.10599999999999</v>
      </c>
      <c r="K32" s="153">
        <v>778.69251890289104</v>
      </c>
      <c r="L32" s="153">
        <v>822.57915139158183</v>
      </c>
      <c r="M32" s="153">
        <v>1102.468790141897</v>
      </c>
      <c r="N32" s="153">
        <v>1000.747</v>
      </c>
      <c r="O32" s="153">
        <v>1070.9949999999999</v>
      </c>
      <c r="P32" s="153">
        <v>942</v>
      </c>
      <c r="Q32" s="153">
        <v>1023</v>
      </c>
      <c r="R32" s="153">
        <v>776</v>
      </c>
      <c r="S32" s="153">
        <v>662</v>
      </c>
      <c r="T32" s="153">
        <v>671.92399999999998</v>
      </c>
      <c r="U32" s="153">
        <v>269</v>
      </c>
      <c r="V32" s="153">
        <v>260</v>
      </c>
      <c r="W32" s="153">
        <v>256.56799999999998</v>
      </c>
      <c r="X32" s="153">
        <v>250</v>
      </c>
      <c r="Y32" s="153">
        <v>53</v>
      </c>
      <c r="Z32" s="153">
        <v>103</v>
      </c>
      <c r="AA32" s="153">
        <v>265</v>
      </c>
      <c r="AB32" s="153">
        <v>246</v>
      </c>
      <c r="AC32" s="153">
        <v>215</v>
      </c>
      <c r="AD32" s="153">
        <v>0</v>
      </c>
      <c r="AE32" s="153">
        <v>0</v>
      </c>
      <c r="AF32" s="560">
        <v>0</v>
      </c>
    </row>
    <row r="33" spans="2:32" ht="14.25" customHeight="1">
      <c r="B33" s="104">
        <v>2025</v>
      </c>
      <c r="C33" s="143">
        <v>17.468</v>
      </c>
      <c r="D33" s="143">
        <v>17.492999999999999</v>
      </c>
      <c r="E33" s="143">
        <v>17.516999999999999</v>
      </c>
      <c r="F33" s="143">
        <v>21.42</v>
      </c>
      <c r="G33" s="143">
        <v>21.487583494617226</v>
      </c>
      <c r="H33" s="143">
        <v>420.40600000000001</v>
      </c>
      <c r="I33" s="143">
        <v>481.68980397470642</v>
      </c>
      <c r="J33" s="143">
        <v>460.959</v>
      </c>
      <c r="K33" s="143">
        <v>590.42031504818385</v>
      </c>
      <c r="L33" s="143">
        <v>625.80744744505387</v>
      </c>
      <c r="M33" s="143">
        <v>645.52986855862582</v>
      </c>
      <c r="N33" s="143">
        <v>583.21900000000005</v>
      </c>
      <c r="O33" s="143">
        <v>638.28499999999997</v>
      </c>
      <c r="P33" s="143">
        <v>562</v>
      </c>
      <c r="Q33" s="143">
        <v>610</v>
      </c>
      <c r="R33" s="143">
        <v>631</v>
      </c>
      <c r="S33" s="143">
        <v>538</v>
      </c>
      <c r="T33" s="143">
        <v>593.68600000000004</v>
      </c>
      <c r="U33" s="143">
        <v>612</v>
      </c>
      <c r="V33" s="143">
        <v>592</v>
      </c>
      <c r="W33" s="143">
        <v>581.81200000000001</v>
      </c>
      <c r="X33" s="143">
        <v>553</v>
      </c>
      <c r="Y33" s="143">
        <v>43</v>
      </c>
      <c r="Z33" s="143">
        <v>44</v>
      </c>
      <c r="AA33" s="143">
        <v>41</v>
      </c>
      <c r="AB33" s="143">
        <v>55</v>
      </c>
      <c r="AC33" s="143">
        <v>70</v>
      </c>
      <c r="AD33" s="143">
        <v>117</v>
      </c>
      <c r="AE33" s="153">
        <v>81.638000000000005</v>
      </c>
      <c r="AF33" s="560">
        <v>78.485932721488638</v>
      </c>
    </row>
    <row r="34" spans="2:32" ht="14">
      <c r="B34" s="102">
        <v>2026</v>
      </c>
      <c r="C34" s="153">
        <v>13.101000000000001</v>
      </c>
      <c r="D34" s="153">
        <v>13.12</v>
      </c>
      <c r="E34" s="153">
        <v>13.138</v>
      </c>
      <c r="F34" s="153">
        <v>17.030999999999999</v>
      </c>
      <c r="G34" s="153">
        <v>17.087569077212919</v>
      </c>
      <c r="H34" s="153">
        <v>450.00400000000002</v>
      </c>
      <c r="I34" s="153">
        <v>477.2868039747064</v>
      </c>
      <c r="J34" s="153">
        <v>456.55599999999998</v>
      </c>
      <c r="K34" s="153">
        <v>586.01731504818383</v>
      </c>
      <c r="L34" s="153">
        <v>620.99144744505384</v>
      </c>
      <c r="M34" s="153">
        <v>641.1268685586258</v>
      </c>
      <c r="N34" s="153">
        <v>583.21900000000005</v>
      </c>
      <c r="O34" s="153">
        <v>638.28499999999997</v>
      </c>
      <c r="P34" s="153">
        <v>562</v>
      </c>
      <c r="Q34" s="153">
        <v>610</v>
      </c>
      <c r="R34" s="153">
        <v>631</v>
      </c>
      <c r="S34" s="153">
        <v>538</v>
      </c>
      <c r="T34" s="153">
        <v>593.68600000000004</v>
      </c>
      <c r="U34" s="153">
        <v>612</v>
      </c>
      <c r="V34" s="153">
        <v>596</v>
      </c>
      <c r="W34" s="153">
        <v>590.58199999999999</v>
      </c>
      <c r="X34" s="153">
        <v>562</v>
      </c>
      <c r="Y34" s="153">
        <v>52</v>
      </c>
      <c r="Z34" s="153">
        <v>56</v>
      </c>
      <c r="AA34" s="153">
        <v>50</v>
      </c>
      <c r="AB34" s="153">
        <v>54</v>
      </c>
      <c r="AC34" s="153">
        <v>54</v>
      </c>
      <c r="AD34" s="153">
        <v>60</v>
      </c>
      <c r="AE34" s="143">
        <v>54.323999999999998</v>
      </c>
      <c r="AF34" s="556">
        <v>52.612972771615276</v>
      </c>
    </row>
    <row r="35" spans="2:32" ht="14">
      <c r="B35" s="102" t="s">
        <v>132</v>
      </c>
      <c r="C35" s="154">
        <v>0</v>
      </c>
      <c r="D35" s="154">
        <v>0</v>
      </c>
      <c r="E35" s="154">
        <v>0</v>
      </c>
      <c r="F35" s="153">
        <v>7.7279999999996107</v>
      </c>
      <c r="G35" s="153">
        <v>7.7750516500000009</v>
      </c>
      <c r="H35" s="153">
        <v>224</v>
      </c>
      <c r="I35" s="153">
        <v>284.46134056007224</v>
      </c>
      <c r="J35" s="153">
        <v>297.7098652335078</v>
      </c>
      <c r="K35" s="153">
        <v>598</v>
      </c>
      <c r="L35" s="153">
        <v>645.75632388510928</v>
      </c>
      <c r="M35" s="153">
        <v>666.61409111277078</v>
      </c>
      <c r="N35" s="153">
        <v>594.27199999999993</v>
      </c>
      <c r="O35" s="153">
        <v>641.09700000000066</v>
      </c>
      <c r="P35" s="153">
        <v>580</v>
      </c>
      <c r="Q35" s="153">
        <v>626</v>
      </c>
      <c r="R35" s="153">
        <v>917</v>
      </c>
      <c r="S35" s="153">
        <v>832</v>
      </c>
      <c r="T35" s="153">
        <v>880.89400000000001</v>
      </c>
      <c r="U35" s="153">
        <v>1419</v>
      </c>
      <c r="V35" s="153">
        <v>1413</v>
      </c>
      <c r="W35" s="153">
        <v>2086</v>
      </c>
      <c r="X35" s="153">
        <v>2499</v>
      </c>
      <c r="Y35" s="153">
        <v>4223</v>
      </c>
      <c r="Z35" s="153">
        <v>4141</v>
      </c>
      <c r="AA35" s="153">
        <v>4133</v>
      </c>
      <c r="AB35" s="153">
        <v>4978</v>
      </c>
      <c r="AC35" s="153">
        <v>4445</v>
      </c>
      <c r="AD35" s="153">
        <v>4335</v>
      </c>
      <c r="AE35" s="153">
        <v>3725.7620000000002</v>
      </c>
      <c r="AF35" s="560">
        <v>3620.120610459669</v>
      </c>
    </row>
    <row r="36" spans="2:32" ht="14">
      <c r="B36" s="105"/>
      <c r="C36" s="155"/>
      <c r="D36" s="155"/>
      <c r="E36" s="155"/>
      <c r="F36" s="156"/>
      <c r="G36" s="155"/>
      <c r="H36" s="155"/>
      <c r="I36" s="155"/>
      <c r="J36" s="156"/>
      <c r="K36" s="155"/>
      <c r="L36" s="155"/>
      <c r="M36" s="155"/>
      <c r="N36" s="156"/>
      <c r="O36" s="156"/>
      <c r="P36" s="156"/>
      <c r="Q36" s="156"/>
      <c r="R36" s="156"/>
      <c r="S36" s="156"/>
      <c r="T36" s="156"/>
      <c r="U36" s="156"/>
      <c r="V36" s="156"/>
      <c r="W36" s="156"/>
      <c r="X36" s="156"/>
      <c r="Y36" s="156"/>
      <c r="Z36" s="156"/>
      <c r="AA36" s="156"/>
      <c r="AB36" s="156"/>
      <c r="AC36" s="156"/>
      <c r="AD36" s="156"/>
      <c r="AE36" s="153"/>
      <c r="AF36" s="560"/>
    </row>
    <row r="37" spans="2:32" ht="28.5" thickBot="1">
      <c r="B37" s="106" t="s">
        <v>133</v>
      </c>
      <c r="C37" s="157">
        <v>2.91</v>
      </c>
      <c r="D37" s="157">
        <v>2.2799999999999998</v>
      </c>
      <c r="E37" s="157">
        <v>2.2799999999999998</v>
      </c>
      <c r="F37" s="157">
        <v>1.405580940181155</v>
      </c>
      <c r="G37" s="157">
        <v>1.4783538948539607</v>
      </c>
      <c r="H37" s="157">
        <v>1.3100197646442173</v>
      </c>
      <c r="I37" s="157">
        <v>1.6184753643100227</v>
      </c>
      <c r="J37" s="157">
        <v>1.5827587649270576</v>
      </c>
      <c r="K37" s="157">
        <v>2.7144281433271038</v>
      </c>
      <c r="L37" s="157">
        <v>3.7590635047392693</v>
      </c>
      <c r="M37" s="157">
        <v>3.637699663750833</v>
      </c>
      <c r="N37" s="157">
        <v>3.0779106380921304</v>
      </c>
      <c r="O37" s="157">
        <v>3.5345095491508451</v>
      </c>
      <c r="P37" s="157">
        <v>2.3783882519036612</v>
      </c>
      <c r="Q37" s="157">
        <v>1.9009226333591633</v>
      </c>
      <c r="R37" s="157">
        <v>1.0830920174527963</v>
      </c>
      <c r="S37" s="157">
        <v>0.67</v>
      </c>
      <c r="T37" s="157">
        <v>0.67666409854035114</v>
      </c>
      <c r="U37" s="157">
        <v>0.67</v>
      </c>
      <c r="V37" s="157">
        <v>1.0492024954669781</v>
      </c>
      <c r="W37" s="157">
        <v>1.9129874768542676</v>
      </c>
      <c r="X37" s="461">
        <f>X19/SUM('10 - Resultados por negócio'!U14:X14)</f>
        <v>3.8764270688065805</v>
      </c>
      <c r="Y37" s="157">
        <v>9.7203802125253809</v>
      </c>
      <c r="Z37" s="157">
        <f>Z19/SUM('10 - Resultados por negócio'!W14:Z14)</f>
        <v>7.6992876991115828</v>
      </c>
      <c r="AA37" s="157">
        <f>AA19/SUM('10 - Resultados por negócio'!X14:AA14)</f>
        <v>7.8939857869563594</v>
      </c>
      <c r="AB37" s="157">
        <v>5.66</v>
      </c>
      <c r="AC37" s="157">
        <f>AC19/SUM('9 - Demonstrativos Financeiros'!Z35:AC35)</f>
        <v>3.4072866757527644</v>
      </c>
      <c r="AD37" s="157">
        <f>AD19/SUM('9 - Demonstrativos Financeiros'!AA35:AD35)</f>
        <v>2.8322788589528027</v>
      </c>
      <c r="AE37" s="157">
        <f>AE19/SUM('9 - Demonstrativos Financeiros'!AB35:AE35)</f>
        <v>2.1460657762555293</v>
      </c>
      <c r="AF37" s="157">
        <f>AF19/SUM('9 - Demonstrativos Financeiros'!AC35:AF35)</f>
        <v>2.2929257138257153</v>
      </c>
    </row>
    <row r="39" spans="2:32">
      <c r="O39" s="214"/>
      <c r="P39" s="214"/>
      <c r="Q39" s="214"/>
      <c r="R39" s="214"/>
      <c r="S39" s="214"/>
      <c r="T39" s="214"/>
      <c r="U39" s="214"/>
      <c r="V39" s="214"/>
      <c r="W39" s="214"/>
      <c r="X39" s="214"/>
      <c r="Y39" s="214"/>
      <c r="Z39" s="214"/>
      <c r="AA39" s="214"/>
      <c r="AB39" s="214"/>
      <c r="AC39" s="214"/>
      <c r="AD39" s="214"/>
      <c r="AE39" s="214"/>
      <c r="AF39" s="214"/>
    </row>
    <row r="40" spans="2:3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row>
    <row r="41" spans="2:3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row>
    <row r="42" spans="2:3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row>
    <row r="43" spans="2:3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row>
  </sheetData>
  <phoneticPr fontId="98" type="noConversion"/>
  <pageMargins left="0.19" right="0.18" top="0.57999999999999996" bottom="0.98425196850393704" header="0.51181102362204722" footer="0.51181102362204722"/>
  <pageSetup paperSize="9"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tabColor rgb="FF00B050"/>
    <pageSetUpPr fitToPage="1"/>
  </sheetPr>
  <dimension ref="B1:AO188"/>
  <sheetViews>
    <sheetView showGridLines="0" topLeftCell="A76" zoomScale="87" zoomScaleNormal="87" workbookViewId="0"/>
  </sheetViews>
  <sheetFormatPr defaultColWidth="9.1796875" defaultRowHeight="14" outlineLevelCol="1"/>
  <cols>
    <col min="1" max="1" width="2.1796875" style="46" customWidth="1"/>
    <col min="2" max="2" width="63" style="113" customWidth="1"/>
    <col min="3" max="19" width="9.1796875" style="46" hidden="1" customWidth="1" outlineLevel="1"/>
    <col min="20" max="20" width="9.81640625" style="46" hidden="1" customWidth="1" outlineLevel="1"/>
    <col min="21" max="21" width="11" style="46" hidden="1" customWidth="1" outlineLevel="1"/>
    <col min="22" max="22" width="9.453125" style="46" hidden="1" customWidth="1" outlineLevel="1"/>
    <col min="23" max="23" width="9.453125" style="46" customWidth="1" collapsed="1"/>
    <col min="24" max="32" width="9.453125" style="46" customWidth="1"/>
    <col min="33" max="33" width="12.1796875" style="46" customWidth="1"/>
    <col min="34" max="34" width="11.1796875" style="46" customWidth="1"/>
    <col min="35" max="39" width="9.1796875" style="46" customWidth="1" outlineLevel="1"/>
    <col min="40" max="41" width="12" style="46" bestFit="1" customWidth="1"/>
    <col min="42" max="16384" width="9.1796875" style="46"/>
  </cols>
  <sheetData>
    <row r="1" spans="2:41">
      <c r="B1" s="46"/>
    </row>
    <row r="2" spans="2:41" ht="12.65" customHeight="1">
      <c r="B2" s="46"/>
    </row>
    <row r="3" spans="2:41" ht="19.5" customHeight="1">
      <c r="B3" s="46"/>
    </row>
    <row r="4" spans="2:41" ht="34.5" customHeight="1">
      <c r="B4" s="87"/>
    </row>
    <row r="5" spans="2:41" ht="20.25" customHeight="1" thickBot="1">
      <c r="B5" s="66" t="s">
        <v>134</v>
      </c>
      <c r="C5" s="67" t="s">
        <v>84</v>
      </c>
      <c r="D5" s="67" t="s">
        <v>85</v>
      </c>
      <c r="E5" s="67" t="s">
        <v>86</v>
      </c>
      <c r="F5" s="67" t="s">
        <v>87</v>
      </c>
      <c r="G5" s="67" t="s">
        <v>88</v>
      </c>
      <c r="H5" s="67" t="s">
        <v>89</v>
      </c>
      <c r="I5" s="67" t="s">
        <v>90</v>
      </c>
      <c r="J5" s="67" t="s">
        <v>91</v>
      </c>
      <c r="K5" s="67" t="s">
        <v>92</v>
      </c>
      <c r="L5" s="67" t="s">
        <v>93</v>
      </c>
      <c r="M5" s="67" t="s">
        <v>94</v>
      </c>
      <c r="N5" s="67" t="s">
        <v>95</v>
      </c>
      <c r="O5" s="67" t="s">
        <v>96</v>
      </c>
      <c r="P5" s="67" t="s">
        <v>97</v>
      </c>
      <c r="Q5" s="67" t="s">
        <v>98</v>
      </c>
      <c r="R5" s="67" t="s">
        <v>99</v>
      </c>
      <c r="S5" s="67" t="s">
        <v>100</v>
      </c>
      <c r="T5" s="67" t="s">
        <v>101</v>
      </c>
      <c r="U5" s="224" t="s">
        <v>336</v>
      </c>
      <c r="V5" s="224" t="s">
        <v>342</v>
      </c>
      <c r="W5" s="224" t="s">
        <v>357</v>
      </c>
      <c r="X5" s="224" t="s">
        <v>384</v>
      </c>
      <c r="Y5" s="224" t="s">
        <v>395</v>
      </c>
      <c r="Z5" s="224" t="s">
        <v>396</v>
      </c>
      <c r="AA5" s="224" t="s">
        <v>469</v>
      </c>
      <c r="AB5" s="224" t="s">
        <v>473</v>
      </c>
      <c r="AC5" s="224" t="s">
        <v>478</v>
      </c>
      <c r="AD5" s="224" t="s">
        <v>480</v>
      </c>
      <c r="AE5" s="224" t="s">
        <v>518</v>
      </c>
      <c r="AF5" s="224" t="s">
        <v>521</v>
      </c>
      <c r="AI5" s="67">
        <v>2018</v>
      </c>
      <c r="AJ5" s="67">
        <v>2019</v>
      </c>
      <c r="AK5" s="67">
        <v>2020</v>
      </c>
      <c r="AL5" s="67">
        <v>2021</v>
      </c>
      <c r="AM5" s="67">
        <v>2022</v>
      </c>
      <c r="AN5" s="67">
        <v>2023</v>
      </c>
      <c r="AO5" s="67">
        <v>2024</v>
      </c>
    </row>
    <row r="6" spans="2:41" ht="9" customHeight="1" thickTop="1">
      <c r="B6" s="49"/>
      <c r="AG6" s="113"/>
    </row>
    <row r="7" spans="2:41" s="49" customFormat="1" ht="14.5" thickBot="1">
      <c r="B7" s="107" t="s">
        <v>135</v>
      </c>
      <c r="C7" s="158">
        <v>1165.088</v>
      </c>
      <c r="D7" s="158">
        <v>1316.9949999999999</v>
      </c>
      <c r="E7" s="158">
        <v>1438.836</v>
      </c>
      <c r="F7" s="158">
        <v>1496.5569999999993</v>
      </c>
      <c r="G7" s="158">
        <v>1327.079</v>
      </c>
      <c r="H7" s="158">
        <v>1365.954</v>
      </c>
      <c r="I7" s="158">
        <v>1313.2519999999995</v>
      </c>
      <c r="J7" s="158">
        <v>1257.3990000000013</v>
      </c>
      <c r="K7" s="158">
        <v>1252.7380000000001</v>
      </c>
      <c r="L7" s="158">
        <v>1101.9179999999999</v>
      </c>
      <c r="M7" s="158">
        <v>1485.6209999999999</v>
      </c>
      <c r="N7" s="158">
        <v>1571.105</v>
      </c>
      <c r="O7" s="158">
        <v>1792.8239999999998</v>
      </c>
      <c r="P7" s="158">
        <v>1913.0839999999996</v>
      </c>
      <c r="Q7" s="158">
        <v>2300.0440000000008</v>
      </c>
      <c r="R7" s="158">
        <v>2417.2279999999996</v>
      </c>
      <c r="S7" s="158">
        <v>2291.665</v>
      </c>
      <c r="T7" s="158">
        <v>2331</v>
      </c>
      <c r="U7" s="158">
        <v>2245</v>
      </c>
      <c r="V7" s="158">
        <v>1957</v>
      </c>
      <c r="W7" s="158">
        <v>1915.819</v>
      </c>
      <c r="X7" s="158">
        <v>1665</v>
      </c>
      <c r="Y7" s="158">
        <f>1864</f>
        <v>1864</v>
      </c>
      <c r="Z7" s="158">
        <v>1904</v>
      </c>
      <c r="AA7" s="158">
        <v>1693.866</v>
      </c>
      <c r="AB7" s="474">
        <v>2065</v>
      </c>
      <c r="AC7" s="474">
        <v>2135</v>
      </c>
      <c r="AD7" s="474">
        <v>2280.4187040800002</v>
      </c>
      <c r="AE7" s="474">
        <v>2338</v>
      </c>
      <c r="AF7" s="474">
        <v>2005</v>
      </c>
      <c r="AG7" s="223"/>
      <c r="AH7" s="338"/>
      <c r="AI7" s="158">
        <v>5417.4759999999987</v>
      </c>
      <c r="AJ7" s="158">
        <v>5263.6840000000011</v>
      </c>
      <c r="AK7" s="158">
        <v>5411.3819999999996</v>
      </c>
      <c r="AL7" s="158">
        <v>8423.18</v>
      </c>
      <c r="AM7" s="158">
        <v>8825</v>
      </c>
      <c r="AN7" s="158">
        <v>7348</v>
      </c>
      <c r="AO7" s="158">
        <f>SUM(AA7:AD7)</f>
        <v>8174.2847040800007</v>
      </c>
    </row>
    <row r="8" spans="2:41">
      <c r="B8" s="108" t="s">
        <v>136</v>
      </c>
      <c r="C8" s="109">
        <v>-946.53800000000001</v>
      </c>
      <c r="D8" s="109">
        <v>-1050.942</v>
      </c>
      <c r="E8" s="109">
        <v>-1173.325</v>
      </c>
      <c r="F8" s="109">
        <v>-1297.2389999999996</v>
      </c>
      <c r="G8" s="109">
        <v>-1119.2809999999999</v>
      </c>
      <c r="H8" s="109">
        <v>-1176.6790000000001</v>
      </c>
      <c r="I8" s="109">
        <v>-1171.9339999999997</v>
      </c>
      <c r="J8" s="109">
        <v>-1138.2230000000004</v>
      </c>
      <c r="K8" s="109">
        <v>-1104.5940000000001</v>
      </c>
      <c r="L8" s="109">
        <v>-1037.9650000000001</v>
      </c>
      <c r="M8" s="109">
        <v>-1296.9539999999997</v>
      </c>
      <c r="N8" s="109">
        <v>-1391.62</v>
      </c>
      <c r="O8" s="109">
        <v>-1349.038</v>
      </c>
      <c r="P8" s="109">
        <v>-1526.962</v>
      </c>
      <c r="Q8" s="109">
        <v>-1990</v>
      </c>
      <c r="R8" s="109">
        <v>-1933.4719999999998</v>
      </c>
      <c r="S8" s="109">
        <v>-1737.7149999999999</v>
      </c>
      <c r="T8" s="109">
        <v>-1669</v>
      </c>
      <c r="U8" s="109">
        <v>-1914</v>
      </c>
      <c r="V8" s="109">
        <v>-1854</v>
      </c>
      <c r="W8" s="109">
        <v>-1855.8040000000001</v>
      </c>
      <c r="X8" s="109">
        <v>-1638</v>
      </c>
      <c r="Y8" s="109">
        <f>'10 - Resultados por negócio'!Y12</f>
        <v>-1881.5413870811994</v>
      </c>
      <c r="Z8" s="109">
        <f>'10 - Resultados por negócio'!Z12</f>
        <v>-1896.3857931019252</v>
      </c>
      <c r="AA8" s="109">
        <f>'10 - Resultados por negócio'!AA12</f>
        <v>-1615.4980535100001</v>
      </c>
      <c r="AB8" s="109">
        <f>'10 - Resultados por negócio'!AB12</f>
        <v>-1807.5791571489756</v>
      </c>
      <c r="AC8" s="109">
        <f>'10 - Resultados por negócio'!AC12</f>
        <v>-1772</v>
      </c>
      <c r="AD8" s="563">
        <f>'10 - Resultados por negócio'!AD12</f>
        <v>-2120.2050000000004</v>
      </c>
      <c r="AE8" s="563">
        <f>'10 - Resultados por negócio'!AE12</f>
        <v>-1912</v>
      </c>
      <c r="AF8" s="563">
        <f>'10 - Resultados por negócio'!AF12</f>
        <v>-1986</v>
      </c>
      <c r="AG8" s="223"/>
      <c r="AH8" s="338"/>
      <c r="AI8" s="109">
        <v>-4468.0439999999999</v>
      </c>
      <c r="AJ8" s="109">
        <v>-4606.1170000000002</v>
      </c>
      <c r="AK8" s="109">
        <v>-4831.1329999999998</v>
      </c>
      <c r="AL8" s="109">
        <v>-6799.4719999999998</v>
      </c>
      <c r="AM8" s="109">
        <v>-7175.3649999999998</v>
      </c>
      <c r="AN8" s="109">
        <f>SUM(W8:Z8)</f>
        <v>-7271.7311801831238</v>
      </c>
      <c r="AO8" s="109">
        <f>SUM(AA8:AD8)</f>
        <v>-7315.2822106589756</v>
      </c>
    </row>
    <row r="9" spans="2:41" s="49" customFormat="1" ht="15" customHeight="1" thickBot="1">
      <c r="B9" s="107" t="s">
        <v>137</v>
      </c>
      <c r="C9" s="159">
        <v>218.54999999999995</v>
      </c>
      <c r="D9" s="159">
        <v>266.05299999999988</v>
      </c>
      <c r="E9" s="159">
        <v>265.51099999999997</v>
      </c>
      <c r="F9" s="159">
        <v>199.31799999999976</v>
      </c>
      <c r="G9" s="159">
        <v>207.798</v>
      </c>
      <c r="H9" s="159">
        <v>189.27499999999986</v>
      </c>
      <c r="I9" s="159">
        <v>141.31799999999976</v>
      </c>
      <c r="J9" s="159">
        <v>119.17600000000084</v>
      </c>
      <c r="K9" s="159">
        <v>148.14400000000001</v>
      </c>
      <c r="L9" s="159">
        <v>63.952999999999747</v>
      </c>
      <c r="M9" s="159">
        <v>188.66700000000014</v>
      </c>
      <c r="N9" s="159">
        <v>179.48500000000013</v>
      </c>
      <c r="O9" s="159">
        <v>443.78599999999983</v>
      </c>
      <c r="P9" s="159">
        <v>386.12199999999962</v>
      </c>
      <c r="Q9" s="159">
        <v>310.04400000000078</v>
      </c>
      <c r="R9" s="159">
        <v>483.75599999999986</v>
      </c>
      <c r="S9" s="159">
        <v>553.95000000000005</v>
      </c>
      <c r="T9" s="159">
        <v>662.21799999999985</v>
      </c>
      <c r="U9" s="159">
        <f>SUM(U7:U8)</f>
        <v>331</v>
      </c>
      <c r="V9" s="159">
        <f>SUM(V7:V8)</f>
        <v>103</v>
      </c>
      <c r="W9" s="159">
        <f t="shared" ref="W9:Y9" si="0">SUM(W7:W8)</f>
        <v>60.014999999999873</v>
      </c>
      <c r="X9" s="159">
        <f t="shared" si="0"/>
        <v>27</v>
      </c>
      <c r="Y9" s="159">
        <f t="shared" si="0"/>
        <v>-17.541387081199446</v>
      </c>
      <c r="Z9" s="159">
        <f t="shared" ref="Z9:AE9" si="1">SUM(Z7:Z8)</f>
        <v>7.6142068980748263</v>
      </c>
      <c r="AA9" s="159">
        <f t="shared" si="1"/>
        <v>78.367946489999895</v>
      </c>
      <c r="AB9" s="159">
        <f t="shared" si="1"/>
        <v>257.42084285102442</v>
      </c>
      <c r="AC9" s="159">
        <f t="shared" si="1"/>
        <v>363</v>
      </c>
      <c r="AD9" s="159">
        <f t="shared" si="1"/>
        <v>160.21370407999984</v>
      </c>
      <c r="AE9" s="159">
        <f t="shared" si="1"/>
        <v>426</v>
      </c>
      <c r="AF9" s="542">
        <v>19</v>
      </c>
      <c r="AG9" s="223"/>
      <c r="AH9" s="338"/>
      <c r="AI9" s="159">
        <v>949.43199999999956</v>
      </c>
      <c r="AJ9" s="159">
        <v>657.56700000000046</v>
      </c>
      <c r="AK9" s="159">
        <v>580.24900000000002</v>
      </c>
      <c r="AL9" s="159">
        <v>1623.7080000000001</v>
      </c>
      <c r="AM9" s="159">
        <v>1649.2619999999999</v>
      </c>
      <c r="AN9" s="159">
        <f>SUM(AN7:AN8)</f>
        <v>76.268819816876203</v>
      </c>
      <c r="AO9" s="159">
        <f>SUM(AA9:AD9)</f>
        <v>859.00249342102416</v>
      </c>
    </row>
    <row r="10" spans="2:41" s="78" customFormat="1" ht="14.5">
      <c r="B10" s="110" t="s">
        <v>138</v>
      </c>
      <c r="C10" s="160">
        <v>0.18758239720948114</v>
      </c>
      <c r="D10" s="160">
        <v>0.20201519367955073</v>
      </c>
      <c r="E10" s="160">
        <v>0.18453180209558279</v>
      </c>
      <c r="F10" s="160">
        <v>0.13318436918874446</v>
      </c>
      <c r="G10" s="160">
        <v>0.15658299166816747</v>
      </c>
      <c r="H10" s="160">
        <v>0.1385661596217734</v>
      </c>
      <c r="I10" s="160">
        <v>0.10760920219424742</v>
      </c>
      <c r="J10" s="160">
        <v>9.4779779529012453E-2</v>
      </c>
      <c r="K10" s="160">
        <v>0.11825617168154874</v>
      </c>
      <c r="L10" s="160">
        <v>5.8037893926771097E-2</v>
      </c>
      <c r="M10" s="160">
        <v>0.12699537769054164</v>
      </c>
      <c r="N10" s="160">
        <v>0.11424125058477959</v>
      </c>
      <c r="O10" s="160">
        <v>0.24753461577935137</v>
      </c>
      <c r="P10" s="160">
        <v>0.20183222482651034</v>
      </c>
      <c r="Q10" s="160">
        <v>0.13479916036388898</v>
      </c>
      <c r="R10" s="160">
        <v>0.20012841155240629</v>
      </c>
      <c r="S10" s="160">
        <v>0.2417238121627725</v>
      </c>
      <c r="T10" s="160">
        <v>0.28406523971589098</v>
      </c>
      <c r="U10" s="160">
        <f t="shared" ref="U10:AE10" si="2">U9/U7</f>
        <v>0.14743875278396437</v>
      </c>
      <c r="V10" s="160">
        <f t="shared" si="2"/>
        <v>5.2631578947368418E-2</v>
      </c>
      <c r="W10" s="160">
        <f t="shared" si="2"/>
        <v>3.1326028189510531E-2</v>
      </c>
      <c r="X10" s="160">
        <f t="shared" si="2"/>
        <v>1.6216216216216217E-2</v>
      </c>
      <c r="Y10" s="160">
        <f t="shared" si="2"/>
        <v>-9.4106153869095745E-3</v>
      </c>
      <c r="Z10" s="160">
        <f t="shared" si="2"/>
        <v>3.999058244787199E-3</v>
      </c>
      <c r="AA10" s="160">
        <f t="shared" si="2"/>
        <v>4.62657296917229E-2</v>
      </c>
      <c r="AB10" s="160">
        <f t="shared" si="2"/>
        <v>0.12465900380194887</v>
      </c>
      <c r="AC10" s="160">
        <f t="shared" si="2"/>
        <v>0.17002341920374708</v>
      </c>
      <c r="AD10" s="160">
        <f t="shared" si="2"/>
        <v>7.0256266444997259E-2</v>
      </c>
      <c r="AE10" s="160">
        <f t="shared" si="2"/>
        <v>0.18220701454234389</v>
      </c>
      <c r="AF10" s="160">
        <f>AF9/AF7</f>
        <v>9.4763092269326676E-3</v>
      </c>
      <c r="AG10" s="223"/>
      <c r="AH10" s="338"/>
      <c r="AI10" s="160">
        <v>0.17525356826684599</v>
      </c>
      <c r="AJ10" s="160">
        <v>0.12492524247276249</v>
      </c>
      <c r="AK10" s="160">
        <v>0.1072275067625978</v>
      </c>
      <c r="AL10" s="160">
        <v>0.19276662733077057</v>
      </c>
      <c r="AM10" s="160">
        <v>0.18688521246458922</v>
      </c>
      <c r="AN10" s="160">
        <f t="shared" ref="AN10:AO10" si="3">AN9/AN7</f>
        <v>1.0379534542307594E-2</v>
      </c>
      <c r="AO10" s="160">
        <f t="shared" si="3"/>
        <v>0.10508595241272591</v>
      </c>
    </row>
    <row r="11" spans="2:41" ht="14.5" thickBot="1">
      <c r="B11" s="111" t="s">
        <v>139</v>
      </c>
      <c r="C11" s="161">
        <v>-53.069999999999993</v>
      </c>
      <c r="D11" s="161">
        <v>30.466999999999999</v>
      </c>
      <c r="E11" s="161">
        <v>-110.545</v>
      </c>
      <c r="F11" s="161">
        <v>-135.26600000000002</v>
      </c>
      <c r="G11" s="161">
        <v>-74.996000000000009</v>
      </c>
      <c r="H11" s="161">
        <v>-38.573000000000008</v>
      </c>
      <c r="I11" s="161">
        <v>-124.23099999999999</v>
      </c>
      <c r="J11" s="161">
        <v>-189.935</v>
      </c>
      <c r="K11" s="161">
        <v>276.82800000000003</v>
      </c>
      <c r="L11" s="161">
        <v>-29.350999999999999</v>
      </c>
      <c r="M11" s="161">
        <v>-189.791</v>
      </c>
      <c r="N11" s="161">
        <v>-203.947</v>
      </c>
      <c r="O11" s="161">
        <v>-308.68799999999999</v>
      </c>
      <c r="P11" s="161">
        <v>42.943000000000026</v>
      </c>
      <c r="Q11" s="161">
        <v>-124.83699999999997</v>
      </c>
      <c r="R11" s="161">
        <v>108.08499999999998</v>
      </c>
      <c r="S11" s="161">
        <v>-157.304</v>
      </c>
      <c r="T11" s="161">
        <v>27</v>
      </c>
      <c r="U11" s="161">
        <f>SUM(U12:U14)</f>
        <v>-136</v>
      </c>
      <c r="V11" s="161">
        <f>SUM(V12:V14)</f>
        <v>-237.119</v>
      </c>
      <c r="W11" s="161">
        <f>SUM(W12:W14)</f>
        <v>44.015999999999991</v>
      </c>
      <c r="X11" s="161">
        <f t="shared" ref="X11:AB11" si="4">SUM(X12:X14)</f>
        <v>-240</v>
      </c>
      <c r="Y11" s="161">
        <f t="shared" si="4"/>
        <v>4.9840000000000373</v>
      </c>
      <c r="Z11" s="161">
        <f t="shared" si="4"/>
        <v>-838.58199999999999</v>
      </c>
      <c r="AA11" s="161">
        <f t="shared" si="4"/>
        <v>34.571999999999989</v>
      </c>
      <c r="AB11" s="161">
        <f t="shared" si="4"/>
        <v>-66</v>
      </c>
      <c r="AC11" s="161">
        <f>SUM(AC12:AC14)</f>
        <v>-250</v>
      </c>
      <c r="AD11" s="161">
        <f>SUM(AD12:AD14)</f>
        <v>-46.898000000000025</v>
      </c>
      <c r="AE11" s="161">
        <f>SUM(AE12:AE14)</f>
        <v>40</v>
      </c>
      <c r="AF11" s="161">
        <f>SUM(AF12:AF14)</f>
        <v>-108</v>
      </c>
      <c r="AG11" s="223"/>
      <c r="AH11" s="338"/>
      <c r="AI11" s="161">
        <v>-268.41399999999999</v>
      </c>
      <c r="AJ11" s="161">
        <v>-427.73500000000001</v>
      </c>
      <c r="AK11" s="161">
        <v>-146.26099999999997</v>
      </c>
      <c r="AL11" s="161">
        <v>-282.49699999999996</v>
      </c>
      <c r="AM11" s="161">
        <v>-503.423</v>
      </c>
      <c r="AN11" s="161">
        <f t="shared" ref="AN11:AO11" si="5">SUM(AN12:AN14)</f>
        <v>-1029.5819999999999</v>
      </c>
      <c r="AO11" s="161">
        <f t="shared" si="5"/>
        <v>-328.32600000000002</v>
      </c>
    </row>
    <row r="12" spans="2:41" s="113" customFormat="1">
      <c r="B12" s="112" t="s">
        <v>140</v>
      </c>
      <c r="C12" s="109">
        <v>-10.08</v>
      </c>
      <c r="D12" s="109">
        <v>-7.1549999999999994</v>
      </c>
      <c r="E12" s="109">
        <v>-8.8930000000000007</v>
      </c>
      <c r="F12" s="109">
        <v>-9.8239999999999981</v>
      </c>
      <c r="G12" s="109">
        <v>-13.499000000000001</v>
      </c>
      <c r="H12" s="109">
        <v>-8.1549999999999994</v>
      </c>
      <c r="I12" s="109">
        <v>-6.5579999999999998</v>
      </c>
      <c r="J12" s="109">
        <v>-7.7799999999999976</v>
      </c>
      <c r="K12" s="109">
        <v>-6.5439999999999996</v>
      </c>
      <c r="L12" s="109">
        <v>-6.9630000000000001</v>
      </c>
      <c r="M12" s="109">
        <v>-7.0750000000000011</v>
      </c>
      <c r="N12" s="109">
        <v>-16.537999999999997</v>
      </c>
      <c r="O12" s="109">
        <v>-7.8419999999999996</v>
      </c>
      <c r="P12" s="109">
        <v>-10.654</v>
      </c>
      <c r="Q12" s="109">
        <v>-12.286000000000001</v>
      </c>
      <c r="R12" s="109">
        <v>-11.487000000000002</v>
      </c>
      <c r="S12" s="109">
        <v>-10.968999999999999</v>
      </c>
      <c r="T12" s="109">
        <v>-12</v>
      </c>
      <c r="U12" s="109">
        <v>-15</v>
      </c>
      <c r="V12" s="109">
        <v>-11.146000000000001</v>
      </c>
      <c r="W12" s="109">
        <v>-12.417999999999999</v>
      </c>
      <c r="X12" s="109">
        <v>-11</v>
      </c>
      <c r="Y12" s="109">
        <f>-35-SUM(W12:X12)</f>
        <v>-11.582000000000001</v>
      </c>
      <c r="Z12" s="115">
        <v>-11.991999999999997</v>
      </c>
      <c r="AA12" s="115">
        <v>-11.242000000000001</v>
      </c>
      <c r="AB12" s="385">
        <v>-6</v>
      </c>
      <c r="AC12" s="385">
        <v>-12</v>
      </c>
      <c r="AD12" s="385">
        <v>-12.565999999999995</v>
      </c>
      <c r="AE12" s="385">
        <v>-11</v>
      </c>
      <c r="AF12" s="385">
        <v>-11</v>
      </c>
      <c r="AG12" s="223"/>
      <c r="AH12" s="338"/>
      <c r="AI12" s="109">
        <v>-35.951999999999998</v>
      </c>
      <c r="AJ12" s="109">
        <v>-35.991999999999997</v>
      </c>
      <c r="AK12" s="109">
        <v>-37.119999999999997</v>
      </c>
      <c r="AL12" s="109">
        <v>-42.269000000000005</v>
      </c>
      <c r="AM12" s="109">
        <v>-49.115000000000002</v>
      </c>
      <c r="AN12" s="109">
        <f>SUM(W12:Z12)</f>
        <v>-46.991999999999997</v>
      </c>
      <c r="AO12" s="109">
        <f>SUM(AA12:AD12)</f>
        <v>-41.807999999999993</v>
      </c>
    </row>
    <row r="13" spans="2:41">
      <c r="B13" s="114" t="s">
        <v>141</v>
      </c>
      <c r="C13" s="115">
        <v>-44.281999999999996</v>
      </c>
      <c r="D13" s="115">
        <v>-42.942999999999998</v>
      </c>
      <c r="E13" s="115">
        <v>-49.739000000000004</v>
      </c>
      <c r="F13" s="115">
        <v>-60.191000000000003</v>
      </c>
      <c r="G13" s="115">
        <v>-46.762</v>
      </c>
      <c r="H13" s="115">
        <v>-54.456000000000003</v>
      </c>
      <c r="I13" s="115">
        <v>-51.575000000000003</v>
      </c>
      <c r="J13" s="115">
        <v>-61.204000000000008</v>
      </c>
      <c r="K13" s="115">
        <v>-57.158999999999999</v>
      </c>
      <c r="L13" s="115">
        <v>-56.387999999999998</v>
      </c>
      <c r="M13" s="115">
        <v>-62.12700000000001</v>
      </c>
      <c r="N13" s="115">
        <v>-108.22799999999998</v>
      </c>
      <c r="O13" s="115">
        <v>-69.278000000000006</v>
      </c>
      <c r="P13" s="115">
        <v>-81.471999999999994</v>
      </c>
      <c r="Q13" s="115">
        <v>-73.536999999999992</v>
      </c>
      <c r="R13" s="115">
        <v>-113.74000000000001</v>
      </c>
      <c r="S13" s="115">
        <v>-85.308999999999997</v>
      </c>
      <c r="T13" s="115">
        <v>-113</v>
      </c>
      <c r="U13" s="115">
        <v>-91</v>
      </c>
      <c r="V13" s="115">
        <v>-116</v>
      </c>
      <c r="W13" s="115">
        <v>-95.468000000000004</v>
      </c>
      <c r="X13" s="115">
        <v>-109</v>
      </c>
      <c r="Y13" s="115">
        <f>-285-SUM(W13:X13)</f>
        <v>-80.531999999999982</v>
      </c>
      <c r="Z13" s="115">
        <v>-104.58999999999997</v>
      </c>
      <c r="AA13" s="115">
        <v>-92.43</v>
      </c>
      <c r="AB13" s="385">
        <v>-117</v>
      </c>
      <c r="AC13" s="385">
        <v>-90</v>
      </c>
      <c r="AD13" s="385">
        <v>-128.69600000000003</v>
      </c>
      <c r="AE13" s="385">
        <v>-103</v>
      </c>
      <c r="AF13" s="385">
        <v>-118</v>
      </c>
      <c r="AG13" s="223"/>
      <c r="AH13" s="338"/>
      <c r="AI13" s="115">
        <v>-197.155</v>
      </c>
      <c r="AJ13" s="115">
        <v>-213.99700000000001</v>
      </c>
      <c r="AK13" s="115">
        <v>-283.90199999999999</v>
      </c>
      <c r="AL13" s="115">
        <v>-338.02699999999999</v>
      </c>
      <c r="AM13" s="115">
        <v>-405.30899999999997</v>
      </c>
      <c r="AN13" s="115">
        <f>SUM(W13:Z13)</f>
        <v>-389.59</v>
      </c>
      <c r="AO13" s="115">
        <f>SUM(AA13:AD13)</f>
        <v>-428.12600000000003</v>
      </c>
    </row>
    <row r="14" spans="2:41">
      <c r="B14" s="112" t="s">
        <v>142</v>
      </c>
      <c r="C14" s="109">
        <v>1.292</v>
      </c>
      <c r="D14" s="162">
        <v>80.564999999999998</v>
      </c>
      <c r="E14" s="162">
        <v>-51.912999999999997</v>
      </c>
      <c r="F14" s="162">
        <v>-65.251000000000005</v>
      </c>
      <c r="G14" s="162">
        <v>-14.734999999999999</v>
      </c>
      <c r="H14" s="162">
        <v>24.038</v>
      </c>
      <c r="I14" s="162">
        <v>-66.097999999999999</v>
      </c>
      <c r="J14" s="162">
        <v>-120.95100000000001</v>
      </c>
      <c r="K14" s="162">
        <v>340.53100000000001</v>
      </c>
      <c r="L14" s="162">
        <v>34</v>
      </c>
      <c r="M14" s="162">
        <v>-120.589</v>
      </c>
      <c r="N14" s="162">
        <v>-79.181000000000012</v>
      </c>
      <c r="O14" s="162">
        <v>-231.56800000000001</v>
      </c>
      <c r="P14" s="162">
        <v>135.06900000000002</v>
      </c>
      <c r="Q14" s="162">
        <v>-39.013999999999982</v>
      </c>
      <c r="R14" s="162">
        <v>233.31199999999998</v>
      </c>
      <c r="S14" s="162">
        <v>-61.026000000000003</v>
      </c>
      <c r="T14" s="162">
        <v>152</v>
      </c>
      <c r="U14" s="162">
        <v>-30</v>
      </c>
      <c r="V14" s="162">
        <v>-109.973</v>
      </c>
      <c r="W14" s="162">
        <v>151.90199999999999</v>
      </c>
      <c r="X14" s="162">
        <v>-120</v>
      </c>
      <c r="Y14" s="162">
        <f>130-SUM(W14:X14)-1</f>
        <v>97.098000000000013</v>
      </c>
      <c r="Z14" s="115">
        <v>-722</v>
      </c>
      <c r="AA14" s="115">
        <v>138.244</v>
      </c>
      <c r="AB14" s="385">
        <v>57</v>
      </c>
      <c r="AC14" s="385">
        <v>-148</v>
      </c>
      <c r="AD14" s="385">
        <v>94.364000000000004</v>
      </c>
      <c r="AE14" s="385">
        <v>154</v>
      </c>
      <c r="AF14" s="385">
        <v>21</v>
      </c>
      <c r="AG14" s="223"/>
      <c r="AH14" s="338"/>
      <c r="AI14" s="162">
        <v>-35.307000000000002</v>
      </c>
      <c r="AJ14" s="162">
        <v>-177.74600000000001</v>
      </c>
      <c r="AK14" s="162">
        <v>174.761</v>
      </c>
      <c r="AL14" s="162">
        <v>97.799000000000007</v>
      </c>
      <c r="AM14" s="162">
        <v>-48.999000000000009</v>
      </c>
      <c r="AN14" s="162">
        <f>SUM(W14:Z14)</f>
        <v>-593</v>
      </c>
      <c r="AO14" s="162">
        <f>SUM(AA14:AD14)</f>
        <v>141.608</v>
      </c>
    </row>
    <row r="15" spans="2:41" s="49" customFormat="1" ht="28.5" thickBot="1">
      <c r="B15" s="491" t="s">
        <v>143</v>
      </c>
      <c r="C15" s="158">
        <v>165.47999999999996</v>
      </c>
      <c r="D15" s="158">
        <v>296.51999999999987</v>
      </c>
      <c r="E15" s="158">
        <v>154.96599999999995</v>
      </c>
      <c r="F15" s="158">
        <v>64.051999999999737</v>
      </c>
      <c r="G15" s="158">
        <v>132.80199999999999</v>
      </c>
      <c r="H15" s="158">
        <v>150.70199999999986</v>
      </c>
      <c r="I15" s="158">
        <v>17.086999999999762</v>
      </c>
      <c r="J15" s="158">
        <v>-70.758999999999162</v>
      </c>
      <c r="K15" s="158">
        <v>424.97200000000004</v>
      </c>
      <c r="L15" s="158">
        <v>34.601999999999748</v>
      </c>
      <c r="M15" s="158">
        <v>-1.1239999999998531</v>
      </c>
      <c r="N15" s="158">
        <v>-24.461999999999875</v>
      </c>
      <c r="O15" s="158">
        <v>135.09799999999984</v>
      </c>
      <c r="P15" s="158">
        <v>429.06499999999966</v>
      </c>
      <c r="Q15" s="158">
        <v>185.20700000000079</v>
      </c>
      <c r="R15" s="158">
        <v>591.84099999999989</v>
      </c>
      <c r="S15" s="158">
        <v>396.64600000000007</v>
      </c>
      <c r="T15" s="158">
        <v>689.21799999999985</v>
      </c>
      <c r="U15" s="158">
        <f>SUM(U11,U9)</f>
        <v>195</v>
      </c>
      <c r="V15" s="158">
        <f>SUM(V11,V9)</f>
        <v>-134.119</v>
      </c>
      <c r="W15" s="158">
        <v>104.03099999999986</v>
      </c>
      <c r="X15" s="158">
        <v>-213</v>
      </c>
      <c r="Y15" s="158">
        <f t="shared" ref="Y15:AF15" si="6">SUM(Y11,Y9)</f>
        <v>-12.557387081199408</v>
      </c>
      <c r="Z15" s="158">
        <f t="shared" si="6"/>
        <v>-830.96779310192517</v>
      </c>
      <c r="AA15" s="158">
        <f t="shared" si="6"/>
        <v>112.93994648999988</v>
      </c>
      <c r="AB15" s="158">
        <f t="shared" si="6"/>
        <v>191.42084285102442</v>
      </c>
      <c r="AC15" s="158">
        <f t="shared" si="6"/>
        <v>113</v>
      </c>
      <c r="AD15" s="158">
        <f t="shared" si="6"/>
        <v>113.31570407999982</v>
      </c>
      <c r="AE15" s="158">
        <f t="shared" si="6"/>
        <v>466</v>
      </c>
      <c r="AF15" s="474">
        <f t="shared" si="6"/>
        <v>-89</v>
      </c>
      <c r="AG15" s="223"/>
      <c r="AH15" s="338"/>
      <c r="AI15" s="158">
        <v>681.01799999999957</v>
      </c>
      <c r="AJ15" s="158">
        <v>229.83200000000045</v>
      </c>
      <c r="AK15" s="158">
        <v>433.98800000000006</v>
      </c>
      <c r="AL15" s="158">
        <v>1341.2110000000002</v>
      </c>
      <c r="AM15" s="158">
        <v>1145.8389999999999</v>
      </c>
      <c r="AN15" s="158">
        <f>SUM(AN11,AN9)</f>
        <v>-953.31318018312368</v>
      </c>
      <c r="AO15" s="158">
        <f>SUM(AO11,AO9)</f>
        <v>530.67649342102413</v>
      </c>
    </row>
    <row r="16" spans="2:41" s="183" customFormat="1" ht="14.5" thickBot="1">
      <c r="B16" s="111" t="s">
        <v>144</v>
      </c>
      <c r="C16" s="161">
        <v>1.3029999999999999</v>
      </c>
      <c r="D16" s="161">
        <v>-19.989999999999998</v>
      </c>
      <c r="E16" s="161">
        <v>-8.3290000000000006</v>
      </c>
      <c r="F16" s="161">
        <v>-2.1000000000000796E-2</v>
      </c>
      <c r="G16" s="161">
        <v>-0.35099999999999998</v>
      </c>
      <c r="H16" s="161">
        <v>4.992</v>
      </c>
      <c r="I16" s="161">
        <v>1.9610000000000001</v>
      </c>
      <c r="J16" s="161">
        <v>7.8949999999999996</v>
      </c>
      <c r="K16" s="161">
        <v>-26.245000000000001</v>
      </c>
      <c r="L16" s="161">
        <v>7.7720000000000002</v>
      </c>
      <c r="M16" s="161">
        <v>5.1269999999999998</v>
      </c>
      <c r="N16" s="161">
        <v>10.3</v>
      </c>
      <c r="O16" s="161">
        <v>-17.169</v>
      </c>
      <c r="P16" s="161">
        <v>17.065000000000001</v>
      </c>
      <c r="Q16" s="161">
        <v>-17.646999999999998</v>
      </c>
      <c r="R16" s="161">
        <v>30.474999999999998</v>
      </c>
      <c r="S16" s="161">
        <v>19.192</v>
      </c>
      <c r="T16" s="161">
        <v>-15</v>
      </c>
      <c r="U16" s="161">
        <f>U17</f>
        <v>-11</v>
      </c>
      <c r="V16" s="161">
        <f>V17</f>
        <v>-6.2949999999999999</v>
      </c>
      <c r="W16" s="161">
        <v>18.428000000000001</v>
      </c>
      <c r="X16" s="161">
        <v>26</v>
      </c>
      <c r="Y16" s="161">
        <f t="shared" ref="Y16:AF16" si="7">Y17</f>
        <v>11.572000000000003</v>
      </c>
      <c r="Z16" s="161">
        <f t="shared" si="7"/>
        <v>11.212000000000003</v>
      </c>
      <c r="AA16" s="161">
        <f t="shared" si="7"/>
        <v>32.139000000000003</v>
      </c>
      <c r="AB16" s="161">
        <f t="shared" si="7"/>
        <v>31</v>
      </c>
      <c r="AC16" s="161">
        <f t="shared" si="7"/>
        <v>34.200000000000003</v>
      </c>
      <c r="AD16" s="161">
        <f t="shared" si="7"/>
        <v>30.61</v>
      </c>
      <c r="AE16" s="161">
        <f t="shared" si="7"/>
        <v>32</v>
      </c>
      <c r="AF16" s="161">
        <f t="shared" si="7"/>
        <v>29</v>
      </c>
      <c r="AG16" s="223"/>
      <c r="AH16" s="338"/>
      <c r="AI16" s="161">
        <v>-27.036999999999999</v>
      </c>
      <c r="AJ16" s="161">
        <v>14.497</v>
      </c>
      <c r="AK16" s="161">
        <v>-3.0459999999999994</v>
      </c>
      <c r="AL16" s="161">
        <v>12.724</v>
      </c>
      <c r="AM16" s="161">
        <v>-13.103</v>
      </c>
      <c r="AN16" s="161">
        <f>AN17</f>
        <v>67.212000000000003</v>
      </c>
      <c r="AO16" s="161">
        <f>AO17</f>
        <v>127.949</v>
      </c>
    </row>
    <row r="17" spans="2:41" s="113" customFormat="1">
      <c r="B17" s="116" t="s">
        <v>145</v>
      </c>
      <c r="C17" s="184">
        <v>1.3029999999999999</v>
      </c>
      <c r="D17" s="184">
        <v>-19.989999999999998</v>
      </c>
      <c r="E17" s="184">
        <v>-8.3290000000000006</v>
      </c>
      <c r="F17" s="184">
        <v>-2.1000000000000796E-2</v>
      </c>
      <c r="G17" s="184">
        <v>-0.35099999999999998</v>
      </c>
      <c r="H17" s="184">
        <v>4.992</v>
      </c>
      <c r="I17" s="184">
        <v>1.9610000000000001</v>
      </c>
      <c r="J17" s="184">
        <v>7.8949999999999996</v>
      </c>
      <c r="K17" s="184">
        <v>-26.245000000000001</v>
      </c>
      <c r="L17" s="184">
        <v>7.7720000000000002</v>
      </c>
      <c r="M17" s="184">
        <v>5.1269999999999998</v>
      </c>
      <c r="N17" s="184">
        <v>10.3</v>
      </c>
      <c r="O17" s="184">
        <v>-17.169</v>
      </c>
      <c r="P17" s="184">
        <v>17.065000000000001</v>
      </c>
      <c r="Q17" s="184">
        <v>-17.646999999999998</v>
      </c>
      <c r="R17" s="184">
        <v>30.474999999999998</v>
      </c>
      <c r="S17" s="184">
        <v>19.192</v>
      </c>
      <c r="T17" s="184">
        <v>-15</v>
      </c>
      <c r="U17" s="184">
        <v>-11</v>
      </c>
      <c r="V17" s="184">
        <v>-6.2949999999999999</v>
      </c>
      <c r="W17" s="184">
        <v>18.428000000000001</v>
      </c>
      <c r="X17" s="184">
        <v>26</v>
      </c>
      <c r="Y17" s="184">
        <f>56-SUM(W17:X17)</f>
        <v>11.572000000000003</v>
      </c>
      <c r="Z17" s="184">
        <v>11.212000000000003</v>
      </c>
      <c r="AA17" s="184">
        <v>32.139000000000003</v>
      </c>
      <c r="AB17" s="476">
        <v>31</v>
      </c>
      <c r="AC17" s="476">
        <v>34.200000000000003</v>
      </c>
      <c r="AD17" s="476">
        <f>ROUND(30.6055349276484,2)</f>
        <v>30.61</v>
      </c>
      <c r="AE17" s="476">
        <v>32</v>
      </c>
      <c r="AF17" s="543">
        <v>29</v>
      </c>
      <c r="AG17" s="223"/>
      <c r="AH17" s="338"/>
      <c r="AI17" s="184">
        <v>-27.036999999999999</v>
      </c>
      <c r="AJ17" s="184">
        <v>14.497</v>
      </c>
      <c r="AK17" s="184">
        <v>-3.0459999999999994</v>
      </c>
      <c r="AL17" s="184">
        <v>12.724</v>
      </c>
      <c r="AM17" s="184">
        <v>-13.103</v>
      </c>
      <c r="AN17" s="184">
        <f>SUM(W17:Z17)</f>
        <v>67.212000000000003</v>
      </c>
      <c r="AO17" s="184">
        <f>SUM(AA17:AD17)</f>
        <v>127.949</v>
      </c>
    </row>
    <row r="18" spans="2:41">
      <c r="B18" s="117" t="s">
        <v>146</v>
      </c>
      <c r="C18" s="163">
        <v>-58.606000000000009</v>
      </c>
      <c r="D18" s="163">
        <v>-326.72500000000002</v>
      </c>
      <c r="E18" s="163">
        <v>-159.70700000000002</v>
      </c>
      <c r="F18" s="163">
        <v>18.997000000000057</v>
      </c>
      <c r="G18" s="163">
        <v>-82.067000000000007</v>
      </c>
      <c r="H18" s="163">
        <v>-155.08900000000006</v>
      </c>
      <c r="I18" s="163">
        <v>-99.825999999999937</v>
      </c>
      <c r="J18" s="163">
        <v>89</v>
      </c>
      <c r="K18" s="163">
        <v>-281.11599999999999</v>
      </c>
      <c r="L18" s="163">
        <v>-20.513000000000019</v>
      </c>
      <c r="M18" s="163">
        <v>-174.54599999999996</v>
      </c>
      <c r="N18" s="163">
        <v>-16.298999999999964</v>
      </c>
      <c r="O18" s="163">
        <v>-244.70599999999999</v>
      </c>
      <c r="P18" s="163">
        <v>131.68599999999998</v>
      </c>
      <c r="Q18" s="163">
        <v>-254.91500000000002</v>
      </c>
      <c r="R18" s="163">
        <v>-128.59199999999998</v>
      </c>
      <c r="S18" s="163">
        <v>166.542</v>
      </c>
      <c r="T18" s="163">
        <v>-128</v>
      </c>
      <c r="U18" s="163">
        <f>SUM(U19:U22)</f>
        <v>-28</v>
      </c>
      <c r="V18" s="163">
        <v>-13.404999999999999</v>
      </c>
      <c r="W18" s="163">
        <v>-0.49400000000001398</v>
      </c>
      <c r="X18" s="163">
        <f t="shared" ref="X18:AF18" si="8">SUM(X19:X22)</f>
        <v>184</v>
      </c>
      <c r="Y18" s="163">
        <f t="shared" si="8"/>
        <v>-274.50599999999997</v>
      </c>
      <c r="Z18" s="163">
        <f t="shared" si="8"/>
        <v>-2.7379999999999995</v>
      </c>
      <c r="AA18" s="163">
        <f t="shared" si="8"/>
        <v>-144.40299999999999</v>
      </c>
      <c r="AB18" s="163">
        <f t="shared" si="8"/>
        <v>-350.44399999999996</v>
      </c>
      <c r="AC18" s="163">
        <f t="shared" si="8"/>
        <v>-106.06800000000001</v>
      </c>
      <c r="AD18" s="163">
        <f t="shared" si="8"/>
        <v>-417.51800000000003</v>
      </c>
      <c r="AE18" s="163">
        <f t="shared" si="8"/>
        <v>-20</v>
      </c>
      <c r="AF18" s="163">
        <f t="shared" si="8"/>
        <v>-2</v>
      </c>
      <c r="AG18" s="568"/>
      <c r="AH18" s="568"/>
      <c r="AI18" s="163">
        <v>-526.04099999999994</v>
      </c>
      <c r="AJ18" s="163">
        <v>-248</v>
      </c>
      <c r="AK18" s="163">
        <v>-492.47399999999993</v>
      </c>
      <c r="AL18" s="163">
        <v>-496.52700000000004</v>
      </c>
      <c r="AM18" s="163">
        <v>-2.8629999999999978</v>
      </c>
      <c r="AN18" s="163">
        <f>SUM(AN19:AN22)</f>
        <v>-93.738</v>
      </c>
      <c r="AO18" s="163">
        <f>SUM(AO19:AO22)</f>
        <v>-1018.433</v>
      </c>
    </row>
    <row r="19" spans="2:41">
      <c r="B19" s="79" t="s">
        <v>147</v>
      </c>
      <c r="C19" s="164">
        <v>59.723999999999997</v>
      </c>
      <c r="D19" s="164">
        <v>22.262999999999998</v>
      </c>
      <c r="E19" s="164">
        <v>17.463999999999999</v>
      </c>
      <c r="F19" s="164">
        <v>52.314000000000007</v>
      </c>
      <c r="G19" s="164">
        <v>12.944000000000001</v>
      </c>
      <c r="H19" s="164">
        <v>83.039000000000001</v>
      </c>
      <c r="I19" s="164">
        <v>32.853000000000009</v>
      </c>
      <c r="J19" s="164">
        <v>184</v>
      </c>
      <c r="K19" s="164">
        <v>13.736000000000001</v>
      </c>
      <c r="L19" s="164">
        <v>97.522999999999996</v>
      </c>
      <c r="M19" s="164">
        <v>8.3089999999999975</v>
      </c>
      <c r="N19" s="164">
        <v>17.046000000000006</v>
      </c>
      <c r="O19" s="164">
        <v>8.3569999999999993</v>
      </c>
      <c r="P19" s="164">
        <v>9.0929999999999964</v>
      </c>
      <c r="Q19" s="164">
        <v>33.314</v>
      </c>
      <c r="R19" s="164">
        <v>59.052000000000007</v>
      </c>
      <c r="S19" s="164">
        <v>41.81</v>
      </c>
      <c r="T19" s="164">
        <v>90</v>
      </c>
      <c r="U19" s="164">
        <v>79</v>
      </c>
      <c r="V19" s="164">
        <v>59</v>
      </c>
      <c r="W19" s="164">
        <v>45.631999999999998</v>
      </c>
      <c r="X19" s="164">
        <v>49</v>
      </c>
      <c r="Y19" s="164">
        <f>170-SUM(W19:X19)</f>
        <v>75.367999999999995</v>
      </c>
      <c r="Z19" s="164">
        <v>52</v>
      </c>
      <c r="AA19" s="164">
        <v>49.148000000000003</v>
      </c>
      <c r="AB19" s="378">
        <v>57.960999999999999</v>
      </c>
      <c r="AC19" s="378">
        <v>73.125</v>
      </c>
      <c r="AD19" s="378">
        <v>66.155000000000001</v>
      </c>
      <c r="AE19" s="378">
        <v>41</v>
      </c>
      <c r="AF19" s="378">
        <v>42</v>
      </c>
      <c r="AG19" s="223"/>
      <c r="AH19" s="338"/>
      <c r="AI19" s="164">
        <v>151.76499999999999</v>
      </c>
      <c r="AJ19" s="164">
        <v>313</v>
      </c>
      <c r="AK19" s="164">
        <v>136.614</v>
      </c>
      <c r="AL19" s="164">
        <v>109.816</v>
      </c>
      <c r="AM19" s="164">
        <v>269.81</v>
      </c>
      <c r="AN19" s="164">
        <f>SUM(W19:Z19)</f>
        <v>222</v>
      </c>
      <c r="AO19" s="164">
        <f t="shared" ref="AO19:AO22" si="9">SUM(AA19:AD19)</f>
        <v>246.38900000000001</v>
      </c>
    </row>
    <row r="20" spans="2:41">
      <c r="B20" s="80" t="s">
        <v>148</v>
      </c>
      <c r="C20" s="115">
        <v>-108.456</v>
      </c>
      <c r="D20" s="115">
        <v>-110.009</v>
      </c>
      <c r="E20" s="115">
        <v>-95.792000000000002</v>
      </c>
      <c r="F20" s="115">
        <v>-80.274000000000001</v>
      </c>
      <c r="G20" s="115">
        <v>-82.736000000000004</v>
      </c>
      <c r="H20" s="115">
        <v>-238.44100000000003</v>
      </c>
      <c r="I20" s="115">
        <v>-76.477999999999952</v>
      </c>
      <c r="J20" s="115">
        <v>-117.37599999999998</v>
      </c>
      <c r="K20" s="115">
        <v>-67.361000000000004</v>
      </c>
      <c r="L20" s="115">
        <v>-78.826000000000008</v>
      </c>
      <c r="M20" s="115">
        <v>-147.34399999999999</v>
      </c>
      <c r="N20" s="115">
        <v>-121.02299999999997</v>
      </c>
      <c r="O20" s="115">
        <v>-71.680999999999997</v>
      </c>
      <c r="P20" s="115">
        <v>-122.124</v>
      </c>
      <c r="Q20" s="115">
        <v>-117.307</v>
      </c>
      <c r="R20" s="115">
        <v>-150.38799999999998</v>
      </c>
      <c r="S20" s="115">
        <v>-154.23699999999999</v>
      </c>
      <c r="T20" s="115">
        <v>-161</v>
      </c>
      <c r="U20" s="115">
        <v>-107</v>
      </c>
      <c r="V20" s="115">
        <v>-90</v>
      </c>
      <c r="W20" s="115">
        <v>-114.295</v>
      </c>
      <c r="X20" s="115">
        <v>-123</v>
      </c>
      <c r="Y20" s="115">
        <f>-486-SUM(W20:X20)</f>
        <v>-248.70499999999998</v>
      </c>
      <c r="Z20" s="164">
        <v>-147</v>
      </c>
      <c r="AA20" s="164">
        <v>-121.855</v>
      </c>
      <c r="AB20" s="378">
        <v>-150.81899999999999</v>
      </c>
      <c r="AC20" s="378">
        <v>-198.41200000000003</v>
      </c>
      <c r="AD20" s="378">
        <v>-235.077</v>
      </c>
      <c r="AE20" s="378">
        <v>-162</v>
      </c>
      <c r="AF20" s="378">
        <v>-136</v>
      </c>
      <c r="AG20" s="223"/>
      <c r="AH20" s="338"/>
      <c r="AI20" s="115">
        <v>-394.53100000000001</v>
      </c>
      <c r="AJ20" s="115">
        <v>-515.03099999999995</v>
      </c>
      <c r="AK20" s="115">
        <v>-414.55399999999997</v>
      </c>
      <c r="AL20" s="115">
        <v>-461.5</v>
      </c>
      <c r="AM20" s="115">
        <v>-512.23699999999997</v>
      </c>
      <c r="AN20" s="115">
        <f>SUM(W20:Z20)</f>
        <v>-633</v>
      </c>
      <c r="AO20" s="115">
        <f t="shared" si="9"/>
        <v>-706.16300000000001</v>
      </c>
    </row>
    <row r="21" spans="2:41">
      <c r="B21" s="81" t="s">
        <v>149</v>
      </c>
      <c r="C21" s="165">
        <v>0</v>
      </c>
      <c r="D21" s="165">
        <v>0</v>
      </c>
      <c r="E21" s="165">
        <v>0</v>
      </c>
      <c r="F21" s="165">
        <v>0</v>
      </c>
      <c r="G21" s="165">
        <v>0</v>
      </c>
      <c r="H21" s="165">
        <v>0</v>
      </c>
      <c r="I21" s="165">
        <v>0</v>
      </c>
      <c r="J21" s="165">
        <v>0</v>
      </c>
      <c r="K21" s="165">
        <v>0</v>
      </c>
      <c r="L21" s="165">
        <v>0</v>
      </c>
      <c r="M21" s="165">
        <v>0</v>
      </c>
      <c r="N21" s="165">
        <v>0</v>
      </c>
      <c r="O21" s="165">
        <v>-92.358999999999995</v>
      </c>
      <c r="P21" s="165">
        <v>103.18799999999999</v>
      </c>
      <c r="Q21" s="165">
        <v>-75.509</v>
      </c>
      <c r="R21" s="165">
        <v>-5.6089999999999947</v>
      </c>
      <c r="S21" s="165">
        <v>197.541</v>
      </c>
      <c r="T21" s="165">
        <v>-28</v>
      </c>
      <c r="U21" s="165">
        <v>16</v>
      </c>
      <c r="V21" s="165">
        <v>9</v>
      </c>
      <c r="W21" s="165">
        <v>43.250999999999998</v>
      </c>
      <c r="X21" s="165">
        <v>197</v>
      </c>
      <c r="Y21" s="165">
        <f>189-SUM(W21:X21)</f>
        <v>-51.251000000000005</v>
      </c>
      <c r="Z21" s="164">
        <v>58.519000000000005</v>
      </c>
      <c r="AA21" s="164">
        <v>-22.850999999999999</v>
      </c>
      <c r="AB21" s="378">
        <v>-97.98299999999999</v>
      </c>
      <c r="AC21" s="378">
        <v>-8.92</v>
      </c>
      <c r="AD21" s="378">
        <v>-140.99800000000002</v>
      </c>
      <c r="AE21" s="378">
        <v>83</v>
      </c>
      <c r="AF21" s="378">
        <v>59</v>
      </c>
      <c r="AG21" s="223"/>
      <c r="AH21" s="338"/>
      <c r="AI21" s="165">
        <v>0</v>
      </c>
      <c r="AJ21" s="165">
        <v>0</v>
      </c>
      <c r="AK21" s="165">
        <v>0</v>
      </c>
      <c r="AL21" s="165">
        <v>-70.289000000000001</v>
      </c>
      <c r="AM21" s="165">
        <v>194.541</v>
      </c>
      <c r="AN21" s="165">
        <f>SUM(W21:Z21)</f>
        <v>247.51900000000001</v>
      </c>
      <c r="AO21" s="165">
        <f t="shared" si="9"/>
        <v>-270.75200000000001</v>
      </c>
    </row>
    <row r="22" spans="2:41">
      <c r="B22" s="81" t="s">
        <v>150</v>
      </c>
      <c r="C22" s="165">
        <v>-9.8740000000000006</v>
      </c>
      <c r="D22" s="165">
        <v>-238.97900000000001</v>
      </c>
      <c r="E22" s="165">
        <v>-81.379000000000019</v>
      </c>
      <c r="F22" s="165">
        <v>46.95700000000005</v>
      </c>
      <c r="G22" s="165">
        <v>-12.275</v>
      </c>
      <c r="H22" s="165">
        <v>0.31300000000000061</v>
      </c>
      <c r="I22" s="165">
        <v>-56.200999999999993</v>
      </c>
      <c r="J22" s="165">
        <v>22.552</v>
      </c>
      <c r="K22" s="165">
        <v>-227.49100000000001</v>
      </c>
      <c r="L22" s="165">
        <v>-39.210000000000008</v>
      </c>
      <c r="M22" s="165">
        <v>-35.510999999999967</v>
      </c>
      <c r="N22" s="165">
        <v>87.677999999999997</v>
      </c>
      <c r="O22" s="165">
        <v>-89.022999999999996</v>
      </c>
      <c r="P22" s="165">
        <v>141.529</v>
      </c>
      <c r="Q22" s="165">
        <v>-95.412999999999997</v>
      </c>
      <c r="R22" s="165">
        <v>-31.647000000000006</v>
      </c>
      <c r="S22" s="165">
        <v>81.427999999999997</v>
      </c>
      <c r="T22" s="165">
        <v>-29</v>
      </c>
      <c r="U22" s="165">
        <v>-16</v>
      </c>
      <c r="V22" s="165">
        <v>9</v>
      </c>
      <c r="W22" s="165">
        <v>24.917999999999999</v>
      </c>
      <c r="X22" s="165">
        <v>61</v>
      </c>
      <c r="Y22" s="165">
        <f>36-SUM(W22:X22)</f>
        <v>-49.918000000000006</v>
      </c>
      <c r="Z22" s="164">
        <v>33.742999999999995</v>
      </c>
      <c r="AA22" s="164">
        <v>-48.844999999999999</v>
      </c>
      <c r="AB22" s="378">
        <v>-159.60300000000001</v>
      </c>
      <c r="AC22" s="378">
        <v>28.13900000000001</v>
      </c>
      <c r="AD22" s="378">
        <v>-107.59799999999998</v>
      </c>
      <c r="AE22" s="378">
        <v>18</v>
      </c>
      <c r="AF22" s="378">
        <v>33</v>
      </c>
      <c r="AG22" s="223"/>
      <c r="AH22" s="338"/>
      <c r="AI22" s="165">
        <v>-283.27499999999998</v>
      </c>
      <c r="AJ22" s="165">
        <v>-45.610999999999997</v>
      </c>
      <c r="AK22" s="165">
        <v>-214.53399999999999</v>
      </c>
      <c r="AL22" s="165">
        <v>-74.554000000000002</v>
      </c>
      <c r="AM22" s="165">
        <v>45.427999999999997</v>
      </c>
      <c r="AN22" s="165">
        <f>SUM(W22:Z22)</f>
        <v>69.742999999999995</v>
      </c>
      <c r="AO22" s="165">
        <f t="shared" si="9"/>
        <v>-287.90699999999998</v>
      </c>
    </row>
    <row r="23" spans="2:41" ht="14.5" thickBot="1">
      <c r="B23" s="82" t="s">
        <v>151</v>
      </c>
      <c r="C23" s="166">
        <v>108.17699999999995</v>
      </c>
      <c r="D23" s="166">
        <v>-50.195000000000149</v>
      </c>
      <c r="E23" s="166">
        <v>-13.070000000000071</v>
      </c>
      <c r="F23" s="166">
        <v>83.027999999999793</v>
      </c>
      <c r="G23" s="166">
        <v>50.383999999999986</v>
      </c>
      <c r="H23" s="166">
        <v>0.60499999999980059</v>
      </c>
      <c r="I23" s="166">
        <v>-80.778000000000176</v>
      </c>
      <c r="J23" s="166">
        <v>26</v>
      </c>
      <c r="K23" s="166">
        <v>117.61100000000005</v>
      </c>
      <c r="L23" s="166">
        <v>21.860999999999727</v>
      </c>
      <c r="M23" s="166">
        <v>-170.54299999999981</v>
      </c>
      <c r="N23" s="166">
        <v>-30.460999999999839</v>
      </c>
      <c r="O23" s="166">
        <v>-126.77700000000014</v>
      </c>
      <c r="P23" s="166">
        <v>577.81599999999958</v>
      </c>
      <c r="Q23" s="166">
        <v>-87.354999999999222</v>
      </c>
      <c r="R23" s="166">
        <v>493.72399999999993</v>
      </c>
      <c r="S23" s="166">
        <v>582.38000000000011</v>
      </c>
      <c r="T23" s="166">
        <v>546.21799999999985</v>
      </c>
      <c r="U23" s="166">
        <f>SUM(U18,U16,U15)</f>
        <v>156</v>
      </c>
      <c r="V23" s="166">
        <f>SUM(V18,V16,V15)</f>
        <v>-153.81899999999999</v>
      </c>
      <c r="W23" s="166">
        <v>121.96499999999985</v>
      </c>
      <c r="X23" s="166">
        <v>-3</v>
      </c>
      <c r="Y23" s="166">
        <f t="shared" ref="Y23:AD23" si="10">SUM(Y18,Y16,Y15)</f>
        <v>-275.49138708119938</v>
      </c>
      <c r="Z23" s="166">
        <f t="shared" si="10"/>
        <v>-822.49379310192512</v>
      </c>
      <c r="AA23" s="166">
        <f t="shared" si="10"/>
        <v>0.6759464899999017</v>
      </c>
      <c r="AB23" s="166">
        <f t="shared" si="10"/>
        <v>-128.02315714897554</v>
      </c>
      <c r="AC23" s="166">
        <f t="shared" si="10"/>
        <v>41.131999999999991</v>
      </c>
      <c r="AD23" s="166">
        <f t="shared" si="10"/>
        <v>-273.5922959200002</v>
      </c>
      <c r="AE23" s="166">
        <f t="shared" ref="AE23:AF23" si="11">SUM(AE18,AE16,AE15)</f>
        <v>478</v>
      </c>
      <c r="AF23" s="166">
        <f t="shared" si="11"/>
        <v>-62</v>
      </c>
      <c r="AG23" s="223"/>
      <c r="AH23" s="338"/>
      <c r="AI23" s="166">
        <v>127.93999999999951</v>
      </c>
      <c r="AJ23" s="166">
        <v>-3</v>
      </c>
      <c r="AK23" s="166">
        <v>-61.531999999999869</v>
      </c>
      <c r="AL23" s="166">
        <v>857.40800000000013</v>
      </c>
      <c r="AM23" s="166">
        <v>1129.873</v>
      </c>
      <c r="AN23" s="166">
        <f>SUM(AN18,AN16,AN15)</f>
        <v>-979.83918018312363</v>
      </c>
      <c r="AO23" s="166">
        <f>SUM(AO18,AO16,AO15)</f>
        <v>-359.8075065789759</v>
      </c>
    </row>
    <row r="24" spans="2:41" ht="14.5" thickBot="1">
      <c r="B24" s="83" t="s">
        <v>152</v>
      </c>
      <c r="C24" s="167">
        <v>-44.497</v>
      </c>
      <c r="D24" s="167">
        <v>-59.894999999999996</v>
      </c>
      <c r="E24" s="167">
        <v>48.356999999999999</v>
      </c>
      <c r="F24" s="167">
        <v>-17.420999999999999</v>
      </c>
      <c r="G24" s="167">
        <v>-20.832999999999998</v>
      </c>
      <c r="H24" s="167">
        <v>-140.65</v>
      </c>
      <c r="I24" s="167">
        <v>32.15</v>
      </c>
      <c r="J24" s="167">
        <v>97.885999999999996</v>
      </c>
      <c r="K24" s="167">
        <v>-70.579000000000008</v>
      </c>
      <c r="L24" s="167">
        <v>8.5509999999999966</v>
      </c>
      <c r="M24" s="167">
        <v>-288.66099999999994</v>
      </c>
      <c r="N24" s="167">
        <v>-467.79000000000008</v>
      </c>
      <c r="O24" s="167">
        <v>-6.4359999999999999</v>
      </c>
      <c r="P24" s="167">
        <v>-181.46600000000001</v>
      </c>
      <c r="Q24" s="167">
        <v>46.932000000000002</v>
      </c>
      <c r="R24" s="167">
        <v>121.289</v>
      </c>
      <c r="S24" s="167">
        <v>-156.29900000000001</v>
      </c>
      <c r="T24" s="167">
        <v>-35</v>
      </c>
      <c r="U24" s="167">
        <f>SUM(U25:U26)</f>
        <v>-55</v>
      </c>
      <c r="V24" s="167">
        <f>SUM(V25:V26)</f>
        <v>58.013999999999996</v>
      </c>
      <c r="W24" s="167">
        <f t="shared" ref="W24:AD24" si="12">SUM(W25:W26)</f>
        <v>-32.664000000000001</v>
      </c>
      <c r="X24" s="167">
        <f t="shared" si="12"/>
        <v>-47</v>
      </c>
      <c r="Y24" s="167">
        <f t="shared" si="12"/>
        <v>54.664000000000001</v>
      </c>
      <c r="Z24" s="167">
        <f t="shared" si="12"/>
        <v>195.334</v>
      </c>
      <c r="AA24" s="167">
        <f t="shared" si="12"/>
        <v>-30.353999999999999</v>
      </c>
      <c r="AB24" s="167">
        <f t="shared" si="12"/>
        <v>53.504999999999995</v>
      </c>
      <c r="AC24" s="167">
        <f t="shared" si="12"/>
        <v>45</v>
      </c>
      <c r="AD24" s="167">
        <f t="shared" si="12"/>
        <v>217.62500000000003</v>
      </c>
      <c r="AE24" s="167">
        <f t="shared" ref="AE24:AF24" si="13">SUM(AE25:AE26)</f>
        <v>-143</v>
      </c>
      <c r="AF24" s="167">
        <f t="shared" si="13"/>
        <v>-11</v>
      </c>
      <c r="AG24" s="223"/>
      <c r="AH24" s="338"/>
      <c r="AI24" s="167">
        <v>-73.455999999999989</v>
      </c>
      <c r="AJ24" s="167">
        <v>-31.447000000000003</v>
      </c>
      <c r="AK24" s="167">
        <v>-818.47900000000004</v>
      </c>
      <c r="AL24" s="167">
        <v>-19.681000000000026</v>
      </c>
      <c r="AM24" s="167">
        <v>-188.28500000000003</v>
      </c>
      <c r="AN24" s="167">
        <f t="shared" ref="AN24:AO24" si="14">SUM(AN25:AN26)</f>
        <v>170.334</v>
      </c>
      <c r="AO24" s="167">
        <f t="shared" si="14"/>
        <v>285.77600000000001</v>
      </c>
    </row>
    <row r="25" spans="2:41">
      <c r="B25" s="81" t="s">
        <v>153</v>
      </c>
      <c r="C25" s="165">
        <v>-11.459</v>
      </c>
      <c r="D25" s="165">
        <v>-8.5079999999999991</v>
      </c>
      <c r="E25" s="165">
        <v>-6.7770000000000001</v>
      </c>
      <c r="F25" s="165">
        <v>0.53000000000000114</v>
      </c>
      <c r="G25" s="165">
        <v>-12.228999999999999</v>
      </c>
      <c r="H25" s="165">
        <v>-11.280000000000001</v>
      </c>
      <c r="I25" s="165">
        <v>-8.9619999999999962</v>
      </c>
      <c r="J25" s="165">
        <v>-9.6390000000000029</v>
      </c>
      <c r="K25" s="165">
        <v>-11.555999999999999</v>
      </c>
      <c r="L25" s="165">
        <v>-13.303000000000003</v>
      </c>
      <c r="M25" s="165">
        <v>-15.476999999999997</v>
      </c>
      <c r="N25" s="165">
        <v>-12.143000000000001</v>
      </c>
      <c r="O25" s="165">
        <v>-18.064</v>
      </c>
      <c r="P25" s="165">
        <v>-59.929000000000002</v>
      </c>
      <c r="Q25" s="165">
        <v>-60.959000000000003</v>
      </c>
      <c r="R25" s="165">
        <v>70.951999999999998</v>
      </c>
      <c r="S25" s="165">
        <v>-72.143000000000001</v>
      </c>
      <c r="T25" s="165">
        <v>-113</v>
      </c>
      <c r="U25" s="165">
        <v>-22</v>
      </c>
      <c r="V25" s="165">
        <v>8.0429999999999993</v>
      </c>
      <c r="W25" s="165">
        <v>-7.3369999999999997</v>
      </c>
      <c r="X25" s="165">
        <v>-7</v>
      </c>
      <c r="Y25" s="165">
        <f>-21-SUM(W25:X25)</f>
        <v>-6.6630000000000003</v>
      </c>
      <c r="Z25" s="165">
        <v>0.33399999999999963</v>
      </c>
      <c r="AA25" s="165">
        <v>-5.5609999999999999</v>
      </c>
      <c r="AB25" s="477">
        <v>-0.17899999999999999</v>
      </c>
      <c r="AC25" s="477">
        <v>-4</v>
      </c>
      <c r="AD25" s="477">
        <v>-7.697000000000001</v>
      </c>
      <c r="AE25" s="477">
        <v>-16</v>
      </c>
      <c r="AF25" s="477">
        <v>1</v>
      </c>
      <c r="AG25" s="223"/>
      <c r="AH25" s="338"/>
      <c r="AI25" s="165">
        <v>-26.213999999999999</v>
      </c>
      <c r="AJ25" s="165">
        <v>-42.11</v>
      </c>
      <c r="AK25" s="165">
        <v>-52.478999999999999</v>
      </c>
      <c r="AL25" s="165">
        <v>-68</v>
      </c>
      <c r="AM25" s="165">
        <v>-199.1</v>
      </c>
      <c r="AN25" s="165">
        <f>SUM(W25:Z25)</f>
        <v>-20.666</v>
      </c>
      <c r="AO25" s="165">
        <f t="shared" ref="AO25:AO26" si="15">SUM(AA25:AD25)</f>
        <v>-17.437000000000001</v>
      </c>
    </row>
    <row r="26" spans="2:41">
      <c r="B26" s="84" t="s">
        <v>154</v>
      </c>
      <c r="C26" s="162">
        <v>-33.037999999999997</v>
      </c>
      <c r="D26" s="162">
        <v>-51.387</v>
      </c>
      <c r="E26" s="162">
        <v>55.134</v>
      </c>
      <c r="F26" s="162">
        <v>-17.951000000000001</v>
      </c>
      <c r="G26" s="162">
        <v>-8.6039999999999992</v>
      </c>
      <c r="H26" s="162">
        <v>-129.37</v>
      </c>
      <c r="I26" s="162">
        <v>41.111999999999995</v>
      </c>
      <c r="J26" s="162">
        <v>107.52499999999999</v>
      </c>
      <c r="K26" s="162">
        <v>-59.023000000000003</v>
      </c>
      <c r="L26" s="162">
        <v>21.853999999999999</v>
      </c>
      <c r="M26" s="162">
        <v>-273.18399999999997</v>
      </c>
      <c r="N26" s="162">
        <v>-455.64700000000005</v>
      </c>
      <c r="O26" s="162">
        <v>11.628</v>
      </c>
      <c r="P26" s="162">
        <v>-121.53700000000001</v>
      </c>
      <c r="Q26" s="162">
        <v>107.89100000000001</v>
      </c>
      <c r="R26" s="162">
        <v>50.337000000000003</v>
      </c>
      <c r="S26" s="162">
        <v>-84.156000000000006</v>
      </c>
      <c r="T26" s="162">
        <v>78</v>
      </c>
      <c r="U26" s="162">
        <v>-33</v>
      </c>
      <c r="V26" s="162">
        <v>49.970999999999997</v>
      </c>
      <c r="W26" s="162">
        <v>-25.327000000000002</v>
      </c>
      <c r="X26" s="162">
        <v>-40</v>
      </c>
      <c r="Y26" s="162">
        <f>-4-SUM(W26:X26)</f>
        <v>61.326999999999998</v>
      </c>
      <c r="Z26" s="162">
        <v>195</v>
      </c>
      <c r="AA26" s="162">
        <v>-24.792999999999999</v>
      </c>
      <c r="AB26" s="477">
        <v>53.683999999999997</v>
      </c>
      <c r="AC26" s="477">
        <v>49</v>
      </c>
      <c r="AD26" s="477">
        <v>225.32200000000003</v>
      </c>
      <c r="AE26" s="477">
        <v>-127</v>
      </c>
      <c r="AF26" s="477">
        <v>-12</v>
      </c>
      <c r="AG26" s="223"/>
      <c r="AH26" s="338"/>
      <c r="AI26" s="162">
        <v>-47.241999999999997</v>
      </c>
      <c r="AJ26" s="162">
        <v>10.662999999999997</v>
      </c>
      <c r="AK26" s="162">
        <v>-766</v>
      </c>
      <c r="AL26" s="162">
        <v>48.319000000000003</v>
      </c>
      <c r="AM26" s="162">
        <v>10.814999999999991</v>
      </c>
      <c r="AN26" s="162">
        <f>SUM(W26:Z26)</f>
        <v>191</v>
      </c>
      <c r="AO26" s="162">
        <f t="shared" si="15"/>
        <v>303.21300000000002</v>
      </c>
    </row>
    <row r="27" spans="2:41" s="49" customFormat="1" ht="14.5" thickBot="1">
      <c r="B27" s="107" t="s">
        <v>352</v>
      </c>
      <c r="C27" s="158"/>
      <c r="D27" s="158"/>
      <c r="E27" s="158"/>
      <c r="F27" s="158"/>
      <c r="G27" s="158"/>
      <c r="H27" s="158"/>
      <c r="I27" s="158"/>
      <c r="J27" s="158"/>
      <c r="K27" s="158"/>
      <c r="L27" s="158"/>
      <c r="M27" s="158"/>
      <c r="N27" s="158"/>
      <c r="O27" s="158">
        <v>-133.21300000000014</v>
      </c>
      <c r="P27" s="158">
        <v>396.34999999999957</v>
      </c>
      <c r="Q27" s="158">
        <v>-40.42299999999922</v>
      </c>
      <c r="R27" s="158">
        <v>615.01299999999992</v>
      </c>
      <c r="S27" s="158">
        <v>426.08100000000013</v>
      </c>
      <c r="T27" s="158">
        <v>511</v>
      </c>
      <c r="U27" s="158">
        <f>U23+U24</f>
        <v>101</v>
      </c>
      <c r="V27" s="158">
        <f>V23+V24</f>
        <v>-95.804999999999993</v>
      </c>
      <c r="W27" s="158">
        <v>89.300999999999846</v>
      </c>
      <c r="X27" s="158">
        <v>-50</v>
      </c>
      <c r="Y27" s="158">
        <f t="shared" ref="Y27:AF27" si="16">Y23+Y24</f>
        <v>-220.82738708119939</v>
      </c>
      <c r="Z27" s="158">
        <f t="shared" si="16"/>
        <v>-627.15979310192506</v>
      </c>
      <c r="AA27" s="158">
        <f t="shared" si="16"/>
        <v>-29.678053510000098</v>
      </c>
      <c r="AB27" s="158">
        <f t="shared" si="16"/>
        <v>-74.518157148975547</v>
      </c>
      <c r="AC27" s="158">
        <f t="shared" si="16"/>
        <v>86.131999999999991</v>
      </c>
      <c r="AD27" s="158">
        <f t="shared" si="16"/>
        <v>-55.967295920000169</v>
      </c>
      <c r="AE27" s="158">
        <f t="shared" si="16"/>
        <v>335</v>
      </c>
      <c r="AF27" s="158">
        <f t="shared" si="16"/>
        <v>-73</v>
      </c>
      <c r="AG27" s="223"/>
      <c r="AH27" s="338"/>
      <c r="AI27" s="158"/>
      <c r="AJ27" s="158"/>
      <c r="AK27" s="158"/>
      <c r="AL27" s="158"/>
      <c r="AM27" s="158">
        <v>941.58799999999997</v>
      </c>
      <c r="AN27" s="158">
        <f>AN23+AN24</f>
        <v>-809.50518018312368</v>
      </c>
      <c r="AO27" s="158">
        <f>AO23+AO24</f>
        <v>-74.031506578975893</v>
      </c>
    </row>
    <row r="28" spans="2:41">
      <c r="B28" s="84" t="s">
        <v>353</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478"/>
      <c r="AC28" s="478"/>
      <c r="AD28" s="478"/>
      <c r="AE28" s="478"/>
      <c r="AF28" s="478"/>
      <c r="AG28" s="223"/>
      <c r="AH28" s="338"/>
      <c r="AI28" s="162"/>
      <c r="AJ28" s="162"/>
      <c r="AK28" s="162"/>
      <c r="AL28" s="162"/>
      <c r="AM28" s="162">
        <v>16.259</v>
      </c>
      <c r="AN28" s="162">
        <f>SUM(W28:Z28)</f>
        <v>0</v>
      </c>
      <c r="AO28" s="162"/>
    </row>
    <row r="29" spans="2:41" s="49" customFormat="1" ht="14.5" thickBot="1">
      <c r="B29" s="107" t="s">
        <v>155</v>
      </c>
      <c r="C29" s="158">
        <v>63.67999999999995</v>
      </c>
      <c r="D29" s="158">
        <v>-110.09000000000015</v>
      </c>
      <c r="E29" s="158">
        <v>35.286999999999928</v>
      </c>
      <c r="F29" s="158">
        <v>65.6069999999998</v>
      </c>
      <c r="G29" s="158">
        <v>29.550999999999988</v>
      </c>
      <c r="H29" s="158">
        <v>-140.04500000000021</v>
      </c>
      <c r="I29" s="158">
        <v>-48.628000000000178</v>
      </c>
      <c r="J29" s="158">
        <v>125</v>
      </c>
      <c r="K29" s="158">
        <v>47.032000000000039</v>
      </c>
      <c r="L29" s="158">
        <v>30.411999999999722</v>
      </c>
      <c r="M29" s="158">
        <v>-459.20399999999972</v>
      </c>
      <c r="N29" s="158">
        <v>-498.25099999999992</v>
      </c>
      <c r="O29" s="158">
        <v>-133.21300000000014</v>
      </c>
      <c r="P29" s="158">
        <v>396.34999999999957</v>
      </c>
      <c r="Q29" s="158">
        <v>-40.42299999999922</v>
      </c>
      <c r="R29" s="158">
        <v>615.01299999999992</v>
      </c>
      <c r="S29" s="158">
        <v>426.08100000000013</v>
      </c>
      <c r="T29" s="158">
        <v>511</v>
      </c>
      <c r="U29" s="158">
        <f>U27+U28</f>
        <v>101</v>
      </c>
      <c r="V29" s="158">
        <f>V27+V28</f>
        <v>-95.804999999999993</v>
      </c>
      <c r="W29" s="158">
        <v>89.300999999999846</v>
      </c>
      <c r="X29" s="158">
        <f t="shared" ref="X29:AF29" si="17">SUM(X30:X31)</f>
        <v>-50</v>
      </c>
      <c r="Y29" s="158">
        <f t="shared" si="17"/>
        <v>-263.30100000000004</v>
      </c>
      <c r="Z29" s="158">
        <f t="shared" si="17"/>
        <v>-587</v>
      </c>
      <c r="AA29" s="158">
        <f t="shared" si="17"/>
        <v>-29.544</v>
      </c>
      <c r="AB29" s="158">
        <f t="shared" si="17"/>
        <v>-74.428999999999988</v>
      </c>
      <c r="AC29" s="158">
        <f t="shared" si="17"/>
        <v>87</v>
      </c>
      <c r="AD29" s="158">
        <f t="shared" si="17"/>
        <v>-55.916000000000011</v>
      </c>
      <c r="AE29" s="158">
        <f t="shared" si="17"/>
        <v>335</v>
      </c>
      <c r="AF29" s="158">
        <f t="shared" si="17"/>
        <v>-73</v>
      </c>
      <c r="AG29" s="223"/>
      <c r="AH29" s="338"/>
      <c r="AI29" s="158">
        <v>54.483999999999533</v>
      </c>
      <c r="AJ29" s="158">
        <v>-35</v>
      </c>
      <c r="AK29" s="158">
        <v>-880.01099999999997</v>
      </c>
      <c r="AL29" s="158">
        <v>837.72700000000009</v>
      </c>
      <c r="AM29" s="158">
        <v>957.84699999999998</v>
      </c>
      <c r="AN29" s="158">
        <f>SUM(AN30:AN31)</f>
        <v>-811</v>
      </c>
      <c r="AO29" s="158">
        <f>SUM(AO30:AO31)</f>
        <v>-72.888999999999996</v>
      </c>
    </row>
    <row r="30" spans="2:41" ht="13.5" customHeight="1">
      <c r="B30" s="534" t="s">
        <v>519</v>
      </c>
      <c r="C30" s="168">
        <v>64.628</v>
      </c>
      <c r="D30" s="168">
        <v>-114.116</v>
      </c>
      <c r="E30" s="168">
        <v>37.328000000000003</v>
      </c>
      <c r="F30" s="168">
        <v>55.355000000000004</v>
      </c>
      <c r="G30" s="168">
        <v>19.158999999999999</v>
      </c>
      <c r="H30" s="168">
        <v>-143.489</v>
      </c>
      <c r="I30" s="168">
        <v>-57.164000000000001</v>
      </c>
      <c r="J30" s="168">
        <v>117.26900000000001</v>
      </c>
      <c r="K30" s="168">
        <v>35.451999999999998</v>
      </c>
      <c r="L30" s="168">
        <v>19.21</v>
      </c>
      <c r="M30" s="168">
        <v>-473.59800000000001</v>
      </c>
      <c r="N30" s="168">
        <v>-510.06399999999996</v>
      </c>
      <c r="O30" s="168">
        <v>-150.536</v>
      </c>
      <c r="P30" s="168">
        <v>384.33800000000002</v>
      </c>
      <c r="Q30" s="168">
        <v>-47.308999999999997</v>
      </c>
      <c r="R30" s="168">
        <v>557</v>
      </c>
      <c r="S30" s="168">
        <v>406.17500000000001</v>
      </c>
      <c r="T30" s="168">
        <v>490</v>
      </c>
      <c r="U30" s="168">
        <v>78</v>
      </c>
      <c r="V30" s="168">
        <v>-106</v>
      </c>
      <c r="W30" s="168">
        <v>67.040000000000006</v>
      </c>
      <c r="X30" s="168">
        <v>-61</v>
      </c>
      <c r="Y30" s="168">
        <f>-283-SUM(W30:X30)</f>
        <v>-289.04000000000002</v>
      </c>
      <c r="Z30" s="168">
        <v>-625</v>
      </c>
      <c r="AA30" s="168">
        <v>-56.399000000000001</v>
      </c>
      <c r="AB30" s="479">
        <v>-101.59299999999999</v>
      </c>
      <c r="AC30" s="479">
        <v>58</v>
      </c>
      <c r="AD30" s="479">
        <v>-80.679000000000002</v>
      </c>
      <c r="AE30" s="479">
        <v>305</v>
      </c>
      <c r="AF30" s="479">
        <v>-94</v>
      </c>
      <c r="AG30" s="223"/>
      <c r="AH30" s="338"/>
      <c r="AI30" s="168">
        <v>43.195000000000007</v>
      </c>
      <c r="AJ30" s="168">
        <v>-64.225000000000023</v>
      </c>
      <c r="AK30" s="168">
        <v>-929</v>
      </c>
      <c r="AL30" s="168">
        <v>743</v>
      </c>
      <c r="AM30" s="168">
        <v>868.17499999999995</v>
      </c>
      <c r="AN30" s="168">
        <f>SUM(W30:Z30)</f>
        <v>-908</v>
      </c>
      <c r="AO30" s="168">
        <f t="shared" ref="AO30:AO31" si="18">SUM(AA30:AD30)</f>
        <v>-180.67099999999999</v>
      </c>
    </row>
    <row r="31" spans="2:41">
      <c r="B31" s="118" t="s">
        <v>520</v>
      </c>
      <c r="C31" s="169">
        <v>-0.82799999999999996</v>
      </c>
      <c r="D31" s="169">
        <v>4.1180000000000003</v>
      </c>
      <c r="E31" s="169">
        <v>-2.0409999999999999</v>
      </c>
      <c r="F31" s="169">
        <v>9.6219999999999999</v>
      </c>
      <c r="G31" s="169">
        <v>10.391999999999999</v>
      </c>
      <c r="H31" s="169">
        <v>3.4440000000000008</v>
      </c>
      <c r="I31" s="169">
        <v>8.516</v>
      </c>
      <c r="J31" s="169">
        <v>7.3279999999999994</v>
      </c>
      <c r="K31" s="169">
        <v>11.58</v>
      </c>
      <c r="L31" s="169">
        <v>11.124999999999998</v>
      </c>
      <c r="M31" s="169">
        <v>15</v>
      </c>
      <c r="N31" s="165">
        <v>11.288000000000004</v>
      </c>
      <c r="O31" s="169">
        <v>17.323</v>
      </c>
      <c r="P31" s="169">
        <v>12.246</v>
      </c>
      <c r="Q31" s="169">
        <v>6.8090000000000002</v>
      </c>
      <c r="R31" s="169">
        <v>58.405000000000001</v>
      </c>
      <c r="S31" s="169">
        <v>19.905999999999999</v>
      </c>
      <c r="T31" s="169">
        <v>21</v>
      </c>
      <c r="U31" s="169">
        <v>22</v>
      </c>
      <c r="V31" s="169">
        <v>27</v>
      </c>
      <c r="W31" s="169">
        <v>22.260999999999999</v>
      </c>
      <c r="X31" s="169">
        <v>11</v>
      </c>
      <c r="Y31" s="169">
        <f>60-SUM(W31:X31)-1</f>
        <v>25.739000000000004</v>
      </c>
      <c r="Z31" s="169">
        <v>38</v>
      </c>
      <c r="AA31" s="169">
        <v>26.855</v>
      </c>
      <c r="AB31" s="480">
        <v>27.164000000000001</v>
      </c>
      <c r="AC31" s="480">
        <v>29</v>
      </c>
      <c r="AD31" s="480">
        <v>24.762999999999991</v>
      </c>
      <c r="AE31" s="480">
        <v>30</v>
      </c>
      <c r="AF31" s="480">
        <v>21</v>
      </c>
      <c r="AG31" s="223"/>
      <c r="AH31" s="338"/>
      <c r="AI31" s="169">
        <v>10.871</v>
      </c>
      <c r="AJ31" s="169">
        <v>29.68</v>
      </c>
      <c r="AK31" s="169">
        <v>48.993000000000002</v>
      </c>
      <c r="AL31" s="169">
        <v>94.783000000000001</v>
      </c>
      <c r="AM31" s="169">
        <v>89.906000000000006</v>
      </c>
      <c r="AN31" s="169">
        <f>SUM(W31:Z31)</f>
        <v>97</v>
      </c>
      <c r="AO31" s="169">
        <f t="shared" si="18"/>
        <v>107.782</v>
      </c>
    </row>
    <row r="32" spans="2:41">
      <c r="B32" s="108"/>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464"/>
      <c r="AC32" s="464"/>
      <c r="AD32" s="464"/>
      <c r="AE32" s="464"/>
      <c r="AF32" s="464"/>
      <c r="AG32" s="223"/>
      <c r="AH32" s="338"/>
      <c r="AI32" s="162"/>
      <c r="AJ32" s="162"/>
      <c r="AK32" s="162"/>
      <c r="AL32" s="162"/>
      <c r="AM32" s="162"/>
      <c r="AN32" s="162"/>
      <c r="AO32" s="162"/>
    </row>
    <row r="33" spans="2:41">
      <c r="B33" s="108" t="s">
        <v>156</v>
      </c>
      <c r="C33" s="162">
        <v>74.691999999999993</v>
      </c>
      <c r="D33" s="162">
        <v>78.035000000000011</v>
      </c>
      <c r="E33" s="162">
        <v>74.794999999999987</v>
      </c>
      <c r="F33" s="162">
        <v>75.680000000000007</v>
      </c>
      <c r="G33" s="162">
        <v>96.887</v>
      </c>
      <c r="H33" s="162">
        <v>141.75299999999999</v>
      </c>
      <c r="I33" s="162">
        <v>89.732000000000028</v>
      </c>
      <c r="J33" s="162">
        <v>134.16899999999998</v>
      </c>
      <c r="K33" s="162">
        <v>91.376000000000005</v>
      </c>
      <c r="L33" s="162">
        <v>110.422</v>
      </c>
      <c r="M33" s="162">
        <v>103.39999999999998</v>
      </c>
      <c r="N33" s="162">
        <v>126.28300000000002</v>
      </c>
      <c r="O33" s="162">
        <v>113.1</v>
      </c>
      <c r="P33" s="162">
        <v>126.14100000000002</v>
      </c>
      <c r="Q33" s="162">
        <v>137.14399999999998</v>
      </c>
      <c r="R33" s="162">
        <v>119.66000000000003</v>
      </c>
      <c r="S33" s="162">
        <f>128728/1000</f>
        <v>128.72800000000001</v>
      </c>
      <c r="T33" s="162">
        <v>124</v>
      </c>
      <c r="U33" s="162">
        <v>137</v>
      </c>
      <c r="V33" s="162">
        <v>150</v>
      </c>
      <c r="W33" s="162">
        <v>134.69200000000001</v>
      </c>
      <c r="X33" s="162">
        <v>145</v>
      </c>
      <c r="Y33" s="162">
        <f>422-SUM(W33:X33)</f>
        <v>142.30799999999999</v>
      </c>
      <c r="Z33" s="162">
        <v>148.29200000000003</v>
      </c>
      <c r="AA33" s="162">
        <v>144.215</v>
      </c>
      <c r="AB33" s="162">
        <v>144.18199999999999</v>
      </c>
      <c r="AC33" s="162">
        <v>158</v>
      </c>
      <c r="AD33" s="162">
        <v>196.93800000000005</v>
      </c>
      <c r="AE33" s="162">
        <v>174</v>
      </c>
      <c r="AF33" s="541">
        <v>165</v>
      </c>
      <c r="AG33" s="223"/>
      <c r="AH33" s="338"/>
      <c r="AI33" s="162">
        <v>303.202</v>
      </c>
      <c r="AJ33" s="162">
        <v>462.541</v>
      </c>
      <c r="AK33" s="162">
        <v>431.48099999999999</v>
      </c>
      <c r="AL33" s="162">
        <v>496.04500000000002</v>
      </c>
      <c r="AM33" s="162">
        <v>539.72800000000007</v>
      </c>
      <c r="AN33" s="162">
        <f>SUM(W33:Z33)</f>
        <v>570.29200000000003</v>
      </c>
      <c r="AO33" s="162">
        <f t="shared" ref="AO33:AO34" si="19">SUM(AA33:AD33)</f>
        <v>643.33500000000004</v>
      </c>
    </row>
    <row r="34" spans="2:41">
      <c r="B34" s="108" t="s">
        <v>157</v>
      </c>
      <c r="C34" s="109">
        <v>-1.056</v>
      </c>
      <c r="D34" s="109">
        <v>-111.926</v>
      </c>
      <c r="E34" s="109">
        <v>-0.96399999999999864</v>
      </c>
      <c r="F34" s="109">
        <v>108.664</v>
      </c>
      <c r="G34" s="109">
        <v>-0.63100000000000001</v>
      </c>
      <c r="H34" s="109">
        <v>52.575999999999993</v>
      </c>
      <c r="I34" s="109">
        <v>22.417000000000002</v>
      </c>
      <c r="J34" s="109">
        <v>221.471</v>
      </c>
      <c r="K34" s="109">
        <v>-354.52199999999999</v>
      </c>
      <c r="L34" s="109">
        <v>26.965999999999951</v>
      </c>
      <c r="M34" s="109">
        <v>56.835000000000036</v>
      </c>
      <c r="N34" s="109">
        <v>67.099999999999937</v>
      </c>
      <c r="O34" s="109">
        <v>112.223</v>
      </c>
      <c r="P34" s="109">
        <v>-192.066</v>
      </c>
      <c r="Q34" s="109">
        <v>-8.6329999999999956</v>
      </c>
      <c r="R34" s="109">
        <v>-210.82300000000001</v>
      </c>
      <c r="S34" s="109">
        <f>26961/1000</f>
        <v>26.960999999999999</v>
      </c>
      <c r="T34" s="109">
        <v>-172</v>
      </c>
      <c r="U34" s="109">
        <v>-1</v>
      </c>
      <c r="V34" s="109">
        <v>87</v>
      </c>
      <c r="W34" s="109">
        <v>-154.41293010000001</v>
      </c>
      <c r="X34" s="109">
        <v>142</v>
      </c>
      <c r="Y34" s="109">
        <f>-54-SUM(W34:X34)</f>
        <v>-41.587069899999989</v>
      </c>
      <c r="Z34" s="109">
        <v>745</v>
      </c>
      <c r="AA34" s="109">
        <v>-111.089</v>
      </c>
      <c r="AB34" s="109">
        <v>3.15</v>
      </c>
      <c r="AC34" s="109">
        <v>137</v>
      </c>
      <c r="AD34" s="109">
        <v>177.358</v>
      </c>
      <c r="AE34" s="109">
        <v>-210</v>
      </c>
      <c r="AF34" s="221">
        <v>113</v>
      </c>
      <c r="AG34" s="223"/>
      <c r="AH34" s="338"/>
      <c r="AI34" s="109">
        <v>-5.2819999999999965</v>
      </c>
      <c r="AJ34" s="109">
        <v>295.83299999999997</v>
      </c>
      <c r="AK34" s="109">
        <v>-203.62100000000007</v>
      </c>
      <c r="AL34" s="109">
        <v>-299.29899999999998</v>
      </c>
      <c r="AM34" s="109">
        <v>-58.145000000000003</v>
      </c>
      <c r="AN34" s="109">
        <f>SUM(W34:Z34)</f>
        <v>691</v>
      </c>
      <c r="AO34" s="109">
        <f t="shared" si="19"/>
        <v>206.41900000000001</v>
      </c>
    </row>
    <row r="35" spans="2:41" s="49" customFormat="1" ht="14.5" thickBot="1">
      <c r="B35" s="107" t="s">
        <v>158</v>
      </c>
      <c r="C35" s="159">
        <v>239.11599999999996</v>
      </c>
      <c r="D35" s="159">
        <v>262.62899999999991</v>
      </c>
      <c r="E35" s="159">
        <v>228.79799999999992</v>
      </c>
      <c r="F35" s="159">
        <v>248.39600000000019</v>
      </c>
      <c r="G35" s="159">
        <v>229.05799999999999</v>
      </c>
      <c r="H35" s="159">
        <v>345.03099999999984</v>
      </c>
      <c r="I35" s="159">
        <v>129.21600000000026</v>
      </c>
      <c r="J35" s="159">
        <v>284.9009999999999</v>
      </c>
      <c r="K35" s="159">
        <v>161.82600000000008</v>
      </c>
      <c r="L35" s="159">
        <v>171.9899999999997</v>
      </c>
      <c r="M35" s="159">
        <v>159.11100000000044</v>
      </c>
      <c r="N35" s="159">
        <v>168.92099999999962</v>
      </c>
      <c r="O35" s="159">
        <v>360.42100000000011</v>
      </c>
      <c r="P35" s="159">
        <v>362.67900000000003</v>
      </c>
      <c r="Q35" s="159">
        <f>Q29-Q24-Q18-Q16+Q33+Q34</f>
        <v>313.71800000000081</v>
      </c>
      <c r="R35" s="159">
        <f>R29-R24-R18-R16+R33+R34</f>
        <v>500.678</v>
      </c>
      <c r="S35" s="159">
        <f>S29-S24-S18-S16+S33+S34</f>
        <v>552.33500000000004</v>
      </c>
      <c r="T35" s="159">
        <f t="shared" ref="T35" si="20">T29-T24-T18-T16+T33+T34</f>
        <v>641</v>
      </c>
      <c r="U35" s="159">
        <f>U29-U24-U18-U16+U33+U34</f>
        <v>331</v>
      </c>
      <c r="V35" s="159">
        <f>V27-V24-V18-V16+V33+V34</f>
        <v>102.881</v>
      </c>
      <c r="W35" s="159">
        <v>84.31006989999986</v>
      </c>
      <c r="X35" s="159">
        <f>X29-X24-X18-X16+X33+X34</f>
        <v>74</v>
      </c>
      <c r="Y35" s="159">
        <f>Y29-Y24-Y18-Y16+Y33+Y34</f>
        <v>45.689930099999941</v>
      </c>
      <c r="Z35" s="159">
        <f t="shared" ref="Z35:AA35" si="21">Z29-Z24-Z18-Z16+Z33+Z34</f>
        <v>102.48400000000004</v>
      </c>
      <c r="AA35" s="159">
        <f t="shared" si="21"/>
        <v>146.19999999999999</v>
      </c>
      <c r="AB35" s="159">
        <f>AB29-AB24-AB18-AB16+AB33+AB34</f>
        <v>338.84199999999998</v>
      </c>
      <c r="AC35" s="159">
        <f>AC29-AC24-AC18-AC16+AC33+AC34</f>
        <v>408.86799999999999</v>
      </c>
      <c r="AD35" s="159">
        <f>AD29-AD24-AD18-AD16+AD33+AD34</f>
        <v>487.66300000000001</v>
      </c>
      <c r="AE35" s="159">
        <f t="shared" ref="AE35" si="22">AE29-AE24-AE18-AE16+AE33+AE34</f>
        <v>430</v>
      </c>
      <c r="AF35" s="159">
        <f>AF29-AF24-AF18-AF16+AF33+AF34</f>
        <v>189</v>
      </c>
      <c r="AG35" s="223"/>
      <c r="AH35" s="338"/>
      <c r="AI35" s="159">
        <v>978.93899999999996</v>
      </c>
      <c r="AJ35" s="159">
        <v>988.2059999999999</v>
      </c>
      <c r="AK35" s="159">
        <v>661.84799999999984</v>
      </c>
      <c r="AL35" s="159">
        <v>1538.496000000001</v>
      </c>
      <c r="AM35" s="159">
        <v>1627.4220000000003</v>
      </c>
      <c r="AN35" s="159">
        <f>AN29-AN24-AN18-AN16+AN33+AN34</f>
        <v>306.48400000000004</v>
      </c>
      <c r="AO35" s="159">
        <f>AO29-AO24-AO18-AO16+AO33+AO34</f>
        <v>1381.5730000000001</v>
      </c>
    </row>
    <row r="36" spans="2:41" s="78" customFormat="1" ht="14.5">
      <c r="B36" s="110" t="s">
        <v>159</v>
      </c>
      <c r="C36" s="160">
        <f>C35/C7</f>
        <v>0.20523428273229144</v>
      </c>
      <c r="D36" s="160">
        <f t="shared" ref="D36:P36" si="23">D35/D7</f>
        <v>0.1994153356694596</v>
      </c>
      <c r="E36" s="160">
        <f t="shared" si="23"/>
        <v>0.15901603796402086</v>
      </c>
      <c r="F36" s="160">
        <f t="shared" si="23"/>
        <v>0.16597830887831222</v>
      </c>
      <c r="G36" s="160">
        <f t="shared" si="23"/>
        <v>0.17260313817037268</v>
      </c>
      <c r="H36" s="160">
        <f t="shared" si="23"/>
        <v>0.2525934255472731</v>
      </c>
      <c r="I36" s="160">
        <f t="shared" si="23"/>
        <v>9.8393910688885547E-2</v>
      </c>
      <c r="J36" s="160">
        <f t="shared" si="23"/>
        <v>0.22657962985496219</v>
      </c>
      <c r="K36" s="160">
        <f t="shared" si="23"/>
        <v>0.12917784883990113</v>
      </c>
      <c r="L36" s="160">
        <f>(L35/L7)-0</f>
        <v>0.1560823945157441</v>
      </c>
      <c r="M36" s="160">
        <f t="shared" si="23"/>
        <v>0.1071006669938029</v>
      </c>
      <c r="N36" s="160">
        <f t="shared" si="23"/>
        <v>0.10751732061192576</v>
      </c>
      <c r="O36" s="160">
        <f t="shared" si="23"/>
        <v>0.20103534981682539</v>
      </c>
      <c r="P36" s="160">
        <f t="shared" si="23"/>
        <v>0.18957818893472533</v>
      </c>
      <c r="Q36" s="160">
        <f>Q35/Q7</f>
        <v>0.13639652111003125</v>
      </c>
      <c r="R36" s="160">
        <f>R35/R7</f>
        <v>0.20712899238301066</v>
      </c>
      <c r="S36" s="160">
        <f t="shared" ref="S36:T36" si="24">S35/S7</f>
        <v>0.24101908437751593</v>
      </c>
      <c r="T36" s="160">
        <f t="shared" si="24"/>
        <v>0.274989274989275</v>
      </c>
      <c r="U36" s="160">
        <f>U35/U7</f>
        <v>0.14743875278396437</v>
      </c>
      <c r="V36" s="160">
        <f t="shared" ref="V36:W36" si="25">V35/V7</f>
        <v>5.2570771589167092E-2</v>
      </c>
      <c r="W36" s="160">
        <f t="shared" si="25"/>
        <v>4.4007325274464791E-2</v>
      </c>
      <c r="X36" s="160">
        <f>X35/X7</f>
        <v>4.4444444444444446E-2</v>
      </c>
      <c r="Y36" s="160">
        <f>Y35/Y7</f>
        <v>2.4511765075107265E-2</v>
      </c>
      <c r="Z36" s="160">
        <f>Z35/Z7</f>
        <v>5.382563025210086E-2</v>
      </c>
      <c r="AA36" s="160">
        <f>AA35/AA7</f>
        <v>8.6311431955066104E-2</v>
      </c>
      <c r="AB36" s="160">
        <f t="shared" ref="AB36:AF36" si="26">AB35/AB7</f>
        <v>0.16408813559322033</v>
      </c>
      <c r="AC36" s="160">
        <f t="shared" si="26"/>
        <v>0.19150725995316159</v>
      </c>
      <c r="AD36" s="160">
        <f t="shared" si="26"/>
        <v>0.2138480091956359</v>
      </c>
      <c r="AE36" s="160">
        <f t="shared" si="26"/>
        <v>0.18391787852865696</v>
      </c>
      <c r="AF36" s="160">
        <f t="shared" si="26"/>
        <v>9.4264339152119694E-2</v>
      </c>
      <c r="AG36" s="223"/>
      <c r="AH36" s="130"/>
      <c r="AI36" s="160">
        <v>0.18070020061002581</v>
      </c>
      <c r="AJ36" s="160">
        <v>0.18774037347226766</v>
      </c>
      <c r="AK36" s="160">
        <v>0.12230664920717109</v>
      </c>
      <c r="AL36" s="160">
        <v>0.18265025797857828</v>
      </c>
      <c r="AM36" s="160">
        <v>0.1844104249291785</v>
      </c>
      <c r="AN36" s="160">
        <f>AN35/AN7</f>
        <v>4.1709853021230273E-2</v>
      </c>
      <c r="AO36" s="160">
        <f>AO35/AO7</f>
        <v>0.16901454378147859</v>
      </c>
    </row>
    <row r="37" spans="2:41">
      <c r="B37" s="116"/>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3"/>
      <c r="AH37" s="113"/>
      <c r="AI37" s="119"/>
      <c r="AJ37" s="119"/>
      <c r="AK37" s="119"/>
      <c r="AL37" s="119"/>
    </row>
    <row r="38" spans="2:41" ht="18" customHeight="1" thickBot="1">
      <c r="B38" s="66" t="s">
        <v>160</v>
      </c>
      <c r="C38" s="67" t="s">
        <v>84</v>
      </c>
      <c r="D38" s="67" t="s">
        <v>85</v>
      </c>
      <c r="E38" s="67" t="s">
        <v>86</v>
      </c>
      <c r="F38" s="67" t="s">
        <v>87</v>
      </c>
      <c r="G38" s="67" t="s">
        <v>88</v>
      </c>
      <c r="H38" s="67" t="s">
        <v>89</v>
      </c>
      <c r="I38" s="67" t="s">
        <v>90</v>
      </c>
      <c r="J38" s="67" t="s">
        <v>91</v>
      </c>
      <c r="K38" s="67" t="s">
        <v>92</v>
      </c>
      <c r="L38" s="67" t="s">
        <v>93</v>
      </c>
      <c r="M38" s="67" t="s">
        <v>94</v>
      </c>
      <c r="N38" s="67" t="s">
        <v>95</v>
      </c>
      <c r="O38" s="67" t="s">
        <v>96</v>
      </c>
      <c r="P38" s="67" t="s">
        <v>97</v>
      </c>
      <c r="Q38" s="67" t="s">
        <v>98</v>
      </c>
      <c r="R38" s="67" t="s">
        <v>99</v>
      </c>
      <c r="S38" s="67" t="s">
        <v>100</v>
      </c>
      <c r="T38" s="67" t="s">
        <v>101</v>
      </c>
      <c r="U38" s="67" t="s">
        <v>336</v>
      </c>
      <c r="V38" s="67" t="s">
        <v>342</v>
      </c>
      <c r="W38" s="67" t="s">
        <v>357</v>
      </c>
      <c r="X38" s="67" t="s">
        <v>384</v>
      </c>
      <c r="Y38" s="67" t="s">
        <v>395</v>
      </c>
      <c r="Z38" s="67" t="s">
        <v>396</v>
      </c>
      <c r="AA38" s="67" t="s">
        <v>469</v>
      </c>
      <c r="AB38" s="67" t="s">
        <v>473</v>
      </c>
      <c r="AC38" s="67" t="str">
        <f>AC5</f>
        <v>3T24</v>
      </c>
      <c r="AD38" s="67" t="str">
        <f>AD5</f>
        <v>4T24</v>
      </c>
      <c r="AE38" s="67" t="str">
        <f>AE5</f>
        <v>1T25</v>
      </c>
      <c r="AF38" s="224" t="s">
        <v>521</v>
      </c>
      <c r="AH38" s="119"/>
      <c r="AI38" s="119"/>
      <c r="AJ38" s="119"/>
      <c r="AK38" s="119"/>
      <c r="AL38" s="119"/>
      <c r="AM38" s="113"/>
      <c r="AN38" s="113"/>
      <c r="AO38" s="113"/>
    </row>
    <row r="39" spans="2:41" ht="7.5" customHeight="1" thickTop="1">
      <c r="B39" s="120"/>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H39" s="119"/>
      <c r="AI39" s="119"/>
      <c r="AJ39" s="119"/>
      <c r="AK39" s="119"/>
      <c r="AL39" s="119"/>
      <c r="AM39" s="113"/>
      <c r="AN39" s="113"/>
      <c r="AO39" s="113"/>
    </row>
    <row r="40" spans="2:41">
      <c r="B40" s="117"/>
      <c r="C40" s="109"/>
      <c r="D40" s="109"/>
      <c r="E40" s="109"/>
      <c r="F40" s="109"/>
      <c r="G40" s="109"/>
      <c r="H40" s="109"/>
      <c r="I40" s="109"/>
      <c r="J40" s="109"/>
      <c r="K40" s="109"/>
      <c r="L40" s="109"/>
      <c r="M40" s="109"/>
      <c r="N40" s="109"/>
      <c r="O40" s="113"/>
      <c r="P40" s="113"/>
      <c r="Q40" s="113"/>
      <c r="R40" s="113"/>
      <c r="S40" s="113"/>
      <c r="T40" s="113"/>
      <c r="U40" s="113"/>
      <c r="V40" s="113"/>
      <c r="W40" s="113"/>
      <c r="X40" s="113"/>
      <c r="Y40" s="113"/>
      <c r="Z40" s="113"/>
      <c r="AA40" s="113"/>
      <c r="AB40" s="113"/>
      <c r="AC40" s="113"/>
      <c r="AD40" s="113"/>
      <c r="AE40" s="113"/>
      <c r="AF40" s="113"/>
      <c r="AH40" s="119"/>
      <c r="AI40" s="119"/>
      <c r="AJ40" s="119"/>
      <c r="AK40" s="119"/>
      <c r="AL40" s="119"/>
      <c r="AM40" s="113"/>
      <c r="AN40" s="113"/>
      <c r="AO40" s="113"/>
    </row>
    <row r="41" spans="2:41" ht="14.5" thickBot="1">
      <c r="B41" s="122" t="s">
        <v>161</v>
      </c>
      <c r="C41" s="170">
        <f>SUM(C42:C50)</f>
        <v>2832.0549999999998</v>
      </c>
      <c r="D41" s="170">
        <f t="shared" ref="D41:P41" si="27">SUM(D42:D50)</f>
        <v>2654.9590000000003</v>
      </c>
      <c r="E41" s="170">
        <f t="shared" si="27"/>
        <v>2646.402</v>
      </c>
      <c r="F41" s="170">
        <f t="shared" si="27"/>
        <v>2581.4180000000001</v>
      </c>
      <c r="G41" s="170">
        <f t="shared" si="27"/>
        <v>2456.7450000000003</v>
      </c>
      <c r="H41" s="170">
        <f t="shared" si="27"/>
        <v>2782.2065663538724</v>
      </c>
      <c r="I41" s="170">
        <f t="shared" si="27"/>
        <v>2706.3770181844852</v>
      </c>
      <c r="J41" s="170">
        <f t="shared" si="27"/>
        <v>2669.2290000000003</v>
      </c>
      <c r="K41" s="170">
        <f t="shared" si="27"/>
        <v>3092.0460000000003</v>
      </c>
      <c r="L41" s="170">
        <f t="shared" si="27"/>
        <v>2780.74</v>
      </c>
      <c r="M41" s="170">
        <f t="shared" si="27"/>
        <v>3091.7239999999997</v>
      </c>
      <c r="N41" s="170">
        <f t="shared" si="27"/>
        <v>3405.3719999999994</v>
      </c>
      <c r="O41" s="170">
        <f t="shared" si="27"/>
        <v>3233.8740000000007</v>
      </c>
      <c r="P41" s="170">
        <f t="shared" si="27"/>
        <v>3621</v>
      </c>
      <c r="Q41" s="170">
        <f>SUM(Q42:Q50)</f>
        <v>4297.0249999999996</v>
      </c>
      <c r="R41" s="170">
        <f>SUM(R42:R50)</f>
        <v>4454.9830000000002</v>
      </c>
      <c r="S41" s="170">
        <f t="shared" ref="S41:U41" si="28">SUM(S42:S50)</f>
        <v>4327.2749999999996</v>
      </c>
      <c r="T41" s="170">
        <f t="shared" si="28"/>
        <v>4506</v>
      </c>
      <c r="U41" s="170">
        <f t="shared" si="28"/>
        <v>4898.8609999999999</v>
      </c>
      <c r="V41" s="170">
        <f t="shared" ref="V41:AA41" si="29">SUM(V42:V50)</f>
        <v>4270</v>
      </c>
      <c r="W41" s="170">
        <f t="shared" si="29"/>
        <v>4879.74</v>
      </c>
      <c r="X41" s="170">
        <f t="shared" si="29"/>
        <v>5188</v>
      </c>
      <c r="Y41" s="170">
        <f t="shared" si="29"/>
        <v>4913</v>
      </c>
      <c r="Z41" s="170">
        <v>4862.3969999999999</v>
      </c>
      <c r="AA41" s="170">
        <f t="shared" si="29"/>
        <v>4564.0930000000008</v>
      </c>
      <c r="AB41" s="170">
        <f>SUM(AB42:AB50)</f>
        <v>4928.2159999999994</v>
      </c>
      <c r="AC41" s="170">
        <f>SUM(AC42:AC50)</f>
        <v>4623</v>
      </c>
      <c r="AD41" s="170">
        <f>SUM(AD42:AD50)</f>
        <v>4562.2839999999997</v>
      </c>
      <c r="AE41" s="170">
        <f>SUM(AE42:AE50)</f>
        <v>4185</v>
      </c>
      <c r="AF41" s="170">
        <f>SUM(AF42:AF50)</f>
        <v>4200</v>
      </c>
      <c r="AG41" s="119"/>
      <c r="AH41" s="119"/>
      <c r="AI41" s="119"/>
      <c r="AJ41" s="119"/>
      <c r="AK41" s="119"/>
      <c r="AL41" s="119"/>
      <c r="AM41" s="113"/>
      <c r="AN41" s="113"/>
      <c r="AO41" s="113"/>
    </row>
    <row r="42" spans="2:41" ht="14.25" customHeight="1">
      <c r="B42" s="116" t="s">
        <v>162</v>
      </c>
      <c r="C42" s="119">
        <v>46.537999999999997</v>
      </c>
      <c r="D42" s="119">
        <v>48.152999999999999</v>
      </c>
      <c r="E42" s="119">
        <v>32.043999999999997</v>
      </c>
      <c r="F42" s="171">
        <v>116.81100000000001</v>
      </c>
      <c r="G42" s="119">
        <v>76.706000000000003</v>
      </c>
      <c r="H42" s="119">
        <v>59.725000000000001</v>
      </c>
      <c r="I42" s="119">
        <v>87.718000000000004</v>
      </c>
      <c r="J42" s="119">
        <v>190.321</v>
      </c>
      <c r="K42" s="119">
        <v>193.85400000000001</v>
      </c>
      <c r="L42" s="119">
        <v>172.03899999999999</v>
      </c>
      <c r="M42" s="119">
        <v>458</v>
      </c>
      <c r="N42" s="119">
        <v>632.43799999999999</v>
      </c>
      <c r="O42" s="119">
        <v>514.62400000000002</v>
      </c>
      <c r="P42" s="119">
        <v>296</v>
      </c>
      <c r="Q42" s="119">
        <v>686</v>
      </c>
      <c r="R42" s="119">
        <v>1449.345</v>
      </c>
      <c r="S42" s="119">
        <v>1263.009</v>
      </c>
      <c r="T42" s="119">
        <v>1126</v>
      </c>
      <c r="U42" s="119">
        <v>1177</v>
      </c>
      <c r="V42" s="119">
        <v>849</v>
      </c>
      <c r="W42" s="119">
        <v>886.06299999999999</v>
      </c>
      <c r="X42" s="119">
        <v>1028</v>
      </c>
      <c r="Y42" s="119">
        <v>937</v>
      </c>
      <c r="Z42" s="119">
        <v>1350.229</v>
      </c>
      <c r="AA42" s="119">
        <v>1072.8920000000001</v>
      </c>
      <c r="AB42" s="119">
        <v>1580.2940000000001</v>
      </c>
      <c r="AC42" s="119">
        <v>1284</v>
      </c>
      <c r="AD42" s="119">
        <v>1141.9649999999999</v>
      </c>
      <c r="AE42" s="119">
        <v>653</v>
      </c>
      <c r="AF42" s="171">
        <v>580</v>
      </c>
      <c r="AG42" s="213"/>
      <c r="AH42" s="213"/>
      <c r="AI42" s="119"/>
      <c r="AJ42" s="119"/>
      <c r="AK42" s="119"/>
      <c r="AL42" s="119"/>
      <c r="AM42" s="113"/>
      <c r="AN42" s="113"/>
      <c r="AO42" s="113"/>
    </row>
    <row r="43" spans="2:41" ht="14.25" customHeight="1">
      <c r="B43" s="123" t="s">
        <v>163</v>
      </c>
      <c r="C43" s="172">
        <v>913.65599999999995</v>
      </c>
      <c r="D43" s="172">
        <v>777.80899999999997</v>
      </c>
      <c r="E43" s="172">
        <v>551.45399999999995</v>
      </c>
      <c r="F43" s="173">
        <v>453.15800000000002</v>
      </c>
      <c r="G43" s="172">
        <v>499.66500000000002</v>
      </c>
      <c r="H43" s="172">
        <v>580.65200000000004</v>
      </c>
      <c r="I43" s="172">
        <v>631.47500000000002</v>
      </c>
      <c r="J43" s="172">
        <v>416.34500000000003</v>
      </c>
      <c r="K43" s="172">
        <v>411.22899999999998</v>
      </c>
      <c r="L43" s="172">
        <v>374.20400000000001</v>
      </c>
      <c r="M43" s="172">
        <v>548.524</v>
      </c>
      <c r="N43" s="172">
        <v>616.93600000000004</v>
      </c>
      <c r="O43" s="172">
        <v>338.976</v>
      </c>
      <c r="P43" s="172">
        <v>424</v>
      </c>
      <c r="Q43" s="172">
        <v>693</v>
      </c>
      <c r="R43" s="172">
        <v>337.35</v>
      </c>
      <c r="S43" s="172">
        <v>321.81200000000001</v>
      </c>
      <c r="T43" s="172">
        <v>356</v>
      </c>
      <c r="U43" s="172">
        <v>457</v>
      </c>
      <c r="V43" s="172">
        <v>340</v>
      </c>
      <c r="W43" s="172">
        <v>410.37099999999998</v>
      </c>
      <c r="X43" s="172">
        <v>344</v>
      </c>
      <c r="Y43" s="172">
        <v>390</v>
      </c>
      <c r="Z43" s="172">
        <v>379.04199999999997</v>
      </c>
      <c r="AA43" s="172">
        <v>366.35199999999998</v>
      </c>
      <c r="AB43" s="172">
        <v>383.52800000000002</v>
      </c>
      <c r="AC43" s="172">
        <v>381</v>
      </c>
      <c r="AD43" s="172">
        <v>385.12200000000001</v>
      </c>
      <c r="AE43" s="172">
        <v>205</v>
      </c>
      <c r="AF43" s="173">
        <v>93</v>
      </c>
      <c r="AG43" s="213"/>
      <c r="AI43" s="119"/>
      <c r="AJ43" s="119"/>
      <c r="AK43" s="119"/>
      <c r="AL43" s="119"/>
      <c r="AM43" s="113"/>
      <c r="AN43" s="113"/>
      <c r="AO43" s="113"/>
    </row>
    <row r="44" spans="2:41" ht="14.25" customHeight="1">
      <c r="B44" s="123" t="s">
        <v>164</v>
      </c>
      <c r="C44" s="172">
        <v>35.11</v>
      </c>
      <c r="D44" s="172">
        <v>25.463000000000001</v>
      </c>
      <c r="E44" s="172">
        <v>59.433</v>
      </c>
      <c r="F44" s="173">
        <v>168.31200000000001</v>
      </c>
      <c r="G44" s="172">
        <v>103.854</v>
      </c>
      <c r="H44" s="172">
        <v>79.854566353871988</v>
      </c>
      <c r="I44" s="172">
        <v>42.476018184485532</v>
      </c>
      <c r="J44" s="172">
        <v>42.262999999999998</v>
      </c>
      <c r="K44" s="172">
        <v>178.762</v>
      </c>
      <c r="L44" s="172">
        <v>146.15100000000001</v>
      </c>
      <c r="M44" s="172">
        <v>44.146000000000001</v>
      </c>
      <c r="N44" s="172">
        <v>115.253</v>
      </c>
      <c r="O44" s="172">
        <v>15.547000000000001</v>
      </c>
      <c r="P44" s="172">
        <v>151</v>
      </c>
      <c r="Q44" s="172">
        <v>30</v>
      </c>
      <c r="R44" s="172">
        <v>10.749000000000001</v>
      </c>
      <c r="S44" s="172">
        <v>45.183999999999997</v>
      </c>
      <c r="T44" s="172">
        <v>19</v>
      </c>
      <c r="U44" s="172">
        <v>25</v>
      </c>
      <c r="V44" s="172">
        <v>33</v>
      </c>
      <c r="W44" s="172">
        <v>222</v>
      </c>
      <c r="X44" s="172">
        <v>224</v>
      </c>
      <c r="Y44" s="172">
        <v>215</v>
      </c>
      <c r="Z44" s="172">
        <v>240.76</v>
      </c>
      <c r="AA44" s="172">
        <v>167.077</v>
      </c>
      <c r="AB44" s="172">
        <v>73.463999999999999</v>
      </c>
      <c r="AC44" s="172">
        <v>9</v>
      </c>
      <c r="AD44" s="172">
        <v>48</v>
      </c>
      <c r="AE44" s="172">
        <v>57</v>
      </c>
      <c r="AF44" s="173">
        <v>104</v>
      </c>
      <c r="AG44" s="213"/>
      <c r="AI44" s="119"/>
      <c r="AJ44" s="119"/>
      <c r="AK44" s="119"/>
      <c r="AL44" s="119"/>
      <c r="AM44" s="113"/>
      <c r="AN44" s="113"/>
      <c r="AO44" s="113"/>
    </row>
    <row r="45" spans="2:41" ht="14.25" customHeight="1">
      <c r="B45" s="123" t="s">
        <v>165</v>
      </c>
      <c r="C45" s="172">
        <v>409.36599999999999</v>
      </c>
      <c r="D45" s="172">
        <v>450.74299999999999</v>
      </c>
      <c r="E45" s="172">
        <v>530.66999999999996</v>
      </c>
      <c r="F45" s="173">
        <v>489.70800000000003</v>
      </c>
      <c r="G45" s="172">
        <v>525.09400000000005</v>
      </c>
      <c r="H45" s="172">
        <v>598.84100000000001</v>
      </c>
      <c r="I45" s="172">
        <v>501.78899999999999</v>
      </c>
      <c r="J45" s="172">
        <v>404.29599999999999</v>
      </c>
      <c r="K45" s="172">
        <v>544.07799999999997</v>
      </c>
      <c r="L45" s="172">
        <v>511.23</v>
      </c>
      <c r="M45" s="172">
        <v>611.29999999999995</v>
      </c>
      <c r="N45" s="172">
        <v>474.71499999999997</v>
      </c>
      <c r="O45" s="172">
        <v>643.79300000000001</v>
      </c>
      <c r="P45" s="172">
        <v>667</v>
      </c>
      <c r="Q45" s="172">
        <v>758</v>
      </c>
      <c r="R45" s="172">
        <v>698.24900000000002</v>
      </c>
      <c r="S45" s="172">
        <v>684.94799999999998</v>
      </c>
      <c r="T45" s="172">
        <v>571</v>
      </c>
      <c r="U45" s="172">
        <v>526.62800000000004</v>
      </c>
      <c r="V45" s="172">
        <v>496</v>
      </c>
      <c r="W45" s="172">
        <v>544.83500000000004</v>
      </c>
      <c r="X45" s="172">
        <v>518</v>
      </c>
      <c r="Y45" s="172">
        <v>502</v>
      </c>
      <c r="Z45" s="172">
        <v>382.44299999999998</v>
      </c>
      <c r="AA45" s="172">
        <v>429.21499999999997</v>
      </c>
      <c r="AB45" s="172">
        <v>463.17500000000001</v>
      </c>
      <c r="AC45" s="172">
        <v>518</v>
      </c>
      <c r="AD45" s="172">
        <v>493.53500000000003</v>
      </c>
      <c r="AE45" s="172">
        <v>639</v>
      </c>
      <c r="AF45" s="173">
        <v>669</v>
      </c>
      <c r="AG45" s="213"/>
      <c r="AH45" s="213"/>
      <c r="AI45" s="119"/>
      <c r="AJ45" s="119"/>
      <c r="AK45" s="119"/>
      <c r="AL45" s="119"/>
      <c r="AM45" s="113"/>
      <c r="AN45" s="113"/>
      <c r="AO45" s="113"/>
    </row>
    <row r="46" spans="2:41" ht="14.25" customHeight="1">
      <c r="B46" s="124" t="s">
        <v>166</v>
      </c>
      <c r="C46" s="172">
        <v>661.90200000000004</v>
      </c>
      <c r="D46" s="172">
        <v>768.14200000000005</v>
      </c>
      <c r="E46" s="172">
        <v>929.98099999999999</v>
      </c>
      <c r="F46" s="173">
        <v>827.46699999999998</v>
      </c>
      <c r="G46" s="172">
        <v>788.16200000000003</v>
      </c>
      <c r="H46" s="172">
        <v>896.423</v>
      </c>
      <c r="I46" s="172">
        <v>930.60900000000004</v>
      </c>
      <c r="J46" s="172">
        <v>928.14200000000005</v>
      </c>
      <c r="K46" s="172">
        <v>1108.298</v>
      </c>
      <c r="L46" s="172">
        <v>1161.558</v>
      </c>
      <c r="M46" s="172">
        <v>1036.377</v>
      </c>
      <c r="N46" s="172">
        <v>1069.8800000000001</v>
      </c>
      <c r="O46" s="172">
        <v>1243.9280000000001</v>
      </c>
      <c r="P46" s="172">
        <v>1579</v>
      </c>
      <c r="Q46" s="172">
        <v>1631</v>
      </c>
      <c r="R46" s="172">
        <v>1592.3119999999999</v>
      </c>
      <c r="S46" s="172">
        <v>1640.8630000000001</v>
      </c>
      <c r="T46" s="172">
        <v>1797</v>
      </c>
      <c r="U46" s="172">
        <v>1865.2329999999999</v>
      </c>
      <c r="V46" s="172">
        <v>1881</v>
      </c>
      <c r="W46" s="172">
        <v>2088.605</v>
      </c>
      <c r="X46" s="172">
        <v>2322</v>
      </c>
      <c r="Y46" s="172">
        <v>2137</v>
      </c>
      <c r="Z46" s="172">
        <v>1937.2539999999999</v>
      </c>
      <c r="AA46" s="172">
        <v>1920.1790000000001</v>
      </c>
      <c r="AB46" s="172">
        <v>1865.4949999999999</v>
      </c>
      <c r="AC46" s="172">
        <v>1940</v>
      </c>
      <c r="AD46" s="172">
        <v>2162.5970000000002</v>
      </c>
      <c r="AE46" s="172">
        <v>2306</v>
      </c>
      <c r="AF46" s="173">
        <v>2354</v>
      </c>
      <c r="AG46" s="213"/>
      <c r="AI46" s="119"/>
      <c r="AJ46" s="119"/>
      <c r="AK46" s="119"/>
      <c r="AL46" s="119"/>
      <c r="AM46" s="113"/>
      <c r="AN46" s="113"/>
      <c r="AO46" s="113"/>
    </row>
    <row r="47" spans="2:41" ht="14.25" customHeight="1">
      <c r="B47" s="116" t="s">
        <v>167</v>
      </c>
      <c r="C47" s="119">
        <v>384.16699999999997</v>
      </c>
      <c r="D47" s="119">
        <v>397.065</v>
      </c>
      <c r="E47" s="119">
        <v>369.84500000000003</v>
      </c>
      <c r="F47" s="171">
        <v>357.01799999999997</v>
      </c>
      <c r="G47" s="119">
        <v>334.39100000000002</v>
      </c>
      <c r="H47" s="119">
        <v>470.78399999999999</v>
      </c>
      <c r="I47" s="119">
        <v>422.83499999999998</v>
      </c>
      <c r="J47" s="119">
        <v>640.19000000000005</v>
      </c>
      <c r="K47" s="172">
        <v>619.98500000000001</v>
      </c>
      <c r="L47" s="119">
        <v>364.767</v>
      </c>
      <c r="M47" s="119">
        <v>324.01900000000001</v>
      </c>
      <c r="N47" s="119">
        <v>442.36500000000001</v>
      </c>
      <c r="O47" s="119">
        <v>431.71300000000002</v>
      </c>
      <c r="P47" s="119">
        <v>441</v>
      </c>
      <c r="Q47" s="119">
        <v>425</v>
      </c>
      <c r="R47" s="119">
        <v>294.43400000000003</v>
      </c>
      <c r="S47" s="119">
        <v>312.41800000000001</v>
      </c>
      <c r="T47" s="119">
        <v>541</v>
      </c>
      <c r="U47" s="119">
        <v>670</v>
      </c>
      <c r="V47" s="119">
        <v>420</v>
      </c>
      <c r="W47" s="119">
        <v>467.62599999999998</v>
      </c>
      <c r="X47" s="119">
        <v>478</v>
      </c>
      <c r="Y47" s="119">
        <v>444</v>
      </c>
      <c r="Z47" s="119">
        <v>360.96800000000002</v>
      </c>
      <c r="AA47" s="119">
        <v>365.43</v>
      </c>
      <c r="AB47" s="119">
        <v>357.75900000000001</v>
      </c>
      <c r="AC47" s="119">
        <v>291</v>
      </c>
      <c r="AD47" s="119">
        <v>247.779</v>
      </c>
      <c r="AE47" s="119">
        <v>261</v>
      </c>
      <c r="AF47" s="171">
        <v>287</v>
      </c>
      <c r="AG47" s="213"/>
      <c r="AI47" s="119"/>
      <c r="AJ47" s="119"/>
      <c r="AK47" s="119"/>
      <c r="AL47" s="119"/>
      <c r="AM47" s="113"/>
      <c r="AN47" s="113"/>
      <c r="AO47" s="113"/>
    </row>
    <row r="48" spans="2:41" ht="14.25" customHeight="1">
      <c r="B48" s="124" t="s">
        <v>168</v>
      </c>
      <c r="C48" s="172">
        <v>5.7279999999999998</v>
      </c>
      <c r="D48" s="174">
        <v>0.41599999999999998</v>
      </c>
      <c r="E48" s="174">
        <v>0.41599999999999998</v>
      </c>
      <c r="F48" s="174">
        <v>0.41599999999999998</v>
      </c>
      <c r="G48" s="174">
        <v>0.41599999999999998</v>
      </c>
      <c r="H48" s="175">
        <v>0</v>
      </c>
      <c r="I48" s="172">
        <v>23.782</v>
      </c>
      <c r="J48" s="172">
        <v>6.2949999999999999</v>
      </c>
      <c r="K48" s="172">
        <v>6.2949999999999999</v>
      </c>
      <c r="L48" s="172">
        <v>6.2949999999999999</v>
      </c>
      <c r="M48" s="172">
        <v>11.189</v>
      </c>
      <c r="N48" s="172">
        <v>0.25</v>
      </c>
      <c r="O48" s="172">
        <v>2.5000000000000001E-2</v>
      </c>
      <c r="P48" s="172">
        <v>0</v>
      </c>
      <c r="Q48" s="172">
        <v>2.5000000000000001E-2</v>
      </c>
      <c r="R48" s="172">
        <v>0.66400000000000003</v>
      </c>
      <c r="S48" s="172">
        <v>0.66400000000000003</v>
      </c>
      <c r="T48" s="172">
        <v>0</v>
      </c>
      <c r="U48" s="172">
        <v>0</v>
      </c>
      <c r="V48" s="172">
        <v>13</v>
      </c>
      <c r="W48" s="172">
        <v>43.280999999999999</v>
      </c>
      <c r="X48" s="172">
        <v>93</v>
      </c>
      <c r="Y48" s="172">
        <v>42</v>
      </c>
      <c r="Z48" s="172">
        <v>1E-3</v>
      </c>
      <c r="AA48" s="172">
        <v>33.284999999999997</v>
      </c>
      <c r="AB48" s="172">
        <v>78.86</v>
      </c>
      <c r="AC48" s="172">
        <v>38</v>
      </c>
      <c r="AD48" s="172">
        <v>10.84</v>
      </c>
      <c r="AE48" s="172">
        <v>11</v>
      </c>
      <c r="AF48" s="173">
        <v>64</v>
      </c>
      <c r="AG48" s="213"/>
      <c r="AI48" s="119"/>
      <c r="AJ48" s="119"/>
      <c r="AK48" s="119"/>
      <c r="AL48" s="119"/>
      <c r="AM48" s="113"/>
      <c r="AN48" s="113"/>
      <c r="AO48" s="113"/>
    </row>
    <row r="49" spans="2:41" ht="14.25" customHeight="1">
      <c r="B49" s="124" t="s">
        <v>169</v>
      </c>
      <c r="C49" s="172">
        <v>115.65300000000001</v>
      </c>
      <c r="D49" s="172">
        <v>124.696</v>
      </c>
      <c r="E49" s="172">
        <v>117.69</v>
      </c>
      <c r="F49" s="173">
        <v>116.17400000000001</v>
      </c>
      <c r="G49" s="172">
        <v>88.251000000000005</v>
      </c>
      <c r="H49" s="172">
        <v>44.953000000000003</v>
      </c>
      <c r="I49" s="172">
        <v>15.019</v>
      </c>
      <c r="J49" s="175">
        <v>0</v>
      </c>
      <c r="K49" s="175">
        <v>0</v>
      </c>
      <c r="L49" s="175">
        <v>0</v>
      </c>
      <c r="M49" s="172">
        <v>58.168999999999997</v>
      </c>
      <c r="N49" s="175">
        <v>0</v>
      </c>
      <c r="O49" s="175">
        <v>0</v>
      </c>
      <c r="P49" s="175">
        <v>0</v>
      </c>
      <c r="Q49" s="175">
        <v>0</v>
      </c>
      <c r="R49" s="175">
        <v>0</v>
      </c>
      <c r="S49" s="175">
        <v>0</v>
      </c>
      <c r="T49" s="175">
        <v>0</v>
      </c>
      <c r="U49" s="175">
        <v>0</v>
      </c>
      <c r="V49" s="175">
        <v>0</v>
      </c>
      <c r="W49" s="175">
        <v>0</v>
      </c>
      <c r="X49" s="175">
        <v>0</v>
      </c>
      <c r="Y49" s="175">
        <v>0</v>
      </c>
      <c r="Z49" s="175">
        <v>0</v>
      </c>
      <c r="AA49" s="175">
        <v>0</v>
      </c>
      <c r="AB49" s="466">
        <v>0</v>
      </c>
      <c r="AC49" s="466">
        <v>0</v>
      </c>
      <c r="AD49" s="466" t="s">
        <v>362</v>
      </c>
      <c r="AE49" s="466">
        <v>0</v>
      </c>
      <c r="AF49" s="219">
        <v>0</v>
      </c>
      <c r="AG49" s="213"/>
      <c r="AI49" s="210"/>
      <c r="AJ49" s="210"/>
      <c r="AK49" s="210"/>
      <c r="AL49" s="210"/>
      <c r="AM49" s="113"/>
      <c r="AN49" s="113"/>
      <c r="AO49" s="113"/>
    </row>
    <row r="50" spans="2:41" ht="14.25" customHeight="1">
      <c r="B50" s="108" t="s">
        <v>170</v>
      </c>
      <c r="C50" s="119">
        <v>259.935</v>
      </c>
      <c r="D50" s="119">
        <v>62.472000000000001</v>
      </c>
      <c r="E50" s="119">
        <v>54.869</v>
      </c>
      <c r="F50" s="171">
        <v>52.353999999999999</v>
      </c>
      <c r="G50" s="119">
        <v>40.206000000000003</v>
      </c>
      <c r="H50" s="119">
        <v>50.973999999999997</v>
      </c>
      <c r="I50" s="119">
        <v>50.673999999999999</v>
      </c>
      <c r="J50" s="119">
        <v>41.377000000000002</v>
      </c>
      <c r="K50" s="119">
        <v>29.545000000000002</v>
      </c>
      <c r="L50" s="119">
        <v>44.496000000000002</v>
      </c>
      <c r="M50" s="119">
        <v>0</v>
      </c>
      <c r="N50" s="119">
        <v>53.534999999999997</v>
      </c>
      <c r="O50" s="119">
        <v>45.268000000000001</v>
      </c>
      <c r="P50" s="119">
        <v>63</v>
      </c>
      <c r="Q50" s="119">
        <v>74</v>
      </c>
      <c r="R50" s="119">
        <v>71.88</v>
      </c>
      <c r="S50" s="119">
        <v>58.377000000000002</v>
      </c>
      <c r="T50" s="119">
        <v>96</v>
      </c>
      <c r="U50" s="119">
        <v>178</v>
      </c>
      <c r="V50" s="119">
        <v>238</v>
      </c>
      <c r="W50" s="119">
        <v>216.959</v>
      </c>
      <c r="X50" s="119">
        <v>181</v>
      </c>
      <c r="Y50" s="119">
        <v>246</v>
      </c>
      <c r="Z50" s="119">
        <v>211.7</v>
      </c>
      <c r="AA50" s="119">
        <v>209.66300000000001</v>
      </c>
      <c r="AB50" s="119">
        <v>125.64100000000001</v>
      </c>
      <c r="AC50" s="119">
        <v>162</v>
      </c>
      <c r="AD50" s="119">
        <v>72.445999999999998</v>
      </c>
      <c r="AE50" s="119">
        <v>53</v>
      </c>
      <c r="AF50" s="171">
        <v>49</v>
      </c>
      <c r="AG50" s="213"/>
      <c r="AI50" s="119"/>
      <c r="AJ50" s="119"/>
      <c r="AK50" s="119"/>
      <c r="AL50" s="119"/>
      <c r="AM50" s="113"/>
      <c r="AN50" s="113"/>
      <c r="AO50" s="113"/>
    </row>
    <row r="51" spans="2:41" s="49" customFormat="1" ht="14.5" thickBot="1">
      <c r="B51" s="107" t="s">
        <v>171</v>
      </c>
      <c r="C51" s="159">
        <f t="shared" ref="C51:T51" si="30">SUM(C53:C66)</f>
        <v>8391.3820000000014</v>
      </c>
      <c r="D51" s="159">
        <f t="shared" si="30"/>
        <v>7077.1779999999999</v>
      </c>
      <c r="E51" s="159">
        <f t="shared" si="30"/>
        <v>7135.0899999999992</v>
      </c>
      <c r="F51" s="159">
        <f t="shared" si="30"/>
        <v>7122.2370000000001</v>
      </c>
      <c r="G51" s="159">
        <f t="shared" si="30"/>
        <v>7118.9119999999994</v>
      </c>
      <c r="H51" s="159">
        <f t="shared" si="30"/>
        <v>6892.6933153521395</v>
      </c>
      <c r="I51" s="159">
        <f t="shared" si="30"/>
        <v>6997.2883914116564</v>
      </c>
      <c r="J51" s="159">
        <f t="shared" si="30"/>
        <v>7147.0868869189926</v>
      </c>
      <c r="K51" s="159">
        <f t="shared" si="30"/>
        <v>7518.2399091442521</v>
      </c>
      <c r="L51" s="159">
        <f t="shared" si="30"/>
        <v>7871.8892241334061</v>
      </c>
      <c r="M51" s="159">
        <f t="shared" si="30"/>
        <v>7590.4471371328491</v>
      </c>
      <c r="N51" s="159">
        <f t="shared" si="30"/>
        <v>7805.7979999999998</v>
      </c>
      <c r="O51" s="159">
        <f t="shared" si="30"/>
        <v>7007.5389999999998</v>
      </c>
      <c r="P51" s="159">
        <f t="shared" si="30"/>
        <v>6883</v>
      </c>
      <c r="Q51" s="159">
        <f t="shared" si="30"/>
        <v>6993</v>
      </c>
      <c r="R51" s="159">
        <f t="shared" si="30"/>
        <v>7510.1799999999994</v>
      </c>
      <c r="S51" s="159">
        <f t="shared" si="30"/>
        <v>7569.0170000000007</v>
      </c>
      <c r="T51" s="159">
        <f t="shared" si="30"/>
        <v>7734</v>
      </c>
      <c r="U51" s="159">
        <f>SUM(U52:U66)</f>
        <v>7717</v>
      </c>
      <c r="V51" s="159">
        <f>SUM(V52:V66)</f>
        <v>8005.3760000000002</v>
      </c>
      <c r="W51" s="159">
        <f>SUM(W52:W66)</f>
        <v>8283.9140000000007</v>
      </c>
      <c r="X51" s="159">
        <f>SUM(X52:X66)</f>
        <v>8418</v>
      </c>
      <c r="Y51" s="159">
        <f>SUM(Y52:Y66)</f>
        <v>8582</v>
      </c>
      <c r="Z51" s="159">
        <v>8699.5349999999999</v>
      </c>
      <c r="AA51" s="159">
        <f t="shared" ref="AA51:AF51" si="31">SUM(AA52:AA66)</f>
        <v>8768.64</v>
      </c>
      <c r="AB51" s="492">
        <f t="shared" si="31"/>
        <v>8848.6119999999992</v>
      </c>
      <c r="AC51" s="492">
        <f t="shared" si="31"/>
        <v>8934</v>
      </c>
      <c r="AD51" s="492">
        <f t="shared" si="31"/>
        <v>9271.110999999999</v>
      </c>
      <c r="AE51" s="492">
        <f t="shared" si="31"/>
        <v>9175</v>
      </c>
      <c r="AF51" s="492">
        <f t="shared" si="31"/>
        <v>9139</v>
      </c>
      <c r="AG51" s="50"/>
      <c r="AH51" s="46"/>
      <c r="AI51" s="211"/>
      <c r="AJ51" s="211"/>
      <c r="AK51" s="211"/>
      <c r="AL51" s="211"/>
      <c r="AM51" s="183"/>
      <c r="AN51" s="183"/>
      <c r="AO51" s="183"/>
    </row>
    <row r="52" spans="2:41" s="49" customFormat="1">
      <c r="B52" s="264" t="s">
        <v>343</v>
      </c>
      <c r="C52" s="265"/>
      <c r="D52" s="265"/>
      <c r="E52" s="265"/>
      <c r="F52" s="265"/>
      <c r="G52" s="265"/>
      <c r="H52" s="265"/>
      <c r="I52" s="265"/>
      <c r="J52" s="265"/>
      <c r="K52" s="265"/>
      <c r="L52" s="265"/>
      <c r="M52" s="265"/>
      <c r="N52" s="265"/>
      <c r="O52" s="265"/>
      <c r="P52" s="265"/>
      <c r="Q52" s="265"/>
      <c r="R52" s="265"/>
      <c r="S52" s="265"/>
      <c r="T52" s="265"/>
      <c r="U52" s="265"/>
      <c r="V52" s="265">
        <v>78</v>
      </c>
      <c r="W52" s="265">
        <v>78.137</v>
      </c>
      <c r="X52" s="265">
        <v>210</v>
      </c>
      <c r="Y52" s="265">
        <v>312</v>
      </c>
      <c r="Z52" s="265">
        <v>245.768</v>
      </c>
      <c r="AA52" s="265">
        <v>248.107</v>
      </c>
      <c r="AB52" s="467">
        <v>113.288</v>
      </c>
      <c r="AC52" s="467">
        <v>111</v>
      </c>
      <c r="AD52" s="467">
        <v>0</v>
      </c>
      <c r="AE52" s="467">
        <v>0</v>
      </c>
      <c r="AF52" s="467">
        <v>0</v>
      </c>
      <c r="AH52" s="46"/>
      <c r="AI52" s="176"/>
      <c r="AJ52" s="176"/>
      <c r="AK52" s="176"/>
      <c r="AL52" s="176"/>
      <c r="AM52" s="183"/>
      <c r="AN52" s="183"/>
      <c r="AO52" s="183"/>
    </row>
    <row r="53" spans="2:41" s="49" customFormat="1">
      <c r="B53" s="116" t="s">
        <v>172</v>
      </c>
      <c r="C53" s="176"/>
      <c r="D53" s="176"/>
      <c r="E53" s="176"/>
      <c r="F53" s="263"/>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223"/>
      <c r="AH53" s="46"/>
      <c r="AI53" s="212"/>
      <c r="AJ53" s="212"/>
      <c r="AK53" s="212"/>
      <c r="AL53" s="212"/>
      <c r="AM53" s="183"/>
      <c r="AN53" s="183"/>
      <c r="AO53" s="183"/>
    </row>
    <row r="54" spans="2:41">
      <c r="B54" s="114" t="s">
        <v>163</v>
      </c>
      <c r="C54" s="173">
        <v>6.4000000000000001E-2</v>
      </c>
      <c r="D54" s="173">
        <v>2.4169999999999998</v>
      </c>
      <c r="E54" s="173">
        <v>2.4500000000000002</v>
      </c>
      <c r="F54" s="173">
        <v>2.3940000000000001</v>
      </c>
      <c r="G54" s="173">
        <v>2.395</v>
      </c>
      <c r="H54" s="173">
        <v>2.4260000000000002</v>
      </c>
      <c r="I54" s="173">
        <v>2.371</v>
      </c>
      <c r="J54" s="177">
        <v>2.0939999999999999</v>
      </c>
      <c r="K54" s="177">
        <v>6.4000000000000001E-2</v>
      </c>
      <c r="L54" s="177">
        <v>6.4000000000000001E-2</v>
      </c>
      <c r="M54" s="177">
        <v>6.4000000000000001E-2</v>
      </c>
      <c r="N54" s="177">
        <v>6.4000000000000001E-2</v>
      </c>
      <c r="O54" s="399">
        <v>0</v>
      </c>
      <c r="P54" s="399">
        <v>0</v>
      </c>
      <c r="Q54" s="399">
        <v>0</v>
      </c>
      <c r="R54" s="399">
        <v>0</v>
      </c>
      <c r="S54" s="399">
        <v>0</v>
      </c>
      <c r="T54" s="399">
        <v>0</v>
      </c>
      <c r="U54" s="399">
        <v>0</v>
      </c>
      <c r="V54" s="399">
        <v>0</v>
      </c>
      <c r="W54" s="399">
        <v>0</v>
      </c>
      <c r="X54" s="399">
        <v>0</v>
      </c>
      <c r="Y54" s="399">
        <v>0</v>
      </c>
      <c r="Z54" s="399"/>
      <c r="AA54" s="399"/>
      <c r="AB54" s="399"/>
      <c r="AC54" s="399"/>
      <c r="AD54" s="399"/>
      <c r="AE54" s="399">
        <v>0</v>
      </c>
      <c r="AF54" s="544">
        <v>0</v>
      </c>
      <c r="AG54" s="342"/>
      <c r="AI54" s="119"/>
      <c r="AJ54" s="119"/>
      <c r="AK54" s="119"/>
      <c r="AL54" s="119"/>
      <c r="AM54" s="113"/>
      <c r="AN54" s="113"/>
      <c r="AO54" s="113"/>
    </row>
    <row r="55" spans="2:41">
      <c r="B55" s="114" t="s">
        <v>173</v>
      </c>
      <c r="C55" s="173">
        <v>0</v>
      </c>
      <c r="D55" s="173">
        <v>4.4480000000000004</v>
      </c>
      <c r="E55" s="173">
        <v>2.2229999999999999</v>
      </c>
      <c r="F55" s="173">
        <v>0</v>
      </c>
      <c r="G55" s="173">
        <v>0</v>
      </c>
      <c r="H55" s="173">
        <v>0.46876255242072512</v>
      </c>
      <c r="I55" s="173">
        <v>3.0265996973221192</v>
      </c>
      <c r="J55" s="172">
        <v>6.8383104000000019</v>
      </c>
      <c r="K55" s="172">
        <v>6.0392758875901347</v>
      </c>
      <c r="L55" s="172">
        <v>21.726525074753138</v>
      </c>
      <c r="M55" s="172">
        <v>5.9289947538143606</v>
      </c>
      <c r="N55" s="172">
        <v>864.48599999999999</v>
      </c>
      <c r="O55" s="172">
        <v>21.553000000000001</v>
      </c>
      <c r="P55" s="172">
        <v>165</v>
      </c>
      <c r="Q55" s="172">
        <v>30</v>
      </c>
      <c r="R55" s="172">
        <v>28.984999999999999</v>
      </c>
      <c r="S55" s="172">
        <v>137.28100000000001</v>
      </c>
      <c r="T55" s="172">
        <v>97</v>
      </c>
      <c r="U55" s="172">
        <v>104</v>
      </c>
      <c r="V55" s="172">
        <v>104</v>
      </c>
      <c r="W55" s="172">
        <v>137</v>
      </c>
      <c r="X55" s="172">
        <v>220</v>
      </c>
      <c r="Y55" s="172">
        <v>175</v>
      </c>
      <c r="Z55" s="172">
        <v>224.053</v>
      </c>
      <c r="AA55" s="172">
        <v>206.82499999999999</v>
      </c>
      <c r="AB55" s="172">
        <v>218.584</v>
      </c>
      <c r="AC55" s="172">
        <v>204</v>
      </c>
      <c r="AD55" s="172">
        <v>131</v>
      </c>
      <c r="AE55" s="172">
        <v>174</v>
      </c>
      <c r="AF55" s="173">
        <v>296</v>
      </c>
      <c r="AG55" s="343"/>
      <c r="AI55" s="171"/>
      <c r="AJ55" s="171"/>
      <c r="AK55" s="171"/>
      <c r="AL55" s="171"/>
      <c r="AM55" s="113"/>
      <c r="AN55" s="113"/>
      <c r="AO55" s="113"/>
    </row>
    <row r="56" spans="2:41">
      <c r="B56" s="114" t="s">
        <v>169</v>
      </c>
      <c r="C56" s="173">
        <v>77.141000000000005</v>
      </c>
      <c r="D56" s="173">
        <v>55.706000000000003</v>
      </c>
      <c r="E56" s="173">
        <v>27.641999999999999</v>
      </c>
      <c r="F56" s="173">
        <v>0</v>
      </c>
      <c r="G56" s="173">
        <v>0</v>
      </c>
      <c r="H56" s="173">
        <v>0</v>
      </c>
      <c r="I56" s="173">
        <v>0</v>
      </c>
      <c r="J56" s="172">
        <v>0</v>
      </c>
      <c r="K56" s="172">
        <v>0</v>
      </c>
      <c r="L56" s="172">
        <v>0</v>
      </c>
      <c r="M56" s="172">
        <v>0</v>
      </c>
      <c r="N56" s="172">
        <v>0</v>
      </c>
      <c r="O56" s="172">
        <v>0</v>
      </c>
      <c r="P56" s="172">
        <v>0</v>
      </c>
      <c r="Q56" s="172"/>
      <c r="R56" s="172">
        <v>0</v>
      </c>
      <c r="S56" s="172">
        <v>0</v>
      </c>
      <c r="T56" s="172">
        <v>0</v>
      </c>
      <c r="U56" s="172"/>
      <c r="V56" s="172"/>
      <c r="W56" s="172">
        <v>0</v>
      </c>
      <c r="X56" s="172">
        <v>0</v>
      </c>
      <c r="Y56" s="172">
        <v>0</v>
      </c>
      <c r="Z56" s="172">
        <v>0</v>
      </c>
      <c r="AA56" s="172">
        <v>0</v>
      </c>
      <c r="AB56" s="172">
        <v>0</v>
      </c>
      <c r="AC56" s="172">
        <v>0</v>
      </c>
      <c r="AD56" s="172">
        <v>0</v>
      </c>
      <c r="AE56" s="172">
        <v>0</v>
      </c>
      <c r="AF56" s="173">
        <v>0</v>
      </c>
      <c r="AG56" s="343"/>
      <c r="AI56" s="171"/>
      <c r="AJ56" s="171"/>
      <c r="AK56" s="171"/>
      <c r="AL56" s="171"/>
      <c r="AM56" s="113"/>
      <c r="AN56" s="113"/>
      <c r="AO56" s="113"/>
    </row>
    <row r="57" spans="2:41">
      <c r="B57" s="86" t="s">
        <v>167</v>
      </c>
      <c r="C57" s="173">
        <v>564.80799999999999</v>
      </c>
      <c r="D57" s="173">
        <v>537.19899999999996</v>
      </c>
      <c r="E57" s="173">
        <v>602.77300000000002</v>
      </c>
      <c r="F57" s="173">
        <v>656.18700000000001</v>
      </c>
      <c r="G57" s="173">
        <v>667.51300000000003</v>
      </c>
      <c r="H57" s="173">
        <v>639.029</v>
      </c>
      <c r="I57" s="173">
        <v>687.12800000000004</v>
      </c>
      <c r="J57" s="177">
        <v>737.34</v>
      </c>
      <c r="K57" s="177">
        <v>763.45399999999995</v>
      </c>
      <c r="L57" s="177">
        <v>1170.0709999999999</v>
      </c>
      <c r="M57" s="177">
        <v>1109.4580000000001</v>
      </c>
      <c r="N57" s="177">
        <v>848.125</v>
      </c>
      <c r="O57" s="177">
        <v>814.21199999999999</v>
      </c>
      <c r="P57" s="177">
        <v>779</v>
      </c>
      <c r="Q57" s="177">
        <v>764</v>
      </c>
      <c r="R57" s="177">
        <v>685.46500000000003</v>
      </c>
      <c r="S57" s="177">
        <v>691.69</v>
      </c>
      <c r="T57" s="177">
        <v>586</v>
      </c>
      <c r="U57" s="177">
        <v>557</v>
      </c>
      <c r="V57" s="177">
        <v>691</v>
      </c>
      <c r="W57" s="177">
        <v>689.99599999999998</v>
      </c>
      <c r="X57" s="177">
        <v>666</v>
      </c>
      <c r="Y57" s="177">
        <v>674</v>
      </c>
      <c r="Z57" s="177">
        <v>671.76099999999997</v>
      </c>
      <c r="AA57" s="177">
        <v>658.98800000000006</v>
      </c>
      <c r="AB57" s="177">
        <v>656.02</v>
      </c>
      <c r="AC57" s="177">
        <v>655</v>
      </c>
      <c r="AD57" s="177">
        <v>645.524</v>
      </c>
      <c r="AE57" s="177">
        <v>659</v>
      </c>
      <c r="AF57" s="545">
        <v>625</v>
      </c>
      <c r="AG57" s="213"/>
      <c r="AI57" s="119"/>
      <c r="AJ57" s="119"/>
      <c r="AK57" s="119"/>
      <c r="AL57" s="119"/>
      <c r="AM57" s="113"/>
      <c r="AN57" s="113"/>
      <c r="AO57" s="113"/>
    </row>
    <row r="58" spans="2:41">
      <c r="B58" s="112" t="s">
        <v>174</v>
      </c>
      <c r="C58" s="173">
        <v>827.83600000000001</v>
      </c>
      <c r="D58" s="173">
        <v>830.30799999999999</v>
      </c>
      <c r="E58" s="173">
        <v>867.971</v>
      </c>
      <c r="F58" s="173">
        <v>781.71</v>
      </c>
      <c r="G58" s="173">
        <v>790.27700000000004</v>
      </c>
      <c r="H58" s="173">
        <v>628.37855279971859</v>
      </c>
      <c r="I58" s="173">
        <v>710.90479171433265</v>
      </c>
      <c r="J58" s="119">
        <v>805.55957651899269</v>
      </c>
      <c r="K58" s="119">
        <v>988.05163325666229</v>
      </c>
      <c r="L58" s="119">
        <v>1087.3286990586528</v>
      </c>
      <c r="M58" s="119">
        <v>891.64714237903434</v>
      </c>
      <c r="N58" s="119">
        <v>175.768</v>
      </c>
      <c r="O58" s="119">
        <v>316.20499999999998</v>
      </c>
      <c r="P58" s="119">
        <v>50</v>
      </c>
      <c r="Q58" s="119">
        <v>247</v>
      </c>
      <c r="R58" s="119">
        <v>253.94300000000001</v>
      </c>
      <c r="S58" s="119">
        <v>24.138000000000002</v>
      </c>
      <c r="T58" s="119">
        <v>145</v>
      </c>
      <c r="U58" s="119">
        <v>129</v>
      </c>
      <c r="V58" s="119">
        <v>156</v>
      </c>
      <c r="W58" s="119">
        <v>114.91800000000001</v>
      </c>
      <c r="X58" s="119">
        <v>46</v>
      </c>
      <c r="Y58" s="119">
        <v>158</v>
      </c>
      <c r="Z58" s="119">
        <v>302.334</v>
      </c>
      <c r="AA58" s="119">
        <v>324.30900000000003</v>
      </c>
      <c r="AB58" s="119">
        <v>523.803</v>
      </c>
      <c r="AC58" s="119">
        <v>567</v>
      </c>
      <c r="AD58" s="119">
        <v>875.02200000000005</v>
      </c>
      <c r="AE58" s="119">
        <v>653</v>
      </c>
      <c r="AF58" s="171">
        <v>551</v>
      </c>
      <c r="AG58" s="213"/>
      <c r="AI58" s="119"/>
      <c r="AJ58" s="119"/>
      <c r="AK58" s="119"/>
      <c r="AL58" s="119"/>
      <c r="AM58" s="113"/>
      <c r="AN58" s="113"/>
      <c r="AO58" s="113"/>
    </row>
    <row r="59" spans="2:41">
      <c r="B59" s="114" t="s">
        <v>175</v>
      </c>
      <c r="C59" s="173">
        <v>1222.0740000000001</v>
      </c>
      <c r="D59" s="173">
        <v>0.92300000000000004</v>
      </c>
      <c r="E59" s="173">
        <v>0.92300000000000004</v>
      </c>
      <c r="F59" s="173">
        <v>0.52900000000000003</v>
      </c>
      <c r="G59" s="173">
        <v>0.52900000000000003</v>
      </c>
      <c r="H59" s="173">
        <v>22.478999999999999</v>
      </c>
      <c r="I59" s="173">
        <v>27.79</v>
      </c>
      <c r="J59" s="172">
        <v>28.042999999999999</v>
      </c>
      <c r="K59" s="172">
        <v>28.120999999999999</v>
      </c>
      <c r="L59" s="172">
        <v>17.25</v>
      </c>
      <c r="M59" s="172">
        <v>17.329999999999998</v>
      </c>
      <c r="N59" s="172">
        <v>16.913</v>
      </c>
      <c r="O59" s="172">
        <v>16.562999999999999</v>
      </c>
      <c r="P59" s="172">
        <v>12</v>
      </c>
      <c r="Q59" s="172">
        <v>56</v>
      </c>
      <c r="R59" s="172">
        <v>57.323</v>
      </c>
      <c r="S59" s="172">
        <v>59.726999999999997</v>
      </c>
      <c r="T59" s="172">
        <v>57</v>
      </c>
      <c r="U59" s="172">
        <v>59</v>
      </c>
      <c r="V59" s="172">
        <v>61</v>
      </c>
      <c r="W59" s="172">
        <v>62.427999999999997</v>
      </c>
      <c r="X59" s="172">
        <v>60</v>
      </c>
      <c r="Y59" s="172">
        <v>55</v>
      </c>
      <c r="Z59" s="172">
        <v>53.847999999999999</v>
      </c>
      <c r="AA59" s="172">
        <v>54.259</v>
      </c>
      <c r="AB59" s="172">
        <v>54.595999999999997</v>
      </c>
      <c r="AC59" s="172">
        <v>55</v>
      </c>
      <c r="AD59" s="172">
        <v>55.115000000000002</v>
      </c>
      <c r="AE59" s="172">
        <v>55</v>
      </c>
      <c r="AF59" s="173">
        <v>56</v>
      </c>
      <c r="AG59" s="213"/>
      <c r="AI59" s="119"/>
      <c r="AJ59" s="119"/>
      <c r="AK59" s="119"/>
      <c r="AL59" s="119"/>
      <c r="AM59" s="113"/>
      <c r="AN59" s="113"/>
      <c r="AO59" s="113"/>
    </row>
    <row r="60" spans="2:41">
      <c r="B60" s="85" t="s">
        <v>176</v>
      </c>
      <c r="C60" s="173">
        <v>119.617</v>
      </c>
      <c r="D60" s="173">
        <v>119.788</v>
      </c>
      <c r="E60" s="173">
        <v>120.10599999999999</v>
      </c>
      <c r="F60" s="173">
        <v>128.107</v>
      </c>
      <c r="G60" s="173">
        <v>128.65600000000001</v>
      </c>
      <c r="H60" s="173">
        <v>136.136</v>
      </c>
      <c r="I60" s="173">
        <v>120.468</v>
      </c>
      <c r="J60" s="119">
        <v>115.259</v>
      </c>
      <c r="K60" s="119">
        <v>111.824</v>
      </c>
      <c r="L60" s="119">
        <v>15.516999999999999</v>
      </c>
      <c r="M60" s="119">
        <v>15.606999999999999</v>
      </c>
      <c r="N60" s="119">
        <v>15.141</v>
      </c>
      <c r="O60" s="119">
        <v>15.163</v>
      </c>
      <c r="P60" s="119">
        <v>16</v>
      </c>
      <c r="Q60" s="119">
        <v>17</v>
      </c>
      <c r="R60" s="119">
        <v>16.655999999999999</v>
      </c>
      <c r="S60" s="119">
        <v>16.917000000000002</v>
      </c>
      <c r="T60" s="119">
        <v>18</v>
      </c>
      <c r="U60" s="119">
        <v>18</v>
      </c>
      <c r="V60" s="119">
        <v>18</v>
      </c>
      <c r="W60" s="119">
        <v>18.132999999999999</v>
      </c>
      <c r="X60" s="119">
        <v>50</v>
      </c>
      <c r="Y60" s="119">
        <v>21</v>
      </c>
      <c r="Z60" s="119">
        <v>20.952000000000002</v>
      </c>
      <c r="AA60" s="119">
        <v>23.062999999999999</v>
      </c>
      <c r="AB60" s="119">
        <v>18.797000000000001</v>
      </c>
      <c r="AC60" s="119">
        <v>19</v>
      </c>
      <c r="AD60" s="119">
        <v>19.295000000000002</v>
      </c>
      <c r="AE60" s="119">
        <v>19</v>
      </c>
      <c r="AF60" s="171">
        <v>22</v>
      </c>
      <c r="AG60" s="213"/>
      <c r="AI60" s="119"/>
      <c r="AJ60" s="119"/>
      <c r="AK60" s="119"/>
      <c r="AL60" s="119"/>
      <c r="AM60" s="113"/>
      <c r="AN60" s="113"/>
      <c r="AO60" s="113"/>
    </row>
    <row r="61" spans="2:41">
      <c r="B61" s="86" t="s">
        <v>170</v>
      </c>
      <c r="C61" s="173">
        <v>36.222000000000001</v>
      </c>
      <c r="D61" s="173">
        <v>27.684999999999999</v>
      </c>
      <c r="E61" s="173">
        <v>25.978999999999999</v>
      </c>
      <c r="F61" s="173">
        <v>21.827000000000002</v>
      </c>
      <c r="G61" s="173">
        <v>21.529</v>
      </c>
      <c r="H61" s="173">
        <v>20.126000000000001</v>
      </c>
      <c r="I61" s="173">
        <v>14.43</v>
      </c>
      <c r="J61" s="172">
        <v>17.715</v>
      </c>
      <c r="K61" s="172">
        <v>29.885999999999999</v>
      </c>
      <c r="L61" s="172">
        <v>25.091999999999999</v>
      </c>
      <c r="M61" s="172">
        <v>20.041</v>
      </c>
      <c r="N61" s="172">
        <v>33.527999999999999</v>
      </c>
      <c r="O61" s="172">
        <v>17.138999999999999</v>
      </c>
      <c r="P61" s="172">
        <v>10</v>
      </c>
      <c r="Q61" s="172">
        <v>6</v>
      </c>
      <c r="R61" s="172">
        <v>69.768000000000001</v>
      </c>
      <c r="S61" s="172">
        <v>53.881999999999998</v>
      </c>
      <c r="T61" s="172">
        <v>51</v>
      </c>
      <c r="U61" s="172">
        <v>53</v>
      </c>
      <c r="V61" s="172">
        <v>50</v>
      </c>
      <c r="W61" s="172">
        <v>64.8</v>
      </c>
      <c r="X61" s="172">
        <v>83</v>
      </c>
      <c r="Y61" s="172">
        <v>35</v>
      </c>
      <c r="Z61" s="172">
        <v>25.677</v>
      </c>
      <c r="AA61" s="172">
        <v>50.804000000000002</v>
      </c>
      <c r="AB61" s="172">
        <v>31.442</v>
      </c>
      <c r="AC61" s="172">
        <v>7</v>
      </c>
      <c r="AD61" s="172">
        <v>14.419</v>
      </c>
      <c r="AE61" s="172">
        <v>8</v>
      </c>
      <c r="AF61" s="173">
        <v>2</v>
      </c>
      <c r="AG61" s="213"/>
      <c r="AI61" s="119"/>
      <c r="AJ61" s="119"/>
      <c r="AK61" s="119"/>
      <c r="AL61" s="119"/>
      <c r="AM61" s="113"/>
      <c r="AN61" s="113"/>
      <c r="AO61" s="113"/>
    </row>
    <row r="62" spans="2:41" s="113" customFormat="1">
      <c r="B62" s="118" t="s">
        <v>177</v>
      </c>
      <c r="C62" s="173">
        <v>219.58199999999999</v>
      </c>
      <c r="D62" s="173">
        <v>204.904</v>
      </c>
      <c r="E62" s="173">
        <v>196.578</v>
      </c>
      <c r="F62" s="173">
        <v>196.87899999999999</v>
      </c>
      <c r="G62" s="173">
        <v>196.52799999999999</v>
      </c>
      <c r="H62" s="173">
        <v>201.52</v>
      </c>
      <c r="I62" s="173">
        <v>203.48099999999999</v>
      </c>
      <c r="J62" s="178">
        <v>205.08099999999999</v>
      </c>
      <c r="K62" s="178">
        <v>178.83600000000001</v>
      </c>
      <c r="L62" s="178">
        <v>186.608</v>
      </c>
      <c r="M62" s="178">
        <v>184.94300000000001</v>
      </c>
      <c r="N62" s="178">
        <v>198.774</v>
      </c>
      <c r="O62" s="178">
        <v>174.85300000000001</v>
      </c>
      <c r="P62" s="178">
        <v>198</v>
      </c>
      <c r="Q62" s="178">
        <v>176</v>
      </c>
      <c r="R62" s="178">
        <v>204.97200000000001</v>
      </c>
      <c r="S62" s="178">
        <v>234.29599999999999</v>
      </c>
      <c r="T62" s="178">
        <v>216</v>
      </c>
      <c r="U62" s="178">
        <v>207</v>
      </c>
      <c r="V62" s="178">
        <v>360.59199999999998</v>
      </c>
      <c r="W62" s="178">
        <v>360.83300000000003</v>
      </c>
      <c r="X62" s="178">
        <v>301</v>
      </c>
      <c r="Y62" s="178">
        <v>243</v>
      </c>
      <c r="Z62" s="178">
        <v>277.13299999999998</v>
      </c>
      <c r="AA62" s="178">
        <v>275.98599999999999</v>
      </c>
      <c r="AB62" s="178">
        <v>204.73599999999999</v>
      </c>
      <c r="AC62" s="178">
        <v>238</v>
      </c>
      <c r="AD62" s="178">
        <v>237.791</v>
      </c>
      <c r="AE62" s="178">
        <v>270</v>
      </c>
      <c r="AF62" s="263">
        <v>182</v>
      </c>
      <c r="AG62" s="223"/>
      <c r="AI62" s="119"/>
      <c r="AJ62" s="119"/>
      <c r="AK62" s="119"/>
      <c r="AL62" s="119"/>
    </row>
    <row r="63" spans="2:41">
      <c r="B63" s="118" t="s">
        <v>339</v>
      </c>
      <c r="C63" s="173">
        <v>0</v>
      </c>
      <c r="D63" s="173">
        <v>0</v>
      </c>
      <c r="E63" s="173">
        <v>0</v>
      </c>
      <c r="F63" s="173">
        <v>0</v>
      </c>
      <c r="G63" s="173">
        <v>0</v>
      </c>
      <c r="H63" s="173">
        <v>0</v>
      </c>
      <c r="I63" s="173">
        <v>0</v>
      </c>
      <c r="J63" s="173">
        <v>0</v>
      </c>
      <c r="K63" s="173">
        <v>0</v>
      </c>
      <c r="L63" s="173">
        <v>0</v>
      </c>
      <c r="M63" s="173">
        <v>0</v>
      </c>
      <c r="N63" s="173">
        <v>0</v>
      </c>
      <c r="O63" s="173">
        <v>0</v>
      </c>
      <c r="P63" s="173">
        <v>0</v>
      </c>
      <c r="Q63" s="173">
        <v>0</v>
      </c>
      <c r="R63" s="173">
        <v>0</v>
      </c>
      <c r="S63" s="173">
        <v>0</v>
      </c>
      <c r="T63" s="173">
        <v>0</v>
      </c>
      <c r="U63" s="178">
        <v>26</v>
      </c>
      <c r="V63" s="173">
        <v>0</v>
      </c>
      <c r="W63" s="173">
        <v>0</v>
      </c>
      <c r="X63" s="173">
        <v>0</v>
      </c>
      <c r="Y63" s="173">
        <v>0</v>
      </c>
      <c r="Z63" s="173">
        <v>0</v>
      </c>
      <c r="AA63" s="173">
        <v>0</v>
      </c>
      <c r="AB63" s="173">
        <v>0</v>
      </c>
      <c r="AC63" s="173">
        <v>0</v>
      </c>
      <c r="AD63" s="173"/>
      <c r="AE63" s="173">
        <v>0</v>
      </c>
      <c r="AF63" s="173">
        <v>0</v>
      </c>
      <c r="AG63" s="213"/>
      <c r="AI63" s="119"/>
      <c r="AJ63" s="119"/>
      <c r="AK63" s="119"/>
      <c r="AL63" s="119"/>
      <c r="AM63" s="113"/>
      <c r="AN63" s="113"/>
      <c r="AO63" s="113"/>
    </row>
    <row r="64" spans="2:41">
      <c r="B64" s="123" t="s">
        <v>178</v>
      </c>
      <c r="C64" s="173">
        <v>4785.9179999999997</v>
      </c>
      <c r="D64" s="173">
        <v>4758.3649999999998</v>
      </c>
      <c r="E64" s="173">
        <v>4755.5379999999996</v>
      </c>
      <c r="F64" s="173">
        <v>4800.2650000000003</v>
      </c>
      <c r="G64" s="173">
        <v>4751.8620000000001</v>
      </c>
      <c r="H64" s="173">
        <v>4721.2910000000002</v>
      </c>
      <c r="I64" s="173">
        <v>4714.0730000000003</v>
      </c>
      <c r="J64" s="178">
        <v>4722.1130000000003</v>
      </c>
      <c r="K64" s="178">
        <v>4903.518</v>
      </c>
      <c r="L64" s="178">
        <v>4847.6120000000001</v>
      </c>
      <c r="M64" s="178">
        <v>4800.018</v>
      </c>
      <c r="N64" s="178">
        <v>5106.4960000000001</v>
      </c>
      <c r="O64" s="178">
        <v>4937.7849999999999</v>
      </c>
      <c r="P64" s="178">
        <v>4943</v>
      </c>
      <c r="Q64" s="178">
        <v>4991</v>
      </c>
      <c r="R64" s="178">
        <v>5152.0079999999998</v>
      </c>
      <c r="S64" s="178">
        <v>5215.1149999999998</v>
      </c>
      <c r="T64" s="178">
        <v>5442</v>
      </c>
      <c r="U64" s="178">
        <v>5468</v>
      </c>
      <c r="V64" s="178">
        <v>5499</v>
      </c>
      <c r="W64" s="178">
        <v>5787.326</v>
      </c>
      <c r="X64" s="178">
        <v>5823</v>
      </c>
      <c r="Y64" s="178">
        <v>5958</v>
      </c>
      <c r="Z64" s="178">
        <v>5928.1180000000004</v>
      </c>
      <c r="AA64" s="178">
        <v>5994.6080000000002</v>
      </c>
      <c r="AB64" s="178">
        <v>6095.6419999999998</v>
      </c>
      <c r="AC64" s="178">
        <v>6146</v>
      </c>
      <c r="AD64" s="178">
        <v>6253.3819999999996</v>
      </c>
      <c r="AE64" s="178">
        <v>6293</v>
      </c>
      <c r="AF64" s="263">
        <v>6367</v>
      </c>
      <c r="AG64" s="213"/>
      <c r="AI64" s="119"/>
      <c r="AJ64" s="119"/>
      <c r="AK64" s="119"/>
      <c r="AL64" s="119"/>
      <c r="AM64" s="113"/>
      <c r="AN64" s="113"/>
      <c r="AO64" s="113"/>
    </row>
    <row r="65" spans="2:41">
      <c r="B65" s="124" t="s">
        <v>179</v>
      </c>
      <c r="C65" s="173">
        <v>538.12</v>
      </c>
      <c r="D65" s="173">
        <v>535.43499999999995</v>
      </c>
      <c r="E65" s="173">
        <v>532.90700000000004</v>
      </c>
      <c r="F65" s="173">
        <v>534.33900000000006</v>
      </c>
      <c r="G65" s="173">
        <v>536.35699999999997</v>
      </c>
      <c r="H65" s="173">
        <v>500.96100000000001</v>
      </c>
      <c r="I65" s="173">
        <v>496.42200000000003</v>
      </c>
      <c r="J65" s="172">
        <v>491.738</v>
      </c>
      <c r="K65" s="172">
        <v>493.30500000000001</v>
      </c>
      <c r="L65" s="172">
        <v>487.90199999999999</v>
      </c>
      <c r="M65" s="172">
        <v>533.27200000000005</v>
      </c>
      <c r="N65" s="172">
        <v>531.26300000000003</v>
      </c>
      <c r="O65" s="172">
        <v>674.02200000000005</v>
      </c>
      <c r="P65" s="172">
        <v>668</v>
      </c>
      <c r="Q65" s="172">
        <v>659</v>
      </c>
      <c r="R65" s="172">
        <v>997.923</v>
      </c>
      <c r="S65" s="172">
        <v>1096.172</v>
      </c>
      <c r="T65" s="172">
        <v>1083</v>
      </c>
      <c r="U65" s="172">
        <v>1065</v>
      </c>
      <c r="V65" s="172">
        <v>956.78399999999999</v>
      </c>
      <c r="W65" s="172">
        <v>943.52099999999996</v>
      </c>
      <c r="X65" s="172">
        <v>931</v>
      </c>
      <c r="Y65" s="172">
        <v>915</v>
      </c>
      <c r="Z65" s="172">
        <v>901.31500000000005</v>
      </c>
      <c r="AA65" s="172">
        <v>889.57</v>
      </c>
      <c r="AB65" s="172">
        <v>892.13900000000001</v>
      </c>
      <c r="AC65" s="172">
        <v>875</v>
      </c>
      <c r="AD65" s="172">
        <v>868.14499999999998</v>
      </c>
      <c r="AE65" s="172">
        <v>875</v>
      </c>
      <c r="AF65" s="173">
        <v>874</v>
      </c>
      <c r="AG65" s="213"/>
      <c r="AI65" s="119"/>
      <c r="AJ65" s="119"/>
      <c r="AK65" s="119"/>
      <c r="AL65" s="119"/>
      <c r="AM65" s="113"/>
      <c r="AN65" s="113"/>
      <c r="AO65" s="113"/>
    </row>
    <row r="66" spans="2:41" s="49" customFormat="1">
      <c r="B66" s="116" t="s">
        <v>180</v>
      </c>
      <c r="C66" s="173">
        <v>0</v>
      </c>
      <c r="D66" s="173">
        <v>0</v>
      </c>
      <c r="E66" s="173">
        <v>0</v>
      </c>
      <c r="F66" s="173">
        <v>0</v>
      </c>
      <c r="G66" s="173">
        <v>23.265999999999998</v>
      </c>
      <c r="H66" s="173">
        <v>19.878</v>
      </c>
      <c r="I66" s="173">
        <v>17.193999999999999</v>
      </c>
      <c r="J66" s="119">
        <v>15.305999999999999</v>
      </c>
      <c r="K66" s="119">
        <v>15.141</v>
      </c>
      <c r="L66" s="119">
        <v>12.718</v>
      </c>
      <c r="M66" s="119">
        <v>12.138</v>
      </c>
      <c r="N66" s="119">
        <v>15.24</v>
      </c>
      <c r="O66" s="119">
        <v>20.044</v>
      </c>
      <c r="P66" s="119">
        <v>42</v>
      </c>
      <c r="Q66" s="119">
        <v>47</v>
      </c>
      <c r="R66" s="119">
        <v>43.137</v>
      </c>
      <c r="S66" s="119">
        <v>39.798999999999999</v>
      </c>
      <c r="T66" s="119">
        <v>39</v>
      </c>
      <c r="U66" s="119">
        <v>31</v>
      </c>
      <c r="V66" s="119">
        <v>31</v>
      </c>
      <c r="W66" s="119">
        <v>26.821999999999999</v>
      </c>
      <c r="X66" s="119">
        <v>28</v>
      </c>
      <c r="Y66" s="119">
        <v>36</v>
      </c>
      <c r="Z66" s="119">
        <v>48.576000000000001</v>
      </c>
      <c r="AA66" s="119">
        <v>42.121000000000002</v>
      </c>
      <c r="AB66" s="119">
        <v>39.564999999999998</v>
      </c>
      <c r="AC66" s="119">
        <v>57</v>
      </c>
      <c r="AD66" s="119">
        <v>171.41800000000001</v>
      </c>
      <c r="AE66" s="119">
        <v>169</v>
      </c>
      <c r="AF66" s="171">
        <v>164</v>
      </c>
      <c r="AG66" s="50"/>
      <c r="AH66" s="46"/>
      <c r="AI66" s="211"/>
      <c r="AJ66" s="211"/>
      <c r="AK66" s="211"/>
      <c r="AL66" s="211"/>
      <c r="AM66" s="183"/>
      <c r="AN66" s="183"/>
      <c r="AO66" s="183"/>
    </row>
    <row r="67" spans="2:41" ht="14.5" thickBot="1">
      <c r="B67" s="122" t="s">
        <v>181</v>
      </c>
      <c r="C67" s="159">
        <f t="shared" ref="C67:AF67" si="32">SUM(C51,C41)</f>
        <v>11223.437000000002</v>
      </c>
      <c r="D67" s="159">
        <f t="shared" si="32"/>
        <v>9732.1370000000006</v>
      </c>
      <c r="E67" s="159">
        <f t="shared" si="32"/>
        <v>9781.4919999999984</v>
      </c>
      <c r="F67" s="159">
        <f t="shared" si="32"/>
        <v>9703.6550000000007</v>
      </c>
      <c r="G67" s="159">
        <f t="shared" si="32"/>
        <v>9575.6569999999992</v>
      </c>
      <c r="H67" s="159">
        <f t="shared" si="32"/>
        <v>9674.8998817060128</v>
      </c>
      <c r="I67" s="159">
        <f t="shared" si="32"/>
        <v>9703.6654095961421</v>
      </c>
      <c r="J67" s="159">
        <f t="shared" si="32"/>
        <v>9816.3158869189938</v>
      </c>
      <c r="K67" s="159">
        <f t="shared" si="32"/>
        <v>10610.285909144251</v>
      </c>
      <c r="L67" s="159">
        <f t="shared" si="32"/>
        <v>10652.629224133405</v>
      </c>
      <c r="M67" s="159">
        <f t="shared" si="32"/>
        <v>10682.171137132849</v>
      </c>
      <c r="N67" s="159">
        <f t="shared" si="32"/>
        <v>11211.169999999998</v>
      </c>
      <c r="O67" s="159">
        <f t="shared" si="32"/>
        <v>10241.413</v>
      </c>
      <c r="P67" s="159">
        <f t="shared" si="32"/>
        <v>10504</v>
      </c>
      <c r="Q67" s="159">
        <f t="shared" si="32"/>
        <v>11290.025</v>
      </c>
      <c r="R67" s="159">
        <f t="shared" si="32"/>
        <v>11965.163</v>
      </c>
      <c r="S67" s="159">
        <f t="shared" si="32"/>
        <v>11896.292000000001</v>
      </c>
      <c r="T67" s="159">
        <f t="shared" si="32"/>
        <v>12240</v>
      </c>
      <c r="U67" s="159">
        <f t="shared" si="32"/>
        <v>12615.861000000001</v>
      </c>
      <c r="V67" s="159">
        <f t="shared" si="32"/>
        <v>12275.376</v>
      </c>
      <c r="W67" s="159">
        <f t="shared" si="32"/>
        <v>13163.654</v>
      </c>
      <c r="X67" s="159">
        <f t="shared" si="32"/>
        <v>13606</v>
      </c>
      <c r="Y67" s="159">
        <f t="shared" si="32"/>
        <v>13495</v>
      </c>
      <c r="Z67" s="159">
        <f t="shared" si="32"/>
        <v>13561.932000000001</v>
      </c>
      <c r="AA67" s="159">
        <f t="shared" si="32"/>
        <v>13332.733</v>
      </c>
      <c r="AB67" s="159">
        <f t="shared" si="32"/>
        <v>13776.827999999998</v>
      </c>
      <c r="AC67" s="159">
        <f t="shared" si="32"/>
        <v>13557</v>
      </c>
      <c r="AD67" s="159">
        <f t="shared" si="32"/>
        <v>13833.394999999999</v>
      </c>
      <c r="AE67" s="159">
        <f t="shared" si="32"/>
        <v>13360</v>
      </c>
      <c r="AF67" s="159">
        <f t="shared" si="32"/>
        <v>13339</v>
      </c>
      <c r="AI67" s="109"/>
      <c r="AJ67" s="109"/>
      <c r="AK67" s="109"/>
      <c r="AL67" s="109"/>
      <c r="AM67" s="113"/>
      <c r="AN67" s="113"/>
      <c r="AO67" s="113"/>
    </row>
    <row r="68" spans="2:41">
      <c r="B68" s="120"/>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463"/>
      <c r="AC68" s="463"/>
      <c r="AD68" s="463"/>
      <c r="AE68" s="463"/>
      <c r="AF68" s="463"/>
      <c r="AI68" s="109"/>
      <c r="AJ68" s="109"/>
      <c r="AK68" s="109"/>
      <c r="AL68" s="109"/>
      <c r="AM68" s="113"/>
      <c r="AN68" s="113"/>
      <c r="AO68" s="113"/>
    </row>
    <row r="69" spans="2:41">
      <c r="B69" s="117"/>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463"/>
      <c r="AC69" s="463"/>
      <c r="AD69" s="463"/>
      <c r="AE69" s="463"/>
      <c r="AF69" s="463"/>
      <c r="AG69" s="213"/>
      <c r="AI69" s="179"/>
      <c r="AJ69" s="179"/>
      <c r="AK69" s="179"/>
      <c r="AL69" s="179"/>
      <c r="AM69" s="113"/>
      <c r="AN69" s="113"/>
      <c r="AO69" s="113"/>
    </row>
    <row r="70" spans="2:41" ht="14.5" thickBot="1">
      <c r="B70" s="107" t="s">
        <v>182</v>
      </c>
      <c r="C70" s="158">
        <f>SUM(C71:C85)</f>
        <v>1427.873</v>
      </c>
      <c r="D70" s="158">
        <f>SUM(D71:D85)</f>
        <v>1493.3719999999998</v>
      </c>
      <c r="E70" s="158">
        <f t="shared" ref="E70:P70" si="33">SUM(E71:E85)</f>
        <v>1506.248</v>
      </c>
      <c r="F70" s="158">
        <f t="shared" si="33"/>
        <v>1332.4649999999999</v>
      </c>
      <c r="G70" s="158">
        <f t="shared" si="33"/>
        <v>1218.8489999999999</v>
      </c>
      <c r="H70" s="158">
        <f t="shared" si="33"/>
        <v>1401.3614659621855</v>
      </c>
      <c r="I70" s="158">
        <f t="shared" si="33"/>
        <v>1389.9093766210444</v>
      </c>
      <c r="J70" s="158">
        <f t="shared" si="33"/>
        <v>1233.8945746135075</v>
      </c>
      <c r="K70" s="158">
        <f t="shared" si="33"/>
        <v>1624.2482467242435</v>
      </c>
      <c r="L70" s="158">
        <f t="shared" si="33"/>
        <v>1547.5579460457982</v>
      </c>
      <c r="M70" s="158">
        <f t="shared" si="33"/>
        <v>1749.6914815602122</v>
      </c>
      <c r="N70" s="158">
        <f t="shared" si="33"/>
        <v>1990.6629999999998</v>
      </c>
      <c r="O70" s="158">
        <f t="shared" si="33"/>
        <v>2262.6780000000008</v>
      </c>
      <c r="P70" s="158">
        <f t="shared" si="33"/>
        <v>2232</v>
      </c>
      <c r="Q70" s="158">
        <f>SUM(Q71:Q85)</f>
        <v>2329</v>
      </c>
      <c r="R70" s="158">
        <f>SUM(R71:R85)</f>
        <v>2159.634</v>
      </c>
      <c r="S70" s="158">
        <f t="shared" ref="S70:U70" si="34">SUM(S71:S85)</f>
        <v>1778.6399999999999</v>
      </c>
      <c r="T70" s="158">
        <f t="shared" si="34"/>
        <v>1754</v>
      </c>
      <c r="U70" s="158">
        <f t="shared" si="34"/>
        <v>2022.5720000000001</v>
      </c>
      <c r="V70" s="158">
        <f t="shared" ref="V70:W70" si="35">SUM(V71:V85)</f>
        <v>2188</v>
      </c>
      <c r="W70" s="158">
        <f t="shared" si="35"/>
        <v>2205.0119999999997</v>
      </c>
      <c r="X70" s="158">
        <f>SUM(X71:X86)</f>
        <v>2451</v>
      </c>
      <c r="Y70" s="158">
        <f>SUM(Y71:Y86)</f>
        <v>2174</v>
      </c>
      <c r="Z70" s="158">
        <v>2181.4940000000001</v>
      </c>
      <c r="AA70" s="158">
        <f>SUM(AA71:AA86)</f>
        <v>2157.9209999999998</v>
      </c>
      <c r="AB70" s="158">
        <f t="shared" ref="AB70:AE70" si="36">SUM(AB71:AB86)</f>
        <v>1987.665</v>
      </c>
      <c r="AC70" s="158">
        <f t="shared" si="36"/>
        <v>2002</v>
      </c>
      <c r="AD70" s="158">
        <f t="shared" si="36"/>
        <v>2345.7809999999999</v>
      </c>
      <c r="AE70" s="158">
        <f t="shared" si="36"/>
        <v>2368</v>
      </c>
      <c r="AF70" s="158">
        <f>SUM(AF71:AF87)</f>
        <v>2254</v>
      </c>
      <c r="AG70" s="213"/>
      <c r="AI70" s="109"/>
      <c r="AJ70" s="109"/>
      <c r="AK70" s="109"/>
      <c r="AL70" s="109"/>
      <c r="AM70" s="113"/>
      <c r="AN70" s="113"/>
      <c r="AO70" s="113"/>
    </row>
    <row r="71" spans="2:41">
      <c r="B71" s="62" t="s">
        <v>183</v>
      </c>
      <c r="C71" s="109">
        <v>238.93799999999999</v>
      </c>
      <c r="D71" s="109">
        <v>193.37700000000001</v>
      </c>
      <c r="E71" s="109">
        <v>163.18899999999999</v>
      </c>
      <c r="F71" s="109">
        <v>118.095</v>
      </c>
      <c r="G71" s="109">
        <v>135.06100000000001</v>
      </c>
      <c r="H71" s="109">
        <v>124.26902001798319</v>
      </c>
      <c r="I71" s="109">
        <v>144.9937248166915</v>
      </c>
      <c r="J71" s="109">
        <v>126.56036483350766</v>
      </c>
      <c r="K71" s="109">
        <v>158.99118751278539</v>
      </c>
      <c r="L71" s="109">
        <v>127.53195661799795</v>
      </c>
      <c r="M71" s="109">
        <v>161.8117794433341</v>
      </c>
      <c r="N71" s="109">
        <v>63.838999999999999</v>
      </c>
      <c r="O71" s="109">
        <v>89.61</v>
      </c>
      <c r="P71" s="109">
        <v>60</v>
      </c>
      <c r="Q71" s="109">
        <v>87</v>
      </c>
      <c r="R71" s="109">
        <v>69.382999999999996</v>
      </c>
      <c r="S71" s="109">
        <v>92.506</v>
      </c>
      <c r="T71" s="109">
        <v>68</v>
      </c>
      <c r="U71" s="109">
        <v>126</v>
      </c>
      <c r="V71" s="109">
        <v>108</v>
      </c>
      <c r="W71" s="109">
        <v>124.751</v>
      </c>
      <c r="X71" s="109">
        <v>116</v>
      </c>
      <c r="Y71" s="109">
        <v>108</v>
      </c>
      <c r="Z71" s="109">
        <v>103.107</v>
      </c>
      <c r="AA71" s="109">
        <v>274.98</v>
      </c>
      <c r="AB71" s="463">
        <v>277.38099999999997</v>
      </c>
      <c r="AC71" s="463">
        <v>272</v>
      </c>
      <c r="AD71" s="463">
        <v>117.289</v>
      </c>
      <c r="AE71" s="463">
        <v>95</v>
      </c>
      <c r="AF71" s="463">
        <v>105</v>
      </c>
      <c r="AG71" s="213"/>
      <c r="AH71" s="213"/>
      <c r="AI71" s="109"/>
      <c r="AJ71" s="109"/>
      <c r="AK71" s="109"/>
      <c r="AL71" s="109"/>
      <c r="AM71" s="113"/>
      <c r="AN71" s="113"/>
      <c r="AO71" s="113"/>
    </row>
    <row r="72" spans="2:41">
      <c r="B72" s="65" t="s">
        <v>173</v>
      </c>
      <c r="C72" s="125">
        <v>13.459</v>
      </c>
      <c r="D72" s="125">
        <v>180.791</v>
      </c>
      <c r="E72" s="125">
        <v>163.62</v>
      </c>
      <c r="F72" s="125">
        <v>57.786000000000001</v>
      </c>
      <c r="G72" s="125">
        <v>24.167999999999999</v>
      </c>
      <c r="H72" s="125">
        <v>0.39244594420231987</v>
      </c>
      <c r="I72" s="125">
        <v>5.2436518043528721</v>
      </c>
      <c r="J72" s="125">
        <v>17.986209779999999</v>
      </c>
      <c r="K72" s="125">
        <v>245.24705921145792</v>
      </c>
      <c r="L72" s="125">
        <v>284.15198942780034</v>
      </c>
      <c r="M72" s="125">
        <v>336.27670211687837</v>
      </c>
      <c r="N72" s="125">
        <v>398.78199999999998</v>
      </c>
      <c r="O72" s="125">
        <v>594.61400000000003</v>
      </c>
      <c r="P72" s="125">
        <v>527</v>
      </c>
      <c r="Q72" s="125">
        <v>552</v>
      </c>
      <c r="R72" s="125">
        <v>231.28899999999999</v>
      </c>
      <c r="S72" s="125">
        <v>122.902</v>
      </c>
      <c r="T72" s="125">
        <v>4</v>
      </c>
      <c r="U72" s="125">
        <v>5</v>
      </c>
      <c r="V72" s="125">
        <v>4</v>
      </c>
      <c r="W72" s="125">
        <v>3</v>
      </c>
      <c r="X72" s="125">
        <v>2</v>
      </c>
      <c r="Y72" s="125">
        <v>3</v>
      </c>
      <c r="Z72" s="125">
        <v>2.3050000000000002</v>
      </c>
      <c r="AA72" s="125">
        <v>2.89</v>
      </c>
      <c r="AB72" s="468">
        <v>4.9569999999999999</v>
      </c>
      <c r="AC72" s="468">
        <v>4</v>
      </c>
      <c r="AD72" s="468">
        <v>197</v>
      </c>
      <c r="AE72" s="468">
        <v>190</v>
      </c>
      <c r="AF72" s="468">
        <v>94</v>
      </c>
      <c r="AG72" s="213"/>
      <c r="AH72" s="213"/>
      <c r="AI72" s="109"/>
      <c r="AJ72" s="109"/>
      <c r="AK72" s="109"/>
      <c r="AL72" s="109"/>
      <c r="AM72" s="113"/>
      <c r="AN72" s="113"/>
      <c r="AO72" s="113"/>
    </row>
    <row r="73" spans="2:41">
      <c r="B73" s="62" t="s">
        <v>184</v>
      </c>
      <c r="C73" s="179">
        <v>0</v>
      </c>
      <c r="D73" s="179">
        <v>0</v>
      </c>
      <c r="E73" s="179">
        <v>0</v>
      </c>
      <c r="F73" s="179">
        <v>0</v>
      </c>
      <c r="G73" s="109">
        <v>11.413</v>
      </c>
      <c r="H73" s="109">
        <v>11.202</v>
      </c>
      <c r="I73" s="109">
        <v>7.7060000000000004</v>
      </c>
      <c r="J73" s="109">
        <v>9.2769999999999992</v>
      </c>
      <c r="K73" s="109">
        <v>7.7930000000000001</v>
      </c>
      <c r="L73" s="109">
        <v>6.2190000000000003</v>
      </c>
      <c r="M73" s="109">
        <v>6.5570000000000004</v>
      </c>
      <c r="N73" s="109">
        <v>8.8049999999999997</v>
      </c>
      <c r="O73" s="109">
        <v>10.862</v>
      </c>
      <c r="P73" s="109">
        <v>23</v>
      </c>
      <c r="Q73" s="109">
        <v>25</v>
      </c>
      <c r="R73" s="109">
        <v>27.126000000000001</v>
      </c>
      <c r="S73" s="109">
        <v>27.766999999999999</v>
      </c>
      <c r="T73" s="109">
        <v>25</v>
      </c>
      <c r="U73" s="109">
        <v>20</v>
      </c>
      <c r="V73" s="109">
        <v>16</v>
      </c>
      <c r="W73" s="109">
        <v>10.513</v>
      </c>
      <c r="X73" s="109">
        <v>9</v>
      </c>
      <c r="Y73" s="109">
        <v>15</v>
      </c>
      <c r="Z73" s="109">
        <v>20.582000000000001</v>
      </c>
      <c r="AA73" s="109">
        <v>17.495999999999999</v>
      </c>
      <c r="AB73" s="463">
        <v>18.751000000000001</v>
      </c>
      <c r="AC73" s="463">
        <v>30</v>
      </c>
      <c r="AD73" s="463">
        <v>42.390999999999998</v>
      </c>
      <c r="AE73" s="463">
        <v>41</v>
      </c>
      <c r="AF73" s="463">
        <v>34</v>
      </c>
      <c r="AG73" s="213"/>
      <c r="AH73" s="213"/>
      <c r="AI73" s="109"/>
      <c r="AJ73" s="109"/>
      <c r="AK73" s="109"/>
      <c r="AL73" s="109"/>
      <c r="AM73" s="113"/>
      <c r="AN73" s="113"/>
      <c r="AO73" s="113"/>
    </row>
    <row r="74" spans="2:41">
      <c r="B74" s="65" t="s">
        <v>185</v>
      </c>
      <c r="C74" s="125">
        <v>44.372</v>
      </c>
      <c r="D74" s="125">
        <v>28.062000000000001</v>
      </c>
      <c r="E74" s="125">
        <v>158.61799999999999</v>
      </c>
      <c r="F74" s="125">
        <v>256.64499999999998</v>
      </c>
      <c r="G74" s="125">
        <v>260.55500000000001</v>
      </c>
      <c r="H74" s="125">
        <v>387.101</v>
      </c>
      <c r="I74" s="125">
        <v>360.32799999999997</v>
      </c>
      <c r="J74" s="125">
        <v>335.13</v>
      </c>
      <c r="K74" s="125">
        <v>416.798</v>
      </c>
      <c r="L74" s="125">
        <v>347.41199999999998</v>
      </c>
      <c r="M74" s="125">
        <v>412.73500000000001</v>
      </c>
      <c r="N74" s="125">
        <v>594.58100000000002</v>
      </c>
      <c r="O74" s="125">
        <v>589.87900000000002</v>
      </c>
      <c r="P74" s="125">
        <v>614</v>
      </c>
      <c r="Q74" s="125">
        <v>387</v>
      </c>
      <c r="R74" s="125">
        <v>558.01700000000005</v>
      </c>
      <c r="S74" s="125">
        <v>272.87900000000002</v>
      </c>
      <c r="T74" s="125">
        <v>109</v>
      </c>
      <c r="U74" s="125">
        <v>120.425</v>
      </c>
      <c r="V74" s="125">
        <v>210</v>
      </c>
      <c r="W74" s="125">
        <v>275.65600000000001</v>
      </c>
      <c r="X74" s="125">
        <v>267</v>
      </c>
      <c r="Y74" s="125">
        <v>118</v>
      </c>
      <c r="Z74" s="125">
        <v>248.81200000000001</v>
      </c>
      <c r="AA74" s="125">
        <v>134.15299999999999</v>
      </c>
      <c r="AB74" s="468">
        <v>150.428</v>
      </c>
      <c r="AC74" s="468">
        <v>98</v>
      </c>
      <c r="AD74" s="468">
        <v>178.46700000000001</v>
      </c>
      <c r="AE74" s="468">
        <v>131</v>
      </c>
      <c r="AF74" s="468">
        <v>156</v>
      </c>
      <c r="AG74" s="213"/>
      <c r="AH74" s="213"/>
      <c r="AI74" s="109"/>
      <c r="AJ74" s="109"/>
      <c r="AK74" s="109"/>
      <c r="AL74" s="109"/>
      <c r="AM74" s="113"/>
      <c r="AN74" s="113"/>
      <c r="AO74" s="113"/>
    </row>
    <row r="75" spans="2:41">
      <c r="B75" s="62" t="s">
        <v>186</v>
      </c>
      <c r="C75" s="109">
        <v>454.84100000000001</v>
      </c>
      <c r="D75" s="109">
        <v>564.04399999999998</v>
      </c>
      <c r="E75" s="109">
        <v>533.87199999999996</v>
      </c>
      <c r="F75" s="109">
        <v>390.81599999999997</v>
      </c>
      <c r="G75" s="109">
        <v>396.88499999999999</v>
      </c>
      <c r="H75" s="109">
        <v>423.47500000000002</v>
      </c>
      <c r="I75" s="109">
        <v>424.26799999999997</v>
      </c>
      <c r="J75" s="109">
        <v>407.21499999999997</v>
      </c>
      <c r="K75" s="109">
        <v>518.76700000000005</v>
      </c>
      <c r="L75" s="109">
        <v>442.89100000000002</v>
      </c>
      <c r="M75" s="109">
        <v>460.11799999999999</v>
      </c>
      <c r="N75" s="109">
        <v>425.95100000000002</v>
      </c>
      <c r="O75" s="109">
        <v>511.291</v>
      </c>
      <c r="P75" s="109">
        <v>523</v>
      </c>
      <c r="Q75" s="109">
        <v>640</v>
      </c>
      <c r="R75" s="109">
        <v>655.62599999999998</v>
      </c>
      <c r="S75" s="109">
        <v>646.98299999999995</v>
      </c>
      <c r="T75" s="109">
        <v>748</v>
      </c>
      <c r="U75" s="109">
        <v>929.14700000000005</v>
      </c>
      <c r="V75" s="109">
        <v>1009</v>
      </c>
      <c r="W75" s="109">
        <v>1013.263</v>
      </c>
      <c r="X75" s="109">
        <v>989</v>
      </c>
      <c r="Y75" s="109">
        <v>881</v>
      </c>
      <c r="Z75" s="109">
        <v>956.88099999999997</v>
      </c>
      <c r="AA75" s="109">
        <v>889.31500000000005</v>
      </c>
      <c r="AB75" s="463">
        <v>796.21400000000006</v>
      </c>
      <c r="AC75" s="463">
        <v>958</v>
      </c>
      <c r="AD75" s="463">
        <v>1123.9939999999999</v>
      </c>
      <c r="AE75" s="463">
        <v>1267</v>
      </c>
      <c r="AF75" s="463">
        <v>1153</v>
      </c>
      <c r="AG75" s="213"/>
      <c r="AH75" s="213"/>
      <c r="AI75" s="109"/>
      <c r="AJ75" s="109"/>
      <c r="AK75" s="109"/>
      <c r="AL75" s="109"/>
      <c r="AM75" s="113"/>
      <c r="AN75" s="113"/>
      <c r="AO75" s="113"/>
    </row>
    <row r="76" spans="2:41">
      <c r="B76" s="65" t="s">
        <v>187</v>
      </c>
      <c r="C76" s="125">
        <v>82.474999999999994</v>
      </c>
      <c r="D76" s="125">
        <v>100.065</v>
      </c>
      <c r="E76" s="125">
        <v>126.708</v>
      </c>
      <c r="F76" s="125">
        <v>118.724</v>
      </c>
      <c r="G76" s="125">
        <v>82.093999999999994</v>
      </c>
      <c r="H76" s="125">
        <v>102.691</v>
      </c>
      <c r="I76" s="125">
        <v>124.592</v>
      </c>
      <c r="J76" s="125">
        <v>123.054</v>
      </c>
      <c r="K76" s="125">
        <v>94.290999999999997</v>
      </c>
      <c r="L76" s="125">
        <v>141.66900000000001</v>
      </c>
      <c r="M76" s="125">
        <v>155.59200000000001</v>
      </c>
      <c r="N76" s="125">
        <v>175.666</v>
      </c>
      <c r="O76" s="125">
        <v>110.849</v>
      </c>
      <c r="P76" s="125">
        <v>131</v>
      </c>
      <c r="Q76" s="125">
        <v>161</v>
      </c>
      <c r="R76" s="125">
        <v>162.24299999999999</v>
      </c>
      <c r="S76" s="125">
        <v>120.797</v>
      </c>
      <c r="T76" s="125">
        <v>143</v>
      </c>
      <c r="U76" s="125">
        <v>177</v>
      </c>
      <c r="V76" s="125">
        <v>171</v>
      </c>
      <c r="W76" s="125">
        <v>125.004</v>
      </c>
      <c r="X76" s="125">
        <v>156</v>
      </c>
      <c r="Y76" s="125">
        <v>190</v>
      </c>
      <c r="Z76" s="125">
        <v>198.72300000000001</v>
      </c>
      <c r="AA76" s="125">
        <v>125.65</v>
      </c>
      <c r="AB76" s="468">
        <v>165.94300000000001</v>
      </c>
      <c r="AC76" s="468">
        <v>200</v>
      </c>
      <c r="AD76" s="468">
        <v>220.92400000000001</v>
      </c>
      <c r="AE76" s="468">
        <v>142</v>
      </c>
      <c r="AF76" s="468">
        <v>175</v>
      </c>
      <c r="AG76" s="213"/>
      <c r="AH76" s="213"/>
      <c r="AI76" s="109"/>
      <c r="AJ76" s="109"/>
      <c r="AK76" s="109"/>
      <c r="AL76" s="109"/>
      <c r="AM76" s="113"/>
      <c r="AN76" s="113"/>
      <c r="AO76" s="113"/>
    </row>
    <row r="77" spans="2:41">
      <c r="B77" s="62" t="s">
        <v>188</v>
      </c>
      <c r="C77" s="109">
        <v>24.885000000000002</v>
      </c>
      <c r="D77" s="109">
        <v>45.412999999999997</v>
      </c>
      <c r="E77" s="109">
        <v>31.765999999999998</v>
      </c>
      <c r="F77" s="109">
        <v>32.335999999999999</v>
      </c>
      <c r="G77" s="109">
        <v>25.975999999999999</v>
      </c>
      <c r="H77" s="109">
        <v>32.475000000000001</v>
      </c>
      <c r="I77" s="109">
        <v>42.601999999999997</v>
      </c>
      <c r="J77" s="109">
        <v>41.926000000000002</v>
      </c>
      <c r="K77" s="109">
        <v>33.655000000000001</v>
      </c>
      <c r="L77" s="109">
        <v>44.085999999999999</v>
      </c>
      <c r="M77" s="109">
        <v>65.549000000000007</v>
      </c>
      <c r="N77" s="109">
        <v>74.165999999999997</v>
      </c>
      <c r="O77" s="109">
        <v>37.198</v>
      </c>
      <c r="P77" s="109">
        <v>79</v>
      </c>
      <c r="Q77" s="109">
        <v>158</v>
      </c>
      <c r="R77" s="109">
        <v>78.275000000000006</v>
      </c>
      <c r="S77" s="109">
        <v>114.28700000000001</v>
      </c>
      <c r="T77" s="109">
        <v>222</v>
      </c>
      <c r="U77" s="109">
        <v>240</v>
      </c>
      <c r="V77" s="109">
        <v>34</v>
      </c>
      <c r="W77" s="109">
        <v>26.728999999999999</v>
      </c>
      <c r="X77" s="109">
        <v>29</v>
      </c>
      <c r="Y77" s="109">
        <v>45</v>
      </c>
      <c r="Z77" s="109">
        <v>41.473999999999997</v>
      </c>
      <c r="AA77" s="109">
        <v>48.015000000000001</v>
      </c>
      <c r="AB77" s="463">
        <v>41.277999999999999</v>
      </c>
      <c r="AC77" s="463">
        <v>53</v>
      </c>
      <c r="AD77" s="463">
        <v>37.357999999999997</v>
      </c>
      <c r="AE77" s="463">
        <v>42</v>
      </c>
      <c r="AF77" s="463">
        <v>47</v>
      </c>
      <c r="AG77" s="213"/>
      <c r="AH77" s="213"/>
      <c r="AI77" s="109"/>
      <c r="AJ77" s="109"/>
      <c r="AK77" s="109"/>
      <c r="AL77" s="109"/>
      <c r="AM77" s="113"/>
      <c r="AN77" s="113"/>
      <c r="AO77" s="113"/>
    </row>
    <row r="78" spans="2:41">
      <c r="B78" s="65" t="s">
        <v>189</v>
      </c>
      <c r="C78" s="125">
        <v>239.203</v>
      </c>
      <c r="D78" s="125">
        <v>50.499000000000002</v>
      </c>
      <c r="E78" s="125">
        <v>24.135000000000002</v>
      </c>
      <c r="F78" s="125">
        <v>29.048999999999999</v>
      </c>
      <c r="G78" s="125">
        <v>33.161999999999999</v>
      </c>
      <c r="H78" s="125">
        <v>40.073</v>
      </c>
      <c r="I78" s="125">
        <v>37.033999999999999</v>
      </c>
      <c r="J78" s="125">
        <v>20.413</v>
      </c>
      <c r="K78" s="125">
        <v>24.975999999999999</v>
      </c>
      <c r="L78" s="125">
        <v>34.151000000000003</v>
      </c>
      <c r="M78" s="125">
        <v>23.337</v>
      </c>
      <c r="N78" s="125">
        <v>31.861999999999998</v>
      </c>
      <c r="O78" s="125">
        <v>42.584000000000003</v>
      </c>
      <c r="P78" s="125">
        <v>45</v>
      </c>
      <c r="Q78" s="125">
        <v>71</v>
      </c>
      <c r="R78" s="125">
        <v>47.662999999999997</v>
      </c>
      <c r="S78" s="125">
        <v>52.831000000000003</v>
      </c>
      <c r="T78" s="125">
        <v>59</v>
      </c>
      <c r="U78" s="125">
        <v>28</v>
      </c>
      <c r="V78" s="125">
        <v>31</v>
      </c>
      <c r="W78" s="125">
        <v>15.178000000000001</v>
      </c>
      <c r="X78" s="125">
        <v>46</v>
      </c>
      <c r="Y78" s="125">
        <v>27</v>
      </c>
      <c r="Z78" s="125">
        <v>18.324999999999999</v>
      </c>
      <c r="AA78" s="125">
        <v>100.81100000000001</v>
      </c>
      <c r="AB78" s="468">
        <v>89.552000000000007</v>
      </c>
      <c r="AC78" s="468">
        <v>110</v>
      </c>
      <c r="AD78" s="468">
        <v>22.885999999999999</v>
      </c>
      <c r="AE78" s="468">
        <v>25</v>
      </c>
      <c r="AF78" s="468">
        <v>0</v>
      </c>
      <c r="AG78" s="213"/>
      <c r="AH78" s="213"/>
      <c r="AI78" s="109"/>
      <c r="AJ78" s="109"/>
      <c r="AK78" s="109"/>
      <c r="AL78" s="109"/>
      <c r="AM78" s="113"/>
      <c r="AN78" s="113"/>
      <c r="AO78" s="113"/>
    </row>
    <row r="79" spans="2:41">
      <c r="B79" s="65" t="s">
        <v>471</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v>14.609</v>
      </c>
      <c r="AB79" s="468">
        <v>0</v>
      </c>
      <c r="AC79" s="468">
        <v>0</v>
      </c>
      <c r="AD79" s="468">
        <v>0</v>
      </c>
      <c r="AE79" s="468">
        <v>0</v>
      </c>
      <c r="AF79" s="468">
        <v>0</v>
      </c>
      <c r="AG79" s="213"/>
      <c r="AH79" s="213"/>
      <c r="AI79" s="109"/>
      <c r="AJ79" s="109"/>
      <c r="AK79" s="109"/>
      <c r="AL79" s="109"/>
      <c r="AM79" s="113"/>
      <c r="AN79" s="113"/>
      <c r="AO79" s="113"/>
    </row>
    <row r="80" spans="2:41">
      <c r="B80" s="62" t="s">
        <v>190</v>
      </c>
      <c r="C80" s="109">
        <v>12.797000000000001</v>
      </c>
      <c r="D80" s="109">
        <v>7.9000000000000001E-2</v>
      </c>
      <c r="E80" s="109">
        <v>7.9000000000000001E-2</v>
      </c>
      <c r="F80" s="109">
        <v>12.651999999999999</v>
      </c>
      <c r="G80" s="109">
        <v>12.653</v>
      </c>
      <c r="H80" s="109">
        <v>67.400000000000006</v>
      </c>
      <c r="I80" s="109">
        <v>72.37</v>
      </c>
      <c r="J80" s="109">
        <v>14.071999999999999</v>
      </c>
      <c r="K80" s="109">
        <v>23.923999999999999</v>
      </c>
      <c r="L80" s="109">
        <v>1.2609999999999999</v>
      </c>
      <c r="M80" s="109">
        <v>7.9000000000000001E-2</v>
      </c>
      <c r="N80" s="109">
        <v>33.81</v>
      </c>
      <c r="O80" s="109">
        <v>29.111000000000001</v>
      </c>
      <c r="P80" s="109">
        <v>60</v>
      </c>
      <c r="Q80" s="109">
        <v>67</v>
      </c>
      <c r="R80" s="109">
        <v>142.191</v>
      </c>
      <c r="S80" s="109">
        <v>118.511</v>
      </c>
      <c r="T80" s="109">
        <v>52</v>
      </c>
      <c r="U80" s="109">
        <v>52</v>
      </c>
      <c r="V80" s="109">
        <v>227</v>
      </c>
      <c r="W80" s="109">
        <v>227.11600000000001</v>
      </c>
      <c r="X80" s="109">
        <v>263</v>
      </c>
      <c r="Y80" s="109">
        <v>264</v>
      </c>
      <c r="Z80" s="109">
        <v>6.1139999999999999</v>
      </c>
      <c r="AA80" s="109">
        <v>6.1150000000000002</v>
      </c>
      <c r="AB80" s="463">
        <v>58.831000000000003</v>
      </c>
      <c r="AC80" s="463">
        <v>0</v>
      </c>
      <c r="AD80" s="463">
        <v>0</v>
      </c>
      <c r="AE80" s="463">
        <v>29</v>
      </c>
      <c r="AF80" s="463">
        <v>48</v>
      </c>
      <c r="AG80" s="213"/>
      <c r="AH80" s="213"/>
      <c r="AI80" s="109"/>
      <c r="AJ80" s="109"/>
      <c r="AK80" s="109"/>
      <c r="AL80" s="109"/>
      <c r="AM80" s="113"/>
      <c r="AN80" s="113"/>
      <c r="AO80" s="113"/>
    </row>
    <row r="81" spans="2:41">
      <c r="B81" s="65" t="s">
        <v>191</v>
      </c>
      <c r="C81" s="125">
        <v>39.155000000000001</v>
      </c>
      <c r="D81" s="125">
        <v>39.387</v>
      </c>
      <c r="E81" s="125">
        <v>39.466999999999999</v>
      </c>
      <c r="F81" s="125">
        <v>44.155999999999999</v>
      </c>
      <c r="G81" s="125">
        <v>42.173000000000002</v>
      </c>
      <c r="H81" s="125">
        <v>42.34</v>
      </c>
      <c r="I81" s="125">
        <v>42.433</v>
      </c>
      <c r="J81" s="125">
        <v>44.878</v>
      </c>
      <c r="K81" s="125">
        <v>44.923999999999999</v>
      </c>
      <c r="L81" s="125">
        <v>47.177</v>
      </c>
      <c r="M81" s="125">
        <v>47.734000000000002</v>
      </c>
      <c r="N81" s="125">
        <v>47.703000000000003</v>
      </c>
      <c r="O81" s="125">
        <v>47.703000000000003</v>
      </c>
      <c r="P81" s="125">
        <v>52</v>
      </c>
      <c r="Q81" s="125">
        <v>54</v>
      </c>
      <c r="R81" s="125">
        <v>74.313999999999993</v>
      </c>
      <c r="S81" s="125">
        <v>74.97</v>
      </c>
      <c r="T81" s="125">
        <v>76</v>
      </c>
      <c r="U81" s="125">
        <v>74</v>
      </c>
      <c r="V81" s="125">
        <v>56</v>
      </c>
      <c r="W81" s="125">
        <v>78.617999999999995</v>
      </c>
      <c r="X81" s="125">
        <v>79</v>
      </c>
      <c r="Y81" s="125">
        <v>78</v>
      </c>
      <c r="Z81" s="125">
        <v>78.795000000000002</v>
      </c>
      <c r="AA81" s="125">
        <v>78.885999999999996</v>
      </c>
      <c r="AB81" s="468">
        <v>79.207999999999998</v>
      </c>
      <c r="AC81" s="468">
        <v>79</v>
      </c>
      <c r="AD81" s="468">
        <v>82.233999999999995</v>
      </c>
      <c r="AE81" s="468">
        <v>83</v>
      </c>
      <c r="AF81" s="468">
        <v>83</v>
      </c>
      <c r="AG81" s="213"/>
      <c r="AH81" s="213"/>
      <c r="AI81" s="180"/>
      <c r="AJ81" s="180"/>
      <c r="AK81" s="180"/>
      <c r="AL81" s="180"/>
      <c r="AM81" s="113"/>
      <c r="AN81" s="113"/>
      <c r="AO81" s="113"/>
    </row>
    <row r="82" spans="2:41">
      <c r="B82" s="62" t="s">
        <v>192</v>
      </c>
      <c r="C82" s="109">
        <v>0</v>
      </c>
      <c r="D82" s="109">
        <v>0</v>
      </c>
      <c r="E82" s="109">
        <v>0</v>
      </c>
      <c r="F82" s="109">
        <v>0</v>
      </c>
      <c r="G82" s="109">
        <v>0</v>
      </c>
      <c r="H82" s="109">
        <v>0</v>
      </c>
      <c r="I82" s="109">
        <v>0</v>
      </c>
      <c r="J82" s="180">
        <v>16.635999999999999</v>
      </c>
      <c r="K82" s="180">
        <v>10.967000000000001</v>
      </c>
      <c r="L82" s="180">
        <v>22.667000000000002</v>
      </c>
      <c r="M82" s="180">
        <v>36.165999999999997</v>
      </c>
      <c r="N82" s="180">
        <v>65.489999999999995</v>
      </c>
      <c r="O82" s="180">
        <v>62.637</v>
      </c>
      <c r="P82" s="180">
        <v>2</v>
      </c>
      <c r="Q82" s="180">
        <v>6</v>
      </c>
      <c r="R82" s="180">
        <v>11.141999999999999</v>
      </c>
      <c r="S82" s="180">
        <v>20.321000000000002</v>
      </c>
      <c r="T82" s="180">
        <v>47</v>
      </c>
      <c r="U82" s="180">
        <v>94</v>
      </c>
      <c r="V82" s="180">
        <v>95</v>
      </c>
      <c r="W82" s="180">
        <v>121.693</v>
      </c>
      <c r="X82" s="180">
        <v>174</v>
      </c>
      <c r="Y82" s="180">
        <v>71</v>
      </c>
      <c r="Z82" s="180">
        <v>154.518</v>
      </c>
      <c r="AA82" s="180">
        <v>124.53100000000001</v>
      </c>
      <c r="AB82" s="469">
        <v>89.119</v>
      </c>
      <c r="AC82" s="469">
        <v>57</v>
      </c>
      <c r="AD82" s="469">
        <v>113.38800000000001</v>
      </c>
      <c r="AE82" s="469">
        <v>27</v>
      </c>
      <c r="AF82" s="469">
        <v>55</v>
      </c>
      <c r="AG82" s="213"/>
      <c r="AH82" s="213"/>
      <c r="AI82" s="180"/>
      <c r="AJ82" s="180"/>
      <c r="AK82" s="180"/>
      <c r="AL82" s="180"/>
      <c r="AM82" s="113"/>
      <c r="AN82" s="113"/>
      <c r="AO82" s="113"/>
    </row>
    <row r="83" spans="2:41">
      <c r="B83" s="65" t="s">
        <v>193</v>
      </c>
      <c r="C83" s="125">
        <v>223.36799999999999</v>
      </c>
      <c r="D83" s="125">
        <v>250.20599999999999</v>
      </c>
      <c r="E83" s="125">
        <v>223.55199999999999</v>
      </c>
      <c r="F83" s="125">
        <v>223.369</v>
      </c>
      <c r="G83" s="125">
        <v>173.23500000000001</v>
      </c>
      <c r="H83" s="125">
        <v>146.86500000000001</v>
      </c>
      <c r="I83" s="125">
        <v>83.191999999999993</v>
      </c>
      <c r="J83" s="174">
        <v>27.201000000000001</v>
      </c>
      <c r="K83" s="174">
        <v>0.63600000000000001</v>
      </c>
      <c r="L83" s="174">
        <v>0.56100000000000005</v>
      </c>
      <c r="M83" s="174">
        <v>0.56100000000000005</v>
      </c>
      <c r="N83" s="174">
        <v>0.56100000000000005</v>
      </c>
      <c r="O83" s="174">
        <v>16.405000000000001</v>
      </c>
      <c r="P83" s="174">
        <v>1</v>
      </c>
      <c r="Q83" s="174">
        <v>1</v>
      </c>
      <c r="R83" s="174">
        <v>0.35</v>
      </c>
      <c r="S83" s="174">
        <v>0.35</v>
      </c>
      <c r="T83" s="174">
        <v>1</v>
      </c>
      <c r="U83" s="174">
        <v>0</v>
      </c>
      <c r="V83" s="174">
        <v>1</v>
      </c>
      <c r="W83" s="174">
        <v>0</v>
      </c>
      <c r="X83" s="174">
        <v>0</v>
      </c>
      <c r="Y83" s="174">
        <v>0</v>
      </c>
      <c r="Z83" s="174">
        <v>0</v>
      </c>
      <c r="AA83" s="174">
        <v>0</v>
      </c>
      <c r="AB83" s="470">
        <v>0</v>
      </c>
      <c r="AC83" s="470">
        <v>0</v>
      </c>
      <c r="AD83" s="470"/>
      <c r="AE83" s="470">
        <v>0</v>
      </c>
      <c r="AF83" s="470">
        <v>0</v>
      </c>
      <c r="AG83" s="213"/>
      <c r="AH83" s="213"/>
      <c r="AI83" s="109"/>
      <c r="AJ83" s="109"/>
      <c r="AK83" s="109"/>
      <c r="AL83" s="109"/>
      <c r="AM83" s="113"/>
      <c r="AN83" s="113"/>
      <c r="AO83" s="113"/>
    </row>
    <row r="84" spans="2:41">
      <c r="B84" s="65" t="s">
        <v>194</v>
      </c>
      <c r="C84" s="169">
        <v>0</v>
      </c>
      <c r="D84" s="169">
        <v>0</v>
      </c>
      <c r="E84" s="169">
        <v>0</v>
      </c>
      <c r="F84" s="169">
        <v>0</v>
      </c>
      <c r="G84" s="169">
        <v>0</v>
      </c>
      <c r="H84" s="169">
        <v>0</v>
      </c>
      <c r="I84" s="169">
        <v>0</v>
      </c>
      <c r="J84" s="169">
        <v>0</v>
      </c>
      <c r="K84" s="169">
        <v>0</v>
      </c>
      <c r="L84" s="169">
        <v>0</v>
      </c>
      <c r="M84" s="169">
        <v>0.751</v>
      </c>
      <c r="N84" s="169">
        <v>0.52200000000000002</v>
      </c>
      <c r="O84" s="169">
        <v>16.431999999999999</v>
      </c>
      <c r="P84" s="169">
        <v>16</v>
      </c>
      <c r="Q84" s="169">
        <v>18</v>
      </c>
      <c r="R84" s="169">
        <v>29.218</v>
      </c>
      <c r="S84" s="169">
        <v>21.190999999999999</v>
      </c>
      <c r="T84" s="169">
        <v>83</v>
      </c>
      <c r="U84" s="169">
        <v>66</v>
      </c>
      <c r="V84" s="169">
        <v>93</v>
      </c>
      <c r="W84" s="169">
        <v>101.139</v>
      </c>
      <c r="X84" s="169">
        <v>82</v>
      </c>
      <c r="Y84" s="169">
        <v>116</v>
      </c>
      <c r="Z84" s="169">
        <v>141.46100000000001</v>
      </c>
      <c r="AA84" s="169">
        <v>153.62899999999999</v>
      </c>
      <c r="AB84" s="465">
        <v>166.24799999999999</v>
      </c>
      <c r="AC84" s="465">
        <v>99</v>
      </c>
      <c r="AD84" s="465">
        <v>167</v>
      </c>
      <c r="AE84" s="465">
        <v>214</v>
      </c>
      <c r="AF84" s="465">
        <v>143</v>
      </c>
      <c r="AG84" s="213"/>
      <c r="AH84" s="213"/>
      <c r="AI84" s="109"/>
      <c r="AJ84" s="109"/>
      <c r="AK84" s="109"/>
      <c r="AL84" s="109"/>
      <c r="AM84" s="113"/>
      <c r="AN84" s="113"/>
      <c r="AO84" s="113"/>
    </row>
    <row r="85" spans="2:41" s="49" customFormat="1">
      <c r="B85" s="108" t="s">
        <v>195</v>
      </c>
      <c r="C85" s="109">
        <v>54.38</v>
      </c>
      <c r="D85" s="109">
        <v>41.448999999999998</v>
      </c>
      <c r="E85" s="109">
        <v>41.241999999999997</v>
      </c>
      <c r="F85" s="109">
        <v>48.837000000000003</v>
      </c>
      <c r="G85" s="109">
        <v>21.474</v>
      </c>
      <c r="H85" s="109">
        <v>23.077999999999999</v>
      </c>
      <c r="I85" s="109">
        <v>45.146999999999998</v>
      </c>
      <c r="J85" s="109">
        <v>49.545999999999999</v>
      </c>
      <c r="K85" s="109">
        <v>43.279000000000003</v>
      </c>
      <c r="L85" s="109">
        <v>47.78</v>
      </c>
      <c r="M85" s="109">
        <v>42.423999999999999</v>
      </c>
      <c r="N85" s="109">
        <v>68.924999999999997</v>
      </c>
      <c r="O85" s="109">
        <v>103.503</v>
      </c>
      <c r="P85" s="109">
        <v>99</v>
      </c>
      <c r="Q85" s="109">
        <v>102</v>
      </c>
      <c r="R85" s="109">
        <v>72.796999999999997</v>
      </c>
      <c r="S85" s="109">
        <v>92.344999999999999</v>
      </c>
      <c r="T85" s="109">
        <v>117</v>
      </c>
      <c r="U85" s="109">
        <v>91</v>
      </c>
      <c r="V85" s="109">
        <v>133</v>
      </c>
      <c r="W85" s="109">
        <v>82.352000000000004</v>
      </c>
      <c r="X85" s="109">
        <v>126</v>
      </c>
      <c r="Y85" s="109">
        <v>145</v>
      </c>
      <c r="Z85" s="109">
        <v>85.138000000000005</v>
      </c>
      <c r="AA85" s="109">
        <v>61.82</v>
      </c>
      <c r="AB85" s="463">
        <v>49.755000000000003</v>
      </c>
      <c r="AC85" s="463">
        <v>42</v>
      </c>
      <c r="AD85" s="463">
        <v>42.85</v>
      </c>
      <c r="AE85" s="463">
        <v>82</v>
      </c>
      <c r="AF85" s="465">
        <v>125</v>
      </c>
      <c r="AG85" s="50"/>
      <c r="AH85" s="213"/>
      <c r="AI85" s="179"/>
      <c r="AJ85" s="179"/>
      <c r="AK85" s="179"/>
      <c r="AL85" s="179"/>
      <c r="AM85" s="183"/>
      <c r="AN85" s="183"/>
      <c r="AO85" s="183"/>
    </row>
    <row r="86" spans="2:41" s="49" customFormat="1">
      <c r="B86" s="123" t="s">
        <v>388</v>
      </c>
      <c r="C86" s="125"/>
      <c r="D86" s="125"/>
      <c r="E86" s="125"/>
      <c r="F86" s="125"/>
      <c r="G86" s="125"/>
      <c r="H86" s="125"/>
      <c r="I86" s="125"/>
      <c r="J86" s="125"/>
      <c r="K86" s="125"/>
      <c r="L86" s="125"/>
      <c r="M86" s="125"/>
      <c r="N86" s="125"/>
      <c r="O86" s="125"/>
      <c r="P86" s="125"/>
      <c r="Q86" s="125"/>
      <c r="R86" s="125"/>
      <c r="S86" s="125"/>
      <c r="T86" s="125"/>
      <c r="U86" s="125"/>
      <c r="V86" s="125"/>
      <c r="W86" s="125"/>
      <c r="X86" s="125">
        <v>113</v>
      </c>
      <c r="Y86" s="125">
        <v>113</v>
      </c>
      <c r="Z86" s="125">
        <v>125.259</v>
      </c>
      <c r="AA86" s="125">
        <v>125.021</v>
      </c>
      <c r="AB86" s="468">
        <v>0</v>
      </c>
      <c r="AC86" s="468">
        <v>0</v>
      </c>
      <c r="AD86" s="468">
        <v>0</v>
      </c>
      <c r="AE86" s="468">
        <v>0</v>
      </c>
      <c r="AF86" s="572" t="s">
        <v>362</v>
      </c>
      <c r="AG86" s="50"/>
      <c r="AH86" s="213"/>
      <c r="AI86" s="179"/>
      <c r="AJ86" s="179"/>
      <c r="AK86" s="179"/>
      <c r="AL86" s="179"/>
      <c r="AM86" s="183"/>
      <c r="AN86" s="183"/>
      <c r="AO86" s="183"/>
    </row>
    <row r="87" spans="2:41" s="49" customFormat="1">
      <c r="B87" s="575" t="s">
        <v>540</v>
      </c>
      <c r="C87" s="571"/>
      <c r="D87" s="571"/>
      <c r="E87" s="571"/>
      <c r="F87" s="571"/>
      <c r="G87" s="571"/>
      <c r="H87" s="571"/>
      <c r="I87" s="571"/>
      <c r="J87" s="571"/>
      <c r="K87" s="571"/>
      <c r="L87" s="571"/>
      <c r="M87" s="571"/>
      <c r="N87" s="571"/>
      <c r="O87" s="571"/>
      <c r="P87" s="571"/>
      <c r="Q87" s="571"/>
      <c r="R87" s="571"/>
      <c r="S87" s="571"/>
      <c r="T87" s="571"/>
      <c r="U87" s="571"/>
      <c r="V87" s="571"/>
      <c r="W87" s="219">
        <v>0</v>
      </c>
      <c r="X87" s="219">
        <v>0</v>
      </c>
      <c r="Y87" s="219">
        <v>0</v>
      </c>
      <c r="Z87" s="219">
        <v>0</v>
      </c>
      <c r="AA87" s="219">
        <v>0</v>
      </c>
      <c r="AB87" s="219">
        <v>0</v>
      </c>
      <c r="AC87" s="219">
        <v>0</v>
      </c>
      <c r="AD87" s="219">
        <v>0</v>
      </c>
      <c r="AE87" s="219">
        <v>0</v>
      </c>
      <c r="AF87" s="220">
        <v>36</v>
      </c>
      <c r="AG87" s="50"/>
      <c r="AH87" s="213"/>
      <c r="AI87" s="179"/>
      <c r="AJ87" s="179"/>
      <c r="AK87" s="179"/>
      <c r="AL87" s="179"/>
      <c r="AM87" s="183"/>
      <c r="AN87" s="183"/>
      <c r="AO87" s="183"/>
    </row>
    <row r="88" spans="2:41" ht="14.5" thickBot="1">
      <c r="B88" s="107" t="s">
        <v>171</v>
      </c>
      <c r="C88" s="158">
        <f>SUM(C89:C98)</f>
        <v>3961.56</v>
      </c>
      <c r="D88" s="158">
        <f t="shared" ref="D88:P88" si="37">SUM(D89:D98)</f>
        <v>3246.2530000000002</v>
      </c>
      <c r="E88" s="158">
        <f t="shared" si="37"/>
        <v>3212.5699999999997</v>
      </c>
      <c r="F88" s="158">
        <f t="shared" si="37"/>
        <v>3124.6609999999996</v>
      </c>
      <c r="G88" s="158">
        <f t="shared" si="37"/>
        <v>3114.0590000000002</v>
      </c>
      <c r="H88" s="158">
        <f t="shared" si="37"/>
        <v>3146.8563711785741</v>
      </c>
      <c r="I88" s="158">
        <f t="shared" si="37"/>
        <v>3316.1998639499766</v>
      </c>
      <c r="J88" s="158">
        <f t="shared" si="37"/>
        <v>3454.0544438399997</v>
      </c>
      <c r="K88" s="158">
        <f>SUM(K89:K98)</f>
        <v>4279.4637740358821</v>
      </c>
      <c r="L88" s="158">
        <f t="shared" si="37"/>
        <v>4564.39822331911</v>
      </c>
      <c r="M88" s="158">
        <f t="shared" si="37"/>
        <v>5003.7691672495848</v>
      </c>
      <c r="N88" s="158">
        <f t="shared" si="37"/>
        <v>5480.1490000000003</v>
      </c>
      <c r="O88" s="158">
        <f t="shared" si="37"/>
        <v>5053.9840000000004</v>
      </c>
      <c r="P88" s="158">
        <f t="shared" si="37"/>
        <v>4696</v>
      </c>
      <c r="Q88" s="158">
        <f>SUM(Q89:Q98)</f>
        <v>4939</v>
      </c>
      <c r="R88" s="158">
        <f>SUM(R89:R98)</f>
        <v>5089.6120000000001</v>
      </c>
      <c r="S88" s="158">
        <f t="shared" ref="S88:U88" si="38">SUM(S89:S98)</f>
        <v>4699.7509999999993</v>
      </c>
      <c r="T88" s="158">
        <f t="shared" si="38"/>
        <v>4825.2870000000003</v>
      </c>
      <c r="U88" s="158">
        <f t="shared" si="38"/>
        <v>4867</v>
      </c>
      <c r="V88" s="158">
        <f t="shared" ref="V88" si="39">SUM(V89:V98)</f>
        <v>4763</v>
      </c>
      <c r="W88" s="158">
        <f t="shared" ref="W88:AF88" si="40">SUM(W89:W98)</f>
        <v>5531.2150000000001</v>
      </c>
      <c r="X88" s="158">
        <f t="shared" si="40"/>
        <v>5763</v>
      </c>
      <c r="Y88" s="158">
        <f t="shared" si="40"/>
        <v>6294</v>
      </c>
      <c r="Z88" s="158">
        <f t="shared" si="40"/>
        <v>6676.2860000000001</v>
      </c>
      <c r="AA88" s="158">
        <f t="shared" si="40"/>
        <v>6587.7180000000017</v>
      </c>
      <c r="AB88" s="158">
        <f t="shared" si="40"/>
        <v>7613.9260000000013</v>
      </c>
      <c r="AC88" s="158">
        <f t="shared" si="40"/>
        <v>7284</v>
      </c>
      <c r="AD88" s="158">
        <f t="shared" si="40"/>
        <v>7475.8160000000016</v>
      </c>
      <c r="AE88" s="158">
        <f t="shared" si="40"/>
        <v>6484</v>
      </c>
      <c r="AF88" s="158">
        <f t="shared" si="40"/>
        <v>6505</v>
      </c>
      <c r="AI88" s="109"/>
      <c r="AJ88" s="109"/>
      <c r="AK88" s="109"/>
      <c r="AL88" s="109"/>
      <c r="AM88" s="113"/>
      <c r="AN88" s="113"/>
      <c r="AO88" s="113"/>
    </row>
    <row r="89" spans="2:41">
      <c r="B89" s="108" t="s">
        <v>196</v>
      </c>
      <c r="C89" s="109">
        <v>2571.6379999999999</v>
      </c>
      <c r="D89" s="109">
        <v>1969.777</v>
      </c>
      <c r="E89" s="109">
        <v>1992.5550000000001</v>
      </c>
      <c r="F89" s="109">
        <v>1940.7719999999999</v>
      </c>
      <c r="G89" s="109">
        <v>1930.1010000000001</v>
      </c>
      <c r="H89" s="109">
        <v>1953.2140004</v>
      </c>
      <c r="I89" s="109">
        <v>2130.1550003999996</v>
      </c>
      <c r="J89" s="109">
        <v>2053.9435004000002</v>
      </c>
      <c r="K89" s="109">
        <v>2822.2581347951018</v>
      </c>
      <c r="L89" s="109">
        <v>2982.8553897949596</v>
      </c>
      <c r="M89" s="109">
        <v>3230.6062217404219</v>
      </c>
      <c r="N89" s="109">
        <v>2882.6660000000002</v>
      </c>
      <c r="O89" s="109">
        <v>3116.6350000000002</v>
      </c>
      <c r="P89" s="109">
        <v>2752</v>
      </c>
      <c r="Q89" s="109">
        <v>2946</v>
      </c>
      <c r="R89" s="109">
        <v>3036.6819999999998</v>
      </c>
      <c r="S89" s="109">
        <v>2637.21</v>
      </c>
      <c r="T89" s="109">
        <v>2809.8389999999999</v>
      </c>
      <c r="U89" s="109">
        <v>2917</v>
      </c>
      <c r="V89" s="109">
        <v>2861</v>
      </c>
      <c r="W89" s="109">
        <v>3510.4549999999999</v>
      </c>
      <c r="X89" s="109">
        <v>3849</v>
      </c>
      <c r="Y89" s="109">
        <v>4328</v>
      </c>
      <c r="Z89" s="109">
        <v>4241.3850000000002</v>
      </c>
      <c r="AA89" s="109">
        <v>4214.2120000000004</v>
      </c>
      <c r="AB89" s="463">
        <v>5055.1220000000003</v>
      </c>
      <c r="AC89" s="463">
        <v>4512</v>
      </c>
      <c r="AD89" s="463">
        <v>4512.0889999999999</v>
      </c>
      <c r="AE89" s="463">
        <v>3767</v>
      </c>
      <c r="AF89" s="463">
        <v>3646</v>
      </c>
      <c r="AG89" s="573"/>
      <c r="AH89" s="574"/>
      <c r="AI89" s="109"/>
      <c r="AJ89" s="109"/>
      <c r="AK89" s="109"/>
      <c r="AL89" s="109"/>
      <c r="AM89" s="113"/>
      <c r="AN89" s="113"/>
      <c r="AO89" s="113"/>
    </row>
    <row r="90" spans="2:41">
      <c r="B90" s="64" t="s">
        <v>173</v>
      </c>
      <c r="C90" s="125">
        <v>0</v>
      </c>
      <c r="D90" s="125">
        <v>2.1320000000000001</v>
      </c>
      <c r="E90" s="125">
        <v>0</v>
      </c>
      <c r="F90" s="125">
        <v>0</v>
      </c>
      <c r="G90" s="125">
        <v>0</v>
      </c>
      <c r="H90" s="125">
        <v>1.640370778573677</v>
      </c>
      <c r="I90" s="125">
        <v>11.287863549977075</v>
      </c>
      <c r="J90" s="125">
        <v>7.6799434400000024</v>
      </c>
      <c r="K90" s="125">
        <v>49.983639240780846</v>
      </c>
      <c r="L90" s="125">
        <v>120.22383352415054</v>
      </c>
      <c r="M90" s="125">
        <v>144.78794550916342</v>
      </c>
      <c r="N90" s="125">
        <v>905.08399999999995</v>
      </c>
      <c r="O90" s="125">
        <v>110.32899999999999</v>
      </c>
      <c r="P90" s="125">
        <v>154</v>
      </c>
      <c r="Q90" s="125">
        <v>99</v>
      </c>
      <c r="R90" s="125">
        <v>109.6</v>
      </c>
      <c r="S90" s="125">
        <v>26.306999999999999</v>
      </c>
      <c r="T90" s="125">
        <v>33.756999999999998</v>
      </c>
      <c r="U90" s="125">
        <v>30</v>
      </c>
      <c r="V90" s="125">
        <v>29</v>
      </c>
      <c r="W90" s="125">
        <v>210</v>
      </c>
      <c r="X90" s="125">
        <v>120</v>
      </c>
      <c r="Y90" s="125">
        <v>228</v>
      </c>
      <c r="Z90" s="125">
        <v>159.71</v>
      </c>
      <c r="AA90" s="125">
        <v>187.559</v>
      </c>
      <c r="AB90" s="468">
        <v>459.02300000000002</v>
      </c>
      <c r="AC90" s="468">
        <v>424</v>
      </c>
      <c r="AD90" s="468">
        <v>609.4</v>
      </c>
      <c r="AE90" s="468">
        <v>429</v>
      </c>
      <c r="AF90" s="468">
        <v>525</v>
      </c>
      <c r="AG90" s="573"/>
      <c r="AH90" s="574"/>
      <c r="AI90" s="109"/>
      <c r="AJ90" s="109"/>
      <c r="AK90" s="109"/>
      <c r="AL90" s="109"/>
      <c r="AM90" s="113"/>
      <c r="AN90" s="113"/>
      <c r="AO90" s="113"/>
    </row>
    <row r="91" spans="2:41">
      <c r="B91" s="65" t="s">
        <v>184</v>
      </c>
      <c r="C91" s="125">
        <v>0</v>
      </c>
      <c r="D91" s="125">
        <v>0</v>
      </c>
      <c r="E91" s="125">
        <v>0</v>
      </c>
      <c r="F91" s="125">
        <v>0</v>
      </c>
      <c r="G91" s="125">
        <v>14.226000000000001</v>
      </c>
      <c r="H91" s="125">
        <v>9.61</v>
      </c>
      <c r="I91" s="125">
        <v>7.9850000000000003</v>
      </c>
      <c r="J91" s="125">
        <v>6.5060000000000002</v>
      </c>
      <c r="K91" s="125">
        <v>5.593</v>
      </c>
      <c r="L91" s="125">
        <v>4.7300000000000004</v>
      </c>
      <c r="M91" s="125">
        <v>6.1280000000000001</v>
      </c>
      <c r="N91" s="125">
        <v>7.11</v>
      </c>
      <c r="O91" s="125">
        <v>9.8940000000000001</v>
      </c>
      <c r="P91" s="125">
        <v>21</v>
      </c>
      <c r="Q91" s="125">
        <v>22</v>
      </c>
      <c r="R91" s="125">
        <v>17.562999999999999</v>
      </c>
      <c r="S91" s="125">
        <v>13.712</v>
      </c>
      <c r="T91" s="125">
        <v>16.111000000000001</v>
      </c>
      <c r="U91" s="125">
        <v>11</v>
      </c>
      <c r="V91" s="125">
        <v>15</v>
      </c>
      <c r="W91" s="125">
        <v>14.233000000000001</v>
      </c>
      <c r="X91" s="125">
        <v>16</v>
      </c>
      <c r="Y91" s="125">
        <v>19</v>
      </c>
      <c r="Z91" s="125">
        <v>27.890999999999998</v>
      </c>
      <c r="AA91" s="125">
        <v>23.706</v>
      </c>
      <c r="AB91" s="468">
        <v>21.385999999999999</v>
      </c>
      <c r="AC91" s="468">
        <v>30</v>
      </c>
      <c r="AD91" s="468">
        <v>141.435</v>
      </c>
      <c r="AE91" s="468">
        <v>140</v>
      </c>
      <c r="AF91" s="468">
        <v>144</v>
      </c>
      <c r="AG91" s="573"/>
      <c r="AH91" s="574"/>
      <c r="AI91" s="109"/>
      <c r="AJ91" s="109"/>
      <c r="AK91" s="109"/>
      <c r="AL91" s="109"/>
      <c r="AM91" s="113"/>
      <c r="AN91" s="113"/>
      <c r="AO91" s="113"/>
    </row>
    <row r="92" spans="2:41">
      <c r="B92" s="65" t="s">
        <v>193</v>
      </c>
      <c r="C92" s="125">
        <v>259.80900000000003</v>
      </c>
      <c r="D92" s="125">
        <v>127.246</v>
      </c>
      <c r="E92" s="125">
        <v>69.284000000000006</v>
      </c>
      <c r="F92" s="125">
        <v>13.287000000000001</v>
      </c>
      <c r="G92" s="125">
        <v>10.994</v>
      </c>
      <c r="H92" s="125">
        <v>9.8819999999999997</v>
      </c>
      <c r="I92" s="125">
        <v>2.33</v>
      </c>
      <c r="J92" s="125">
        <v>2.33</v>
      </c>
      <c r="K92" s="125">
        <v>3.1179999999999999</v>
      </c>
      <c r="L92" s="125">
        <v>25.452999999999999</v>
      </c>
      <c r="M92" s="125">
        <v>25.367000000000001</v>
      </c>
      <c r="N92" s="125">
        <v>2.0339999999999998</v>
      </c>
      <c r="O92" s="125">
        <v>14.1</v>
      </c>
      <c r="P92" s="125">
        <v>3</v>
      </c>
      <c r="Q92" s="125">
        <v>59</v>
      </c>
      <c r="R92" s="125">
        <v>61.8</v>
      </c>
      <c r="S92" s="125">
        <v>65.754999999999995</v>
      </c>
      <c r="T92" s="125">
        <v>68.962000000000003</v>
      </c>
      <c r="U92" s="125">
        <v>71</v>
      </c>
      <c r="V92" s="125">
        <v>73</v>
      </c>
      <c r="W92" s="125">
        <v>63.334000000000003</v>
      </c>
      <c r="X92" s="125">
        <v>62</v>
      </c>
      <c r="Y92" s="125">
        <v>63</v>
      </c>
      <c r="Z92" s="125">
        <v>65.384</v>
      </c>
      <c r="AA92" s="125">
        <v>52.52</v>
      </c>
      <c r="AB92" s="468">
        <v>51</v>
      </c>
      <c r="AC92" s="468">
        <v>68</v>
      </c>
      <c r="AD92" s="468">
        <v>72.344999999999999</v>
      </c>
      <c r="AE92" s="468">
        <v>57</v>
      </c>
      <c r="AF92" s="468">
        <v>59</v>
      </c>
      <c r="AG92" s="573"/>
      <c r="AH92" s="574"/>
      <c r="AI92" s="109"/>
      <c r="AJ92" s="109"/>
      <c r="AK92" s="109"/>
      <c r="AL92" s="109"/>
      <c r="AM92" s="113"/>
      <c r="AN92" s="113"/>
      <c r="AO92" s="113"/>
    </row>
    <row r="93" spans="2:41">
      <c r="B93" s="65" t="s">
        <v>194</v>
      </c>
      <c r="C93" s="125">
        <v>479.68</v>
      </c>
      <c r="D93" s="125">
        <v>477.63400000000001</v>
      </c>
      <c r="E93" s="125">
        <v>481.71100000000001</v>
      </c>
      <c r="F93" s="125">
        <v>475.387</v>
      </c>
      <c r="G93" s="125">
        <v>483.78300000000002</v>
      </c>
      <c r="H93" s="125">
        <v>493.03199999999998</v>
      </c>
      <c r="I93" s="125">
        <v>499.54399999999998</v>
      </c>
      <c r="J93" s="125">
        <v>683.60400000000004</v>
      </c>
      <c r="K93" s="125">
        <v>677.84699999999998</v>
      </c>
      <c r="L93" s="125">
        <v>672.84199999999998</v>
      </c>
      <c r="M93" s="125">
        <v>748.423</v>
      </c>
      <c r="N93" s="125">
        <v>760.947</v>
      </c>
      <c r="O93" s="125">
        <v>897.42100000000005</v>
      </c>
      <c r="P93" s="125">
        <v>962</v>
      </c>
      <c r="Q93" s="125">
        <v>988</v>
      </c>
      <c r="R93" s="125">
        <v>790.72900000000004</v>
      </c>
      <c r="S93" s="125">
        <v>823.00199999999995</v>
      </c>
      <c r="T93" s="125">
        <v>760.52700000000004</v>
      </c>
      <c r="U93" s="125">
        <v>730</v>
      </c>
      <c r="V93" s="125">
        <v>711</v>
      </c>
      <c r="W93" s="125">
        <v>703.10799999999995</v>
      </c>
      <c r="X93" s="125">
        <v>708</v>
      </c>
      <c r="Y93" s="125">
        <v>676</v>
      </c>
      <c r="Z93" s="125">
        <v>628.61599999999999</v>
      </c>
      <c r="AA93" s="125">
        <v>647.99099999999999</v>
      </c>
      <c r="AB93" s="468">
        <v>683.83500000000004</v>
      </c>
      <c r="AC93" s="468">
        <v>805</v>
      </c>
      <c r="AD93" s="468">
        <v>681.43</v>
      </c>
      <c r="AE93" s="468">
        <v>721</v>
      </c>
      <c r="AF93" s="468">
        <v>331</v>
      </c>
      <c r="AG93" s="573"/>
      <c r="AH93" s="574"/>
      <c r="AI93" s="109"/>
      <c r="AJ93" s="109"/>
      <c r="AK93" s="109"/>
      <c r="AL93" s="109"/>
      <c r="AM93" s="113"/>
      <c r="AN93" s="113"/>
      <c r="AO93" s="113"/>
    </row>
    <row r="94" spans="2:41">
      <c r="B94" s="64" t="s">
        <v>191</v>
      </c>
      <c r="C94" s="109">
        <v>538.63599999999997</v>
      </c>
      <c r="D94" s="109">
        <v>558.95600000000002</v>
      </c>
      <c r="E94" s="109">
        <v>573.64599999999996</v>
      </c>
      <c r="F94" s="109">
        <v>559.43200000000002</v>
      </c>
      <c r="G94" s="109">
        <v>568.45799999999997</v>
      </c>
      <c r="H94" s="109">
        <v>577.91200000000003</v>
      </c>
      <c r="I94" s="109">
        <v>569.90200000000004</v>
      </c>
      <c r="J94" s="109">
        <v>580.08000000000004</v>
      </c>
      <c r="K94" s="109">
        <v>585.60500000000002</v>
      </c>
      <c r="L94" s="109">
        <v>597.19600000000003</v>
      </c>
      <c r="M94" s="109">
        <v>658.53599999999994</v>
      </c>
      <c r="N94" s="109">
        <v>715.71299999999997</v>
      </c>
      <c r="O94" s="109">
        <v>707.49300000000005</v>
      </c>
      <c r="P94" s="109">
        <v>749</v>
      </c>
      <c r="Q94" s="109">
        <v>758</v>
      </c>
      <c r="R94" s="109">
        <v>943.8</v>
      </c>
      <c r="S94" s="109">
        <v>967.80700000000002</v>
      </c>
      <c r="T94" s="109">
        <v>994.40899999999999</v>
      </c>
      <c r="U94" s="109">
        <v>990</v>
      </c>
      <c r="V94" s="109">
        <v>975</v>
      </c>
      <c r="W94" s="109">
        <v>957.91499999999996</v>
      </c>
      <c r="X94" s="109">
        <v>944</v>
      </c>
      <c r="Y94" s="109">
        <v>921</v>
      </c>
      <c r="Z94" s="109">
        <v>955.12599999999998</v>
      </c>
      <c r="AA94" s="125">
        <v>945.29499999999996</v>
      </c>
      <c r="AB94" s="468">
        <v>947.93899999999996</v>
      </c>
      <c r="AC94" s="468">
        <v>955</v>
      </c>
      <c r="AD94" s="468">
        <v>968.78800000000001</v>
      </c>
      <c r="AE94" s="468">
        <v>977</v>
      </c>
      <c r="AF94" s="468">
        <v>978</v>
      </c>
      <c r="AG94" s="573"/>
      <c r="AH94" s="574"/>
      <c r="AI94" s="109"/>
      <c r="AJ94" s="109"/>
      <c r="AK94" s="109"/>
      <c r="AL94" s="109"/>
      <c r="AM94" s="113"/>
      <c r="AN94" s="113"/>
      <c r="AO94" s="113"/>
    </row>
    <row r="95" spans="2:41">
      <c r="B95" s="65" t="s">
        <v>192</v>
      </c>
      <c r="C95" s="125">
        <v>49.95</v>
      </c>
      <c r="D95" s="125">
        <v>47.392000000000003</v>
      </c>
      <c r="E95" s="125">
        <v>32.805</v>
      </c>
      <c r="F95" s="125">
        <v>82.284000000000006</v>
      </c>
      <c r="G95" s="125">
        <v>54.71</v>
      </c>
      <c r="H95" s="125">
        <v>49.158999999999999</v>
      </c>
      <c r="I95" s="125">
        <v>42.274000000000001</v>
      </c>
      <c r="J95" s="125">
        <v>76.641999999999996</v>
      </c>
      <c r="K95" s="125">
        <v>94.578000000000003</v>
      </c>
      <c r="L95" s="125">
        <v>109.947</v>
      </c>
      <c r="M95" s="125">
        <v>136.63300000000001</v>
      </c>
      <c r="N95" s="125">
        <v>153.01</v>
      </c>
      <c r="O95" s="125">
        <v>145.143</v>
      </c>
      <c r="P95" s="125">
        <v>3</v>
      </c>
      <c r="Q95" s="125">
        <v>13</v>
      </c>
      <c r="R95" s="125">
        <v>24.253</v>
      </c>
      <c r="S95" s="125">
        <v>39.463999999999999</v>
      </c>
      <c r="T95" s="125">
        <v>35.185000000000002</v>
      </c>
      <c r="U95" s="125">
        <v>28</v>
      </c>
      <c r="V95" s="125">
        <v>27</v>
      </c>
      <c r="W95" s="125">
        <v>0</v>
      </c>
      <c r="X95" s="125">
        <v>0</v>
      </c>
      <c r="Y95" s="125">
        <v>0</v>
      </c>
      <c r="Z95" s="125">
        <v>555.66800000000001</v>
      </c>
      <c r="AA95" s="125">
        <v>473.55399999999997</v>
      </c>
      <c r="AB95" s="468">
        <v>356.90300000000002</v>
      </c>
      <c r="AC95" s="468">
        <v>446</v>
      </c>
      <c r="AD95" s="468">
        <v>437.577</v>
      </c>
      <c r="AE95" s="468">
        <v>331</v>
      </c>
      <c r="AF95" s="468">
        <v>304</v>
      </c>
      <c r="AG95" s="573"/>
      <c r="AH95" s="574"/>
      <c r="AI95" s="109"/>
      <c r="AJ95" s="109"/>
      <c r="AK95" s="109"/>
      <c r="AL95" s="109"/>
      <c r="AM95" s="113"/>
      <c r="AN95" s="113"/>
      <c r="AO95" s="113"/>
    </row>
    <row r="96" spans="2:41">
      <c r="B96" s="65" t="s">
        <v>174</v>
      </c>
      <c r="C96" s="125">
        <v>0</v>
      </c>
      <c r="D96" s="125">
        <v>0</v>
      </c>
      <c r="E96" s="125">
        <v>0</v>
      </c>
      <c r="F96" s="125">
        <v>0</v>
      </c>
      <c r="G96" s="125">
        <v>0</v>
      </c>
      <c r="H96" s="125">
        <v>0</v>
      </c>
      <c r="I96" s="125">
        <v>0</v>
      </c>
      <c r="J96" s="125">
        <v>0</v>
      </c>
      <c r="K96" s="125">
        <v>0</v>
      </c>
      <c r="L96" s="125">
        <v>0</v>
      </c>
      <c r="M96" s="125">
        <v>0</v>
      </c>
      <c r="N96" s="125">
        <v>0</v>
      </c>
      <c r="O96" s="125">
        <v>0</v>
      </c>
      <c r="P96" s="125">
        <v>0</v>
      </c>
      <c r="Q96" s="125">
        <v>0</v>
      </c>
      <c r="R96" s="125">
        <v>39.636000000000003</v>
      </c>
      <c r="S96" s="125">
        <v>40.253999999999998</v>
      </c>
      <c r="T96" s="125">
        <v>40.71</v>
      </c>
      <c r="U96" s="125">
        <v>41</v>
      </c>
      <c r="V96" s="125">
        <v>13</v>
      </c>
      <c r="W96" s="125">
        <v>12.894</v>
      </c>
      <c r="X96" s="125">
        <v>13</v>
      </c>
      <c r="Y96" s="125">
        <v>12</v>
      </c>
      <c r="Z96" s="125">
        <v>11.888</v>
      </c>
      <c r="AA96" s="125">
        <v>11.657999999999999</v>
      </c>
      <c r="AB96" s="468">
        <v>11.401999999999999</v>
      </c>
      <c r="AC96" s="468">
        <v>11</v>
      </c>
      <c r="AD96" s="468">
        <v>16.402999999999999</v>
      </c>
      <c r="AE96" s="468">
        <v>21</v>
      </c>
      <c r="AF96" s="468">
        <v>20</v>
      </c>
      <c r="AG96" s="573"/>
      <c r="AH96" s="574"/>
      <c r="AI96" s="109"/>
      <c r="AJ96" s="109"/>
      <c r="AK96" s="109"/>
      <c r="AL96" s="109"/>
      <c r="AM96" s="113"/>
      <c r="AN96" s="113"/>
      <c r="AO96" s="113"/>
    </row>
    <row r="97" spans="2:41">
      <c r="B97" s="65" t="s">
        <v>540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468"/>
      <c r="AC97" s="468"/>
      <c r="AD97" s="468"/>
      <c r="AE97" s="468"/>
      <c r="AF97" s="468">
        <v>461</v>
      </c>
      <c r="AG97" s="573"/>
      <c r="AH97" s="574"/>
      <c r="AI97" s="109"/>
      <c r="AJ97" s="109"/>
      <c r="AK97" s="109"/>
      <c r="AL97" s="109"/>
      <c r="AM97" s="113"/>
      <c r="AN97" s="113"/>
      <c r="AO97" s="113"/>
    </row>
    <row r="98" spans="2:41" s="49" customFormat="1">
      <c r="B98" s="65" t="s">
        <v>195</v>
      </c>
      <c r="C98" s="125">
        <v>61.847000000000001</v>
      </c>
      <c r="D98" s="125">
        <v>63.116</v>
      </c>
      <c r="E98" s="125">
        <v>62.569000000000003</v>
      </c>
      <c r="F98" s="125">
        <v>53.499000000000002</v>
      </c>
      <c r="G98" s="125">
        <v>51.786999999999999</v>
      </c>
      <c r="H98" s="125">
        <v>52.406999999999996</v>
      </c>
      <c r="I98" s="125">
        <v>52.722000000000001</v>
      </c>
      <c r="J98" s="125">
        <v>43.268999999999998</v>
      </c>
      <c r="K98" s="125">
        <v>40.481000000000002</v>
      </c>
      <c r="L98" s="125">
        <v>51.151000000000003</v>
      </c>
      <c r="M98" s="125">
        <v>53.287999999999997</v>
      </c>
      <c r="N98" s="125">
        <v>53.585000000000001</v>
      </c>
      <c r="O98" s="125">
        <v>52.969000000000001</v>
      </c>
      <c r="P98" s="125">
        <v>52</v>
      </c>
      <c r="Q98" s="125">
        <v>54</v>
      </c>
      <c r="R98" s="125">
        <v>65.549000000000007</v>
      </c>
      <c r="S98" s="125">
        <v>86.24</v>
      </c>
      <c r="T98" s="125">
        <v>65.787000000000006</v>
      </c>
      <c r="U98" s="125">
        <v>49</v>
      </c>
      <c r="V98" s="125">
        <v>59</v>
      </c>
      <c r="W98" s="125">
        <v>59.276000000000003</v>
      </c>
      <c r="X98" s="125">
        <v>51</v>
      </c>
      <c r="Y98" s="125">
        <v>47</v>
      </c>
      <c r="Z98" s="125">
        <v>30.617999999999999</v>
      </c>
      <c r="AA98" s="125">
        <v>31.222999999999999</v>
      </c>
      <c r="AB98" s="468">
        <v>27.315999999999999</v>
      </c>
      <c r="AC98" s="468">
        <v>33</v>
      </c>
      <c r="AD98" s="468">
        <v>36.348999999999997</v>
      </c>
      <c r="AE98" s="468">
        <v>41</v>
      </c>
      <c r="AF98" s="468">
        <v>37</v>
      </c>
      <c r="AG98" s="50"/>
      <c r="AH98" s="574"/>
      <c r="AI98" s="179"/>
      <c r="AJ98" s="179"/>
      <c r="AK98" s="179"/>
      <c r="AL98" s="179"/>
      <c r="AM98" s="183"/>
      <c r="AN98" s="183"/>
      <c r="AO98" s="183"/>
    </row>
    <row r="99" spans="2:41" ht="14.5" thickBot="1">
      <c r="B99" s="107" t="s">
        <v>197</v>
      </c>
      <c r="C99" s="158">
        <f>SUM(C105:C106)</f>
        <v>5834.0039999999999</v>
      </c>
      <c r="D99" s="158">
        <f>SUM(D105:D106)</f>
        <v>4992.6120000000001</v>
      </c>
      <c r="E99" s="158">
        <f t="shared" ref="E99:P99" si="41">SUM(E105:E106)</f>
        <v>5062.6740000000009</v>
      </c>
      <c r="F99" s="158">
        <f t="shared" si="41"/>
        <v>5246.5290000000005</v>
      </c>
      <c r="G99" s="158">
        <f t="shared" si="41"/>
        <v>5242.7490000000007</v>
      </c>
      <c r="H99" s="158">
        <f t="shared" si="41"/>
        <v>5126.682044565252</v>
      </c>
      <c r="I99" s="158">
        <f t="shared" si="41"/>
        <v>4997.5561690251197</v>
      </c>
      <c r="J99" s="158">
        <f t="shared" si="41"/>
        <v>5128.3670573454847</v>
      </c>
      <c r="K99" s="158">
        <f t="shared" si="41"/>
        <v>4706.5738883841268</v>
      </c>
      <c r="L99" s="158">
        <f t="shared" si="41"/>
        <v>4540.6730547684974</v>
      </c>
      <c r="M99" s="158">
        <f>SUM(M105:M106)</f>
        <v>3928.7104883230513</v>
      </c>
      <c r="N99" s="158">
        <f t="shared" si="41"/>
        <v>3740.1330000000003</v>
      </c>
      <c r="O99" s="158">
        <f t="shared" si="41"/>
        <v>2924.8159999999998</v>
      </c>
      <c r="P99" s="158">
        <f t="shared" si="41"/>
        <v>3576</v>
      </c>
      <c r="Q99" s="158">
        <f>SUM(Q105:Q106)</f>
        <v>4022</v>
      </c>
      <c r="R99" s="158">
        <f>SUM(R105:R106)</f>
        <v>4715.9809999999998</v>
      </c>
      <c r="S99" s="158">
        <f t="shared" ref="S99:U99" si="42">SUM(S105:S106)</f>
        <v>5417.9650000000001</v>
      </c>
      <c r="T99" s="158">
        <f t="shared" si="42"/>
        <v>5661</v>
      </c>
      <c r="U99" s="158">
        <f t="shared" si="42"/>
        <v>5726</v>
      </c>
      <c r="V99" s="158">
        <f t="shared" ref="V99:AF99" si="43">SUM(V105:V106)</f>
        <v>5324</v>
      </c>
      <c r="W99" s="158">
        <f t="shared" si="43"/>
        <v>5427.2190000000001</v>
      </c>
      <c r="X99" s="158">
        <f t="shared" si="43"/>
        <v>5392</v>
      </c>
      <c r="Y99" s="158">
        <f t="shared" si="43"/>
        <v>5027</v>
      </c>
      <c r="Z99" s="158">
        <v>4704.152</v>
      </c>
      <c r="AA99" s="158">
        <f t="shared" si="43"/>
        <v>4587.0940000000001</v>
      </c>
      <c r="AB99" s="158">
        <f t="shared" si="43"/>
        <v>4175.2370000000001</v>
      </c>
      <c r="AC99" s="158">
        <f t="shared" si="43"/>
        <v>4271</v>
      </c>
      <c r="AD99" s="158">
        <f t="shared" si="43"/>
        <v>4011</v>
      </c>
      <c r="AE99" s="158">
        <f t="shared" si="43"/>
        <v>4508</v>
      </c>
      <c r="AF99" s="158">
        <f t="shared" si="43"/>
        <v>4580</v>
      </c>
      <c r="AI99" s="109"/>
      <c r="AJ99" s="109"/>
      <c r="AK99" s="109"/>
      <c r="AL99" s="109"/>
      <c r="AM99" s="113"/>
      <c r="AN99" s="113"/>
      <c r="AO99" s="113"/>
    </row>
    <row r="100" spans="2:41">
      <c r="B100" s="116" t="s">
        <v>198</v>
      </c>
      <c r="C100" s="109">
        <v>5637.299</v>
      </c>
      <c r="D100" s="109">
        <v>4950.0950000000003</v>
      </c>
      <c r="E100" s="109">
        <v>4950.0950000000003</v>
      </c>
      <c r="F100" s="109">
        <v>4950.0950000000003</v>
      </c>
      <c r="G100" s="109">
        <v>4950.0950000000003</v>
      </c>
      <c r="H100" s="109">
        <v>4950.0950000000003</v>
      </c>
      <c r="I100" s="109">
        <v>4950.0950000000003</v>
      </c>
      <c r="J100" s="109">
        <v>4950.0950000000003</v>
      </c>
      <c r="K100" s="109">
        <v>4950.0950000000003</v>
      </c>
      <c r="L100" s="109">
        <v>4950.0950000000003</v>
      </c>
      <c r="M100" s="109">
        <v>4950.0950000000003</v>
      </c>
      <c r="N100" s="109">
        <v>4950.0950000000003</v>
      </c>
      <c r="O100" s="109">
        <v>4049.46</v>
      </c>
      <c r="P100" s="109">
        <v>4049</v>
      </c>
      <c r="Q100" s="109">
        <v>4706</v>
      </c>
      <c r="R100" s="109">
        <v>4705.3090000000002</v>
      </c>
      <c r="S100" s="109">
        <v>4705.2569999999996</v>
      </c>
      <c r="T100" s="109">
        <v>4705</v>
      </c>
      <c r="U100" s="109">
        <v>4705</v>
      </c>
      <c r="V100" s="109">
        <v>4705</v>
      </c>
      <c r="W100" s="109">
        <v>4705.0469999999996</v>
      </c>
      <c r="X100" s="109">
        <v>4705</v>
      </c>
      <c r="Y100" s="109">
        <v>4705</v>
      </c>
      <c r="Z100" s="109">
        <v>4890.2190000000001</v>
      </c>
      <c r="AA100" s="109">
        <v>4911.09</v>
      </c>
      <c r="AB100" s="463">
        <v>4911.09</v>
      </c>
      <c r="AC100" s="463">
        <v>4911.09</v>
      </c>
      <c r="AD100" s="463">
        <v>4911</v>
      </c>
      <c r="AE100" s="463">
        <v>4911</v>
      </c>
      <c r="AF100" s="463">
        <v>4510</v>
      </c>
      <c r="AG100" s="213"/>
      <c r="AH100" s="213"/>
      <c r="AI100" s="109"/>
      <c r="AJ100" s="109"/>
      <c r="AK100" s="109"/>
      <c r="AL100" s="109"/>
      <c r="AM100" s="113"/>
      <c r="AN100" s="113"/>
      <c r="AO100" s="113"/>
    </row>
    <row r="101" spans="2:41">
      <c r="B101" s="65" t="s">
        <v>199</v>
      </c>
      <c r="C101" s="125"/>
      <c r="D101" s="125"/>
      <c r="E101" s="125"/>
      <c r="F101" s="125"/>
      <c r="G101" s="125"/>
      <c r="H101" s="125"/>
      <c r="I101" s="125"/>
      <c r="J101" s="125"/>
      <c r="K101" s="125"/>
      <c r="L101" s="125"/>
      <c r="M101" s="125"/>
      <c r="N101" s="125"/>
      <c r="O101" s="125"/>
      <c r="P101" s="125"/>
      <c r="Q101" s="125"/>
      <c r="R101" s="125">
        <v>183.38399999999999</v>
      </c>
      <c r="S101" s="125">
        <v>183.38399999999999</v>
      </c>
      <c r="T101" s="125">
        <v>69</v>
      </c>
      <c r="U101" s="125">
        <v>69</v>
      </c>
      <c r="V101" s="125">
        <v>674</v>
      </c>
      <c r="W101" s="125">
        <v>673.53099999999995</v>
      </c>
      <c r="X101" s="125">
        <v>674</v>
      </c>
      <c r="Y101" s="125">
        <v>674</v>
      </c>
      <c r="Z101" s="125">
        <v>0</v>
      </c>
      <c r="AA101" s="125">
        <v>0</v>
      </c>
      <c r="AB101" s="468">
        <v>0</v>
      </c>
      <c r="AC101" s="468">
        <v>0</v>
      </c>
      <c r="AD101" s="468"/>
      <c r="AE101" s="468"/>
      <c r="AF101" s="468"/>
      <c r="AG101" s="213"/>
      <c r="AH101" s="213"/>
      <c r="AI101" s="109"/>
      <c r="AJ101" s="109"/>
      <c r="AK101" s="109"/>
      <c r="AL101" s="109"/>
      <c r="AM101" s="113"/>
      <c r="AN101" s="113"/>
      <c r="AO101" s="113"/>
    </row>
    <row r="102" spans="2:41">
      <c r="B102" s="65" t="s">
        <v>200</v>
      </c>
      <c r="C102" s="125">
        <v>68.61</v>
      </c>
      <c r="D102" s="125">
        <v>-45.506</v>
      </c>
      <c r="E102" s="125">
        <v>-8.1789999999999985</v>
      </c>
      <c r="F102" s="125">
        <v>36.927999999999997</v>
      </c>
      <c r="G102" s="125">
        <v>56.086999999999996</v>
      </c>
      <c r="H102" s="125">
        <v>-118.178</v>
      </c>
      <c r="I102" s="125">
        <v>-175.34200000000001</v>
      </c>
      <c r="J102" s="125">
        <v>-58.073</v>
      </c>
      <c r="K102" s="125">
        <v>-156.24199999999999</v>
      </c>
      <c r="L102" s="125">
        <v>-144.98400000000001</v>
      </c>
      <c r="M102" s="125">
        <v>-618.58199999999999</v>
      </c>
      <c r="N102" s="125">
        <v>-985.90099999999995</v>
      </c>
      <c r="O102" s="125">
        <v>-652.97500000000002</v>
      </c>
      <c r="P102" s="125">
        <v>-268</v>
      </c>
      <c r="Q102" s="125">
        <v>-316</v>
      </c>
      <c r="R102" s="125"/>
      <c r="S102" s="125">
        <v>406.17500000000001</v>
      </c>
      <c r="T102" s="125">
        <v>895</v>
      </c>
      <c r="U102" s="125">
        <v>974</v>
      </c>
      <c r="V102" s="125"/>
      <c r="W102" s="125">
        <v>67.040000000000006</v>
      </c>
      <c r="X102" s="125">
        <v>6</v>
      </c>
      <c r="Y102" s="125">
        <v>-283</v>
      </c>
      <c r="Z102" s="125">
        <v>-234.10599999999999</v>
      </c>
      <c r="AA102" s="125">
        <v>-290.50599999999997</v>
      </c>
      <c r="AB102" s="468">
        <v>-392.49799999999999</v>
      </c>
      <c r="AC102" s="468">
        <v>-335</v>
      </c>
      <c r="AD102" s="468">
        <v>-401</v>
      </c>
      <c r="AE102" s="468">
        <v>-96</v>
      </c>
      <c r="AF102" s="468">
        <v>211</v>
      </c>
      <c r="AG102" s="213"/>
      <c r="AH102" s="213"/>
      <c r="AI102" s="109"/>
      <c r="AJ102" s="109"/>
      <c r="AK102" s="109"/>
      <c r="AL102" s="109"/>
      <c r="AM102" s="113"/>
      <c r="AN102" s="113"/>
      <c r="AO102" s="113"/>
    </row>
    <row r="103" spans="2:41">
      <c r="B103" s="65" t="s">
        <v>517</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468"/>
      <c r="AC103" s="468"/>
      <c r="AD103" s="468">
        <v>-70</v>
      </c>
      <c r="AE103" s="468">
        <v>-70</v>
      </c>
      <c r="AF103" s="468">
        <v>-70</v>
      </c>
      <c r="AG103" s="213"/>
      <c r="AH103" s="213"/>
      <c r="AI103" s="109"/>
      <c r="AJ103" s="109"/>
      <c r="AK103" s="109"/>
      <c r="AL103" s="109"/>
      <c r="AM103" s="113"/>
      <c r="AN103" s="113"/>
      <c r="AO103" s="113"/>
    </row>
    <row r="104" spans="2:41">
      <c r="B104" s="62" t="s">
        <v>201</v>
      </c>
      <c r="C104" s="109">
        <v>15.868</v>
      </c>
      <c r="D104" s="109">
        <v>-88.704999999999998</v>
      </c>
      <c r="E104" s="109">
        <v>-53.975999999999999</v>
      </c>
      <c r="F104" s="109">
        <v>77.393000000000001</v>
      </c>
      <c r="G104" s="109">
        <v>44.061999999999998</v>
      </c>
      <c r="H104" s="109">
        <v>105.54304456525215</v>
      </c>
      <c r="I104" s="109">
        <v>25.063169025118928</v>
      </c>
      <c r="J104" s="109">
        <v>50.411057345484949</v>
      </c>
      <c r="K104" s="109">
        <v>-284.79311161587384</v>
      </c>
      <c r="L104" s="109">
        <v>-427.13594523150277</v>
      </c>
      <c r="M104" s="109">
        <v>-579.47551167694894</v>
      </c>
      <c r="N104" s="109">
        <v>-400.79500000000002</v>
      </c>
      <c r="O104" s="109">
        <v>-664.82</v>
      </c>
      <c r="P104" s="109">
        <v>-376</v>
      </c>
      <c r="Q104" s="109">
        <v>-547</v>
      </c>
      <c r="R104" s="109">
        <v>-387.89400000000001</v>
      </c>
      <c r="S104" s="109">
        <v>-135.30699999999999</v>
      </c>
      <c r="T104" s="109">
        <v>-220</v>
      </c>
      <c r="U104" s="109">
        <v>-256</v>
      </c>
      <c r="V104" s="109">
        <v>-283</v>
      </c>
      <c r="W104" s="109">
        <v>-268.58499999999998</v>
      </c>
      <c r="X104" s="109">
        <v>-209</v>
      </c>
      <c r="Y104" s="109">
        <v>-311</v>
      </c>
      <c r="Z104" s="109">
        <v>-197.678</v>
      </c>
      <c r="AA104" s="109">
        <v>-288.87599999999998</v>
      </c>
      <c r="AB104" s="463">
        <v>-573.18799999999999</v>
      </c>
      <c r="AC104" s="463">
        <v>-564</v>
      </c>
      <c r="AD104" s="463">
        <v>-656</v>
      </c>
      <c r="AE104" s="463">
        <v>-464</v>
      </c>
      <c r="AF104" s="468">
        <v>-289</v>
      </c>
      <c r="AG104" s="573"/>
      <c r="AH104" s="213"/>
      <c r="AI104" s="109"/>
      <c r="AJ104" s="109"/>
      <c r="AK104" s="109"/>
      <c r="AL104" s="109"/>
      <c r="AM104" s="113"/>
      <c r="AN104" s="113"/>
      <c r="AO104" s="113"/>
    </row>
    <row r="105" spans="2:41">
      <c r="B105" s="124" t="s">
        <v>202</v>
      </c>
      <c r="C105" s="125">
        <f t="shared" ref="C105:Q105" si="44">SUM(C100:C104)</f>
        <v>5721.777</v>
      </c>
      <c r="D105" s="125">
        <f t="shared" si="44"/>
        <v>4815.884</v>
      </c>
      <c r="E105" s="125">
        <f t="shared" si="44"/>
        <v>4887.9400000000005</v>
      </c>
      <c r="F105" s="125">
        <f t="shared" si="44"/>
        <v>5064.4160000000002</v>
      </c>
      <c r="G105" s="125">
        <f t="shared" si="44"/>
        <v>5050.2440000000006</v>
      </c>
      <c r="H105" s="125">
        <f t="shared" si="44"/>
        <v>4937.4600445652522</v>
      </c>
      <c r="I105" s="125">
        <f t="shared" si="44"/>
        <v>4799.81616902512</v>
      </c>
      <c r="J105" s="125">
        <f t="shared" si="44"/>
        <v>4942.4330573454845</v>
      </c>
      <c r="K105" s="125">
        <f t="shared" si="44"/>
        <v>4509.0598883841267</v>
      </c>
      <c r="L105" s="125">
        <f t="shared" si="44"/>
        <v>4377.9750547684971</v>
      </c>
      <c r="M105" s="125">
        <f t="shared" si="44"/>
        <v>3752.0374883230511</v>
      </c>
      <c r="N105" s="125">
        <f t="shared" si="44"/>
        <v>3563.3990000000003</v>
      </c>
      <c r="O105" s="125">
        <f t="shared" si="44"/>
        <v>2731.665</v>
      </c>
      <c r="P105" s="125">
        <f t="shared" si="44"/>
        <v>3405</v>
      </c>
      <c r="Q105" s="125">
        <f t="shared" si="44"/>
        <v>3843</v>
      </c>
      <c r="R105" s="125">
        <v>4500.799</v>
      </c>
      <c r="S105" s="125">
        <v>5159.509</v>
      </c>
      <c r="T105" s="125">
        <f>SUM(T100:T104)</f>
        <v>5449</v>
      </c>
      <c r="U105" s="125">
        <f>SUM(U100:U104)</f>
        <v>5492</v>
      </c>
      <c r="V105" s="125">
        <f>SUM(V100:V104)</f>
        <v>5096</v>
      </c>
      <c r="W105" s="125">
        <v>5177.0330000000004</v>
      </c>
      <c r="X105" s="125">
        <v>5176</v>
      </c>
      <c r="Y105" s="125">
        <f>SUM(Y100:Y104)</f>
        <v>4785</v>
      </c>
      <c r="Z105" s="125">
        <v>4458.4350000000004</v>
      </c>
      <c r="AA105" s="125">
        <v>4331.7079999999996</v>
      </c>
      <c r="AB105" s="468">
        <v>3945.404</v>
      </c>
      <c r="AC105" s="468">
        <v>4012</v>
      </c>
      <c r="AD105" s="468">
        <v>3784</v>
      </c>
      <c r="AE105" s="468">
        <v>4281</v>
      </c>
      <c r="AF105" s="219">
        <v>4361</v>
      </c>
      <c r="AG105" s="213"/>
      <c r="AH105" s="213"/>
      <c r="AI105" s="109"/>
      <c r="AJ105" s="109"/>
      <c r="AK105" s="109"/>
      <c r="AL105" s="109"/>
      <c r="AM105" s="113"/>
      <c r="AN105" s="113"/>
      <c r="AO105" s="113"/>
    </row>
    <row r="106" spans="2:41" s="49" customFormat="1">
      <c r="B106" s="116" t="s">
        <v>203</v>
      </c>
      <c r="C106" s="109">
        <v>112.227</v>
      </c>
      <c r="D106" s="109">
        <v>176.72800000000001</v>
      </c>
      <c r="E106" s="109">
        <v>174.73400000000001</v>
      </c>
      <c r="F106" s="109">
        <v>182.113</v>
      </c>
      <c r="G106" s="109">
        <v>192.505</v>
      </c>
      <c r="H106" s="109">
        <v>189.22200000000001</v>
      </c>
      <c r="I106" s="109">
        <v>197.74</v>
      </c>
      <c r="J106" s="109">
        <v>185.934</v>
      </c>
      <c r="K106" s="109">
        <v>197.51400000000001</v>
      </c>
      <c r="L106" s="109">
        <v>162.69800000000001</v>
      </c>
      <c r="M106" s="109">
        <v>176.673</v>
      </c>
      <c r="N106" s="109">
        <v>176.73400000000001</v>
      </c>
      <c r="O106" s="109">
        <v>193.15100000000001</v>
      </c>
      <c r="P106" s="109">
        <v>171</v>
      </c>
      <c r="Q106" s="109">
        <v>179</v>
      </c>
      <c r="R106" s="109">
        <v>215.18199999999999</v>
      </c>
      <c r="S106" s="109">
        <v>258.45600000000002</v>
      </c>
      <c r="T106" s="109">
        <v>212</v>
      </c>
      <c r="U106" s="109">
        <v>234</v>
      </c>
      <c r="V106" s="109">
        <v>228</v>
      </c>
      <c r="W106" s="109">
        <v>250.18600000000001</v>
      </c>
      <c r="X106" s="109">
        <v>216</v>
      </c>
      <c r="Y106" s="109">
        <v>242</v>
      </c>
      <c r="Z106" s="109">
        <v>245.71700000000001</v>
      </c>
      <c r="AA106" s="109">
        <v>255.386</v>
      </c>
      <c r="AB106" s="463">
        <v>229.833</v>
      </c>
      <c r="AC106" s="463">
        <v>259</v>
      </c>
      <c r="AD106" s="463">
        <v>227</v>
      </c>
      <c r="AE106" s="463">
        <v>227</v>
      </c>
      <c r="AF106" s="468">
        <v>219</v>
      </c>
      <c r="AG106" s="50"/>
      <c r="AH106" s="213"/>
      <c r="AI106" s="179"/>
      <c r="AJ106" s="179"/>
      <c r="AK106" s="179"/>
      <c r="AL106" s="179"/>
      <c r="AM106" s="183"/>
      <c r="AN106" s="183"/>
      <c r="AO106" s="183"/>
    </row>
    <row r="107" spans="2:41" ht="14.5" thickBot="1">
      <c r="B107" s="107" t="s">
        <v>204</v>
      </c>
      <c r="C107" s="158">
        <v>11223.437</v>
      </c>
      <c r="D107" s="158">
        <v>9732.2369999999992</v>
      </c>
      <c r="E107" s="158">
        <v>9781.4920000000002</v>
      </c>
      <c r="F107" s="158">
        <v>9703.6550000000007</v>
      </c>
      <c r="G107" s="158">
        <v>9575.6570000000011</v>
      </c>
      <c r="H107" s="158">
        <v>9674.899881706011</v>
      </c>
      <c r="I107" s="158">
        <v>9703.6654095961403</v>
      </c>
      <c r="J107" s="158">
        <v>9816.3160757989917</v>
      </c>
      <c r="K107" s="158">
        <v>10610.285909144251</v>
      </c>
      <c r="L107" s="158">
        <v>10652.629224133405</v>
      </c>
      <c r="M107" s="158">
        <v>10682.171137132847</v>
      </c>
      <c r="N107" s="158">
        <v>11210.945000000002</v>
      </c>
      <c r="O107" s="158">
        <v>10241.478000000001</v>
      </c>
      <c r="P107" s="158">
        <v>10504</v>
      </c>
      <c r="Q107" s="158">
        <f>SUM(Q99,Q88,Q70)</f>
        <v>11290</v>
      </c>
      <c r="R107" s="158">
        <v>11965.227000000001</v>
      </c>
      <c r="S107" s="158">
        <f t="shared" ref="S107:Y107" si="45">SUM(S99,S88,S70)</f>
        <v>11896.356</v>
      </c>
      <c r="T107" s="158">
        <f t="shared" si="45"/>
        <v>12240.287</v>
      </c>
      <c r="U107" s="158">
        <f t="shared" si="45"/>
        <v>12615.572</v>
      </c>
      <c r="V107" s="158">
        <f t="shared" si="45"/>
        <v>12275</v>
      </c>
      <c r="W107" s="158">
        <f t="shared" si="45"/>
        <v>13163.446</v>
      </c>
      <c r="X107" s="158">
        <f t="shared" si="45"/>
        <v>13606</v>
      </c>
      <c r="Y107" s="158">
        <f t="shared" si="45"/>
        <v>13495</v>
      </c>
      <c r="Z107" s="158">
        <v>13561.932000000001</v>
      </c>
      <c r="AA107" s="158">
        <f t="shared" ref="AA107:AE107" si="46">SUM(AA99,AA88,AA70)</f>
        <v>13332.733000000002</v>
      </c>
      <c r="AB107" s="158">
        <f t="shared" si="46"/>
        <v>13776.828000000001</v>
      </c>
      <c r="AC107" s="158">
        <f t="shared" si="46"/>
        <v>13557</v>
      </c>
      <c r="AD107" s="158">
        <f t="shared" si="46"/>
        <v>13832.597000000002</v>
      </c>
      <c r="AE107" s="158">
        <f t="shared" si="46"/>
        <v>13360</v>
      </c>
      <c r="AF107" s="158">
        <f>SUM(AF99,AF88,AF70)</f>
        <v>13339</v>
      </c>
      <c r="AG107" s="213"/>
      <c r="AI107" s="126"/>
      <c r="AJ107" s="126"/>
      <c r="AK107" s="126"/>
      <c r="AL107" s="126"/>
      <c r="AM107" s="113"/>
      <c r="AN107" s="113"/>
      <c r="AO107" s="113"/>
    </row>
    <row r="108" spans="2:41" s="78" customFormat="1" ht="14.5">
      <c r="B108" s="117"/>
      <c r="C108" s="109">
        <f t="shared" ref="C108:V108" si="47">ROUND(C107-C67,0)</f>
        <v>0</v>
      </c>
      <c r="D108" s="109">
        <f t="shared" si="47"/>
        <v>0</v>
      </c>
      <c r="E108" s="109">
        <f t="shared" si="47"/>
        <v>0</v>
      </c>
      <c r="F108" s="109">
        <f t="shared" si="47"/>
        <v>0</v>
      </c>
      <c r="G108" s="109">
        <f t="shared" si="47"/>
        <v>0</v>
      </c>
      <c r="H108" s="109">
        <f t="shared" si="47"/>
        <v>0</v>
      </c>
      <c r="I108" s="109">
        <f t="shared" si="47"/>
        <v>0</v>
      </c>
      <c r="J108" s="109">
        <f t="shared" si="47"/>
        <v>0</v>
      </c>
      <c r="K108" s="109">
        <f t="shared" si="47"/>
        <v>0</v>
      </c>
      <c r="L108" s="109">
        <f t="shared" si="47"/>
        <v>0</v>
      </c>
      <c r="M108" s="109">
        <f t="shared" si="47"/>
        <v>0</v>
      </c>
      <c r="N108" s="109">
        <f t="shared" si="47"/>
        <v>0</v>
      </c>
      <c r="O108" s="109">
        <f t="shared" si="47"/>
        <v>0</v>
      </c>
      <c r="P108" s="126">
        <f t="shared" si="47"/>
        <v>0</v>
      </c>
      <c r="Q108" s="126">
        <f t="shared" si="47"/>
        <v>0</v>
      </c>
      <c r="R108" s="126">
        <f t="shared" si="47"/>
        <v>0</v>
      </c>
      <c r="S108" s="126">
        <f t="shared" si="47"/>
        <v>0</v>
      </c>
      <c r="T108" s="126">
        <f t="shared" si="47"/>
        <v>0</v>
      </c>
      <c r="U108" s="126">
        <f t="shared" si="47"/>
        <v>0</v>
      </c>
      <c r="V108" s="126">
        <f t="shared" si="47"/>
        <v>0</v>
      </c>
      <c r="W108" s="126"/>
      <c r="X108" s="126"/>
      <c r="Y108" s="126"/>
      <c r="Z108" s="126"/>
      <c r="AA108" s="126"/>
      <c r="AB108" s="126"/>
      <c r="AC108" s="126"/>
      <c r="AD108" s="126"/>
      <c r="AE108" s="126"/>
    </row>
    <row r="109" spans="2:41" s="78" customFormat="1" ht="14.5">
      <c r="B109" s="127" t="s">
        <v>205</v>
      </c>
      <c r="C109" s="128">
        <v>3.2433000000000001</v>
      </c>
      <c r="D109" s="128">
        <v>3.6055999999999999</v>
      </c>
      <c r="E109" s="128">
        <v>3.9504999999999999</v>
      </c>
      <c r="F109" s="128">
        <v>3.8083999999999998</v>
      </c>
      <c r="G109" s="128">
        <v>3.7684000000000002</v>
      </c>
      <c r="H109" s="128">
        <v>3.92</v>
      </c>
      <c r="I109" s="128">
        <v>3.97</v>
      </c>
      <c r="J109" s="128">
        <v>4.1158000000000001</v>
      </c>
      <c r="K109" s="128">
        <v>4.4657</v>
      </c>
      <c r="L109" s="128">
        <v>5.3853999999999997</v>
      </c>
      <c r="M109" s="128">
        <v>5.3772000000000002</v>
      </c>
      <c r="N109" s="128">
        <v>5.3921000000000001</v>
      </c>
      <c r="O109" s="128">
        <v>5.4832999999999998</v>
      </c>
      <c r="P109" s="128">
        <v>5.2907241935483889</v>
      </c>
      <c r="Q109" s="128">
        <v>5.23</v>
      </c>
      <c r="R109" s="128">
        <v>5.59</v>
      </c>
      <c r="S109" s="128">
        <v>5.23</v>
      </c>
      <c r="T109" s="128">
        <f>'10 - Resultados por negócio'!T48</f>
        <v>4.9265612903225815</v>
      </c>
      <c r="U109" s="128">
        <f>'10 - Resultados por negócio'!U48</f>
        <v>5.2461723076923077</v>
      </c>
      <c r="V109" s="128">
        <v>5.255362903225806</v>
      </c>
      <c r="W109" s="128">
        <v>5.2</v>
      </c>
      <c r="X109" s="128">
        <v>4.95</v>
      </c>
      <c r="Y109" s="128">
        <v>4.88</v>
      </c>
      <c r="Z109" s="128">
        <f>'10 - Resultados por negócio'!Z48</f>
        <v>4.9518616666666668</v>
      </c>
      <c r="AA109" s="128">
        <v>4.9516333333333336</v>
      </c>
      <c r="AB109" s="128">
        <v>5.21</v>
      </c>
      <c r="AC109" s="128">
        <v>5.5454166666666662</v>
      </c>
      <c r="AD109" s="128">
        <v>5.842133333333333</v>
      </c>
      <c r="AE109" s="128">
        <v>5.85</v>
      </c>
      <c r="AF109" s="530">
        <v>5.6660606557377058</v>
      </c>
      <c r="AI109" s="128">
        <v>3.6557843999999999</v>
      </c>
      <c r="AJ109" s="128">
        <v>3.9461185770751004</v>
      </c>
      <c r="AK109" s="128">
        <v>5.157772908366538</v>
      </c>
      <c r="AL109" s="128">
        <v>5.3955605577689232</v>
      </c>
      <c r="AM109" s="128">
        <v>5.17</v>
      </c>
      <c r="AN109" s="128">
        <v>4.994497770275216</v>
      </c>
      <c r="AO109" s="128">
        <v>5.388891666666666</v>
      </c>
    </row>
    <row r="110" spans="2:41" s="78" customFormat="1" ht="14.5">
      <c r="B110" s="127" t="s">
        <v>206</v>
      </c>
      <c r="C110" s="129">
        <v>3.3237999999999999</v>
      </c>
      <c r="D110" s="129">
        <v>3.8557999999999999</v>
      </c>
      <c r="E110" s="129">
        <v>4.0038999999999998</v>
      </c>
      <c r="F110" s="129">
        <v>3.8748</v>
      </c>
      <c r="G110" s="129">
        <v>3.8967000000000001</v>
      </c>
      <c r="H110" s="129">
        <v>3.83</v>
      </c>
      <c r="I110" s="129">
        <v>4.16</v>
      </c>
      <c r="J110" s="129">
        <v>4.0307000000000004</v>
      </c>
      <c r="K110" s="129">
        <v>5.1986999999999997</v>
      </c>
      <c r="L110" s="129">
        <v>5.476</v>
      </c>
      <c r="M110" s="129">
        <v>5.6406999999999998</v>
      </c>
      <c r="N110" s="129">
        <v>5.1966999999999999</v>
      </c>
      <c r="O110" s="129">
        <v>5.6973000000000003</v>
      </c>
      <c r="P110" s="129">
        <v>5.0022000000000002</v>
      </c>
      <c r="Q110" s="129">
        <v>5.44</v>
      </c>
      <c r="R110" s="129">
        <v>5.58</v>
      </c>
      <c r="S110" s="129">
        <v>4.74</v>
      </c>
      <c r="T110" s="129">
        <f>'10 - Resultados por negócio'!T49</f>
        <v>5.2380000000000004</v>
      </c>
      <c r="U110" s="129">
        <f>'10 - Resultados por negócio'!U49</f>
        <v>5.4066000000000001</v>
      </c>
      <c r="V110" s="129">
        <v>5.22</v>
      </c>
      <c r="W110" s="129">
        <v>5.08</v>
      </c>
      <c r="X110" s="129">
        <v>4.82</v>
      </c>
      <c r="Y110" s="129">
        <v>5.01</v>
      </c>
      <c r="Z110" s="129">
        <v>4.84</v>
      </c>
      <c r="AA110" s="129">
        <v>4.9962</v>
      </c>
      <c r="AB110" s="129">
        <v>5.5589000000000004</v>
      </c>
      <c r="AC110" s="129">
        <v>5.4481000000000002</v>
      </c>
      <c r="AD110" s="129">
        <v>6.1923000000000004</v>
      </c>
      <c r="AE110" s="129">
        <v>5.78</v>
      </c>
      <c r="AF110" s="531">
        <v>5.4570999999999996</v>
      </c>
      <c r="AI110" s="129">
        <v>3.8748</v>
      </c>
      <c r="AJ110" s="129">
        <v>4.0307000000000004</v>
      </c>
      <c r="AK110" s="129">
        <v>5.1966999999999999</v>
      </c>
      <c r="AL110" s="129">
        <v>5.58</v>
      </c>
      <c r="AM110" s="129">
        <v>5.22</v>
      </c>
      <c r="AN110" s="129">
        <f>Z110</f>
        <v>4.84</v>
      </c>
      <c r="AO110" s="129">
        <v>6.1923000000000004</v>
      </c>
    </row>
    <row r="111" spans="2:41" ht="14.5">
      <c r="B111" s="130" t="s">
        <v>207</v>
      </c>
      <c r="C111" s="185">
        <v>2159.1190476190477</v>
      </c>
      <c r="D111" s="185">
        <v>2259.2822580645161</v>
      </c>
      <c r="E111" s="185">
        <v>2056.8359375</v>
      </c>
      <c r="F111" s="185">
        <v>1970.53125</v>
      </c>
      <c r="G111" s="185">
        <v>1859.0079365079366</v>
      </c>
      <c r="H111" s="185">
        <v>1792.5081967213114</v>
      </c>
      <c r="I111" s="185">
        <v>1762.0923076923077</v>
      </c>
      <c r="J111" s="185">
        <v>1752.4921875</v>
      </c>
      <c r="K111" s="185">
        <v>1689.6875</v>
      </c>
      <c r="L111" s="185">
        <v>1496.516393442623</v>
      </c>
      <c r="M111" s="185">
        <v>1704.3153846153846</v>
      </c>
      <c r="N111" s="185">
        <v>1915.8203125</v>
      </c>
      <c r="O111" s="185">
        <v>2096.4206349206347</v>
      </c>
      <c r="P111" s="185">
        <v>2399.64</v>
      </c>
      <c r="Q111" s="185">
        <v>2648</v>
      </c>
      <c r="R111" s="185">
        <v>2762</v>
      </c>
      <c r="S111" s="185">
        <v>3280</v>
      </c>
      <c r="T111" s="185">
        <v>2874.7833333333333</v>
      </c>
      <c r="U111" s="185">
        <f>'10 - Resultados por negócio'!U50</f>
        <v>2353.5384615384614</v>
      </c>
      <c r="V111" s="185">
        <v>2323.531746031746</v>
      </c>
      <c r="W111" s="185">
        <v>2395</v>
      </c>
      <c r="X111" s="185">
        <v>2258</v>
      </c>
      <c r="Y111" s="185">
        <v>2154</v>
      </c>
      <c r="Z111" s="185">
        <f>'10 - Resultados por negócio'!Z50</f>
        <v>2189.5055821371607</v>
      </c>
      <c r="AA111" s="185">
        <v>2199</v>
      </c>
      <c r="AB111" s="185">
        <v>2519.9</v>
      </c>
      <c r="AC111" s="185">
        <v>2382.1384615384613</v>
      </c>
      <c r="AD111" s="185">
        <v>2575</v>
      </c>
      <c r="AE111" s="185">
        <v>2627</v>
      </c>
      <c r="AF111" s="532">
        <v>2447.8524590163934</v>
      </c>
      <c r="AI111" s="185">
        <v>2110.084980237154</v>
      </c>
      <c r="AJ111" s="185">
        <v>1791.1304347826087</v>
      </c>
      <c r="AK111" s="185">
        <v>1704.017716535433</v>
      </c>
      <c r="AL111" s="185">
        <v>2479.620553359684</v>
      </c>
      <c r="AM111" s="185">
        <v>2703</v>
      </c>
      <c r="AN111" s="185">
        <v>2251.5628114794563</v>
      </c>
      <c r="AO111" s="185">
        <v>2419</v>
      </c>
    </row>
    <row r="115" spans="32:32">
      <c r="AF115" s="223"/>
    </row>
    <row r="116" spans="32:32">
      <c r="AF116" s="546"/>
    </row>
    <row r="117" spans="32:32">
      <c r="AF117" s="547"/>
    </row>
    <row r="118" spans="32:32">
      <c r="AF118" s="223"/>
    </row>
    <row r="119" spans="32:32">
      <c r="AF119" s="223"/>
    </row>
    <row r="120" spans="32:32">
      <c r="AF120" s="223"/>
    </row>
    <row r="121" spans="32:32">
      <c r="AF121" s="223"/>
    </row>
    <row r="122" spans="32:32">
      <c r="AF122" s="223"/>
    </row>
    <row r="123" spans="32:32">
      <c r="AF123" s="223"/>
    </row>
    <row r="124" spans="32:32">
      <c r="AF124" s="223"/>
    </row>
    <row r="125" spans="32:32">
      <c r="AF125" s="546"/>
    </row>
    <row r="126" spans="32:32">
      <c r="AF126" s="223"/>
    </row>
    <row r="127" spans="32:32">
      <c r="AF127" s="223"/>
    </row>
    <row r="128" spans="32:32">
      <c r="AF128" s="223"/>
    </row>
    <row r="129" spans="32:32">
      <c r="AF129" s="223"/>
    </row>
    <row r="130" spans="32:32">
      <c r="AF130" s="223"/>
    </row>
    <row r="131" spans="32:32">
      <c r="AF131" s="546"/>
    </row>
    <row r="132" spans="32:32">
      <c r="AF132" s="546"/>
    </row>
    <row r="133" spans="32:32">
      <c r="AF133" s="546"/>
    </row>
    <row r="134" spans="32:32">
      <c r="AF134" s="546"/>
    </row>
    <row r="135" spans="32:32">
      <c r="AF135" s="546"/>
    </row>
    <row r="136" spans="32:32">
      <c r="AF136" s="546"/>
    </row>
    <row r="137" spans="32:32">
      <c r="AF137" s="546"/>
    </row>
    <row r="138" spans="32:32">
      <c r="AF138" s="223"/>
    </row>
    <row r="139" spans="32:32">
      <c r="AF139" s="223"/>
    </row>
    <row r="140" spans="32:32">
      <c r="AF140" s="223"/>
    </row>
    <row r="141" spans="32:32">
      <c r="AF141" s="223"/>
    </row>
    <row r="142" spans="32:32">
      <c r="AF142" s="223"/>
    </row>
    <row r="143" spans="32:32">
      <c r="AF143" s="223"/>
    </row>
    <row r="144" spans="32:32">
      <c r="AF144" s="223"/>
    </row>
    <row r="145" spans="32:32">
      <c r="AF145" s="223"/>
    </row>
    <row r="146" spans="32:32">
      <c r="AF146" s="223"/>
    </row>
    <row r="147" spans="32:32">
      <c r="AF147" s="223"/>
    </row>
    <row r="148" spans="32:32">
      <c r="AF148" s="548"/>
    </row>
    <row r="149" spans="32:32">
      <c r="AF149" s="547"/>
    </row>
    <row r="150" spans="32:32">
      <c r="AF150" s="223"/>
    </row>
    <row r="151" spans="32:32">
      <c r="AF151" s="223"/>
    </row>
    <row r="152" spans="32:32">
      <c r="AF152" s="223"/>
    </row>
    <row r="153" spans="32:32">
      <c r="AF153" s="223"/>
    </row>
    <row r="154" spans="32:32">
      <c r="AF154" s="223"/>
    </row>
    <row r="155" spans="32:32">
      <c r="AF155" s="223"/>
    </row>
    <row r="156" spans="32:32">
      <c r="AF156" s="223"/>
    </row>
    <row r="157" spans="32:32">
      <c r="AF157" s="223"/>
    </row>
    <row r="158" spans="32:32">
      <c r="AF158" s="223"/>
    </row>
    <row r="159" spans="32:32">
      <c r="AF159" s="223"/>
    </row>
    <row r="160" spans="32:32">
      <c r="AF160" s="223"/>
    </row>
    <row r="161" spans="32:32">
      <c r="AF161" s="223"/>
    </row>
    <row r="162" spans="32:32">
      <c r="AF162" s="223"/>
    </row>
    <row r="163" spans="32:32">
      <c r="AF163" s="223"/>
    </row>
    <row r="164" spans="32:32">
      <c r="AF164" s="223"/>
    </row>
    <row r="165" spans="32:32">
      <c r="AF165" s="223"/>
    </row>
    <row r="166" spans="32:32">
      <c r="AF166" s="223"/>
    </row>
    <row r="167" spans="32:32">
      <c r="AF167" s="223"/>
    </row>
    <row r="168" spans="32:32">
      <c r="AF168" s="223"/>
    </row>
    <row r="169" spans="32:32">
      <c r="AF169" s="223"/>
    </row>
    <row r="170" spans="32:32">
      <c r="AF170" s="223"/>
    </row>
    <row r="171" spans="32:32">
      <c r="AF171" s="223"/>
    </row>
    <row r="172" spans="32:32">
      <c r="AF172" s="223"/>
    </row>
    <row r="173" spans="32:32">
      <c r="AF173" s="223"/>
    </row>
    <row r="174" spans="32:32">
      <c r="AF174" s="223"/>
    </row>
    <row r="175" spans="32:32">
      <c r="AF175" s="223"/>
    </row>
    <row r="176" spans="32:32">
      <c r="AF176" s="223"/>
    </row>
    <row r="177" spans="32:32">
      <c r="AF177" s="223"/>
    </row>
    <row r="178" spans="32:32">
      <c r="AF178" s="223"/>
    </row>
    <row r="179" spans="32:32">
      <c r="AF179" s="223"/>
    </row>
    <row r="180" spans="32:32">
      <c r="AF180" s="223"/>
    </row>
    <row r="181" spans="32:32">
      <c r="AF181" s="223"/>
    </row>
    <row r="182" spans="32:32">
      <c r="AF182" s="223"/>
    </row>
    <row r="183" spans="32:32">
      <c r="AF183" s="223"/>
    </row>
    <row r="184" spans="32:32">
      <c r="AF184" s="223"/>
    </row>
    <row r="185" spans="32:32">
      <c r="AF185" s="223"/>
    </row>
    <row r="186" spans="32:32">
      <c r="AF186" s="223"/>
    </row>
    <row r="187" spans="32:32">
      <c r="AF187" s="223"/>
    </row>
    <row r="188" spans="32:32">
      <c r="AF188" s="223"/>
    </row>
  </sheetData>
  <phoneticPr fontId="6" type="noConversion"/>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T99 R99 AL5:AL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tabColor rgb="FF00B050"/>
    <pageSetUpPr fitToPage="1"/>
  </sheetPr>
  <dimension ref="A1:AP52"/>
  <sheetViews>
    <sheetView showGridLines="0" zoomScale="80" zoomScaleNormal="80" workbookViewId="0">
      <pane xSplit="2" ySplit="6" topLeftCell="K7" activePane="bottomRight" state="frozen"/>
      <selection activeCell="AC26" sqref="AC26"/>
      <selection pane="topRight" activeCell="AC26" sqref="AC26"/>
      <selection pane="bottomLeft" activeCell="AC26" sqref="AC26"/>
      <selection pane="bottomRight" activeCell="AG19" sqref="AG19"/>
    </sheetView>
  </sheetViews>
  <sheetFormatPr defaultColWidth="9.1796875" defaultRowHeight="14" outlineLevelRow="1" outlineLevelCol="1"/>
  <cols>
    <col min="1" max="1" width="2.1796875" style="39" customWidth="1"/>
    <col min="2" max="2" width="56.26953125" style="39" customWidth="1"/>
    <col min="3" max="22" width="9.81640625" style="39" hidden="1" customWidth="1" outlineLevel="1"/>
    <col min="23" max="23" width="8.81640625" style="39" bestFit="1" customWidth="1" collapsed="1"/>
    <col min="24" max="30" width="8.81640625" style="39" bestFit="1" customWidth="1"/>
    <col min="31" max="32" width="8.81640625" style="39" customWidth="1"/>
    <col min="33" max="33" width="9.1796875" style="39"/>
    <col min="34" max="34" width="11.1796875" style="268" bestFit="1" customWidth="1"/>
    <col min="35" max="38" width="0" style="39" hidden="1" customWidth="1" outlineLevel="1"/>
    <col min="39" max="39" width="9.1796875" style="39" hidden="1" customWidth="1" outlineLevel="1"/>
    <col min="40" max="40" width="9.1796875" style="39" collapsed="1"/>
    <col min="41" max="16384" width="9.1796875" style="39"/>
  </cols>
  <sheetData>
    <row r="1" spans="1:42" ht="14.25" customHeight="1"/>
    <row r="2" spans="1:42" ht="14.25" customHeight="1"/>
    <row r="3" spans="1:42" ht="14.25" customHeight="1"/>
    <row r="4" spans="1:42" ht="14.25" customHeight="1"/>
    <row r="5" spans="1:42" ht="14.25" customHeight="1">
      <c r="A5" s="47"/>
      <c r="B5" s="47"/>
    </row>
    <row r="6" spans="1:42" s="266" customFormat="1" ht="14.25" customHeight="1" thickBot="1">
      <c r="B6" s="267" t="s">
        <v>208</v>
      </c>
      <c r="C6" s="267" t="s">
        <v>84</v>
      </c>
      <c r="D6" s="267" t="s">
        <v>85</v>
      </c>
      <c r="E6" s="267" t="s">
        <v>86</v>
      </c>
      <c r="F6" s="267" t="s">
        <v>87</v>
      </c>
      <c r="G6" s="267" t="s">
        <v>88</v>
      </c>
      <c r="H6" s="267" t="s">
        <v>89</v>
      </c>
      <c r="I6" s="267" t="s">
        <v>90</v>
      </c>
      <c r="J6" s="267" t="s">
        <v>91</v>
      </c>
      <c r="K6" s="267" t="s">
        <v>92</v>
      </c>
      <c r="L6" s="267" t="s">
        <v>93</v>
      </c>
      <c r="M6" s="267" t="s">
        <v>94</v>
      </c>
      <c r="N6" s="267" t="s">
        <v>95</v>
      </c>
      <c r="O6" s="267" t="s">
        <v>96</v>
      </c>
      <c r="P6" s="267" t="s">
        <v>97</v>
      </c>
      <c r="Q6" s="267" t="s">
        <v>98</v>
      </c>
      <c r="R6" s="267" t="s">
        <v>99</v>
      </c>
      <c r="S6" s="267" t="s">
        <v>100</v>
      </c>
      <c r="T6" s="267" t="s">
        <v>101</v>
      </c>
      <c r="U6" s="267" t="s">
        <v>336</v>
      </c>
      <c r="V6" s="267" t="s">
        <v>342</v>
      </c>
      <c r="W6" s="267" t="s">
        <v>357</v>
      </c>
      <c r="X6" s="267" t="s">
        <v>384</v>
      </c>
      <c r="Y6" s="267" t="s">
        <v>395</v>
      </c>
      <c r="Z6" s="267" t="s">
        <v>396</v>
      </c>
      <c r="AA6" s="267" t="s">
        <v>469</v>
      </c>
      <c r="AB6" s="267" t="s">
        <v>473</v>
      </c>
      <c r="AC6" s="267" t="s">
        <v>478</v>
      </c>
      <c r="AD6" s="267" t="s">
        <v>480</v>
      </c>
      <c r="AE6" s="267" t="s">
        <v>518</v>
      </c>
      <c r="AF6" s="267" t="s">
        <v>521</v>
      </c>
      <c r="AH6" s="269"/>
      <c r="AI6" s="267">
        <v>2018</v>
      </c>
      <c r="AJ6" s="267">
        <v>2019</v>
      </c>
      <c r="AK6" s="267">
        <v>2020</v>
      </c>
      <c r="AL6" s="267">
        <v>2021</v>
      </c>
      <c r="AM6" s="267">
        <v>2022</v>
      </c>
      <c r="AN6" s="267">
        <v>2023</v>
      </c>
      <c r="AO6" s="267">
        <v>2024</v>
      </c>
    </row>
    <row r="7" spans="1:42" ht="4.5" customHeight="1" thickTop="1">
      <c r="A7" s="47"/>
      <c r="B7" s="42"/>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I7" s="48"/>
      <c r="AJ7" s="48"/>
      <c r="AK7" s="48"/>
      <c r="AL7" s="48"/>
      <c r="AM7" s="48"/>
      <c r="AN7" s="48"/>
      <c r="AO7" s="48"/>
    </row>
    <row r="8" spans="1:42" ht="14.5" customHeight="1" thickBot="1">
      <c r="A8" s="47"/>
      <c r="B8" s="63" t="s">
        <v>209</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I8" s="131"/>
      <c r="AJ8" s="131"/>
      <c r="AK8" s="131"/>
      <c r="AL8" s="131"/>
      <c r="AM8" s="131"/>
      <c r="AN8" s="131"/>
      <c r="AO8" s="131"/>
    </row>
    <row r="9" spans="1:42" s="62" customFormat="1">
      <c r="B9" s="65" t="s">
        <v>210</v>
      </c>
      <c r="C9" s="133">
        <f t="shared" ref="C9:Q9" si="0">SUM(C19,C34,C42)</f>
        <v>1203</v>
      </c>
      <c r="D9" s="133">
        <f t="shared" si="0"/>
        <v>1355</v>
      </c>
      <c r="E9" s="133">
        <f t="shared" si="0"/>
        <v>1520</v>
      </c>
      <c r="F9" s="133">
        <f t="shared" si="0"/>
        <v>1556.4760000000001</v>
      </c>
      <c r="G9" s="133">
        <f t="shared" si="0"/>
        <v>1381</v>
      </c>
      <c r="H9" s="133">
        <f t="shared" si="0"/>
        <v>1435</v>
      </c>
      <c r="I9" s="133">
        <f t="shared" si="0"/>
        <v>1400</v>
      </c>
      <c r="J9" s="133">
        <f t="shared" si="0"/>
        <v>1355.3220000000001</v>
      </c>
      <c r="K9" s="133">
        <f t="shared" si="0"/>
        <v>1321.163</v>
      </c>
      <c r="L9" s="133">
        <f t="shared" si="0"/>
        <v>1173.9360026610798</v>
      </c>
      <c r="M9" s="133">
        <f t="shared" si="0"/>
        <v>1570.8990000000003</v>
      </c>
      <c r="N9" s="133">
        <f t="shared" si="0"/>
        <v>1650.3906564189203</v>
      </c>
      <c r="O9" s="133">
        <f t="shared" si="0"/>
        <v>1871.433</v>
      </c>
      <c r="P9" s="133">
        <f t="shared" si="0"/>
        <v>1989.5149999999999</v>
      </c>
      <c r="Q9" s="133">
        <f t="shared" si="0"/>
        <v>2398.6770000000001</v>
      </c>
      <c r="R9" s="133">
        <v>2511.0509999999999</v>
      </c>
      <c r="S9" s="133">
        <f>SUM(S19,S34,S42)</f>
        <v>2375.3920000000003</v>
      </c>
      <c r="T9" s="133">
        <f>SUM(T19,T34,T42)</f>
        <v>2420</v>
      </c>
      <c r="U9" s="133">
        <f>SUM(U19,U34,U42)</f>
        <v>2345</v>
      </c>
      <c r="V9" s="133">
        <f>SUM(V19,V34,V42)</f>
        <v>2073.6079999999997</v>
      </c>
      <c r="W9" s="133">
        <v>1957.386450310235</v>
      </c>
      <c r="X9" s="133">
        <f t="shared" ref="X9:AE9" si="1">SUM(X19,X34,X42)</f>
        <v>1706</v>
      </c>
      <c r="Y9" s="133">
        <f t="shared" si="1"/>
        <v>1906.7746129188006</v>
      </c>
      <c r="Z9" s="133">
        <f t="shared" si="1"/>
        <v>1942.4952068980749</v>
      </c>
      <c r="AA9" s="133">
        <f t="shared" si="1"/>
        <v>1716.6409464899998</v>
      </c>
      <c r="AB9" s="133">
        <f t="shared" si="1"/>
        <v>2088.4468428510245</v>
      </c>
      <c r="AC9" s="133">
        <f t="shared" si="1"/>
        <v>2161</v>
      </c>
      <c r="AD9" s="133">
        <f t="shared" si="1"/>
        <v>2304.53570408</v>
      </c>
      <c r="AE9" s="313">
        <f t="shared" si="1"/>
        <v>2361</v>
      </c>
      <c r="AF9" s="313">
        <f>SUM(AF19,AF34,AF42)</f>
        <v>2029</v>
      </c>
      <c r="AG9" s="526"/>
      <c r="AH9" s="526"/>
      <c r="AI9" s="133">
        <f>SUM(C9:F9)</f>
        <v>5634.4760000000006</v>
      </c>
      <c r="AJ9" s="133">
        <f>SUM(G9:J9)</f>
        <v>5571.3220000000001</v>
      </c>
      <c r="AK9" s="133">
        <f>SUM(K9:N9)</f>
        <v>5716.3886590800003</v>
      </c>
      <c r="AL9" s="133">
        <f>SUM(O9:R9)</f>
        <v>8770.6759999999995</v>
      </c>
      <c r="AM9" s="133">
        <f>SUM(S9:V9)</f>
        <v>9214</v>
      </c>
      <c r="AN9" s="133">
        <f>SUM(W9:Z9)</f>
        <v>7512.6562701271105</v>
      </c>
      <c r="AO9" s="133">
        <f>SUM(AA9:AD9)</f>
        <v>8270.6234934210242</v>
      </c>
      <c r="AP9" s="389"/>
    </row>
    <row r="10" spans="1:42" s="62" customFormat="1">
      <c r="B10" s="217" t="s">
        <v>276</v>
      </c>
      <c r="C10" s="125">
        <f>C11-C9</f>
        <v>-37.912000000000035</v>
      </c>
      <c r="D10" s="125">
        <f t="shared" ref="D10:P10" si="2">D11-D9</f>
        <v>-38.005000000000109</v>
      </c>
      <c r="E10" s="125">
        <f>E11-E9</f>
        <v>-81.163999999999987</v>
      </c>
      <c r="F10" s="125">
        <f t="shared" si="2"/>
        <v>-59.919000000000779</v>
      </c>
      <c r="G10" s="125">
        <f t="shared" si="2"/>
        <v>-53.921000000000049</v>
      </c>
      <c r="H10" s="125">
        <f t="shared" si="2"/>
        <v>-69.046000000000049</v>
      </c>
      <c r="I10" s="125">
        <f t="shared" si="2"/>
        <v>-86.748000000000502</v>
      </c>
      <c r="J10" s="125">
        <f t="shared" si="2"/>
        <v>-97.922999999998865</v>
      </c>
      <c r="K10" s="125">
        <f t="shared" si="2"/>
        <v>-68.424999999999955</v>
      </c>
      <c r="L10" s="125">
        <f t="shared" si="2"/>
        <v>-72.01800266107989</v>
      </c>
      <c r="M10" s="125">
        <f t="shared" si="2"/>
        <v>-85.278000000000475</v>
      </c>
      <c r="N10" s="125">
        <f t="shared" si="2"/>
        <v>-79.285656418920325</v>
      </c>
      <c r="O10" s="125">
        <f t="shared" si="2"/>
        <v>-78.609000000000151</v>
      </c>
      <c r="P10" s="125">
        <f t="shared" si="2"/>
        <v>-76.431000000000267</v>
      </c>
      <c r="Q10" s="125">
        <f>Q11-Q9</f>
        <v>-98.632999999999356</v>
      </c>
      <c r="R10" s="125">
        <v>-93.87099999999964</v>
      </c>
      <c r="S10" s="125">
        <f>-83781/1000</f>
        <v>-83.781000000000006</v>
      </c>
      <c r="T10" s="125">
        <v>-89</v>
      </c>
      <c r="U10" s="125">
        <v>-100</v>
      </c>
      <c r="V10" s="125">
        <v>-115</v>
      </c>
      <c r="W10" s="125">
        <v>-41</v>
      </c>
      <c r="X10" s="125">
        <f t="shared" ref="X10:AF10" si="3">X11-X9</f>
        <v>-41</v>
      </c>
      <c r="Y10" s="125">
        <f t="shared" si="3"/>
        <v>-42.774612918800585</v>
      </c>
      <c r="Z10" s="125">
        <f t="shared" si="3"/>
        <v>-38.495206898074912</v>
      </c>
      <c r="AA10" s="125">
        <f t="shared" si="3"/>
        <v>-22.77494648999982</v>
      </c>
      <c r="AB10" s="125">
        <f t="shared" si="3"/>
        <v>-23.446842851024485</v>
      </c>
      <c r="AC10" s="125">
        <f t="shared" si="3"/>
        <v>-26</v>
      </c>
      <c r="AD10" s="125">
        <f t="shared" si="3"/>
        <v>-24.116999999999734</v>
      </c>
      <c r="AE10" s="564">
        <f t="shared" si="3"/>
        <v>-23</v>
      </c>
      <c r="AF10" s="564">
        <f t="shared" si="3"/>
        <v>-24</v>
      </c>
      <c r="AG10" s="218"/>
      <c r="AH10" s="270"/>
      <c r="AI10" s="125">
        <f>SUM(C10:F10)</f>
        <v>-217.00000000000091</v>
      </c>
      <c r="AJ10" s="125">
        <f>SUM(G10:J10)</f>
        <v>-307.63799999999947</v>
      </c>
      <c r="AK10" s="125">
        <f>SUM(K10:N10)</f>
        <v>-305.00665908000065</v>
      </c>
      <c r="AL10" s="125">
        <f>SUM(O10:R10)</f>
        <v>-347.54399999999941</v>
      </c>
      <c r="AM10" s="125">
        <f>SUM(S10:V10)</f>
        <v>-387.78100000000001</v>
      </c>
      <c r="AN10" s="125">
        <f>SUM(W10:Z10)</f>
        <v>-163.2698198168755</v>
      </c>
      <c r="AO10" s="125">
        <f t="shared" ref="AO10:AO15" si="4">SUM(AA10:AD10)</f>
        <v>-96.338789341024039</v>
      </c>
    </row>
    <row r="11" spans="1:42">
      <c r="B11" s="65" t="s">
        <v>212</v>
      </c>
      <c r="C11" s="133">
        <f>'9 - Demonstrativos Financeiros'!C7</f>
        <v>1165.088</v>
      </c>
      <c r="D11" s="133">
        <f>'9 - Demonstrativos Financeiros'!D7</f>
        <v>1316.9949999999999</v>
      </c>
      <c r="E11" s="133">
        <f>'9 - Demonstrativos Financeiros'!E7</f>
        <v>1438.836</v>
      </c>
      <c r="F11" s="133">
        <f>'9 - Demonstrativos Financeiros'!F7</f>
        <v>1496.5569999999993</v>
      </c>
      <c r="G11" s="133">
        <f>'9 - Demonstrativos Financeiros'!G7</f>
        <v>1327.079</v>
      </c>
      <c r="H11" s="133">
        <f>'9 - Demonstrativos Financeiros'!H7</f>
        <v>1365.954</v>
      </c>
      <c r="I11" s="133">
        <f>'9 - Demonstrativos Financeiros'!I7</f>
        <v>1313.2519999999995</v>
      </c>
      <c r="J11" s="133">
        <f>'9 - Demonstrativos Financeiros'!J7</f>
        <v>1257.3990000000013</v>
      </c>
      <c r="K11" s="133">
        <f>'9 - Demonstrativos Financeiros'!K7</f>
        <v>1252.7380000000001</v>
      </c>
      <c r="L11" s="133">
        <f>'9 - Demonstrativos Financeiros'!L7</f>
        <v>1101.9179999999999</v>
      </c>
      <c r="M11" s="133">
        <f>'9 - Demonstrativos Financeiros'!M7</f>
        <v>1485.6209999999999</v>
      </c>
      <c r="N11" s="133">
        <f>'9 - Demonstrativos Financeiros'!N7</f>
        <v>1571.105</v>
      </c>
      <c r="O11" s="133">
        <f>'9 - Demonstrativos Financeiros'!O7</f>
        <v>1792.8239999999998</v>
      </c>
      <c r="P11" s="133">
        <f>'9 - Demonstrativos Financeiros'!P7</f>
        <v>1913.0839999999996</v>
      </c>
      <c r="Q11" s="133">
        <f>'9 - Demonstrativos Financeiros'!Q7</f>
        <v>2300.0440000000008</v>
      </c>
      <c r="R11" s="133">
        <f>'9 - Demonstrativos Financeiros'!R7</f>
        <v>2417.2279999999996</v>
      </c>
      <c r="S11" s="133">
        <f>'9 - Demonstrativos Financeiros'!S7</f>
        <v>2291.665</v>
      </c>
      <c r="T11" s="133">
        <f>'9 - Demonstrativos Financeiros'!T7</f>
        <v>2331</v>
      </c>
      <c r="U11" s="133">
        <f>'9 - Demonstrativos Financeiros'!U7</f>
        <v>2245</v>
      </c>
      <c r="V11" s="133">
        <f>'9 - Demonstrativos Financeiros'!V7</f>
        <v>1957</v>
      </c>
      <c r="W11" s="133">
        <f>'9 - Demonstrativos Financeiros'!W7</f>
        <v>1915.819</v>
      </c>
      <c r="X11" s="133">
        <f>'9 - Demonstrativos Financeiros'!X7</f>
        <v>1665</v>
      </c>
      <c r="Y11" s="133">
        <f>'9 - Demonstrativos Financeiros'!Y7</f>
        <v>1864</v>
      </c>
      <c r="Z11" s="133">
        <f>'9 - Demonstrativos Financeiros'!Z7</f>
        <v>1904</v>
      </c>
      <c r="AA11" s="133">
        <f>'9 - Demonstrativos Financeiros'!AA7</f>
        <v>1693.866</v>
      </c>
      <c r="AB11" s="133">
        <f>'9 - Demonstrativos Financeiros'!AB7</f>
        <v>2065</v>
      </c>
      <c r="AC11" s="133">
        <f>'9 - Demonstrativos Financeiros'!AC7</f>
        <v>2135</v>
      </c>
      <c r="AD11" s="133">
        <f>'9 - Demonstrativos Financeiros'!AD7</f>
        <v>2280.4187040800002</v>
      </c>
      <c r="AE11" s="133">
        <f>'9 - Demonstrativos Financeiros'!AE7</f>
        <v>2338</v>
      </c>
      <c r="AF11" s="133">
        <f>'9 - Demonstrativos Financeiros'!AF7</f>
        <v>2005</v>
      </c>
      <c r="AG11" s="526"/>
      <c r="AI11" s="133">
        <f>SUM(C11:F11)</f>
        <v>5417.4759999999987</v>
      </c>
      <c r="AJ11" s="133">
        <f>SUM(G11:J11)</f>
        <v>5263.6840000000011</v>
      </c>
      <c r="AK11" s="133">
        <f>SUM(K11:N11)</f>
        <v>5411.3819999999996</v>
      </c>
      <c r="AL11" s="133">
        <f>SUM(O11:R11)</f>
        <v>8423.18</v>
      </c>
      <c r="AM11" s="133">
        <f>SUM(S11:V11)</f>
        <v>8824.6650000000009</v>
      </c>
      <c r="AN11" s="133">
        <v>7348</v>
      </c>
      <c r="AO11" s="133">
        <f t="shared" si="4"/>
        <v>8174.2847040800007</v>
      </c>
      <c r="AP11" s="92"/>
    </row>
    <row r="12" spans="1:42">
      <c r="B12" s="116" t="s">
        <v>365</v>
      </c>
      <c r="C12" s="219">
        <f t="shared" ref="C12:AD12" si="5">SUM(C27,C35,C43)-C10</f>
        <v>-946.08799999999997</v>
      </c>
      <c r="D12" s="219">
        <f t="shared" si="5"/>
        <v>-1050.9949999999999</v>
      </c>
      <c r="E12" s="219">
        <f t="shared" si="5"/>
        <v>-1172.836</v>
      </c>
      <c r="F12" s="219">
        <f t="shared" si="5"/>
        <v>-1298.1239999999993</v>
      </c>
      <c r="G12" s="219">
        <f t="shared" si="5"/>
        <v>-1118.079</v>
      </c>
      <c r="H12" s="219">
        <f t="shared" si="5"/>
        <v>-1177.954</v>
      </c>
      <c r="I12" s="219">
        <f t="shared" si="5"/>
        <v>-1172.2519999999995</v>
      </c>
      <c r="J12" s="219">
        <f t="shared" si="5"/>
        <v>-1137.8320000000012</v>
      </c>
      <c r="K12" s="219">
        <f t="shared" si="5"/>
        <v>-1104.5940000000003</v>
      </c>
      <c r="L12" s="219">
        <f t="shared" si="5"/>
        <v>-1038.1838075543237</v>
      </c>
      <c r="M12" s="219">
        <f t="shared" si="5"/>
        <v>-1294.789</v>
      </c>
      <c r="N12" s="219">
        <f t="shared" si="5"/>
        <v>-1393.1451398293966</v>
      </c>
      <c r="O12" s="219">
        <f t="shared" si="5"/>
        <v>-1349.038</v>
      </c>
      <c r="P12" s="219">
        <f t="shared" si="5"/>
        <v>-1526.7269999999996</v>
      </c>
      <c r="Q12" s="219">
        <f t="shared" si="5"/>
        <v>-1990.0780000000013</v>
      </c>
      <c r="R12" s="219">
        <f t="shared" si="5"/>
        <v>-1933.5809999999997</v>
      </c>
      <c r="S12" s="219">
        <f t="shared" si="5"/>
        <v>-1737.6610000000001</v>
      </c>
      <c r="T12" s="219">
        <f t="shared" si="5"/>
        <v>-1669</v>
      </c>
      <c r="U12" s="219">
        <f t="shared" si="5"/>
        <v>-1914.9459999999999</v>
      </c>
      <c r="V12" s="219">
        <f t="shared" si="5"/>
        <v>-1852.8711578476236</v>
      </c>
      <c r="W12" s="219">
        <f t="shared" si="5"/>
        <v>-1856.028</v>
      </c>
      <c r="X12" s="219">
        <f t="shared" si="5"/>
        <v>-1638</v>
      </c>
      <c r="Y12" s="219">
        <f t="shared" si="5"/>
        <v>-1881.5413870811994</v>
      </c>
      <c r="Z12" s="219">
        <f t="shared" si="5"/>
        <v>-1896.3857931019252</v>
      </c>
      <c r="AA12" s="219">
        <f t="shared" si="5"/>
        <v>-1615.4980535100001</v>
      </c>
      <c r="AB12" s="219">
        <f>SUM(AB27,AB35,AB43)-AB10</f>
        <v>-1807.5791571489756</v>
      </c>
      <c r="AC12" s="219">
        <f t="shared" si="5"/>
        <v>-1772</v>
      </c>
      <c r="AD12" s="219">
        <f t="shared" si="5"/>
        <v>-2120.2050000000004</v>
      </c>
      <c r="AE12" s="219">
        <f>SUM(AE27,AE35,AE43)-AE10</f>
        <v>-1912</v>
      </c>
      <c r="AF12" s="219">
        <f>SUM(AF27,AF35,AF43)-AF10</f>
        <v>-1986</v>
      </c>
      <c r="AG12" s="526"/>
      <c r="AH12" s="526"/>
      <c r="AI12" s="219">
        <f t="shared" ref="AI12:AM12" si="6">AI13-AI11</f>
        <v>-4468.043999999999</v>
      </c>
      <c r="AJ12" s="219">
        <f t="shared" si="6"/>
        <v>-4606.1170000000002</v>
      </c>
      <c r="AK12" s="219">
        <f t="shared" si="6"/>
        <v>-4831.1329999999998</v>
      </c>
      <c r="AL12" s="219">
        <f t="shared" si="6"/>
        <v>-6799.4719999999998</v>
      </c>
      <c r="AM12" s="219">
        <f t="shared" si="6"/>
        <v>-7175.6650000000009</v>
      </c>
      <c r="AN12" s="219">
        <f>SUM(W12:Z12)</f>
        <v>-7271.955180183124</v>
      </c>
      <c r="AO12" s="219">
        <f t="shared" si="4"/>
        <v>-7315.2822106589756</v>
      </c>
      <c r="AP12" s="92"/>
    </row>
    <row r="13" spans="1:42">
      <c r="B13" s="65" t="s">
        <v>213</v>
      </c>
      <c r="C13" s="133">
        <f>'9 - Demonstrativos Financeiros'!C9</f>
        <v>218.54999999999995</v>
      </c>
      <c r="D13" s="133">
        <f>'9 - Demonstrativos Financeiros'!D9</f>
        <v>266.05299999999988</v>
      </c>
      <c r="E13" s="133">
        <f>'9 - Demonstrativos Financeiros'!E9</f>
        <v>265.51099999999997</v>
      </c>
      <c r="F13" s="133">
        <f>'9 - Demonstrativos Financeiros'!F9</f>
        <v>199.31799999999976</v>
      </c>
      <c r="G13" s="133">
        <f>'9 - Demonstrativos Financeiros'!G9</f>
        <v>207.798</v>
      </c>
      <c r="H13" s="133">
        <f>'9 - Demonstrativos Financeiros'!H9</f>
        <v>189.27499999999986</v>
      </c>
      <c r="I13" s="133">
        <f>'9 - Demonstrativos Financeiros'!I9</f>
        <v>141.31799999999976</v>
      </c>
      <c r="J13" s="133">
        <f>'9 - Demonstrativos Financeiros'!J9</f>
        <v>119.17600000000084</v>
      </c>
      <c r="K13" s="133">
        <f>'9 - Demonstrativos Financeiros'!K9</f>
        <v>148.14400000000001</v>
      </c>
      <c r="L13" s="133">
        <f>'9 - Demonstrativos Financeiros'!L9</f>
        <v>63.952999999999747</v>
      </c>
      <c r="M13" s="133">
        <f>'9 - Demonstrativos Financeiros'!M9</f>
        <v>188.66700000000014</v>
      </c>
      <c r="N13" s="133">
        <f>'9 - Demonstrativos Financeiros'!N9</f>
        <v>179.48500000000013</v>
      </c>
      <c r="O13" s="133">
        <f>'9 - Demonstrativos Financeiros'!O9</f>
        <v>443.78599999999983</v>
      </c>
      <c r="P13" s="133">
        <f>'9 - Demonstrativos Financeiros'!P9</f>
        <v>386.12199999999962</v>
      </c>
      <c r="Q13" s="133">
        <f>'9 - Demonstrativos Financeiros'!Q9</f>
        <v>310.04400000000078</v>
      </c>
      <c r="R13" s="133">
        <f>'9 - Demonstrativos Financeiros'!R9</f>
        <v>483.75599999999986</v>
      </c>
      <c r="S13" s="133">
        <f>'9 - Demonstrativos Financeiros'!S9</f>
        <v>553.95000000000005</v>
      </c>
      <c r="T13" s="133">
        <f>'9 - Demonstrativos Financeiros'!T9</f>
        <v>662.21799999999985</v>
      </c>
      <c r="U13" s="133">
        <f>'9 - Demonstrativos Financeiros'!U9</f>
        <v>331</v>
      </c>
      <c r="V13" s="133">
        <f>'9 - Demonstrativos Financeiros'!V9</f>
        <v>103</v>
      </c>
      <c r="W13" s="133">
        <f t="shared" ref="W13:AC13" si="7">SUM(W28,W36,W44)</f>
        <v>59.971999999999994</v>
      </c>
      <c r="X13" s="133">
        <f t="shared" si="7"/>
        <v>27</v>
      </c>
      <c r="Y13" s="133">
        <f t="shared" si="7"/>
        <v>-17.541387081199435</v>
      </c>
      <c r="Z13" s="133">
        <f t="shared" si="7"/>
        <v>7.614206898074988</v>
      </c>
      <c r="AA13" s="133">
        <f t="shared" si="7"/>
        <v>78.367946489999639</v>
      </c>
      <c r="AB13" s="133">
        <f t="shared" si="7"/>
        <v>257.42084285102482</v>
      </c>
      <c r="AC13" s="133">
        <f t="shared" si="7"/>
        <v>363</v>
      </c>
      <c r="AD13" s="133">
        <f>SUM(AD28,AD36,AD44)</f>
        <v>160.21370407999979</v>
      </c>
      <c r="AE13" s="133">
        <f t="shared" ref="AE13:AF13" si="8">SUM(AE28,AE36,AE44)</f>
        <v>426</v>
      </c>
      <c r="AF13" s="133">
        <f t="shared" si="8"/>
        <v>19</v>
      </c>
      <c r="AG13" s="218"/>
      <c r="AI13" s="133">
        <f>SUM(C13:F13)</f>
        <v>949.43199999999956</v>
      </c>
      <c r="AJ13" s="133">
        <f>SUM(G13:J13)</f>
        <v>657.56700000000046</v>
      </c>
      <c r="AK13" s="133">
        <f>SUM(K13:N13)</f>
        <v>580.24900000000002</v>
      </c>
      <c r="AL13" s="133">
        <f>SUM(O13:R13)</f>
        <v>1623.7080000000001</v>
      </c>
      <c r="AM13" s="133">
        <v>1649</v>
      </c>
      <c r="AN13" s="133">
        <f>SUM(W13:Z13)</f>
        <v>77.044819816875545</v>
      </c>
      <c r="AO13" s="133">
        <f t="shared" si="4"/>
        <v>859.00249342102416</v>
      </c>
      <c r="AP13" s="92"/>
    </row>
    <row r="14" spans="1:42" ht="14.5">
      <c r="A14" s="51"/>
      <c r="B14" s="62" t="s">
        <v>158</v>
      </c>
      <c r="C14" s="134">
        <f>'9 - Demonstrativos Financeiros'!C35</f>
        <v>239.11599999999996</v>
      </c>
      <c r="D14" s="134">
        <f>'9 - Demonstrativos Financeiros'!D35</f>
        <v>262.62899999999991</v>
      </c>
      <c r="E14" s="134">
        <f>'9 - Demonstrativos Financeiros'!E35</f>
        <v>228.79799999999992</v>
      </c>
      <c r="F14" s="134">
        <f>'9 - Demonstrativos Financeiros'!F35</f>
        <v>248.39600000000019</v>
      </c>
      <c r="G14" s="134">
        <f>'9 - Demonstrativos Financeiros'!G35</f>
        <v>229.05799999999999</v>
      </c>
      <c r="H14" s="134">
        <f>'9 - Demonstrativos Financeiros'!H35</f>
        <v>345.03099999999984</v>
      </c>
      <c r="I14" s="134">
        <f>'9 - Demonstrativos Financeiros'!I35</f>
        <v>129.21600000000026</v>
      </c>
      <c r="J14" s="134">
        <f>'9 - Demonstrativos Financeiros'!J35</f>
        <v>284.9009999999999</v>
      </c>
      <c r="K14" s="134">
        <f>'9 - Demonstrativos Financeiros'!K35</f>
        <v>161.82600000000008</v>
      </c>
      <c r="L14" s="134">
        <f>'9 - Demonstrativos Financeiros'!L35</f>
        <v>171.9899999999997</v>
      </c>
      <c r="M14" s="134">
        <f>'9 - Demonstrativos Financeiros'!M35</f>
        <v>159.11100000000044</v>
      </c>
      <c r="N14" s="134">
        <f>'9 - Demonstrativos Financeiros'!N35</f>
        <v>168.92099999999962</v>
      </c>
      <c r="O14" s="134">
        <f>'9 - Demonstrativos Financeiros'!O35</f>
        <v>360.42100000000011</v>
      </c>
      <c r="P14" s="134">
        <f>'9 - Demonstrativos Financeiros'!P35</f>
        <v>362.67900000000003</v>
      </c>
      <c r="Q14" s="134">
        <f>'9 - Demonstrativos Financeiros'!Q35</f>
        <v>313.71800000000081</v>
      </c>
      <c r="R14" s="134">
        <f>'9 - Demonstrativos Financeiros'!R35</f>
        <v>500.678</v>
      </c>
      <c r="S14" s="134">
        <f>'9 - Demonstrativos Financeiros'!S35</f>
        <v>552.33500000000004</v>
      </c>
      <c r="T14" s="134">
        <f>'9 - Demonstrativos Financeiros'!T35</f>
        <v>641</v>
      </c>
      <c r="U14" s="134">
        <f>'9 - Demonstrativos Financeiros'!U35</f>
        <v>331</v>
      </c>
      <c r="V14" s="134">
        <f>'9 - Demonstrativos Financeiros'!V35</f>
        <v>102.881</v>
      </c>
      <c r="W14" s="527">
        <f t="shared" ref="W14:AB14" si="9">SUM(W29,W37,W45)</f>
        <v>84.416999999999987</v>
      </c>
      <c r="X14" s="527">
        <f t="shared" si="9"/>
        <v>74</v>
      </c>
      <c r="Y14" s="527">
        <f t="shared" si="9"/>
        <v>45.889999999999993</v>
      </c>
      <c r="Z14" s="527">
        <f t="shared" si="9"/>
        <v>102.30499999999996</v>
      </c>
      <c r="AA14" s="527">
        <f t="shared" si="9"/>
        <v>146.19900000000001</v>
      </c>
      <c r="AB14" s="527">
        <f t="shared" si="9"/>
        <v>338.58100000000002</v>
      </c>
      <c r="AC14" s="527">
        <f>SUM(AC29,AC37,AC45)</f>
        <v>409</v>
      </c>
      <c r="AD14" s="527">
        <f>SUM(AD29,AD37,AD45)</f>
        <v>486.39800000000002</v>
      </c>
      <c r="AE14" s="527">
        <f t="shared" ref="AE14:AF14" si="10">SUM(AE29,AE37,AE45)</f>
        <v>430</v>
      </c>
      <c r="AF14" s="527">
        <f t="shared" si="10"/>
        <v>189</v>
      </c>
      <c r="AG14" s="526"/>
      <c r="AH14" s="526"/>
      <c r="AI14" s="134">
        <f>SUM(C14:F14)</f>
        <v>978.93899999999996</v>
      </c>
      <c r="AJ14" s="134">
        <f>SUM(G14:J14)</f>
        <v>988.2059999999999</v>
      </c>
      <c r="AK14" s="134">
        <f>SUM(K14:N14)</f>
        <v>661.84799999999984</v>
      </c>
      <c r="AL14" s="134">
        <f>SUM(O14:R14)</f>
        <v>1537.496000000001</v>
      </c>
      <c r="AM14" s="134">
        <v>1627</v>
      </c>
      <c r="AN14" s="134">
        <f>SUM(W14:Z14)</f>
        <v>306.61199999999991</v>
      </c>
      <c r="AO14" s="134">
        <f t="shared" si="4"/>
        <v>1380.1779999999999</v>
      </c>
      <c r="AP14" s="92"/>
    </row>
    <row r="15" spans="1:42">
      <c r="B15" s="65" t="s">
        <v>214</v>
      </c>
      <c r="C15" s="133">
        <f>'9 - Demonstrativos Financeiros'!C33</f>
        <v>74.691999999999993</v>
      </c>
      <c r="D15" s="133">
        <f>'9 - Demonstrativos Financeiros'!D33</f>
        <v>78.035000000000011</v>
      </c>
      <c r="E15" s="133">
        <f>'9 - Demonstrativos Financeiros'!E33</f>
        <v>74.794999999999987</v>
      </c>
      <c r="F15" s="133">
        <f>'9 - Demonstrativos Financeiros'!F33</f>
        <v>75.680000000000007</v>
      </c>
      <c r="G15" s="133">
        <f>'9 - Demonstrativos Financeiros'!G33</f>
        <v>96.887</v>
      </c>
      <c r="H15" s="133">
        <f>'9 - Demonstrativos Financeiros'!H33</f>
        <v>141.75299999999999</v>
      </c>
      <c r="I15" s="133">
        <f>'9 - Demonstrativos Financeiros'!I33</f>
        <v>89.732000000000028</v>
      </c>
      <c r="J15" s="133">
        <f>'9 - Demonstrativos Financeiros'!J33</f>
        <v>134.16899999999998</v>
      </c>
      <c r="K15" s="133">
        <f>'9 - Demonstrativos Financeiros'!K33</f>
        <v>91.376000000000005</v>
      </c>
      <c r="L15" s="133">
        <f>'9 - Demonstrativos Financeiros'!L33</f>
        <v>110.422</v>
      </c>
      <c r="M15" s="133">
        <f>'9 - Demonstrativos Financeiros'!M33</f>
        <v>103.39999999999998</v>
      </c>
      <c r="N15" s="133">
        <f>'9 - Demonstrativos Financeiros'!N33</f>
        <v>126.28300000000002</v>
      </c>
      <c r="O15" s="133">
        <f>'9 - Demonstrativos Financeiros'!O33</f>
        <v>113.1</v>
      </c>
      <c r="P15" s="133">
        <f>'9 - Demonstrativos Financeiros'!P33</f>
        <v>126.14100000000002</v>
      </c>
      <c r="Q15" s="133">
        <f>'9 - Demonstrativos Financeiros'!Q33</f>
        <v>137.14399999999998</v>
      </c>
      <c r="R15" s="133">
        <f>'9 - Demonstrativos Financeiros'!R33</f>
        <v>119.66000000000003</v>
      </c>
      <c r="S15" s="133">
        <f>'9 - Demonstrativos Financeiros'!S33</f>
        <v>128.72800000000001</v>
      </c>
      <c r="T15" s="133">
        <f>'9 - Demonstrativos Financeiros'!T33</f>
        <v>124</v>
      </c>
      <c r="U15" s="133">
        <f>'9 - Demonstrativos Financeiros'!U33</f>
        <v>137</v>
      </c>
      <c r="V15" s="133">
        <f>'9 - Demonstrativos Financeiros'!V33</f>
        <v>150</v>
      </c>
      <c r="W15" s="313">
        <f t="shared" ref="W15:Y15" si="11">SUM(W30,W38,W46)</f>
        <v>134.69200000000001</v>
      </c>
      <c r="X15" s="313">
        <f t="shared" si="11"/>
        <v>145</v>
      </c>
      <c r="Y15" s="313">
        <f t="shared" si="11"/>
        <v>142.52999999999997</v>
      </c>
      <c r="Z15" s="313">
        <f t="shared" ref="Z15:AD15" si="12">SUM(Z30,Z38,Z46)</f>
        <v>148.07</v>
      </c>
      <c r="AA15" s="313">
        <f t="shared" si="12"/>
        <v>144.215</v>
      </c>
      <c r="AB15" s="313">
        <f t="shared" si="12"/>
        <v>144.18200000000004</v>
      </c>
      <c r="AC15" s="313">
        <f t="shared" si="12"/>
        <v>158</v>
      </c>
      <c r="AD15" s="313">
        <f t="shared" si="12"/>
        <v>196.93799999999993</v>
      </c>
      <c r="AE15" s="313">
        <f t="shared" ref="AE15:AF15" si="13">SUM(AE30,AE38,AE46)</f>
        <v>174.172</v>
      </c>
      <c r="AF15" s="313">
        <f t="shared" si="13"/>
        <v>165.77099999999999</v>
      </c>
      <c r="AG15" s="218"/>
      <c r="AI15" s="133">
        <f>SUM(C15:F15)</f>
        <v>303.202</v>
      </c>
      <c r="AJ15" s="133">
        <f>SUM(G15:J15)</f>
        <v>462.541</v>
      </c>
      <c r="AK15" s="133">
        <f>SUM(K15:N15)</f>
        <v>431.48099999999999</v>
      </c>
      <c r="AL15" s="133">
        <f>SUM(O15:R15)</f>
        <v>496.04500000000002</v>
      </c>
      <c r="AM15" s="133">
        <f>SUM(S15:V15)</f>
        <v>539.72800000000007</v>
      </c>
      <c r="AN15" s="133">
        <f>SUM(W15:Z15)</f>
        <v>570.29199999999992</v>
      </c>
      <c r="AO15" s="133">
        <f t="shared" si="4"/>
        <v>643.33500000000004</v>
      </c>
    </row>
    <row r="16" spans="1:42" ht="14.15" customHeight="1">
      <c r="B16" s="375" t="s">
        <v>355</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row>
    <row r="17" spans="2:42">
      <c r="B17" s="6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549"/>
      <c r="AF17" s="549"/>
      <c r="AG17" s="132"/>
      <c r="AH17" s="132"/>
      <c r="AI17" s="132"/>
      <c r="AJ17" s="132"/>
      <c r="AK17" s="132"/>
      <c r="AL17" s="132"/>
      <c r="AM17" s="132"/>
      <c r="AN17" s="132"/>
      <c r="AO17" s="132"/>
      <c r="AP17" s="389"/>
    </row>
    <row r="18" spans="2:42" ht="14.5" thickBot="1">
      <c r="B18" s="63" t="s">
        <v>215</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218"/>
      <c r="AI18" s="132"/>
      <c r="AJ18" s="132"/>
      <c r="AK18" s="132"/>
      <c r="AL18" s="132"/>
      <c r="AM18" s="132"/>
      <c r="AN18" s="132"/>
      <c r="AO18" s="132"/>
    </row>
    <row r="19" spans="2:42">
      <c r="B19" s="116" t="s">
        <v>212</v>
      </c>
      <c r="C19" s="188">
        <v>934</v>
      </c>
      <c r="D19" s="188">
        <v>1064</v>
      </c>
      <c r="E19" s="188">
        <v>1188</v>
      </c>
      <c r="F19" s="188">
        <v>1253</v>
      </c>
      <c r="G19" s="188">
        <v>1071</v>
      </c>
      <c r="H19" s="188">
        <v>1091</v>
      </c>
      <c r="I19" s="188">
        <v>1032</v>
      </c>
      <c r="J19" s="132">
        <v>928.64400000000023</v>
      </c>
      <c r="K19" s="132">
        <v>1053.7750000000001</v>
      </c>
      <c r="L19" s="188">
        <v>1011.3179999999998</v>
      </c>
      <c r="M19" s="188">
        <v>1385.8990000000003</v>
      </c>
      <c r="N19" s="132">
        <v>1456.9356590800003</v>
      </c>
      <c r="O19" s="132">
        <v>1679.0550000000001</v>
      </c>
      <c r="P19" s="132">
        <v>1827.3509999999999</v>
      </c>
      <c r="Q19" s="132">
        <v>2185.5420000000004</v>
      </c>
      <c r="R19" s="132">
        <f t="shared" ref="R19:AE19" si="14">SUM(R20:R26)</f>
        <v>2326.4129999999996</v>
      </c>
      <c r="S19" s="132">
        <f t="shared" si="14"/>
        <v>2220</v>
      </c>
      <c r="T19" s="132">
        <f t="shared" si="14"/>
        <v>2251</v>
      </c>
      <c r="U19" s="132">
        <f t="shared" si="14"/>
        <v>2176</v>
      </c>
      <c r="V19" s="132">
        <f t="shared" si="14"/>
        <v>1912</v>
      </c>
      <c r="W19" s="132">
        <f t="shared" si="14"/>
        <v>1816</v>
      </c>
      <c r="X19" s="132">
        <f t="shared" si="14"/>
        <v>1551</v>
      </c>
      <c r="Y19" s="132">
        <f t="shared" si="14"/>
        <v>1759.9506129188005</v>
      </c>
      <c r="Z19" s="132">
        <f t="shared" si="14"/>
        <v>1829.4362068980749</v>
      </c>
      <c r="AA19" s="132">
        <f t="shared" si="14"/>
        <v>1641.9419464899997</v>
      </c>
      <c r="AB19" s="132">
        <f t="shared" si="14"/>
        <v>2014.3008428510248</v>
      </c>
      <c r="AC19" s="132">
        <f t="shared" si="14"/>
        <v>2090</v>
      </c>
      <c r="AD19" s="132">
        <f t="shared" si="14"/>
        <v>2193.3667040800001</v>
      </c>
      <c r="AE19" s="528">
        <f t="shared" si="14"/>
        <v>2265</v>
      </c>
      <c r="AF19" s="528">
        <v>1902</v>
      </c>
      <c r="AG19" s="526"/>
      <c r="AH19" s="526"/>
      <c r="AI19" s="132">
        <f t="shared" ref="AI19:AI26" si="15">SUM(C19:F19)</f>
        <v>4439</v>
      </c>
      <c r="AJ19" s="132">
        <f t="shared" ref="AJ19:AJ26" si="16">SUM(G19:J19)</f>
        <v>4122.6440000000002</v>
      </c>
      <c r="AK19" s="132">
        <f t="shared" ref="AK19:AK26" si="17">SUM(K19:N19)</f>
        <v>4907.92765908</v>
      </c>
      <c r="AL19" s="132">
        <f t="shared" ref="AL19:AL26" si="18">SUM(O19:R19)</f>
        <v>8018.3609999999999</v>
      </c>
      <c r="AM19" s="132">
        <f t="shared" ref="AM19:AM26" si="19">SUM(S19:V19)</f>
        <v>8559</v>
      </c>
      <c r="AN19" s="132">
        <f t="shared" ref="AN19:AN30" si="20">SUM(W19:Z19)</f>
        <v>6956.3868198168748</v>
      </c>
      <c r="AO19" s="132">
        <f t="shared" ref="AO19:AO30" si="21">SUM(AA19:AD19)</f>
        <v>7939.6094934210241</v>
      </c>
      <c r="AP19" s="92"/>
    </row>
    <row r="20" spans="2:42">
      <c r="B20" s="186" t="s">
        <v>102</v>
      </c>
      <c r="C20" s="115">
        <v>553.09609235057394</v>
      </c>
      <c r="D20" s="115">
        <v>557.05699913979527</v>
      </c>
      <c r="E20" s="115">
        <v>609.66926853851214</v>
      </c>
      <c r="F20" s="115">
        <v>567.94835937522396</v>
      </c>
      <c r="G20" s="115">
        <v>479.66249851867582</v>
      </c>
      <c r="H20" s="115">
        <v>487.42272902635767</v>
      </c>
      <c r="I20" s="115">
        <v>514.17413581776941</v>
      </c>
      <c r="J20" s="115">
        <v>450.5246699341136</v>
      </c>
      <c r="K20" s="115">
        <v>533.63734153864732</v>
      </c>
      <c r="L20" s="115">
        <v>484.44212498439589</v>
      </c>
      <c r="M20" s="115">
        <v>693.53169110106739</v>
      </c>
      <c r="N20" s="115">
        <v>756.01544101157367</v>
      </c>
      <c r="O20" s="115">
        <v>793.3901243185702</v>
      </c>
      <c r="P20" s="115">
        <v>899.24109472981183</v>
      </c>
      <c r="Q20" s="115">
        <v>963.03303052974729</v>
      </c>
      <c r="R20" s="115">
        <v>1093.7950000000001</v>
      </c>
      <c r="S20" s="115">
        <v>996</v>
      </c>
      <c r="T20" s="115">
        <v>1029</v>
      </c>
      <c r="U20" s="115">
        <v>1021</v>
      </c>
      <c r="V20" s="115">
        <v>922</v>
      </c>
      <c r="W20" s="115">
        <v>768</v>
      </c>
      <c r="X20" s="115">
        <v>712</v>
      </c>
      <c r="Y20" s="115">
        <v>815.93592684999953</v>
      </c>
      <c r="Z20" s="115">
        <v>948.42512397000007</v>
      </c>
      <c r="AA20" s="115">
        <v>805</v>
      </c>
      <c r="AB20" s="115">
        <v>1006.4893177900001</v>
      </c>
      <c r="AC20" s="115">
        <v>1031</v>
      </c>
      <c r="AD20" s="115">
        <v>1092.2509181600001</v>
      </c>
      <c r="AE20" s="385">
        <v>1117</v>
      </c>
      <c r="AF20" s="385">
        <v>1034</v>
      </c>
      <c r="AG20" s="526"/>
      <c r="AH20" s="526"/>
      <c r="AI20" s="115">
        <f t="shared" si="15"/>
        <v>2287.7707194041054</v>
      </c>
      <c r="AJ20" s="115">
        <f t="shared" si="16"/>
        <v>1931.7840332969167</v>
      </c>
      <c r="AK20" s="115">
        <f t="shared" si="17"/>
        <v>2467.6265986356843</v>
      </c>
      <c r="AL20" s="115">
        <f t="shared" si="18"/>
        <v>3749.4592495781294</v>
      </c>
      <c r="AM20" s="115">
        <f t="shared" si="19"/>
        <v>3968</v>
      </c>
      <c r="AN20" s="115">
        <f t="shared" si="20"/>
        <v>3244.3610508199995</v>
      </c>
      <c r="AO20" s="115">
        <f t="shared" si="21"/>
        <v>3934.7402359500002</v>
      </c>
      <c r="AP20" s="92"/>
    </row>
    <row r="21" spans="2:42">
      <c r="B21" s="187" t="s">
        <v>105</v>
      </c>
      <c r="C21" s="136">
        <v>244.52542915447691</v>
      </c>
      <c r="D21" s="136">
        <v>251.04609711832529</v>
      </c>
      <c r="E21" s="136">
        <v>363.07774358114193</v>
      </c>
      <c r="F21" s="136">
        <v>370.13753624115282</v>
      </c>
      <c r="G21" s="136">
        <v>344.76802799711027</v>
      </c>
      <c r="H21" s="136">
        <v>307.56827956352578</v>
      </c>
      <c r="I21" s="136">
        <v>236.3104009677848</v>
      </c>
      <c r="J21" s="136">
        <v>227.78036486533057</v>
      </c>
      <c r="K21" s="136">
        <v>322.85502547547725</v>
      </c>
      <c r="L21" s="136">
        <v>373.21166363015732</v>
      </c>
      <c r="M21" s="136">
        <v>510.58879007435911</v>
      </c>
      <c r="N21" s="136">
        <v>544.81819778238605</v>
      </c>
      <c r="O21" s="136">
        <v>640.35427580787029</v>
      </c>
      <c r="P21" s="136">
        <v>694.20649913404839</v>
      </c>
      <c r="Q21" s="136">
        <v>797.67413062403568</v>
      </c>
      <c r="R21" s="136">
        <v>826.73078375000023</v>
      </c>
      <c r="S21" s="136">
        <v>839</v>
      </c>
      <c r="T21" s="136">
        <v>821</v>
      </c>
      <c r="U21" s="136">
        <v>776</v>
      </c>
      <c r="V21" s="136">
        <v>708</v>
      </c>
      <c r="W21" s="136">
        <v>702</v>
      </c>
      <c r="X21" s="136">
        <v>632</v>
      </c>
      <c r="Y21" s="136">
        <v>605.63158352000005</v>
      </c>
      <c r="Z21" s="136">
        <v>616.38123953999991</v>
      </c>
      <c r="AA21" s="136">
        <v>618.0075321999999</v>
      </c>
      <c r="AB21" s="136">
        <v>689.58252150999976</v>
      </c>
      <c r="AC21" s="136">
        <v>734</v>
      </c>
      <c r="AD21" s="136">
        <v>794.47408016000009</v>
      </c>
      <c r="AE21" s="478">
        <v>823</v>
      </c>
      <c r="AF21" s="478">
        <v>817</v>
      </c>
      <c r="AG21" s="526"/>
      <c r="AH21" s="526"/>
      <c r="AI21" s="136">
        <f t="shared" si="15"/>
        <v>1228.7868060950968</v>
      </c>
      <c r="AJ21" s="136">
        <f t="shared" si="16"/>
        <v>1116.4270733937512</v>
      </c>
      <c r="AK21" s="136">
        <f t="shared" si="17"/>
        <v>1751.4736769623798</v>
      </c>
      <c r="AL21" s="136">
        <f t="shared" si="18"/>
        <v>2958.9656893159545</v>
      </c>
      <c r="AM21" s="136">
        <f t="shared" si="19"/>
        <v>3144</v>
      </c>
      <c r="AN21" s="136">
        <f t="shared" si="20"/>
        <v>2556.0128230599998</v>
      </c>
      <c r="AO21" s="136">
        <f t="shared" si="21"/>
        <v>2836.0641338699998</v>
      </c>
      <c r="AP21" s="92"/>
    </row>
    <row r="22" spans="2:42">
      <c r="B22" s="186" t="s">
        <v>109</v>
      </c>
      <c r="C22" s="115">
        <v>91.656178556542983</v>
      </c>
      <c r="D22" s="115">
        <v>97.760774404999523</v>
      </c>
      <c r="E22" s="115">
        <v>103.4260536606867</v>
      </c>
      <c r="F22" s="115">
        <v>85.583599629840393</v>
      </c>
      <c r="G22" s="115">
        <v>86.290924335432379</v>
      </c>
      <c r="H22" s="115">
        <v>79.645977411511495</v>
      </c>
      <c r="I22" s="115">
        <v>82.336609168492245</v>
      </c>
      <c r="J22" s="115">
        <v>84.132134038189548</v>
      </c>
      <c r="K22" s="115">
        <v>85.527169093439539</v>
      </c>
      <c r="L22" s="115">
        <v>55.059148784115429</v>
      </c>
      <c r="M22" s="115">
        <v>97.125249678607318</v>
      </c>
      <c r="N22" s="115">
        <v>109.50712615088079</v>
      </c>
      <c r="O22" s="115">
        <v>107.71612064208917</v>
      </c>
      <c r="P22" s="115">
        <v>125.0183261751495</v>
      </c>
      <c r="Q22" s="115">
        <v>134.3253569739685</v>
      </c>
      <c r="R22" s="115">
        <v>142.01752752484998</v>
      </c>
      <c r="S22" s="115">
        <v>217</v>
      </c>
      <c r="T22" s="115">
        <v>248</v>
      </c>
      <c r="U22" s="115">
        <v>270</v>
      </c>
      <c r="V22" s="115">
        <v>244</v>
      </c>
      <c r="W22" s="115">
        <v>207</v>
      </c>
      <c r="X22" s="115">
        <v>179</v>
      </c>
      <c r="Y22" s="115">
        <v>166.63127435880003</v>
      </c>
      <c r="Z22" s="115">
        <v>153.46471284807501</v>
      </c>
      <c r="AA22" s="115">
        <v>177.93737085000001</v>
      </c>
      <c r="AB22" s="115">
        <v>189.00214897102501</v>
      </c>
      <c r="AC22" s="115">
        <v>222</v>
      </c>
      <c r="AD22" s="115">
        <v>192.26300000000001</v>
      </c>
      <c r="AE22" s="385">
        <v>234</v>
      </c>
      <c r="AF22" s="385">
        <v>223</v>
      </c>
      <c r="AG22" s="526"/>
      <c r="AH22" s="526"/>
      <c r="AI22" s="115">
        <f t="shared" si="15"/>
        <v>378.42660625206963</v>
      </c>
      <c r="AJ22" s="115">
        <f t="shared" si="16"/>
        <v>332.40564495362571</v>
      </c>
      <c r="AK22" s="115">
        <f t="shared" si="17"/>
        <v>347.21869370704303</v>
      </c>
      <c r="AL22" s="115">
        <f t="shared" si="18"/>
        <v>509.07733131605715</v>
      </c>
      <c r="AM22" s="115">
        <f t="shared" si="19"/>
        <v>979</v>
      </c>
      <c r="AN22" s="115">
        <f t="shared" si="20"/>
        <v>706.09598720687507</v>
      </c>
      <c r="AO22" s="115">
        <f t="shared" si="21"/>
        <v>781.20251982102502</v>
      </c>
      <c r="AP22" s="92"/>
    </row>
    <row r="23" spans="2:42">
      <c r="B23" s="186" t="s">
        <v>112</v>
      </c>
      <c r="C23" s="115">
        <v>139.01577399840613</v>
      </c>
      <c r="D23" s="115">
        <v>293.09987845687999</v>
      </c>
      <c r="E23" s="115">
        <v>253.9535743096591</v>
      </c>
      <c r="F23" s="115">
        <v>316.96106933378292</v>
      </c>
      <c r="G23" s="115">
        <v>188.52993906878157</v>
      </c>
      <c r="H23" s="115">
        <v>217.87542634860483</v>
      </c>
      <c r="I23" s="115">
        <v>217.26705646595366</v>
      </c>
      <c r="J23" s="115">
        <v>223.87774960236661</v>
      </c>
      <c r="K23" s="115">
        <v>189.72239969243611</v>
      </c>
      <c r="L23" s="115">
        <v>179.84913223133114</v>
      </c>
      <c r="M23" s="115">
        <v>231.9677122559664</v>
      </c>
      <c r="N23" s="115">
        <v>268.12939486515972</v>
      </c>
      <c r="O23" s="115">
        <v>361.23134822147051</v>
      </c>
      <c r="P23" s="115">
        <v>365.03545369099038</v>
      </c>
      <c r="Q23" s="115">
        <v>610.1825691822487</v>
      </c>
      <c r="R23" s="115">
        <v>647.10507549514944</v>
      </c>
      <c r="S23" s="115">
        <v>439</v>
      </c>
      <c r="T23" s="115">
        <v>325</v>
      </c>
      <c r="U23" s="115">
        <v>272</v>
      </c>
      <c r="V23" s="115">
        <v>198</v>
      </c>
      <c r="W23" s="115">
        <v>291</v>
      </c>
      <c r="X23" s="115">
        <v>244</v>
      </c>
      <c r="Y23" s="115">
        <v>272.77870630000075</v>
      </c>
      <c r="Z23" s="115">
        <v>254.16513054000001</v>
      </c>
      <c r="AA23" s="115">
        <v>171.44503830000002</v>
      </c>
      <c r="AB23" s="115">
        <v>271.32460376</v>
      </c>
      <c r="AC23" s="115">
        <v>252</v>
      </c>
      <c r="AD23" s="115">
        <v>261.59100000000001</v>
      </c>
      <c r="AE23" s="385">
        <v>278</v>
      </c>
      <c r="AF23" s="385">
        <v>125</v>
      </c>
      <c r="AG23" s="218"/>
      <c r="AI23" s="115">
        <f t="shared" si="15"/>
        <v>1003.0302960987282</v>
      </c>
      <c r="AJ23" s="115">
        <f t="shared" si="16"/>
        <v>847.55017148570676</v>
      </c>
      <c r="AK23" s="115">
        <f t="shared" si="17"/>
        <v>869.66863904489333</v>
      </c>
      <c r="AL23" s="115">
        <f t="shared" si="18"/>
        <v>1983.5544465898588</v>
      </c>
      <c r="AM23" s="115">
        <f t="shared" si="19"/>
        <v>1234</v>
      </c>
      <c r="AN23" s="115">
        <f t="shared" si="20"/>
        <v>1061.9438368400008</v>
      </c>
      <c r="AO23" s="115">
        <f t="shared" si="21"/>
        <v>956.36064206000003</v>
      </c>
      <c r="AP23" s="92"/>
    </row>
    <row r="24" spans="2:42">
      <c r="B24" s="187" t="s">
        <v>541</v>
      </c>
      <c r="C24" s="115"/>
      <c r="D24" s="115"/>
      <c r="E24" s="115"/>
      <c r="F24" s="115"/>
      <c r="G24" s="115"/>
      <c r="H24" s="115"/>
      <c r="I24" s="115"/>
      <c r="J24" s="115"/>
      <c r="K24" s="115"/>
      <c r="L24" s="385">
        <v>0</v>
      </c>
      <c r="M24" s="385">
        <v>0</v>
      </c>
      <c r="N24" s="385">
        <v>0</v>
      </c>
      <c r="O24" s="385">
        <v>0</v>
      </c>
      <c r="P24" s="385">
        <v>0</v>
      </c>
      <c r="Q24" s="385">
        <v>0</v>
      </c>
      <c r="R24" s="385">
        <v>0</v>
      </c>
      <c r="S24" s="385">
        <v>0</v>
      </c>
      <c r="T24" s="385">
        <v>0</v>
      </c>
      <c r="U24" s="385">
        <v>0</v>
      </c>
      <c r="V24" s="385">
        <v>0</v>
      </c>
      <c r="W24" s="385">
        <v>0</v>
      </c>
      <c r="X24" s="385">
        <v>0</v>
      </c>
      <c r="Y24" s="385">
        <v>0</v>
      </c>
      <c r="Z24" s="385">
        <v>0</v>
      </c>
      <c r="AA24" s="385">
        <v>0</v>
      </c>
      <c r="AB24" s="385">
        <v>0</v>
      </c>
      <c r="AC24" s="385">
        <v>0</v>
      </c>
      <c r="AD24" s="385">
        <v>0</v>
      </c>
      <c r="AE24" s="385">
        <v>0</v>
      </c>
      <c r="AF24" s="385">
        <v>-93</v>
      </c>
      <c r="AG24" s="218"/>
      <c r="AI24" s="115"/>
      <c r="AJ24" s="115"/>
      <c r="AK24" s="115"/>
      <c r="AL24" s="115"/>
      <c r="AM24" s="115"/>
      <c r="AN24" s="115"/>
      <c r="AO24" s="115"/>
      <c r="AP24" s="92"/>
    </row>
    <row r="25" spans="2:42">
      <c r="B25" s="186" t="s">
        <v>211</v>
      </c>
      <c r="C25" s="181">
        <v>-76.293474060000008</v>
      </c>
      <c r="D25" s="181">
        <v>-75.963749120000003</v>
      </c>
      <c r="E25" s="181">
        <v>-90.126640090000009</v>
      </c>
      <c r="F25" s="181">
        <v>-69.630564580000012</v>
      </c>
      <c r="G25" s="181">
        <v>-71.251389920000008</v>
      </c>
      <c r="H25" s="181">
        <v>-58.512412349999991</v>
      </c>
      <c r="I25" s="181">
        <v>-57.088202420000002</v>
      </c>
      <c r="J25" s="181">
        <v>-66.670918440000023</v>
      </c>
      <c r="K25" s="181">
        <v>-74.028900960000001</v>
      </c>
      <c r="L25" s="181">
        <v>-47.155250169999988</v>
      </c>
      <c r="M25" s="181">
        <v>-62.682487130000027</v>
      </c>
      <c r="N25" s="181">
        <v>-96.281826409999994</v>
      </c>
      <c r="O25" s="181">
        <v>-76.913868990000381</v>
      </c>
      <c r="P25" s="181">
        <v>-74.142633320000002</v>
      </c>
      <c r="Q25" s="181">
        <v>-91.204280699999984</v>
      </c>
      <c r="R25" s="181">
        <v>-102.72135132</v>
      </c>
      <c r="S25" s="181">
        <v>-150</v>
      </c>
      <c r="T25" s="115">
        <v>-154</v>
      </c>
      <c r="U25" s="115">
        <v>-163</v>
      </c>
      <c r="V25" s="115">
        <v>-160</v>
      </c>
      <c r="W25" s="115">
        <v>-152</v>
      </c>
      <c r="X25" s="115">
        <v>-216</v>
      </c>
      <c r="Y25" s="115">
        <v>-101.0268781099999</v>
      </c>
      <c r="Z25" s="115">
        <v>-143</v>
      </c>
      <c r="AA25" s="115">
        <v>-130.44799485999999</v>
      </c>
      <c r="AB25" s="115">
        <v>-142.09774918000005</v>
      </c>
      <c r="AC25" s="115">
        <v>-149</v>
      </c>
      <c r="AD25" s="115">
        <v>-147.21229423999989</v>
      </c>
      <c r="AE25" s="385">
        <v>-187</v>
      </c>
      <c r="AF25" s="385">
        <v>-204</v>
      </c>
      <c r="AG25" s="218"/>
      <c r="AI25" s="181">
        <f t="shared" si="15"/>
        <v>-312.01442785</v>
      </c>
      <c r="AJ25" s="181">
        <f t="shared" si="16"/>
        <v>-253.52292313000004</v>
      </c>
      <c r="AK25" s="181">
        <f t="shared" si="17"/>
        <v>-280.14846467000001</v>
      </c>
      <c r="AL25" s="181">
        <f t="shared" si="18"/>
        <v>-344.98213433000035</v>
      </c>
      <c r="AM25" s="181">
        <f t="shared" si="19"/>
        <v>-627</v>
      </c>
      <c r="AN25" s="181">
        <f t="shared" si="20"/>
        <v>-612.02687810999987</v>
      </c>
      <c r="AO25" s="181">
        <f t="shared" si="21"/>
        <v>-568.75803827999994</v>
      </c>
      <c r="AP25" s="218"/>
    </row>
    <row r="26" spans="2:42" ht="14.5" hidden="1" outlineLevel="1">
      <c r="B26" s="554" t="s">
        <v>216</v>
      </c>
      <c r="C26" s="181">
        <v>-18</v>
      </c>
      <c r="D26" s="181">
        <v>-59</v>
      </c>
      <c r="E26" s="181">
        <v>-52</v>
      </c>
      <c r="F26" s="181">
        <v>-18</v>
      </c>
      <c r="G26" s="181">
        <v>43</v>
      </c>
      <c r="H26" s="181">
        <v>57</v>
      </c>
      <c r="I26" s="181">
        <v>39</v>
      </c>
      <c r="J26" s="181">
        <v>9</v>
      </c>
      <c r="K26" s="181">
        <v>-3.9380348399999998</v>
      </c>
      <c r="L26" s="181">
        <v>-34.088819459999996</v>
      </c>
      <c r="M26" s="181">
        <v>-84.631955980000001</v>
      </c>
      <c r="N26" s="181">
        <v>-125.25267432</v>
      </c>
      <c r="O26" s="181">
        <f>-146723/1000</f>
        <v>-146.72300000000001</v>
      </c>
      <c r="P26" s="181">
        <v>-182.00774041000003</v>
      </c>
      <c r="Q26" s="181">
        <v>-228.46880660999994</v>
      </c>
      <c r="R26" s="181">
        <v>-280.51403544999999</v>
      </c>
      <c r="S26" s="181">
        <v>-121</v>
      </c>
      <c r="T26" s="115">
        <v>-18</v>
      </c>
      <c r="U26" s="115" t="s">
        <v>385</v>
      </c>
      <c r="V26" s="115" t="s">
        <v>385</v>
      </c>
      <c r="W26" s="115" t="s">
        <v>386</v>
      </c>
      <c r="X26" s="115">
        <v>0</v>
      </c>
      <c r="Y26" s="115">
        <v>0</v>
      </c>
      <c r="Z26" s="115">
        <v>0</v>
      </c>
      <c r="AA26" s="115">
        <v>0</v>
      </c>
      <c r="AB26" s="115">
        <v>0</v>
      </c>
      <c r="AC26" s="115">
        <v>0</v>
      </c>
      <c r="AD26" s="115"/>
      <c r="AE26" s="385">
        <v>0</v>
      </c>
      <c r="AF26" s="385">
        <v>0</v>
      </c>
      <c r="AG26" s="218"/>
      <c r="AI26" s="181">
        <f t="shared" si="15"/>
        <v>-147</v>
      </c>
      <c r="AJ26" s="181">
        <f t="shared" si="16"/>
        <v>148</v>
      </c>
      <c r="AK26" s="181">
        <f t="shared" si="17"/>
        <v>-247.91148459999999</v>
      </c>
      <c r="AL26" s="181">
        <f t="shared" si="18"/>
        <v>-837.71358246999989</v>
      </c>
      <c r="AM26" s="181">
        <f t="shared" si="19"/>
        <v>-139</v>
      </c>
      <c r="AN26" s="181">
        <f t="shared" si="20"/>
        <v>0</v>
      </c>
      <c r="AO26" s="181">
        <f t="shared" si="21"/>
        <v>0</v>
      </c>
    </row>
    <row r="27" spans="2:42" collapsed="1">
      <c r="B27" s="116" t="s">
        <v>365</v>
      </c>
      <c r="C27" s="383">
        <v>-782</v>
      </c>
      <c r="D27" s="383">
        <v>-864</v>
      </c>
      <c r="E27" s="383">
        <v>-934</v>
      </c>
      <c r="F27" s="383">
        <v>-1037</v>
      </c>
      <c r="G27" s="383">
        <v>-929</v>
      </c>
      <c r="H27" s="383">
        <v>-925</v>
      </c>
      <c r="I27" s="383">
        <v>-908</v>
      </c>
      <c r="J27" s="383">
        <v>-844.01800000000026</v>
      </c>
      <c r="K27" s="383">
        <v>-952.44200000000012</v>
      </c>
      <c r="L27" s="383">
        <v>-930.40999999999974</v>
      </c>
      <c r="M27" s="383">
        <v>-1197.0670000000005</v>
      </c>
      <c r="N27" s="383">
        <v>-1267.8586064637209</v>
      </c>
      <c r="O27" s="383">
        <v>-1387.9670000000001</v>
      </c>
      <c r="P27" s="383">
        <v>-1431.7849999999999</v>
      </c>
      <c r="Q27" s="383">
        <v>-1827.1540000000005</v>
      </c>
      <c r="R27" s="383">
        <v>-1939.6299999999994</v>
      </c>
      <c r="S27" s="383">
        <v>-1608.2380000000001</v>
      </c>
      <c r="T27" s="383">
        <v>-1573</v>
      </c>
      <c r="U27" s="383">
        <v>-1824.9459999999999</v>
      </c>
      <c r="V27" s="383">
        <v>-1750.0751578476236</v>
      </c>
      <c r="W27" s="383">
        <v>-1663.1680000000001</v>
      </c>
      <c r="X27" s="383">
        <v>-1444</v>
      </c>
      <c r="Y27" s="383">
        <v>-1724.3389999999999</v>
      </c>
      <c r="Z27" s="383">
        <v>-1696</v>
      </c>
      <c r="AA27" s="383">
        <v>-1520.2840000000001</v>
      </c>
      <c r="AB27" s="383">
        <v>-1731.9059999999999</v>
      </c>
      <c r="AC27" s="383">
        <v>-1753</v>
      </c>
      <c r="AD27" s="383">
        <v>-1799.8140000000003</v>
      </c>
      <c r="AE27" s="383">
        <v>-1778</v>
      </c>
      <c r="AF27" s="219">
        <v>-1824</v>
      </c>
      <c r="AG27" s="526"/>
      <c r="AH27" s="526"/>
      <c r="AI27" s="383">
        <f>AI28-AI19</f>
        <v>-3617</v>
      </c>
      <c r="AJ27" s="383">
        <f>AJ28-AJ19</f>
        <v>-3606.018</v>
      </c>
      <c r="AK27" s="383">
        <f>AK28-AK19</f>
        <v>-4347.777606463721</v>
      </c>
      <c r="AL27" s="383">
        <f>AL28-AL19</f>
        <v>-6586.5360000000001</v>
      </c>
      <c r="AM27" s="383">
        <f>AM28-AM19</f>
        <v>-6758</v>
      </c>
      <c r="AN27" s="383">
        <f t="shared" si="20"/>
        <v>-6527.5069999999996</v>
      </c>
      <c r="AO27" s="383">
        <f t="shared" si="21"/>
        <v>-6805.0040000000008</v>
      </c>
    </row>
    <row r="28" spans="2:42">
      <c r="B28" s="65" t="s">
        <v>217</v>
      </c>
      <c r="C28" s="115">
        <v>152</v>
      </c>
      <c r="D28" s="115">
        <v>200</v>
      </c>
      <c r="E28" s="115">
        <v>254</v>
      </c>
      <c r="F28" s="115">
        <v>216</v>
      </c>
      <c r="G28" s="115">
        <v>142</v>
      </c>
      <c r="H28" s="115">
        <v>166</v>
      </c>
      <c r="I28" s="115">
        <v>124</v>
      </c>
      <c r="J28" s="125">
        <v>84.625999999999976</v>
      </c>
      <c r="K28" s="125">
        <v>101.333</v>
      </c>
      <c r="L28" s="115">
        <v>80.908000000000015</v>
      </c>
      <c r="M28" s="115">
        <v>188.83199999999997</v>
      </c>
      <c r="N28" s="125">
        <v>189.07705261627933</v>
      </c>
      <c r="O28" s="125">
        <v>291.08800000000002</v>
      </c>
      <c r="P28" s="125">
        <v>395.56599999999997</v>
      </c>
      <c r="Q28" s="125">
        <v>358.38799999999986</v>
      </c>
      <c r="R28" s="125">
        <v>386.78300000000013</v>
      </c>
      <c r="S28" s="125">
        <f>611762/1000</f>
        <v>611.76199999999994</v>
      </c>
      <c r="T28" s="125">
        <v>678</v>
      </c>
      <c r="U28" s="125">
        <v>351.05399999999997</v>
      </c>
      <c r="V28" s="125">
        <v>160.1840000000002</v>
      </c>
      <c r="W28" s="125">
        <v>152.83199999999999</v>
      </c>
      <c r="X28" s="125">
        <f t="shared" ref="X28:AC28" si="22">SUM(X27,X19)</f>
        <v>107</v>
      </c>
      <c r="Y28" s="125">
        <f t="shared" si="22"/>
        <v>35.611612918800574</v>
      </c>
      <c r="Z28" s="125">
        <f t="shared" si="22"/>
        <v>133.43620689807494</v>
      </c>
      <c r="AA28" s="125">
        <f t="shared" si="22"/>
        <v>121.65794648999963</v>
      </c>
      <c r="AB28" s="125">
        <f t="shared" si="22"/>
        <v>282.3948428510248</v>
      </c>
      <c r="AC28" s="125">
        <f t="shared" si="22"/>
        <v>337</v>
      </c>
      <c r="AD28" s="125">
        <f>SUM(AD27,AD19)</f>
        <v>393.55270407999978</v>
      </c>
      <c r="AE28" s="564">
        <f>SUM(AE27,AE19)</f>
        <v>487</v>
      </c>
      <c r="AF28" s="564">
        <f>SUM(AF27,AF19)</f>
        <v>78</v>
      </c>
      <c r="AG28" s="218"/>
      <c r="AI28" s="125">
        <f>SUM(C28:F28)</f>
        <v>822</v>
      </c>
      <c r="AJ28" s="125">
        <f>SUM(G28:J28)</f>
        <v>516.62599999999998</v>
      </c>
      <c r="AK28" s="125">
        <f>SUM(K28:N28)</f>
        <v>560.15005261627925</v>
      </c>
      <c r="AL28" s="125">
        <f>SUM(O28:R28)</f>
        <v>1431.825</v>
      </c>
      <c r="AM28" s="125">
        <f>SUM(S28:V28)</f>
        <v>1801</v>
      </c>
      <c r="AN28" s="125">
        <f t="shared" si="20"/>
        <v>428.87981981687551</v>
      </c>
      <c r="AO28" s="125">
        <f t="shared" si="21"/>
        <v>1134.6054934210242</v>
      </c>
    </row>
    <row r="29" spans="2:42">
      <c r="B29" s="62" t="s">
        <v>158</v>
      </c>
      <c r="C29" s="136">
        <v>230</v>
      </c>
      <c r="D29" s="136">
        <v>209</v>
      </c>
      <c r="E29" s="136">
        <v>246</v>
      </c>
      <c r="F29" s="136">
        <v>208.92999999999995</v>
      </c>
      <c r="G29" s="136">
        <v>171</v>
      </c>
      <c r="H29" s="136">
        <v>353</v>
      </c>
      <c r="I29" s="136">
        <v>133</v>
      </c>
      <c r="J29" s="138">
        <v>197.80700000000002</v>
      </c>
      <c r="K29" s="138">
        <v>115.73099999999999</v>
      </c>
      <c r="L29" s="136">
        <v>189.16899999999998</v>
      </c>
      <c r="M29" s="136">
        <v>193.32900000000001</v>
      </c>
      <c r="N29" s="138">
        <v>185.32234302000001</v>
      </c>
      <c r="O29" s="138">
        <v>208.874</v>
      </c>
      <c r="P29" s="138">
        <v>389.64</v>
      </c>
      <c r="Q29" s="138">
        <f>970594/1000-SUM(O29:P29)</f>
        <v>372.08000000000004</v>
      </c>
      <c r="R29" s="138">
        <v>411.81700000000001</v>
      </c>
      <c r="S29" s="138">
        <f>615753/1000</f>
        <v>615.75300000000004</v>
      </c>
      <c r="T29" s="125">
        <v>680</v>
      </c>
      <c r="U29" s="125">
        <v>333.47800000000001</v>
      </c>
      <c r="V29" s="125">
        <v>185.76899999999978</v>
      </c>
      <c r="W29" s="125">
        <v>175.88399999999999</v>
      </c>
      <c r="X29" s="125">
        <v>110</v>
      </c>
      <c r="Y29" s="125">
        <v>89.668999999999997</v>
      </c>
      <c r="Z29" s="125">
        <v>145.62199999999996</v>
      </c>
      <c r="AA29" s="125">
        <v>153.87100000000001</v>
      </c>
      <c r="AB29" s="125">
        <v>295.125</v>
      </c>
      <c r="AC29" s="125">
        <v>343</v>
      </c>
      <c r="AD29" s="125">
        <v>425.70000000000005</v>
      </c>
      <c r="AE29" s="219">
        <v>517</v>
      </c>
      <c r="AF29" s="219">
        <v>214</v>
      </c>
      <c r="AG29" s="218"/>
      <c r="AI29" s="138">
        <f>SUM(C29:F29)</f>
        <v>893.93</v>
      </c>
      <c r="AJ29" s="138">
        <f>SUM(G29:J29)</f>
        <v>854.80700000000002</v>
      </c>
      <c r="AK29" s="138">
        <f>SUM(K29:N29)</f>
        <v>683.55134301999999</v>
      </c>
      <c r="AL29" s="138">
        <f>SUM(O29:R29)</f>
        <v>1382.4110000000001</v>
      </c>
      <c r="AM29" s="138">
        <f>SUM(S29:V29)</f>
        <v>1815</v>
      </c>
      <c r="AN29" s="138">
        <f t="shared" si="20"/>
        <v>521.17499999999995</v>
      </c>
      <c r="AO29" s="138">
        <f t="shared" si="21"/>
        <v>1217.6959999999999</v>
      </c>
    </row>
    <row r="30" spans="2:42">
      <c r="B30" s="65" t="s">
        <v>214</v>
      </c>
      <c r="C30" s="115">
        <v>69</v>
      </c>
      <c r="D30" s="115">
        <v>69</v>
      </c>
      <c r="E30" s="115">
        <v>67</v>
      </c>
      <c r="F30" s="115">
        <v>68</v>
      </c>
      <c r="G30" s="115">
        <v>90</v>
      </c>
      <c r="H30" s="115">
        <v>135</v>
      </c>
      <c r="I30" s="115">
        <v>82</v>
      </c>
      <c r="J30" s="125">
        <v>125.61099999999999</v>
      </c>
      <c r="K30" s="125">
        <v>83.760999999999996</v>
      </c>
      <c r="L30" s="115">
        <v>102.79500000000002</v>
      </c>
      <c r="M30" s="115">
        <v>95.753999999999991</v>
      </c>
      <c r="N30" s="125">
        <v>118.51225635999998</v>
      </c>
      <c r="O30" s="125">
        <v>105.289</v>
      </c>
      <c r="P30" s="125">
        <v>118.18599999999999</v>
      </c>
      <c r="Q30" s="125">
        <v>127.67300000000003</v>
      </c>
      <c r="R30" s="125">
        <v>111.28099999999995</v>
      </c>
      <c r="S30" s="125">
        <f>119971/1000</f>
        <v>119.971</v>
      </c>
      <c r="T30" s="125">
        <v>115</v>
      </c>
      <c r="U30" s="125">
        <v>127.959</v>
      </c>
      <c r="V30" s="125">
        <v>142.07</v>
      </c>
      <c r="W30" s="125">
        <v>129.27500000000001</v>
      </c>
      <c r="X30" s="125">
        <v>138</v>
      </c>
      <c r="Y30" s="125">
        <v>137.01</v>
      </c>
      <c r="Z30" s="125">
        <v>144.23099999999999</v>
      </c>
      <c r="AA30" s="125">
        <v>142.72399999999999</v>
      </c>
      <c r="AB30" s="125">
        <v>143.13300000000004</v>
      </c>
      <c r="AC30" s="125">
        <v>157</v>
      </c>
      <c r="AD30" s="125">
        <v>195.92399999999992</v>
      </c>
      <c r="AE30" s="219">
        <v>173.24799999999999</v>
      </c>
      <c r="AF30" s="219">
        <v>163.327</v>
      </c>
      <c r="AG30" s="218"/>
      <c r="AI30" s="125">
        <f>SUM(C30:F30)</f>
        <v>273</v>
      </c>
      <c r="AJ30" s="125">
        <f>SUM(G30:J30)</f>
        <v>432.61099999999999</v>
      </c>
      <c r="AK30" s="125">
        <f>SUM(K30:N30)</f>
        <v>400.82225635999998</v>
      </c>
      <c r="AL30" s="125">
        <f>SUM(O30:R30)</f>
        <v>462.42899999999997</v>
      </c>
      <c r="AM30" s="125">
        <f>SUM(S30:V30)</f>
        <v>505</v>
      </c>
      <c r="AN30" s="125">
        <f t="shared" si="20"/>
        <v>548.51599999999996</v>
      </c>
      <c r="AO30" s="125">
        <f t="shared" si="21"/>
        <v>638.78099999999995</v>
      </c>
    </row>
    <row r="31" spans="2:42" ht="7.5" customHeight="1">
      <c r="B31" s="62"/>
      <c r="C31" s="132"/>
      <c r="D31" s="132"/>
      <c r="E31" s="132"/>
      <c r="F31" s="132"/>
      <c r="G31" s="132"/>
      <c r="H31" s="132"/>
      <c r="I31" s="132"/>
      <c r="J31" s="137"/>
      <c r="K31" s="137"/>
      <c r="L31" s="132"/>
      <c r="M31" s="132"/>
      <c r="N31" s="137"/>
      <c r="O31" s="137"/>
      <c r="P31" s="137"/>
      <c r="Q31" s="137"/>
      <c r="R31" s="137"/>
      <c r="S31" s="137"/>
      <c r="T31" s="137"/>
      <c r="U31" s="137"/>
      <c r="V31" s="137"/>
      <c r="W31" s="137"/>
      <c r="X31" s="137"/>
      <c r="Y31" s="137"/>
      <c r="Z31" s="137"/>
      <c r="AA31" s="137"/>
      <c r="AB31" s="137"/>
      <c r="AC31" s="137"/>
      <c r="AD31" s="137"/>
      <c r="AE31" s="475"/>
      <c r="AF31" s="475"/>
      <c r="AG31" s="218"/>
    </row>
    <row r="32" spans="2:42">
      <c r="B32" s="6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528"/>
      <c r="AF32" s="528"/>
      <c r="AG32" s="218"/>
      <c r="AI32" s="169"/>
      <c r="AJ32" s="169"/>
      <c r="AK32" s="169"/>
      <c r="AL32" s="169"/>
      <c r="AM32" s="169"/>
      <c r="AN32" s="169"/>
      <c r="AO32" s="169"/>
      <c r="AP32" s="389"/>
    </row>
    <row r="33" spans="1:41" ht="14.5" customHeight="1" thickBot="1">
      <c r="A33" s="47"/>
      <c r="B33" s="63" t="s">
        <v>218</v>
      </c>
      <c r="C33" s="131"/>
      <c r="D33" s="131"/>
      <c r="E33" s="131"/>
      <c r="F33" s="131"/>
      <c r="G33" s="131"/>
      <c r="H33" s="131"/>
      <c r="I33" s="131"/>
      <c r="J33" s="140"/>
      <c r="K33" s="140"/>
      <c r="L33" s="131"/>
      <c r="M33" s="131"/>
      <c r="N33" s="140"/>
      <c r="O33" s="140"/>
      <c r="P33" s="140"/>
      <c r="Q33" s="140"/>
      <c r="R33" s="140"/>
      <c r="S33" s="140"/>
      <c r="T33" s="140"/>
      <c r="U33" s="140"/>
      <c r="V33" s="140"/>
      <c r="W33" s="140"/>
      <c r="X33" s="140"/>
      <c r="Y33" s="140"/>
      <c r="Z33" s="140"/>
      <c r="AA33" s="140"/>
      <c r="AB33" s="140"/>
      <c r="AC33" s="140"/>
      <c r="AD33" s="140"/>
      <c r="AE33" s="140"/>
      <c r="AF33" s="140"/>
      <c r="AG33" s="218"/>
      <c r="AI33" s="140"/>
      <c r="AJ33" s="140"/>
      <c r="AK33" s="140"/>
      <c r="AL33" s="140"/>
      <c r="AM33" s="140"/>
      <c r="AN33" s="140"/>
      <c r="AO33" s="140"/>
    </row>
    <row r="34" spans="1:41" s="49" customFormat="1">
      <c r="B34" s="116" t="s">
        <v>212</v>
      </c>
      <c r="C34" s="136">
        <v>253</v>
      </c>
      <c r="D34" s="136">
        <v>281</v>
      </c>
      <c r="E34" s="136">
        <v>323</v>
      </c>
      <c r="F34" s="136">
        <v>300.47600000000011</v>
      </c>
      <c r="G34" s="136">
        <v>309</v>
      </c>
      <c r="H34" s="136">
        <v>342</v>
      </c>
      <c r="I34" s="136">
        <v>368</v>
      </c>
      <c r="J34" s="137">
        <v>421.63499999999999</v>
      </c>
      <c r="K34" s="137">
        <v>264.63499999999999</v>
      </c>
      <c r="L34" s="136">
        <v>158.01834138108001</v>
      </c>
      <c r="M34" s="136">
        <v>183.00000000000006</v>
      </c>
      <c r="N34" s="137">
        <v>189.13165861891991</v>
      </c>
      <c r="O34" s="137">
        <v>185.25</v>
      </c>
      <c r="P34" s="137">
        <v>152.04500000000002</v>
      </c>
      <c r="Q34" s="137">
        <v>206.58599999999996</v>
      </c>
      <c r="R34" s="137">
        <v>182.52500000000001</v>
      </c>
      <c r="S34" s="137">
        <f>152157/1000</f>
        <v>152.15700000000001</v>
      </c>
      <c r="T34" s="137">
        <v>156</v>
      </c>
      <c r="U34" s="137">
        <v>167</v>
      </c>
      <c r="V34" s="137">
        <v>158.84299999999996</v>
      </c>
      <c r="W34" s="137">
        <v>136</v>
      </c>
      <c r="X34" s="137">
        <v>153</v>
      </c>
      <c r="Y34" s="137">
        <v>139.62299999999999</v>
      </c>
      <c r="Z34" s="137">
        <v>109.48699999999999</v>
      </c>
      <c r="AA34" s="137">
        <v>71.620999999999995</v>
      </c>
      <c r="AB34" s="137">
        <v>62.227000000000004</v>
      </c>
      <c r="AC34" s="137">
        <v>67</v>
      </c>
      <c r="AD34" s="137">
        <v>109.71800000000002</v>
      </c>
      <c r="AE34" s="475">
        <v>93</v>
      </c>
      <c r="AF34" s="385">
        <v>118</v>
      </c>
      <c r="AG34" s="218"/>
      <c r="AH34" s="268"/>
      <c r="AI34" s="137">
        <f>SUM(C34:F34)</f>
        <v>1157.4760000000001</v>
      </c>
      <c r="AJ34" s="137">
        <f>SUM(G34:J34)</f>
        <v>1440.635</v>
      </c>
      <c r="AK34" s="137">
        <f>SUM(K34:N34)</f>
        <v>794.78499999999997</v>
      </c>
      <c r="AL34" s="137">
        <f>SUM(O34:R34)</f>
        <v>726.40599999999995</v>
      </c>
      <c r="AM34" s="137">
        <f>SUM(S34:V34)</f>
        <v>634</v>
      </c>
      <c r="AN34" s="137">
        <f>SUM(W34:Z34)</f>
        <v>538.11</v>
      </c>
      <c r="AO34" s="137">
        <f t="shared" ref="AO34:AO38" si="23">SUM(AA34:AD34)</f>
        <v>310.56600000000003</v>
      </c>
    </row>
    <row r="35" spans="1:41" s="384" customFormat="1">
      <c r="B35" s="124" t="s">
        <v>366</v>
      </c>
      <c r="C35" s="385">
        <f>C36-C34</f>
        <v>-171</v>
      </c>
      <c r="D35" s="385">
        <f t="shared" ref="D35:V35" si="24">D36-D34</f>
        <v>-207</v>
      </c>
      <c r="E35" s="385">
        <f t="shared" si="24"/>
        <v>-308</v>
      </c>
      <c r="F35" s="385">
        <f t="shared" si="24"/>
        <v>-313.04300000000012</v>
      </c>
      <c r="G35" s="385">
        <f t="shared" si="24"/>
        <v>-235</v>
      </c>
      <c r="H35" s="385">
        <f t="shared" si="24"/>
        <v>-304</v>
      </c>
      <c r="I35" s="385">
        <f t="shared" si="24"/>
        <v>-341</v>
      </c>
      <c r="J35" s="385">
        <f t="shared" si="24"/>
        <v>-377.358</v>
      </c>
      <c r="K35" s="385">
        <f t="shared" si="24"/>
        <v>-210.83799999999999</v>
      </c>
      <c r="L35" s="385">
        <f t="shared" si="24"/>
        <v>-160.81838244540398</v>
      </c>
      <c r="M35" s="385">
        <f t="shared" si="24"/>
        <v>-172.00000000000006</v>
      </c>
      <c r="N35" s="385">
        <f t="shared" si="24"/>
        <v>-188.39161755459594</v>
      </c>
      <c r="O35" s="385">
        <f>O36-O34</f>
        <v>-27.776999999999987</v>
      </c>
      <c r="P35" s="385">
        <f t="shared" si="24"/>
        <v>-156.77500000000003</v>
      </c>
      <c r="Q35" s="385">
        <f t="shared" si="24"/>
        <v>-246.17499999999995</v>
      </c>
      <c r="R35" s="385">
        <f t="shared" si="24"/>
        <v>-78.233000000000004</v>
      </c>
      <c r="S35" s="385">
        <f t="shared" si="24"/>
        <v>-201.94300000000001</v>
      </c>
      <c r="T35" s="385">
        <f t="shared" si="24"/>
        <v>-160</v>
      </c>
      <c r="U35" s="385">
        <f t="shared" si="24"/>
        <v>-179</v>
      </c>
      <c r="V35" s="385">
        <f t="shared" si="24"/>
        <v>-210.05699999999996</v>
      </c>
      <c r="W35" s="385">
        <v>-223</v>
      </c>
      <c r="X35" s="385">
        <v>-226</v>
      </c>
      <c r="Y35" s="385">
        <v>-178.548</v>
      </c>
      <c r="Z35" s="385">
        <v>-227.32399999999996</v>
      </c>
      <c r="AA35" s="385">
        <v>-113.83199999999999</v>
      </c>
      <c r="AB35" s="385">
        <v>-73.506</v>
      </c>
      <c r="AC35" s="385">
        <v>-35</v>
      </c>
      <c r="AD35" s="385">
        <v>-335.53800000000001</v>
      </c>
      <c r="AE35" s="385">
        <v>-149</v>
      </c>
      <c r="AF35" s="219">
        <v>-173</v>
      </c>
      <c r="AG35" s="526"/>
      <c r="AH35" s="526"/>
      <c r="AI35" s="385">
        <f t="shared" ref="AI35:AK35" si="25">AI36-AI34</f>
        <v>-999.04300000000012</v>
      </c>
      <c r="AJ35" s="385">
        <f t="shared" si="25"/>
        <v>-1257.3579999999999</v>
      </c>
      <c r="AK35" s="385">
        <f t="shared" si="25"/>
        <v>-732.048</v>
      </c>
      <c r="AL35" s="385">
        <f>AL36-AL34</f>
        <v>-508.95999999999992</v>
      </c>
      <c r="AM35" s="385">
        <f t="shared" ref="AM35" si="26">AM36-AM34</f>
        <v>-751</v>
      </c>
      <c r="AN35" s="385">
        <f>SUM(W35:Z35)</f>
        <v>-854.87199999999996</v>
      </c>
      <c r="AO35" s="385">
        <f t="shared" si="23"/>
        <v>-557.87599999999998</v>
      </c>
    </row>
    <row r="36" spans="1:41">
      <c r="B36" s="65" t="s">
        <v>217</v>
      </c>
      <c r="C36" s="115">
        <v>82</v>
      </c>
      <c r="D36" s="115">
        <v>74</v>
      </c>
      <c r="E36" s="115">
        <v>15</v>
      </c>
      <c r="F36" s="115">
        <v>-12.567000000000007</v>
      </c>
      <c r="G36" s="115">
        <v>74</v>
      </c>
      <c r="H36" s="115">
        <v>38</v>
      </c>
      <c r="I36" s="115">
        <v>27</v>
      </c>
      <c r="J36" s="125">
        <v>44.276999999999987</v>
      </c>
      <c r="K36" s="125">
        <v>53.796999999999997</v>
      </c>
      <c r="L36" s="115">
        <v>-2.8000410643239775</v>
      </c>
      <c r="M36" s="115">
        <v>11</v>
      </c>
      <c r="N36" s="125">
        <v>0.74004106432398231</v>
      </c>
      <c r="O36" s="125">
        <v>157.47300000000001</v>
      </c>
      <c r="P36" s="125">
        <v>-4.7300000000000182</v>
      </c>
      <c r="Q36" s="125">
        <v>-39.588999999999999</v>
      </c>
      <c r="R36" s="125">
        <v>104.292</v>
      </c>
      <c r="S36" s="125">
        <f>-49786/1000</f>
        <v>-49.786000000000001</v>
      </c>
      <c r="T36" s="125">
        <v>-4</v>
      </c>
      <c r="U36" s="125">
        <v>-12</v>
      </c>
      <c r="V36" s="125">
        <v>-51.213999999999999</v>
      </c>
      <c r="W36" s="125">
        <v>-87</v>
      </c>
      <c r="X36" s="125">
        <f>SUM(X34:X35)</f>
        <v>-73</v>
      </c>
      <c r="Y36" s="125">
        <f>SUM(Y34:Y35)</f>
        <v>-38.925000000000011</v>
      </c>
      <c r="Z36" s="125">
        <f>SUM(Z34:Z35)</f>
        <v>-117.83699999999996</v>
      </c>
      <c r="AA36" s="125">
        <f t="shared" ref="AA36:AD36" si="27">SUM(AA34:AA35)</f>
        <v>-42.210999999999999</v>
      </c>
      <c r="AB36" s="125">
        <f t="shared" si="27"/>
        <v>-11.278999999999996</v>
      </c>
      <c r="AC36" s="125">
        <f t="shared" si="27"/>
        <v>32</v>
      </c>
      <c r="AD36" s="125">
        <f t="shared" si="27"/>
        <v>-225.82</v>
      </c>
      <c r="AE36" s="219">
        <v>-56</v>
      </c>
      <c r="AF36" s="529">
        <v>-55</v>
      </c>
      <c r="AG36" s="218"/>
      <c r="AI36" s="125">
        <f>SUM(C36:F36)</f>
        <v>158.43299999999999</v>
      </c>
      <c r="AJ36" s="125">
        <f>SUM(G36:J36)</f>
        <v>183.27699999999999</v>
      </c>
      <c r="AK36" s="125">
        <f>SUM(K36:N36)</f>
        <v>62.737000000000002</v>
      </c>
      <c r="AL36" s="125">
        <f>SUM(O36:R36)</f>
        <v>217.446</v>
      </c>
      <c r="AM36" s="125">
        <f>SUM(S36:V36)</f>
        <v>-117</v>
      </c>
      <c r="AN36" s="125">
        <f>SUM(W36:Z36)</f>
        <v>-316.76199999999994</v>
      </c>
      <c r="AO36" s="125">
        <f t="shared" si="23"/>
        <v>-247.31</v>
      </c>
    </row>
    <row r="37" spans="1:41" ht="14.5">
      <c r="A37" s="51"/>
      <c r="B37" s="62" t="s">
        <v>158</v>
      </c>
      <c r="C37" s="136">
        <v>50</v>
      </c>
      <c r="D37" s="136">
        <v>72</v>
      </c>
      <c r="E37" s="136">
        <v>0</v>
      </c>
      <c r="F37" s="136">
        <v>66</v>
      </c>
      <c r="G37" s="136">
        <v>79</v>
      </c>
      <c r="H37" s="136">
        <v>47</v>
      </c>
      <c r="I37" s="136">
        <v>35</v>
      </c>
      <c r="J37" s="138">
        <v>53</v>
      </c>
      <c r="K37" s="138">
        <v>59.456000000000003</v>
      </c>
      <c r="L37" s="136">
        <v>3.0051083134261987</v>
      </c>
      <c r="M37" s="136">
        <v>17</v>
      </c>
      <c r="N37" s="138">
        <v>2.5388916865738054</v>
      </c>
      <c r="O37" s="138">
        <v>162.88999999999999</v>
      </c>
      <c r="P37" s="138">
        <v>-3.1279999999999859</v>
      </c>
      <c r="Q37" s="138">
        <v>-47.959000000000003</v>
      </c>
      <c r="R37" s="138">
        <v>99.548000000000002</v>
      </c>
      <c r="S37" s="138">
        <f>-50249/1000</f>
        <v>-50.249000000000002</v>
      </c>
      <c r="T37" s="138">
        <v>-2</v>
      </c>
      <c r="U37" s="138">
        <v>-11</v>
      </c>
      <c r="V37" s="138">
        <v>-51.750999999999998</v>
      </c>
      <c r="W37" s="138">
        <v>-83</v>
      </c>
      <c r="X37" s="138">
        <v>-33</v>
      </c>
      <c r="Y37" s="138">
        <v>-30.963000000000001</v>
      </c>
      <c r="Z37" s="138">
        <v>-41.855999999999995</v>
      </c>
      <c r="AA37" s="138">
        <v>-41.578000000000003</v>
      </c>
      <c r="AB37" s="138">
        <v>46.026000000000003</v>
      </c>
      <c r="AC37" s="138">
        <v>72</v>
      </c>
      <c r="AD37" s="138">
        <v>92.615999999999985</v>
      </c>
      <c r="AE37" s="529">
        <v>-76</v>
      </c>
      <c r="AF37" s="219">
        <v>-18</v>
      </c>
      <c r="AG37" s="218"/>
      <c r="AI37" s="138">
        <f>SUM(C37:F37)</f>
        <v>188</v>
      </c>
      <c r="AJ37" s="138">
        <f>SUM(G37:J37)</f>
        <v>214</v>
      </c>
      <c r="AK37" s="138">
        <f>SUM(K37:N37)</f>
        <v>82</v>
      </c>
      <c r="AL37" s="138">
        <f>SUM(O37:R37)</f>
        <v>211.351</v>
      </c>
      <c r="AM37" s="138">
        <f>SUM(S37:V37)</f>
        <v>-115</v>
      </c>
      <c r="AN37" s="138">
        <f>SUM(W37:Z37)</f>
        <v>-188.81899999999999</v>
      </c>
      <c r="AO37" s="138">
        <f t="shared" si="23"/>
        <v>169.06399999999999</v>
      </c>
    </row>
    <row r="38" spans="1:41">
      <c r="B38" s="65" t="s">
        <v>214</v>
      </c>
      <c r="C38" s="115">
        <v>5</v>
      </c>
      <c r="D38" s="115">
        <v>9</v>
      </c>
      <c r="E38" s="115">
        <v>8</v>
      </c>
      <c r="F38" s="115">
        <v>7.2020000000000017</v>
      </c>
      <c r="G38" s="115">
        <v>7</v>
      </c>
      <c r="H38" s="115">
        <v>7</v>
      </c>
      <c r="I38" s="115">
        <v>8</v>
      </c>
      <c r="J38" s="125">
        <v>6.9420000000000002</v>
      </c>
      <c r="K38" s="125">
        <v>7.2370000000000001</v>
      </c>
      <c r="L38" s="115">
        <v>7.2406488253584804</v>
      </c>
      <c r="M38" s="115">
        <v>7.9999999999999982</v>
      </c>
      <c r="N38" s="125">
        <v>6.6383511746415209</v>
      </c>
      <c r="O38" s="125">
        <v>7.2249999999999996</v>
      </c>
      <c r="P38" s="125">
        <v>7.2420000000000009</v>
      </c>
      <c r="Q38" s="125">
        <v>8.6010000000000009</v>
      </c>
      <c r="R38" s="125">
        <v>7.3989999999999974</v>
      </c>
      <c r="S38" s="125">
        <f>7739/1000</f>
        <v>7.7389999999999999</v>
      </c>
      <c r="T38" s="125">
        <v>8</v>
      </c>
      <c r="U38" s="125">
        <v>8</v>
      </c>
      <c r="V38" s="125">
        <v>6.2609999999999992</v>
      </c>
      <c r="W38" s="125">
        <v>4.0259999999999998</v>
      </c>
      <c r="X38" s="125">
        <v>4</v>
      </c>
      <c r="Y38" s="125">
        <v>3.64</v>
      </c>
      <c r="Z38" s="125">
        <v>2.468</v>
      </c>
      <c r="AA38" s="125">
        <v>0</v>
      </c>
      <c r="AB38" s="125">
        <v>0</v>
      </c>
      <c r="AC38" s="125">
        <v>0</v>
      </c>
      <c r="AD38" s="125">
        <v>0</v>
      </c>
      <c r="AE38" s="219">
        <v>0</v>
      </c>
      <c r="AF38" s="219">
        <v>0</v>
      </c>
      <c r="AG38" s="218"/>
      <c r="AI38" s="125">
        <f>SUM(C38:F38)</f>
        <v>29.202000000000002</v>
      </c>
      <c r="AJ38" s="125">
        <f>SUM(G38:J38)</f>
        <v>28.942</v>
      </c>
      <c r="AK38" s="125">
        <f>SUM(K38:N38)</f>
        <v>29.116</v>
      </c>
      <c r="AL38" s="125">
        <f>SUM(O38:R38)</f>
        <v>30.466999999999999</v>
      </c>
      <c r="AM38" s="125">
        <f>SUM(S38:V38)</f>
        <v>30</v>
      </c>
      <c r="AN38" s="125">
        <f>SUM(W38:Z38)</f>
        <v>14.134</v>
      </c>
      <c r="AO38" s="125">
        <f t="shared" si="23"/>
        <v>0</v>
      </c>
    </row>
    <row r="39" spans="1:41">
      <c r="B39" s="386" t="s">
        <v>367</v>
      </c>
      <c r="C39" s="132"/>
      <c r="D39" s="132"/>
      <c r="E39" s="132"/>
      <c r="F39" s="132"/>
      <c r="G39" s="132"/>
      <c r="H39" s="132"/>
      <c r="I39" s="132"/>
      <c r="J39" s="137"/>
      <c r="K39" s="137"/>
      <c r="L39" s="132"/>
      <c r="M39" s="132"/>
      <c r="N39" s="137"/>
      <c r="O39" s="137"/>
      <c r="P39" s="137"/>
      <c r="Q39" s="137"/>
      <c r="R39" s="137"/>
      <c r="S39" s="137"/>
      <c r="T39" s="137"/>
      <c r="U39" s="137"/>
      <c r="V39" s="137"/>
      <c r="W39" s="137"/>
      <c r="X39" s="137"/>
      <c r="Y39" s="137"/>
      <c r="Z39" s="137"/>
      <c r="AA39" s="137"/>
      <c r="AB39" s="137"/>
      <c r="AC39" s="137"/>
      <c r="AD39" s="137"/>
      <c r="AE39" s="475"/>
      <c r="AF39" s="475"/>
      <c r="AG39" s="218"/>
      <c r="AI39" s="137"/>
      <c r="AJ39" s="137"/>
      <c r="AK39" s="137"/>
      <c r="AL39" s="137"/>
      <c r="AM39" s="137"/>
      <c r="AN39" s="137"/>
      <c r="AO39" s="137"/>
    </row>
    <row r="40" spans="1:41">
      <c r="B40" s="62"/>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218"/>
      <c r="AI40" s="139"/>
      <c r="AJ40" s="139"/>
      <c r="AK40" s="139"/>
      <c r="AL40" s="139"/>
      <c r="AM40" s="139"/>
      <c r="AN40" s="139"/>
      <c r="AO40" s="139"/>
    </row>
    <row r="41" spans="1:41" ht="14.5" customHeight="1" thickBot="1">
      <c r="A41" s="47"/>
      <c r="B41" s="63" t="s">
        <v>112</v>
      </c>
      <c r="C41" s="131"/>
      <c r="D41" s="131"/>
      <c r="E41" s="131"/>
      <c r="F41" s="131"/>
      <c r="G41" s="131"/>
      <c r="H41" s="131"/>
      <c r="I41" s="131"/>
      <c r="J41" s="140"/>
      <c r="K41" s="140"/>
      <c r="L41" s="131"/>
      <c r="M41" s="131"/>
      <c r="N41" s="140"/>
      <c r="O41" s="140"/>
      <c r="P41" s="140"/>
      <c r="Q41" s="140"/>
      <c r="R41" s="140"/>
      <c r="S41" s="140"/>
      <c r="T41" s="140"/>
      <c r="U41" s="140"/>
      <c r="V41" s="140"/>
      <c r="W41" s="140"/>
      <c r="X41" s="140"/>
      <c r="Y41" s="140"/>
      <c r="Z41" s="140"/>
      <c r="AA41" s="140"/>
      <c r="AB41" s="140"/>
      <c r="AC41" s="140"/>
      <c r="AD41" s="140"/>
      <c r="AE41" s="140"/>
      <c r="AF41" s="140"/>
      <c r="AG41" s="218"/>
      <c r="AI41" s="140"/>
      <c r="AJ41" s="140"/>
      <c r="AK41" s="140"/>
      <c r="AL41" s="140"/>
      <c r="AM41" s="140"/>
      <c r="AN41" s="140"/>
      <c r="AO41" s="140"/>
    </row>
    <row r="42" spans="1:41" s="49" customFormat="1">
      <c r="B42" s="116" t="s">
        <v>212</v>
      </c>
      <c r="C42" s="136">
        <v>16</v>
      </c>
      <c r="D42" s="136">
        <v>10</v>
      </c>
      <c r="E42" s="136">
        <v>9</v>
      </c>
      <c r="F42" s="136">
        <v>3</v>
      </c>
      <c r="G42" s="136">
        <v>1</v>
      </c>
      <c r="H42" s="136">
        <v>2</v>
      </c>
      <c r="I42" s="136">
        <v>0</v>
      </c>
      <c r="J42" s="137">
        <v>5.0429999999999993</v>
      </c>
      <c r="K42" s="137">
        <v>2.7530000000000001</v>
      </c>
      <c r="L42" s="136">
        <v>4.5996612800000003</v>
      </c>
      <c r="M42" s="136">
        <v>1.9999999999999991</v>
      </c>
      <c r="N42" s="137">
        <v>4.3233387200000006</v>
      </c>
      <c r="O42" s="137">
        <v>7.1280000000000001</v>
      </c>
      <c r="P42" s="137">
        <v>10.119</v>
      </c>
      <c r="Q42" s="137">
        <v>6.5489999999999995</v>
      </c>
      <c r="R42" s="137">
        <v>2.1129999999999995</v>
      </c>
      <c r="S42" s="137">
        <f>3235/1000</f>
        <v>3.2349999999999999</v>
      </c>
      <c r="T42" s="137">
        <v>13</v>
      </c>
      <c r="U42" s="137">
        <v>2</v>
      </c>
      <c r="V42" s="137">
        <v>2.7650000000000006</v>
      </c>
      <c r="W42" s="137">
        <v>5</v>
      </c>
      <c r="X42" s="137">
        <v>2</v>
      </c>
      <c r="Y42" s="137">
        <v>7.2009999999999996</v>
      </c>
      <c r="Z42" s="137">
        <v>3.5720000000000005</v>
      </c>
      <c r="AA42" s="137">
        <v>3.0779999999999998</v>
      </c>
      <c r="AB42" s="137">
        <v>11.919</v>
      </c>
      <c r="AC42" s="137">
        <v>4</v>
      </c>
      <c r="AD42" s="137">
        <v>1.4510000000000005</v>
      </c>
      <c r="AE42" s="475">
        <v>3</v>
      </c>
      <c r="AF42" s="475">
        <v>9</v>
      </c>
      <c r="AG42" s="218"/>
      <c r="AH42" s="268"/>
      <c r="AI42" s="137">
        <f>SUM(C42:F42)</f>
        <v>38</v>
      </c>
      <c r="AJ42" s="137">
        <f>SUM(G42:J42)</f>
        <v>8.0429999999999993</v>
      </c>
      <c r="AK42" s="137">
        <f>SUM(K42:N42)</f>
        <v>13.676</v>
      </c>
      <c r="AL42" s="137">
        <f>SUM(O42:R42)</f>
        <v>25.908999999999999</v>
      </c>
      <c r="AM42" s="137">
        <f>SUM(S42:V42)</f>
        <v>21</v>
      </c>
      <c r="AN42" s="137">
        <f>SUM(W42:Z42)</f>
        <v>17.773</v>
      </c>
      <c r="AO42" s="137">
        <f t="shared" ref="AO42:AO46" si="28">SUM(AA42:AD42)</f>
        <v>20.448</v>
      </c>
    </row>
    <row r="43" spans="1:41" s="384" customFormat="1">
      <c r="B43" s="124" t="s">
        <v>365</v>
      </c>
      <c r="C43" s="385">
        <f>C44-C42</f>
        <v>-31</v>
      </c>
      <c r="D43" s="385">
        <f t="shared" ref="D43:W43" si="29">D44-D42</f>
        <v>-18</v>
      </c>
      <c r="E43" s="385">
        <f t="shared" si="29"/>
        <v>-12</v>
      </c>
      <c r="F43" s="385">
        <f t="shared" si="29"/>
        <v>-8</v>
      </c>
      <c r="G43" s="385">
        <f t="shared" si="29"/>
        <v>-8</v>
      </c>
      <c r="H43" s="385">
        <f t="shared" si="29"/>
        <v>-18</v>
      </c>
      <c r="I43" s="385">
        <f t="shared" si="29"/>
        <v>-10</v>
      </c>
      <c r="J43" s="385">
        <f t="shared" si="29"/>
        <v>-14.378999999999998</v>
      </c>
      <c r="K43" s="385">
        <f t="shared" si="29"/>
        <v>-9.7390000000000008</v>
      </c>
      <c r="L43" s="385">
        <f t="shared" si="29"/>
        <v>-18.973427769999997</v>
      </c>
      <c r="M43" s="385">
        <f t="shared" si="29"/>
        <v>-11</v>
      </c>
      <c r="N43" s="385">
        <f t="shared" si="29"/>
        <v>-16.180572230000003</v>
      </c>
      <c r="O43" s="385">
        <f t="shared" si="29"/>
        <v>-11.903</v>
      </c>
      <c r="P43" s="385">
        <f t="shared" si="29"/>
        <v>-14.597999999999999</v>
      </c>
      <c r="Q43" s="385">
        <f t="shared" si="29"/>
        <v>-15.382</v>
      </c>
      <c r="R43" s="385">
        <f t="shared" si="29"/>
        <v>-9.5889999999999986</v>
      </c>
      <c r="S43" s="385">
        <f t="shared" si="29"/>
        <v>-11.260999999999999</v>
      </c>
      <c r="T43" s="385">
        <f t="shared" si="29"/>
        <v>-25</v>
      </c>
      <c r="U43" s="385">
        <f t="shared" si="29"/>
        <v>-11</v>
      </c>
      <c r="V43" s="385">
        <f t="shared" si="29"/>
        <v>-7.7390000000000008</v>
      </c>
      <c r="W43" s="385">
        <f t="shared" si="29"/>
        <v>-10.86</v>
      </c>
      <c r="X43" s="385">
        <v>-9</v>
      </c>
      <c r="Y43" s="385">
        <v>-21.428999999999998</v>
      </c>
      <c r="Z43" s="385">
        <v>-11.556999999999995</v>
      </c>
      <c r="AA43" s="385">
        <v>-4.157</v>
      </c>
      <c r="AB43" s="385">
        <v>-25.613999999999997</v>
      </c>
      <c r="AC43" s="385">
        <v>-10</v>
      </c>
      <c r="AD43" s="385">
        <v>-8.970000000000006</v>
      </c>
      <c r="AE43" s="385">
        <v>-8</v>
      </c>
      <c r="AF43" s="385">
        <v>-13</v>
      </c>
      <c r="AG43" s="218"/>
      <c r="AH43" s="268"/>
      <c r="AI43" s="385">
        <f t="shared" ref="AI43:AM43" si="30">AI44-AI42</f>
        <v>-69</v>
      </c>
      <c r="AJ43" s="385">
        <f t="shared" si="30"/>
        <v>-50.378999999999998</v>
      </c>
      <c r="AK43" s="385">
        <f t="shared" si="30"/>
        <v>-55.893000000000001</v>
      </c>
      <c r="AL43" s="385">
        <f t="shared" si="30"/>
        <v>-51.471999999999994</v>
      </c>
      <c r="AM43" s="385">
        <f t="shared" si="30"/>
        <v>-55</v>
      </c>
      <c r="AN43" s="385">
        <f>SUM(W43:Z43)</f>
        <v>-52.845999999999997</v>
      </c>
      <c r="AO43" s="385">
        <f t="shared" si="28"/>
        <v>-48.741000000000007</v>
      </c>
    </row>
    <row r="44" spans="1:41">
      <c r="B44" s="65" t="s">
        <v>217</v>
      </c>
      <c r="C44" s="115">
        <v>-15</v>
      </c>
      <c r="D44" s="115">
        <v>-8</v>
      </c>
      <c r="E44" s="115">
        <v>-3</v>
      </c>
      <c r="F44" s="115">
        <v>-5</v>
      </c>
      <c r="G44" s="115">
        <v>-7</v>
      </c>
      <c r="H44" s="115">
        <v>-16</v>
      </c>
      <c r="I44" s="115">
        <v>-10</v>
      </c>
      <c r="J44" s="125">
        <v>-9.3359999999999985</v>
      </c>
      <c r="K44" s="125">
        <v>-6.9859999999999998</v>
      </c>
      <c r="L44" s="115">
        <v>-14.373766489999998</v>
      </c>
      <c r="M44" s="115">
        <v>-9</v>
      </c>
      <c r="N44" s="125">
        <v>-11.85723351</v>
      </c>
      <c r="O44" s="125">
        <v>-4.7750000000000004</v>
      </c>
      <c r="P44" s="125">
        <v>-4.4789999999999992</v>
      </c>
      <c r="Q44" s="125">
        <v>-8.8330000000000002</v>
      </c>
      <c r="R44" s="125">
        <v>-7.4759999999999991</v>
      </c>
      <c r="S44" s="125">
        <f>-8026/1000</f>
        <v>-8.0259999999999998</v>
      </c>
      <c r="T44" s="125">
        <v>-12</v>
      </c>
      <c r="U44" s="125">
        <v>-9</v>
      </c>
      <c r="V44" s="125">
        <v>-4.9740000000000002</v>
      </c>
      <c r="W44" s="125">
        <v>-5.86</v>
      </c>
      <c r="X44" s="125">
        <f>SUM(X42:X43)</f>
        <v>-7</v>
      </c>
      <c r="Y44" s="125">
        <f>SUM(Y42:Y43)</f>
        <v>-14.227999999999998</v>
      </c>
      <c r="Z44" s="125">
        <f>SUM(Z42:Z43)</f>
        <v>-7.9849999999999941</v>
      </c>
      <c r="AA44" s="125">
        <f>SUM(AA42:AA43)</f>
        <v>-1.0790000000000002</v>
      </c>
      <c r="AB44" s="125">
        <f t="shared" ref="AB44:AD44" si="31">SUM(AB42:AB43)</f>
        <v>-13.694999999999997</v>
      </c>
      <c r="AC44" s="125">
        <f t="shared" si="31"/>
        <v>-6</v>
      </c>
      <c r="AD44" s="125">
        <f t="shared" si="31"/>
        <v>-7.5190000000000055</v>
      </c>
      <c r="AE44" s="219">
        <v>-5</v>
      </c>
      <c r="AF44" s="219">
        <v>-4</v>
      </c>
      <c r="AG44" s="218"/>
      <c r="AI44" s="125">
        <f>SUM(C44:F44)</f>
        <v>-31</v>
      </c>
      <c r="AJ44" s="125">
        <f>SUM(G44:J44)</f>
        <v>-42.335999999999999</v>
      </c>
      <c r="AK44" s="125">
        <f>SUM(K44:N44)</f>
        <v>-42.216999999999999</v>
      </c>
      <c r="AL44" s="125">
        <f>SUM(O44:R44)</f>
        <v>-25.562999999999999</v>
      </c>
      <c r="AM44" s="125">
        <f>SUM(S44:V44)</f>
        <v>-34</v>
      </c>
      <c r="AN44" s="125">
        <f>SUM(W44:Z44)</f>
        <v>-35.072999999999993</v>
      </c>
      <c r="AO44" s="125">
        <f t="shared" si="28"/>
        <v>-28.293000000000003</v>
      </c>
    </row>
    <row r="45" spans="1:41" ht="14.5">
      <c r="A45" s="51"/>
      <c r="B45" s="62" t="s">
        <v>158</v>
      </c>
      <c r="C45" s="136">
        <v>-41</v>
      </c>
      <c r="D45" s="136">
        <v>-18</v>
      </c>
      <c r="E45" s="136">
        <v>-17</v>
      </c>
      <c r="F45" s="136">
        <v>-26.727000000000004</v>
      </c>
      <c r="G45" s="136">
        <v>-20</v>
      </c>
      <c r="H45" s="136">
        <v>-55</v>
      </c>
      <c r="I45" s="136">
        <v>-39</v>
      </c>
      <c r="J45" s="138">
        <v>34.388000000000005</v>
      </c>
      <c r="K45" s="138">
        <v>-13.361000000000001</v>
      </c>
      <c r="L45" s="136">
        <v>-20.219407809999996</v>
      </c>
      <c r="M45" s="136">
        <v>-51</v>
      </c>
      <c r="N45" s="138">
        <v>-18.754592189999997</v>
      </c>
      <c r="O45" s="138">
        <v>-11.343</v>
      </c>
      <c r="P45" s="138">
        <v>-23.138000000000002</v>
      </c>
      <c r="Q45" s="138">
        <v>-10.479999999999997</v>
      </c>
      <c r="R45" s="138">
        <v>-11.844000000000001</v>
      </c>
      <c r="S45" s="138">
        <f>-13169/1000</f>
        <v>-13.169</v>
      </c>
      <c r="T45" s="138">
        <v>-37</v>
      </c>
      <c r="U45" s="138">
        <f>-15+23</f>
        <v>8</v>
      </c>
      <c r="V45" s="138">
        <v>-30.831000000000003</v>
      </c>
      <c r="W45" s="138">
        <v>-8.4670000000000005</v>
      </c>
      <c r="X45" s="138">
        <v>-3</v>
      </c>
      <c r="Y45" s="138">
        <v>-12.816000000000001</v>
      </c>
      <c r="Z45" s="138">
        <v>-1.4609999999999985</v>
      </c>
      <c r="AA45" s="138">
        <v>33.905999999999999</v>
      </c>
      <c r="AB45" s="138">
        <v>-2.5699999999999976</v>
      </c>
      <c r="AC45" s="138">
        <v>-6</v>
      </c>
      <c r="AD45" s="138">
        <v>-31.918000000000003</v>
      </c>
      <c r="AE45" s="529">
        <v>-11</v>
      </c>
      <c r="AF45" s="529">
        <v>-7</v>
      </c>
      <c r="AG45" s="218"/>
      <c r="AI45" s="138">
        <f>SUM(C45:F45)</f>
        <v>-102.727</v>
      </c>
      <c r="AJ45" s="138">
        <f>SUM(G45:J45)</f>
        <v>-79.611999999999995</v>
      </c>
      <c r="AK45" s="138">
        <f>SUM(K45:N45)</f>
        <v>-103.33499999999999</v>
      </c>
      <c r="AL45" s="138">
        <f>SUM(O45:R45)</f>
        <v>-56.805</v>
      </c>
      <c r="AM45" s="138">
        <f>SUM(S45:V45)</f>
        <v>-73</v>
      </c>
      <c r="AN45" s="138">
        <f>SUM(W45:Z45)</f>
        <v>-25.744</v>
      </c>
      <c r="AO45" s="138">
        <f t="shared" si="28"/>
        <v>-6.5820000000000007</v>
      </c>
    </row>
    <row r="46" spans="1:41">
      <c r="B46" s="65" t="s">
        <v>214</v>
      </c>
      <c r="C46" s="115">
        <v>1</v>
      </c>
      <c r="D46" s="115">
        <v>0</v>
      </c>
      <c r="E46" s="115">
        <v>0</v>
      </c>
      <c r="F46" s="115">
        <v>0</v>
      </c>
      <c r="G46" s="115">
        <v>0</v>
      </c>
      <c r="H46" s="115">
        <v>0</v>
      </c>
      <c r="I46" s="115">
        <v>0</v>
      </c>
      <c r="J46" s="125">
        <v>1.008</v>
      </c>
      <c r="K46" s="125">
        <v>0.378</v>
      </c>
      <c r="L46" s="115">
        <v>0</v>
      </c>
      <c r="M46" s="115">
        <v>0</v>
      </c>
      <c r="N46" s="125">
        <v>1.907</v>
      </c>
      <c r="O46" s="125">
        <v>0.58599999999999997</v>
      </c>
      <c r="P46" s="125">
        <v>0.71299999999999997</v>
      </c>
      <c r="Q46" s="125">
        <v>0.87</v>
      </c>
      <c r="R46" s="125">
        <v>0.98</v>
      </c>
      <c r="S46" s="125">
        <f>1018/1000</f>
        <v>1.018</v>
      </c>
      <c r="T46" s="125">
        <v>1</v>
      </c>
      <c r="U46" s="125">
        <v>2</v>
      </c>
      <c r="V46" s="125">
        <v>0.98200000000000021</v>
      </c>
      <c r="W46" s="125">
        <v>1.391</v>
      </c>
      <c r="X46" s="125">
        <v>3</v>
      </c>
      <c r="Y46" s="125">
        <v>1.88</v>
      </c>
      <c r="Z46" s="125">
        <v>1.3710000000000004</v>
      </c>
      <c r="AA46" s="125">
        <v>1.4910000000000001</v>
      </c>
      <c r="AB46" s="125">
        <v>1.0489999999999999</v>
      </c>
      <c r="AC46" s="125">
        <v>1</v>
      </c>
      <c r="AD46" s="125">
        <v>1.0140000000000002</v>
      </c>
      <c r="AE46" s="219">
        <v>0.92400000000000004</v>
      </c>
      <c r="AF46" s="219">
        <v>2.444</v>
      </c>
      <c r="AG46" s="218"/>
      <c r="AI46" s="125">
        <f>SUM(C46:F46)</f>
        <v>1</v>
      </c>
      <c r="AJ46" s="125">
        <f>SUM(G46:J46)</f>
        <v>1.008</v>
      </c>
      <c r="AK46" s="125">
        <f>SUM(K46:N46)</f>
        <v>2.2850000000000001</v>
      </c>
      <c r="AL46" s="125">
        <f>SUM(O46:R46)</f>
        <v>3.149</v>
      </c>
      <c r="AM46" s="125">
        <f>SUM(S46:V46)</f>
        <v>5</v>
      </c>
      <c r="AN46" s="125">
        <f>SUM(W46:Z46)</f>
        <v>7.6420000000000003</v>
      </c>
      <c r="AO46" s="125">
        <f t="shared" si="28"/>
        <v>4.5540000000000003</v>
      </c>
    </row>
    <row r="47" spans="1:41">
      <c r="B47" s="6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528"/>
      <c r="AF47" s="528"/>
      <c r="AG47" s="218"/>
    </row>
    <row r="48" spans="1:41" s="52" customFormat="1" ht="14.15" customHeight="1">
      <c r="B48" s="141" t="s">
        <v>205</v>
      </c>
      <c r="C48" s="128">
        <v>3.2433000000000001</v>
      </c>
      <c r="D48" s="128">
        <v>3.6055999999999999</v>
      </c>
      <c r="E48" s="128">
        <v>3.9504999999999999</v>
      </c>
      <c r="F48" s="128">
        <v>3.8083999999999998</v>
      </c>
      <c r="G48" s="128">
        <v>3.7684000000000002</v>
      </c>
      <c r="H48" s="128">
        <v>3.92</v>
      </c>
      <c r="I48" s="128">
        <v>3.97</v>
      </c>
      <c r="J48" s="128">
        <v>4.1158000000000001</v>
      </c>
      <c r="K48" s="128">
        <v>4.4657</v>
      </c>
      <c r="L48" s="128">
        <v>5.3853999999999997</v>
      </c>
      <c r="M48" s="128">
        <v>5.3772000000000002</v>
      </c>
      <c r="N48" s="128">
        <v>5.3921000000000001</v>
      </c>
      <c r="O48" s="128">
        <v>5.4832999999999998</v>
      </c>
      <c r="P48" s="128">
        <v>5.2907241935483889</v>
      </c>
      <c r="Q48" s="128">
        <v>5.23</v>
      </c>
      <c r="R48" s="128">
        <v>5.59</v>
      </c>
      <c r="S48" s="128">
        <v>5.23</v>
      </c>
      <c r="T48" s="128">
        <v>4.9265612903225815</v>
      </c>
      <c r="U48" s="128">
        <v>5.2461723076923077</v>
      </c>
      <c r="V48" s="128">
        <v>5.255362903225806</v>
      </c>
      <c r="W48" s="128">
        <v>5.2</v>
      </c>
      <c r="X48" s="128">
        <v>4.95</v>
      </c>
      <c r="Y48" s="128">
        <v>4.88</v>
      </c>
      <c r="Z48" s="128">
        <v>4.9518616666666668</v>
      </c>
      <c r="AA48" s="128">
        <v>4.9516333333333336</v>
      </c>
      <c r="AB48" s="128">
        <v>5.21</v>
      </c>
      <c r="AC48" s="128">
        <v>5.5454166666666662</v>
      </c>
      <c r="AD48" s="128">
        <v>5.842133333333333</v>
      </c>
      <c r="AE48" s="530">
        <v>5.85</v>
      </c>
      <c r="AF48" s="530">
        <v>5.6660606557377058</v>
      </c>
      <c r="AG48" s="218"/>
      <c r="AH48" s="271"/>
      <c r="AI48" s="128">
        <v>3.6557843999999999</v>
      </c>
      <c r="AJ48" s="128">
        <v>3.9461185770751004</v>
      </c>
      <c r="AK48" s="128">
        <v>5.157772908366538</v>
      </c>
      <c r="AL48" s="128">
        <v>5.3955605577689196</v>
      </c>
      <c r="AM48" s="128">
        <f>'9 - Demonstrativos Financeiros'!AM109</f>
        <v>5.17</v>
      </c>
      <c r="AN48" s="128">
        <f>'9 - Demonstrativos Financeiros'!AN109</f>
        <v>4.994497770275216</v>
      </c>
      <c r="AO48" s="128">
        <f>'9 - Demonstrativos Financeiros'!AO109</f>
        <v>5.388891666666666</v>
      </c>
    </row>
    <row r="49" spans="2:41" s="91" customFormat="1" ht="14.5">
      <c r="B49" s="141" t="s">
        <v>206</v>
      </c>
      <c r="C49" s="128">
        <v>3.3237999999999999</v>
      </c>
      <c r="D49" s="128">
        <v>3.8557999999999999</v>
      </c>
      <c r="E49" s="128">
        <v>4.0038999999999998</v>
      </c>
      <c r="F49" s="128">
        <v>3.8748</v>
      </c>
      <c r="G49" s="128">
        <v>3.8967000000000001</v>
      </c>
      <c r="H49" s="128">
        <v>3.83</v>
      </c>
      <c r="I49" s="128">
        <v>4.16</v>
      </c>
      <c r="J49" s="128">
        <v>4.0307000000000004</v>
      </c>
      <c r="K49" s="128">
        <v>5.1986999999999997</v>
      </c>
      <c r="L49" s="128">
        <v>5.476</v>
      </c>
      <c r="M49" s="128">
        <v>5.6406999999999998</v>
      </c>
      <c r="N49" s="128">
        <v>5.1966999999999999</v>
      </c>
      <c r="O49" s="128">
        <v>5.6973000000000003</v>
      </c>
      <c r="P49" s="128">
        <v>5.0022000000000002</v>
      </c>
      <c r="Q49" s="128">
        <v>5.44</v>
      </c>
      <c r="R49" s="128">
        <v>5.58</v>
      </c>
      <c r="S49" s="128">
        <v>4.74</v>
      </c>
      <c r="T49" s="128">
        <v>5.2380000000000004</v>
      </c>
      <c r="U49" s="128">
        <v>5.4066000000000001</v>
      </c>
      <c r="V49" s="128">
        <v>5.22</v>
      </c>
      <c r="W49" s="128">
        <v>5.08</v>
      </c>
      <c r="X49" s="129">
        <v>4.82</v>
      </c>
      <c r="Y49" s="129">
        <v>5.01</v>
      </c>
      <c r="Z49" s="129">
        <v>4.84</v>
      </c>
      <c r="AA49" s="129">
        <v>4.9962</v>
      </c>
      <c r="AB49" s="129">
        <v>5.5589000000000004</v>
      </c>
      <c r="AC49" s="129">
        <v>5.4481000000000002</v>
      </c>
      <c r="AD49" s="129">
        <v>6.1923000000000004</v>
      </c>
      <c r="AE49" s="531">
        <v>5.78</v>
      </c>
      <c r="AF49" s="531">
        <v>5.4570999999999996</v>
      </c>
      <c r="AG49" s="218"/>
      <c r="AH49" s="272"/>
      <c r="AI49" s="128">
        <v>3.8748</v>
      </c>
      <c r="AJ49" s="128">
        <v>4.0307000000000004</v>
      </c>
      <c r="AK49" s="128">
        <v>5.1966999999999999</v>
      </c>
      <c r="AL49" s="128">
        <v>5.58</v>
      </c>
      <c r="AM49" s="128">
        <f>'9 - Demonstrativos Financeiros'!AM110</f>
        <v>5.22</v>
      </c>
      <c r="AN49" s="128">
        <f>'9 - Demonstrativos Financeiros'!AN110</f>
        <v>4.84</v>
      </c>
      <c r="AO49" s="128">
        <f>AD49</f>
        <v>6.1923000000000004</v>
      </c>
    </row>
    <row r="50" spans="2:41" s="91" customFormat="1" ht="14.5">
      <c r="B50" s="142" t="s">
        <v>207</v>
      </c>
      <c r="C50" s="185">
        <v>2159.1190476190477</v>
      </c>
      <c r="D50" s="185">
        <v>2259.2822580645161</v>
      </c>
      <c r="E50" s="185">
        <v>2056.8359375</v>
      </c>
      <c r="F50" s="185">
        <v>1970.53125</v>
      </c>
      <c r="G50" s="185">
        <v>1859.0079365079366</v>
      </c>
      <c r="H50" s="185">
        <v>1792.5081967213114</v>
      </c>
      <c r="I50" s="185">
        <v>1762.0923076923077</v>
      </c>
      <c r="J50" s="185">
        <v>1752.4921875</v>
      </c>
      <c r="K50" s="185">
        <v>1689.6875</v>
      </c>
      <c r="L50" s="185">
        <v>1496.516393442623</v>
      </c>
      <c r="M50" s="185">
        <v>1704.3153846153846</v>
      </c>
      <c r="N50" s="185">
        <v>1915.8203125</v>
      </c>
      <c r="O50" s="185">
        <v>2096.4206349206347</v>
      </c>
      <c r="P50" s="185">
        <v>2399.64</v>
      </c>
      <c r="Q50" s="185">
        <v>2648</v>
      </c>
      <c r="R50" s="185">
        <v>2762</v>
      </c>
      <c r="S50" s="185">
        <v>3280</v>
      </c>
      <c r="T50" s="185">
        <v>2874.7833333333333</v>
      </c>
      <c r="U50" s="185">
        <v>2353.5384615384614</v>
      </c>
      <c r="V50" s="185">
        <v>2323.531746031746</v>
      </c>
      <c r="W50" s="185">
        <v>2395</v>
      </c>
      <c r="X50" s="185">
        <v>2258</v>
      </c>
      <c r="Y50" s="185">
        <v>2154</v>
      </c>
      <c r="Z50" s="185">
        <v>2189.5055821371607</v>
      </c>
      <c r="AA50" s="185">
        <v>2199</v>
      </c>
      <c r="AB50" s="185">
        <v>2519.9</v>
      </c>
      <c r="AC50" s="185">
        <v>2382.1384615384613</v>
      </c>
      <c r="AD50" s="185">
        <v>2575</v>
      </c>
      <c r="AE50" s="532">
        <v>2627</v>
      </c>
      <c r="AF50" s="532">
        <v>2447.8524590163934</v>
      </c>
      <c r="AG50" s="526"/>
      <c r="AH50" s="272"/>
      <c r="AI50" s="185">
        <v>2110.084980237154</v>
      </c>
      <c r="AJ50" s="185">
        <v>1791.1304347826087</v>
      </c>
      <c r="AK50" s="185">
        <v>1704.017716535433</v>
      </c>
      <c r="AL50" s="185">
        <v>2479.620553359684</v>
      </c>
      <c r="AM50" s="400">
        <f>'9 - Demonstrativos Financeiros'!AM111</f>
        <v>2703</v>
      </c>
      <c r="AN50" s="400">
        <f>'9 - Demonstrativos Financeiros'!AN111</f>
        <v>2251.5628114794563</v>
      </c>
      <c r="AO50" s="400">
        <f>'9 - Demonstrativos Financeiros'!AO111</f>
        <v>2419</v>
      </c>
    </row>
    <row r="51" spans="2:41">
      <c r="C51" s="62"/>
      <c r="D51" s="62"/>
      <c r="E51" s="62"/>
    </row>
    <row r="52" spans="2:41">
      <c r="C52" s="92"/>
      <c r="D52" s="92"/>
      <c r="E52" s="92"/>
      <c r="F52" s="92"/>
      <c r="G52" s="92"/>
      <c r="H52" s="92"/>
      <c r="I52" s="92"/>
      <c r="J52" s="92"/>
      <c r="K52" s="92"/>
      <c r="L52" s="92"/>
      <c r="M52" s="92"/>
      <c r="N52" s="92"/>
      <c r="O52" s="92"/>
      <c r="P52" s="92"/>
      <c r="Q52" s="92"/>
      <c r="R52" s="92"/>
      <c r="S52" s="92"/>
      <c r="T52" s="215"/>
      <c r="U52" s="215"/>
      <c r="V52" s="215"/>
      <c r="W52" s="215"/>
      <c r="X52" s="215"/>
      <c r="Y52" s="215"/>
      <c r="Z52" s="215"/>
      <c r="AA52" s="215"/>
      <c r="AB52" s="215"/>
      <c r="AC52" s="215"/>
      <c r="AD52" s="215"/>
      <c r="AE52" s="215"/>
      <c r="AF52" s="215"/>
    </row>
  </sheetData>
  <phoneticPr fontId="6" type="noConversion"/>
  <pageMargins left="0.25" right="0.24" top="0.984251969" bottom="0.984251969" header="0.49212598499999999" footer="0.49212598499999999"/>
  <pageSetup paperSize="9" scale="77" orientation="landscape" r:id="rId1"/>
  <headerFooter alignWithMargins="0"/>
  <ignoredErrors>
    <ignoredError sqref="AI28:AL30 AI44:AL46 AI25:AL26 AI34:AL34 AI36:AL42 S19:AC19 AI19:AL23 AD19:AE19"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ED3D-5157-41B8-9D04-FFC9DCF5D717}">
  <sheetPr>
    <tabColor rgb="FF00B050"/>
    <pageSetUpPr fitToPage="1"/>
  </sheetPr>
  <dimension ref="A1:Z88"/>
  <sheetViews>
    <sheetView showGridLines="0" zoomScale="85" zoomScaleNormal="85" zoomScaleSheetLayoutView="90" workbookViewId="0">
      <selection activeCell="AC50" sqref="AC50"/>
    </sheetView>
  </sheetViews>
  <sheetFormatPr defaultColWidth="9.1796875" defaultRowHeight="12.5" outlineLevelCol="1"/>
  <cols>
    <col min="1" max="1" width="2.1796875" style="273" customWidth="1"/>
    <col min="2" max="2" width="40.81640625" style="273" bestFit="1" customWidth="1"/>
    <col min="3" max="14" width="10.1796875" style="273" hidden="1" customWidth="1" outlineLevel="1"/>
    <col min="15" max="15" width="10.453125" style="273" customWidth="1" collapsed="1"/>
    <col min="16" max="24" width="10.1796875" style="273" customWidth="1"/>
    <col min="25" max="25" width="13.81640625" style="273" bestFit="1" customWidth="1"/>
    <col min="26" max="26" width="12.1796875" style="273" bestFit="1" customWidth="1"/>
    <col min="27" max="27" width="10.1796875" style="273" customWidth="1"/>
    <col min="28" max="16384" width="9.1796875" style="273"/>
  </cols>
  <sheetData>
    <row r="1" spans="1:25">
      <c r="A1" s="275"/>
      <c r="B1" s="290"/>
    </row>
    <row r="2" spans="1:25">
      <c r="A2" s="275"/>
      <c r="B2" s="290"/>
    </row>
    <row r="3" spans="1:25">
      <c r="A3" s="275"/>
      <c r="B3" s="290"/>
    </row>
    <row r="4" spans="1:25" ht="21" customHeight="1">
      <c r="A4" s="275"/>
      <c r="B4" s="291"/>
    </row>
    <row r="5" spans="1:25" ht="13">
      <c r="B5" s="292"/>
      <c r="C5" s="293"/>
      <c r="D5" s="293"/>
      <c r="E5" s="293"/>
      <c r="F5" s="293"/>
      <c r="G5" s="293"/>
      <c r="H5" s="293"/>
      <c r="I5" s="293"/>
      <c r="J5" s="293"/>
    </row>
    <row r="6" spans="1:25" s="294" customFormat="1" ht="14.25" customHeight="1" thickBot="1">
      <c r="B6" s="276" t="s">
        <v>223</v>
      </c>
      <c r="C6" s="295" t="s">
        <v>92</v>
      </c>
      <c r="D6" s="295" t="s">
        <v>93</v>
      </c>
      <c r="E6" s="295" t="s">
        <v>94</v>
      </c>
      <c r="F6" s="295" t="s">
        <v>95</v>
      </c>
      <c r="G6" s="295" t="s">
        <v>96</v>
      </c>
      <c r="H6" s="295" t="s">
        <v>97</v>
      </c>
      <c r="I6" s="295" t="s">
        <v>98</v>
      </c>
      <c r="J6" s="295" t="s">
        <v>99</v>
      </c>
      <c r="K6" s="295" t="s">
        <v>100</v>
      </c>
      <c r="L6" s="295" t="s">
        <v>101</v>
      </c>
      <c r="M6" s="295" t="s">
        <v>336</v>
      </c>
      <c r="N6" s="295" t="s">
        <v>342</v>
      </c>
      <c r="O6" s="295" t="s">
        <v>357</v>
      </c>
      <c r="P6" s="295" t="s">
        <v>384</v>
      </c>
      <c r="Q6" s="295" t="s">
        <v>395</v>
      </c>
      <c r="R6" s="295" t="s">
        <v>396</v>
      </c>
      <c r="S6" s="295" t="s">
        <v>469</v>
      </c>
      <c r="T6" s="295" t="s">
        <v>473</v>
      </c>
      <c r="U6" s="295" t="s">
        <v>478</v>
      </c>
      <c r="V6" s="295" t="s">
        <v>480</v>
      </c>
      <c r="W6" s="295" t="s">
        <v>518</v>
      </c>
      <c r="X6" s="295" t="s">
        <v>521</v>
      </c>
      <c r="Y6" s="553"/>
    </row>
    <row r="7" spans="1:25" ht="14.25" customHeight="1" thickTop="1">
      <c r="B7" s="296"/>
      <c r="D7" s="297"/>
      <c r="R7" s="293"/>
      <c r="S7" s="293"/>
      <c r="T7" s="293"/>
      <c r="U7" s="293"/>
    </row>
    <row r="8" spans="1:25" ht="14.25" customHeight="1" thickBot="1">
      <c r="B8" s="285" t="s">
        <v>224</v>
      </c>
      <c r="C8" s="59">
        <f t="shared" ref="C8" si="0">SUM(C9:C14)</f>
        <v>6299.1521599968</v>
      </c>
      <c r="D8" s="59">
        <f t="shared" ref="D8:U8" si="1">SUM(D9:D14)</f>
        <v>6656.3298933347087</v>
      </c>
      <c r="E8" s="59">
        <f t="shared" si="1"/>
        <v>6925.1271216895448</v>
      </c>
      <c r="F8" s="59">
        <f t="shared" si="1"/>
        <v>7365.0042710935559</v>
      </c>
      <c r="G8" s="59">
        <f t="shared" si="1"/>
        <v>7033.1031063665368</v>
      </c>
      <c r="H8" s="59">
        <f t="shared" si="1"/>
        <v>7382.2246150528581</v>
      </c>
      <c r="I8" s="59">
        <f t="shared" si="1"/>
        <v>8729.5719868550459</v>
      </c>
      <c r="J8" s="59">
        <f t="shared" si="1"/>
        <v>9096.126943351228</v>
      </c>
      <c r="K8" s="59">
        <f t="shared" si="1"/>
        <v>8895.9399474776619</v>
      </c>
      <c r="L8" s="59">
        <f t="shared" si="1"/>
        <v>9801.493175396281</v>
      </c>
      <c r="M8" s="59">
        <f t="shared" si="1"/>
        <v>11231.687817351461</v>
      </c>
      <c r="N8" s="59">
        <f t="shared" si="1"/>
        <v>11696.060101154852</v>
      </c>
      <c r="O8" s="59">
        <f t="shared" si="1"/>
        <v>11320.515529078099</v>
      </c>
      <c r="P8" s="59">
        <f t="shared" si="1"/>
        <v>11290.482750944222</v>
      </c>
      <c r="Q8" s="59">
        <f t="shared" si="1"/>
        <v>10629.99666441405</v>
      </c>
      <c r="R8" s="59">
        <f t="shared" si="1"/>
        <v>10160.475931142417</v>
      </c>
      <c r="S8" s="59">
        <f t="shared" si="1"/>
        <v>9897.3246713737863</v>
      </c>
      <c r="T8" s="59">
        <f t="shared" si="1"/>
        <v>10478.322253761082</v>
      </c>
      <c r="U8" s="59">
        <f t="shared" si="1"/>
        <v>10820</v>
      </c>
      <c r="V8" s="59">
        <f>SUM(V9:V14)</f>
        <v>11328.443984586842</v>
      </c>
      <c r="W8" s="59">
        <f>SUM(W9:W14)</f>
        <v>11562.454659615636</v>
      </c>
      <c r="X8" s="59">
        <f>SUM(X9:X14)</f>
        <v>12152</v>
      </c>
      <c r="Y8" s="388"/>
    </row>
    <row r="9" spans="1:25" ht="14">
      <c r="B9" s="299" t="s">
        <v>114</v>
      </c>
      <c r="C9" s="58">
        <v>2547.415873228033</v>
      </c>
      <c r="D9" s="58">
        <v>2457.9244625049264</v>
      </c>
      <c r="E9" s="58">
        <v>2391.3826231024741</v>
      </c>
      <c r="F9" s="58">
        <v>2475.0842806840878</v>
      </c>
      <c r="G9" s="58">
        <v>2507.4289222523876</v>
      </c>
      <c r="H9" s="58">
        <v>2512.5677629821694</v>
      </c>
      <c r="I9" s="58">
        <v>2628.3254078339442</v>
      </c>
      <c r="J9" s="58">
        <v>2841.4209267557235</v>
      </c>
      <c r="K9" s="58">
        <v>3251.6983634936764</v>
      </c>
      <c r="L9" s="58">
        <v>3558.8698497506593</v>
      </c>
      <c r="M9" s="58">
        <v>3705.1350370706427</v>
      </c>
      <c r="N9" s="58">
        <v>3852.6336422952922</v>
      </c>
      <c r="O9" s="58">
        <v>3896.6853745812373</v>
      </c>
      <c r="P9" s="58">
        <v>3793.7020145090887</v>
      </c>
      <c r="Q9" s="58">
        <v>3699.5528927149271</v>
      </c>
      <c r="R9" s="58">
        <v>3581.9715845460037</v>
      </c>
      <c r="S9" s="58">
        <v>3577.8487914125726</v>
      </c>
      <c r="T9" s="58">
        <v>3708.5707897548682</v>
      </c>
      <c r="U9" s="58">
        <v>3690</v>
      </c>
      <c r="V9" s="58">
        <v>3831.1134752453295</v>
      </c>
      <c r="W9" s="58">
        <v>4138</v>
      </c>
      <c r="X9" s="58">
        <v>4696</v>
      </c>
      <c r="Y9" s="293"/>
    </row>
    <row r="10" spans="1:25" ht="14">
      <c r="B10" s="300" t="s">
        <v>225</v>
      </c>
      <c r="C10" s="60">
        <v>1022.7875892395779</v>
      </c>
      <c r="D10" s="60">
        <v>1122.1625629089547</v>
      </c>
      <c r="E10" s="60">
        <v>1274.3703651368348</v>
      </c>
      <c r="F10" s="60">
        <v>1282.5869274210336</v>
      </c>
      <c r="G10" s="60">
        <v>1264.1244278163647</v>
      </c>
      <c r="H10" s="60">
        <v>1457.9295237393558</v>
      </c>
      <c r="I10" s="60">
        <v>1659.8912021197943</v>
      </c>
      <c r="J10" s="60">
        <v>2051.4174903212879</v>
      </c>
      <c r="K10" s="60">
        <v>2077.3831185579638</v>
      </c>
      <c r="L10" s="60">
        <v>2325.522928883192</v>
      </c>
      <c r="M10" s="60">
        <v>2890.3552036129968</v>
      </c>
      <c r="N10" s="60">
        <v>2987.3407809569717</v>
      </c>
      <c r="O10" s="60">
        <v>3006.2342836192543</v>
      </c>
      <c r="P10" s="60">
        <v>2733.5551755464198</v>
      </c>
      <c r="Q10" s="60">
        <v>2348.6431908067266</v>
      </c>
      <c r="R10" s="60">
        <v>2379.9150787195827</v>
      </c>
      <c r="S10" s="60">
        <v>1989.3626645767738</v>
      </c>
      <c r="T10" s="60">
        <v>1855.6885652941007</v>
      </c>
      <c r="U10" s="60">
        <v>1914</v>
      </c>
      <c r="V10" s="60">
        <v>2004.0572850046844</v>
      </c>
      <c r="W10" s="60">
        <v>2010.1419074580597</v>
      </c>
      <c r="X10" s="60">
        <v>2055</v>
      </c>
      <c r="Y10" s="293"/>
    </row>
    <row r="11" spans="1:25" ht="14">
      <c r="B11" s="300" t="s">
        <v>226</v>
      </c>
      <c r="C11" s="60">
        <v>947.77264281013299</v>
      </c>
      <c r="D11" s="60">
        <v>1037.1796758894861</v>
      </c>
      <c r="E11" s="60">
        <v>1337.725754159703</v>
      </c>
      <c r="F11" s="60">
        <v>1430.7595059626044</v>
      </c>
      <c r="G11" s="60">
        <v>1410.3301674969709</v>
      </c>
      <c r="H11" s="60">
        <v>1550.2439097803233</v>
      </c>
      <c r="I11" s="60">
        <v>2384.5944984892649</v>
      </c>
      <c r="J11" s="60">
        <v>2232.2805504492353</v>
      </c>
      <c r="K11" s="60">
        <v>1390.1616006069755</v>
      </c>
      <c r="L11" s="60">
        <v>1721.598038863531</v>
      </c>
      <c r="M11" s="60">
        <v>2116.7752175875175</v>
      </c>
      <c r="N11" s="60">
        <v>1942.316533232655</v>
      </c>
      <c r="O11" s="60">
        <v>1327.0472448493069</v>
      </c>
      <c r="P11" s="60">
        <v>1433.3839074880984</v>
      </c>
      <c r="Q11" s="60">
        <v>1596.9114816925817</v>
      </c>
      <c r="R11" s="60">
        <v>1431.3411177630426</v>
      </c>
      <c r="S11" s="60">
        <v>1468.724778917262</v>
      </c>
      <c r="T11" s="60">
        <v>2004.8228750095134</v>
      </c>
      <c r="U11" s="60">
        <v>2402</v>
      </c>
      <c r="V11" s="60">
        <v>2418.9973004962885</v>
      </c>
      <c r="W11" s="60">
        <v>2036.1804774355294</v>
      </c>
      <c r="X11" s="60">
        <v>1970</v>
      </c>
      <c r="Y11" s="293"/>
    </row>
    <row r="12" spans="1:25" ht="14">
      <c r="B12" s="300" t="s">
        <v>227</v>
      </c>
      <c r="C12" s="60">
        <v>216.49658012815254</v>
      </c>
      <c r="D12" s="60">
        <v>201.59753605064273</v>
      </c>
      <c r="E12" s="60">
        <v>282.56220284015166</v>
      </c>
      <c r="F12" s="60">
        <v>285.30969313503141</v>
      </c>
      <c r="G12" s="60">
        <v>255.10034094748326</v>
      </c>
      <c r="H12" s="60">
        <v>255.64743264321248</v>
      </c>
      <c r="I12" s="60">
        <v>304.57774917391777</v>
      </c>
      <c r="J12" s="60">
        <v>314.251855749237</v>
      </c>
      <c r="K12" s="60">
        <v>331.28797512910057</v>
      </c>
      <c r="L12" s="60">
        <v>387.14301215981538</v>
      </c>
      <c r="M12" s="60">
        <v>435.6520288598997</v>
      </c>
      <c r="N12" s="60">
        <v>507.32499685611515</v>
      </c>
      <c r="O12" s="60">
        <v>556.4748801484584</v>
      </c>
      <c r="P12" s="60">
        <v>562.82667996596024</v>
      </c>
      <c r="Q12" s="60">
        <v>469.82530952803398</v>
      </c>
      <c r="R12" s="60">
        <v>450.2137416983291</v>
      </c>
      <c r="S12" s="60">
        <v>437.81255233593936</v>
      </c>
      <c r="T12" s="60">
        <v>416.40647324606459</v>
      </c>
      <c r="U12" s="60">
        <v>423</v>
      </c>
      <c r="V12" s="60">
        <v>426.47164330139788</v>
      </c>
      <c r="W12" s="60">
        <v>504.16080982366742</v>
      </c>
      <c r="X12" s="60">
        <v>493</v>
      </c>
      <c r="Y12" s="293"/>
    </row>
    <row r="13" spans="1:25" ht="14">
      <c r="B13" s="300" t="s">
        <v>228</v>
      </c>
      <c r="C13" s="60">
        <v>802.48626527025613</v>
      </c>
      <c r="D13" s="60">
        <v>839.04217605237386</v>
      </c>
      <c r="E13" s="60">
        <v>808.61835496284164</v>
      </c>
      <c r="F13" s="60">
        <v>898.02021342072601</v>
      </c>
      <c r="G13" s="60">
        <v>760.36825349817718</v>
      </c>
      <c r="H13" s="60">
        <v>716.74897346782245</v>
      </c>
      <c r="I13" s="60">
        <v>752.97644789492904</v>
      </c>
      <c r="J13" s="60">
        <v>799.24755641472905</v>
      </c>
      <c r="K13" s="60">
        <v>890.52951967113529</v>
      </c>
      <c r="L13" s="60">
        <v>975.41448134922791</v>
      </c>
      <c r="M13" s="60">
        <v>1077.0208751183084</v>
      </c>
      <c r="N13" s="60">
        <v>1191.1320687119694</v>
      </c>
      <c r="O13" s="60">
        <v>1431.4268671134694</v>
      </c>
      <c r="P13" s="60">
        <v>1530.68272596888</v>
      </c>
      <c r="Q13" s="60">
        <v>1338.9714867462474</v>
      </c>
      <c r="R13" s="60">
        <v>1154.1336135015147</v>
      </c>
      <c r="S13" s="60">
        <v>1245.8437002491719</v>
      </c>
      <c r="T13" s="60">
        <v>1328.7083645323787</v>
      </c>
      <c r="U13" s="60">
        <v>1222</v>
      </c>
      <c r="V13" s="60">
        <v>1309.9008045802602</v>
      </c>
      <c r="W13" s="60">
        <v>1427.748004472407</v>
      </c>
      <c r="X13" s="60">
        <v>1579</v>
      </c>
      <c r="Y13" s="293"/>
    </row>
    <row r="14" spans="1:25" ht="14">
      <c r="B14" s="300" t="s">
        <v>220</v>
      </c>
      <c r="C14" s="60">
        <v>762.19320932064795</v>
      </c>
      <c r="D14" s="60">
        <v>998.42347992832515</v>
      </c>
      <c r="E14" s="60">
        <v>830.46782148753994</v>
      </c>
      <c r="F14" s="60">
        <v>993.24365047007382</v>
      </c>
      <c r="G14" s="60">
        <v>835.75099435515313</v>
      </c>
      <c r="H14" s="60">
        <v>889.08701243997439</v>
      </c>
      <c r="I14" s="60">
        <v>999.20668134319419</v>
      </c>
      <c r="J14" s="60">
        <v>857.50856366101414</v>
      </c>
      <c r="K14" s="60">
        <v>954.87937001881005</v>
      </c>
      <c r="L14" s="60">
        <v>832.94486438985643</v>
      </c>
      <c r="M14" s="60">
        <v>1006.7494551020962</v>
      </c>
      <c r="N14" s="60">
        <v>1215.3120791018464</v>
      </c>
      <c r="O14" s="60">
        <v>1102.6468787663719</v>
      </c>
      <c r="P14" s="60">
        <v>1236.3322474657759</v>
      </c>
      <c r="Q14" s="60">
        <v>1176.0923029255316</v>
      </c>
      <c r="R14" s="60">
        <v>1162.9007949139441</v>
      </c>
      <c r="S14" s="60">
        <v>1177.7321838820656</v>
      </c>
      <c r="T14" s="60">
        <v>1164.1251859241559</v>
      </c>
      <c r="U14" s="60">
        <v>1169</v>
      </c>
      <c r="V14" s="60">
        <v>1337.9034759588812</v>
      </c>
      <c r="W14" s="60">
        <v>1446.2234604259727</v>
      </c>
      <c r="X14" s="60">
        <v>1359</v>
      </c>
      <c r="Y14" s="293"/>
    </row>
    <row r="15" spans="1:25" ht="14.5" thickBot="1">
      <c r="B15" s="285" t="s">
        <v>102</v>
      </c>
      <c r="C15" s="59">
        <f t="shared" ref="C15" si="2">SUM(C16:C20)</f>
        <v>7293.1681516866356</v>
      </c>
      <c r="D15" s="59">
        <f t="shared" ref="D15:V15" si="3">SUM(D16:D20)</f>
        <v>7221.6231371067188</v>
      </c>
      <c r="E15" s="59">
        <f t="shared" si="3"/>
        <v>7529.0293614029752</v>
      </c>
      <c r="F15" s="59">
        <f t="shared" si="3"/>
        <v>8086.5073291608223</v>
      </c>
      <c r="G15" s="59">
        <f t="shared" si="3"/>
        <v>8138.8161433581936</v>
      </c>
      <c r="H15" s="59">
        <f t="shared" si="3"/>
        <v>8891.8907820241038</v>
      </c>
      <c r="I15" s="59">
        <f t="shared" si="3"/>
        <v>9785.6565983827677</v>
      </c>
      <c r="J15" s="59">
        <f t="shared" si="3"/>
        <v>10565.82305442381</v>
      </c>
      <c r="K15" s="59">
        <f t="shared" si="3"/>
        <v>10434.629665614139</v>
      </c>
      <c r="L15" s="59">
        <f t="shared" si="3"/>
        <v>10894.504433525095</v>
      </c>
      <c r="M15" s="59">
        <f t="shared" si="3"/>
        <v>12194.47082931815</v>
      </c>
      <c r="N15" s="59">
        <f t="shared" si="3"/>
        <v>13141.451784527617</v>
      </c>
      <c r="O15" s="59">
        <f t="shared" si="3"/>
        <v>13328.796962332179</v>
      </c>
      <c r="P15" s="59">
        <f t="shared" si="3"/>
        <v>12932.022751898032</v>
      </c>
      <c r="Q15" s="59">
        <f t="shared" si="3"/>
        <v>12079.831523360923</v>
      </c>
      <c r="R15" s="59">
        <f t="shared" si="3"/>
        <v>11418.091324536354</v>
      </c>
      <c r="S15" s="59">
        <f t="shared" si="3"/>
        <v>11252.206176253339</v>
      </c>
      <c r="T15" s="59">
        <f t="shared" si="3"/>
        <v>11618.70396665523</v>
      </c>
      <c r="U15" s="59">
        <f t="shared" si="3"/>
        <v>12398</v>
      </c>
      <c r="V15" s="59">
        <f t="shared" si="3"/>
        <v>12454.42998268524</v>
      </c>
      <c r="W15" s="59">
        <f>SUM(W16:W20)</f>
        <v>12583.693556564005</v>
      </c>
      <c r="X15" s="59">
        <f>SUM(X16:X20)</f>
        <v>13887</v>
      </c>
    </row>
    <row r="16" spans="1:25" ht="14">
      <c r="B16" s="299" t="s">
        <v>224</v>
      </c>
      <c r="C16" s="58">
        <v>4243.3553785919457</v>
      </c>
      <c r="D16" s="58">
        <v>4476.5266177894518</v>
      </c>
      <c r="E16" s="58">
        <v>4651.4757597384623</v>
      </c>
      <c r="F16" s="58">
        <v>4942.3832660710941</v>
      </c>
      <c r="G16" s="58">
        <v>4996.5947034264336</v>
      </c>
      <c r="H16" s="58">
        <v>5432.7192948453458</v>
      </c>
      <c r="I16" s="58">
        <v>6475.750245570257</v>
      </c>
      <c r="J16" s="58">
        <v>6928.1177294861682</v>
      </c>
      <c r="K16" s="58">
        <v>6857.860245510099</v>
      </c>
      <c r="L16" s="58">
        <v>8559.6430165531183</v>
      </c>
      <c r="M16" s="58">
        <v>10125.034075931244</v>
      </c>
      <c r="N16" s="58">
        <v>9615.5907947286323</v>
      </c>
      <c r="O16" s="58">
        <v>8497.0125513424609</v>
      </c>
      <c r="P16" s="58">
        <v>8340.6971643378329</v>
      </c>
      <c r="Q16" s="58">
        <v>8146.1169223522493</v>
      </c>
      <c r="R16" s="58">
        <v>7474.3276540965198</v>
      </c>
      <c r="S16" s="58">
        <v>7290.6270782129495</v>
      </c>
      <c r="T16" s="58">
        <v>7879.4380051781227</v>
      </c>
      <c r="U16" s="58">
        <v>8308</v>
      </c>
      <c r="V16" s="58">
        <v>8710.8770815203588</v>
      </c>
      <c r="W16" s="58">
        <v>8963.3265534987167</v>
      </c>
      <c r="X16" s="58">
        <v>9224</v>
      </c>
    </row>
    <row r="17" spans="2:26" ht="14">
      <c r="B17" s="300" t="s">
        <v>229</v>
      </c>
      <c r="C17" s="60">
        <v>1940.7887547764337</v>
      </c>
      <c r="D17" s="60">
        <v>1463.0090936012823</v>
      </c>
      <c r="E17" s="60">
        <v>1792.837201107701</v>
      </c>
      <c r="F17" s="60">
        <v>1879.6485062660026</v>
      </c>
      <c r="G17" s="60">
        <v>1990.6598622076388</v>
      </c>
      <c r="H17" s="60">
        <v>2187.296634907007</v>
      </c>
      <c r="I17" s="60">
        <v>1913.6081965227531</v>
      </c>
      <c r="J17" s="60">
        <v>2319.3376904163997</v>
      </c>
      <c r="K17" s="60">
        <v>1956.0280479451674</v>
      </c>
      <c r="L17" s="60">
        <v>720.73952100587542</v>
      </c>
      <c r="M17" s="60">
        <v>366.10280652122105</v>
      </c>
      <c r="N17" s="60">
        <v>1544.6571761509999</v>
      </c>
      <c r="O17" s="60">
        <v>2793.1256858285774</v>
      </c>
      <c r="P17" s="60">
        <v>2758.1860199153684</v>
      </c>
      <c r="Q17" s="60">
        <v>2175.0797867146093</v>
      </c>
      <c r="R17" s="60">
        <v>2167.5740286813043</v>
      </c>
      <c r="S17" s="60">
        <v>2051.9498598207892</v>
      </c>
      <c r="T17" s="60">
        <v>2001.0941489167481</v>
      </c>
      <c r="U17" s="60">
        <v>2322</v>
      </c>
      <c r="V17" s="60">
        <v>1752.4985431996406</v>
      </c>
      <c r="W17" s="60">
        <v>1445.6136531309694</v>
      </c>
      <c r="X17" s="60">
        <v>2615</v>
      </c>
    </row>
    <row r="18" spans="2:26" ht="14">
      <c r="B18" s="300" t="s">
        <v>230</v>
      </c>
      <c r="C18" s="60">
        <v>199.08161596916</v>
      </c>
      <c r="D18" s="60">
        <v>152.85561384714342</v>
      </c>
      <c r="E18" s="60">
        <v>137.29683853581807</v>
      </c>
      <c r="F18" s="60">
        <v>150.65569233415366</v>
      </c>
      <c r="G18" s="60">
        <v>121.0964940739704</v>
      </c>
      <c r="H18" s="60">
        <v>222.50731332427628</v>
      </c>
      <c r="I18" s="60">
        <v>240.6188938264209</v>
      </c>
      <c r="J18" s="60">
        <v>273.34566202026343</v>
      </c>
      <c r="K18" s="60">
        <v>312.70748002274212</v>
      </c>
      <c r="L18" s="60">
        <v>296.5142549916726</v>
      </c>
      <c r="M18" s="60">
        <v>275.28139167487899</v>
      </c>
      <c r="N18" s="60">
        <v>345.12150523670391</v>
      </c>
      <c r="O18" s="60">
        <v>393.44174012643947</v>
      </c>
      <c r="P18" s="60">
        <v>370.11992598119718</v>
      </c>
      <c r="Q18" s="60">
        <v>267.72225148068935</v>
      </c>
      <c r="R18" s="60">
        <v>271.18678380184195</v>
      </c>
      <c r="S18" s="60">
        <v>304.61275610435752</v>
      </c>
      <c r="T18" s="60">
        <v>327.49339130442985</v>
      </c>
      <c r="U18" s="60">
        <v>326</v>
      </c>
      <c r="V18" s="60">
        <v>343.2550740020381</v>
      </c>
      <c r="W18" s="60">
        <v>392.63203283476491</v>
      </c>
      <c r="X18" s="60">
        <v>403</v>
      </c>
    </row>
    <row r="19" spans="2:26" ht="14">
      <c r="B19" s="300" t="s">
        <v>231</v>
      </c>
      <c r="C19" s="60">
        <v>249.78668091315163</v>
      </c>
      <c r="D19" s="60">
        <v>260.04583118475767</v>
      </c>
      <c r="E19" s="60">
        <v>244.20816627896249</v>
      </c>
      <c r="F19" s="60">
        <v>267.43909432408867</v>
      </c>
      <c r="G19" s="60">
        <v>247.03215820773116</v>
      </c>
      <c r="H19" s="60">
        <v>241.98656497574135</v>
      </c>
      <c r="I19" s="60">
        <v>250.70069444723973</v>
      </c>
      <c r="J19" s="60">
        <v>254.99174726201883</v>
      </c>
      <c r="K19" s="60">
        <v>286.76989571927612</v>
      </c>
      <c r="L19" s="60">
        <v>326.14402175661104</v>
      </c>
      <c r="M19" s="60">
        <v>336.92748211919223</v>
      </c>
      <c r="N19" s="60">
        <v>399.92744842395535</v>
      </c>
      <c r="O19" s="60">
        <v>416.42822970176411</v>
      </c>
      <c r="P19" s="60">
        <v>335.69497042310928</v>
      </c>
      <c r="Q19" s="60">
        <v>305.54117254600044</v>
      </c>
      <c r="R19" s="60">
        <v>297.70610529470196</v>
      </c>
      <c r="S19" s="60">
        <v>321.25142725641518</v>
      </c>
      <c r="T19" s="60">
        <v>328.3679402718559</v>
      </c>
      <c r="U19" s="60">
        <v>324</v>
      </c>
      <c r="V19" s="60">
        <v>355.26261470015561</v>
      </c>
      <c r="W19" s="60">
        <v>379.9500506134554</v>
      </c>
      <c r="X19" s="60">
        <v>382</v>
      </c>
    </row>
    <row r="20" spans="2:26" ht="14">
      <c r="B20" s="300" t="s">
        <v>220</v>
      </c>
      <c r="C20" s="60">
        <v>660.15572143594352</v>
      </c>
      <c r="D20" s="60">
        <v>869.18598068408403</v>
      </c>
      <c r="E20" s="60">
        <v>703.21139574203187</v>
      </c>
      <c r="F20" s="60">
        <v>846.3807701654822</v>
      </c>
      <c r="G20" s="60">
        <v>783.43292544241967</v>
      </c>
      <c r="H20" s="60">
        <v>807.3809739717334</v>
      </c>
      <c r="I20" s="60">
        <v>904.97856801609885</v>
      </c>
      <c r="J20" s="60">
        <v>790.03022523896095</v>
      </c>
      <c r="K20" s="60">
        <v>1021.2639964168536</v>
      </c>
      <c r="L20" s="60">
        <v>991.46361921781931</v>
      </c>
      <c r="M20" s="60">
        <v>1091.1250730716151</v>
      </c>
      <c r="N20" s="60">
        <v>1236.154859987324</v>
      </c>
      <c r="O20" s="60">
        <v>1228.7887553329367</v>
      </c>
      <c r="P20" s="60">
        <v>1127.324671240523</v>
      </c>
      <c r="Q20" s="60">
        <v>1185.3713902673749</v>
      </c>
      <c r="R20" s="60">
        <v>1207.2967526619857</v>
      </c>
      <c r="S20" s="60">
        <v>1283.7650548588279</v>
      </c>
      <c r="T20" s="60">
        <v>1082.3104809840725</v>
      </c>
      <c r="U20" s="60">
        <v>1118</v>
      </c>
      <c r="V20" s="60">
        <v>1292.5366692630464</v>
      </c>
      <c r="W20" s="60">
        <v>1402.1712664860981</v>
      </c>
      <c r="X20" s="60">
        <v>1263</v>
      </c>
      <c r="Z20" s="293"/>
    </row>
    <row r="21" spans="2:26" ht="14.5" thickBot="1">
      <c r="B21" s="285" t="s">
        <v>105</v>
      </c>
      <c r="C21" s="59">
        <f t="shared" ref="C21" si="4">SUM(C22:C26)</f>
        <v>13088.285413827907</v>
      </c>
      <c r="D21" s="59">
        <f t="shared" ref="D21:V21" si="5">SUM(D22:D26)</f>
        <v>13155.473572396235</v>
      </c>
      <c r="E21" s="59">
        <f t="shared" si="5"/>
        <v>13006.839445989628</v>
      </c>
      <c r="F21" s="59">
        <f t="shared" si="5"/>
        <v>13340.788389252823</v>
      </c>
      <c r="G21" s="59">
        <f t="shared" si="5"/>
        <v>13722.636907328157</v>
      </c>
      <c r="H21" s="59">
        <f t="shared" si="5"/>
        <v>14208.544063842999</v>
      </c>
      <c r="I21" s="59">
        <f t="shared" si="5"/>
        <v>15757.234814378156</v>
      </c>
      <c r="J21" s="59">
        <f t="shared" si="5"/>
        <v>17109.143993479422</v>
      </c>
      <c r="K21" s="59">
        <f t="shared" si="5"/>
        <v>18650.903508733201</v>
      </c>
      <c r="L21" s="59">
        <f t="shared" si="5"/>
        <v>19152.88875926816</v>
      </c>
      <c r="M21" s="59">
        <f t="shared" si="5"/>
        <v>20238.779966298422</v>
      </c>
      <c r="N21" s="59">
        <f t="shared" si="5"/>
        <v>20404.899105776392</v>
      </c>
      <c r="O21" s="59">
        <f t="shared" si="5"/>
        <v>19845.80344539143</v>
      </c>
      <c r="P21" s="59">
        <f t="shared" si="5"/>
        <v>19204.834353828966</v>
      </c>
      <c r="Q21" s="59">
        <f t="shared" si="5"/>
        <v>18983.288409848879</v>
      </c>
      <c r="R21" s="59">
        <f t="shared" si="5"/>
        <v>18523.51916945626</v>
      </c>
      <c r="S21" s="59">
        <f t="shared" si="5"/>
        <v>18103.485814975822</v>
      </c>
      <c r="T21" s="59">
        <f t="shared" si="5"/>
        <v>18146.532916635071</v>
      </c>
      <c r="U21" s="59">
        <f t="shared" si="5"/>
        <v>18854</v>
      </c>
      <c r="V21" s="59">
        <f t="shared" si="5"/>
        <v>19632.458352830312</v>
      </c>
      <c r="W21" s="59">
        <f>SUM(W22:W26)</f>
        <v>20585.721432418377</v>
      </c>
      <c r="X21" s="59">
        <f>SUM(X22:X26)</f>
        <v>20947</v>
      </c>
      <c r="Z21" s="293"/>
    </row>
    <row r="22" spans="2:26" ht="14">
      <c r="B22" s="299" t="s">
        <v>224</v>
      </c>
      <c r="C22" s="60">
        <v>3322.8158183751084</v>
      </c>
      <c r="D22" s="60">
        <v>3230.5958065701725</v>
      </c>
      <c r="E22" s="60">
        <v>3081.3161096158938</v>
      </c>
      <c r="F22" s="60">
        <v>3142.7149165433093</v>
      </c>
      <c r="G22" s="60">
        <v>2937.1515373071725</v>
      </c>
      <c r="H22" s="60">
        <v>3401.9169204995128</v>
      </c>
      <c r="I22" s="60">
        <v>4264.5343117185967</v>
      </c>
      <c r="J22" s="60">
        <v>4872.8323376999206</v>
      </c>
      <c r="K22" s="60">
        <v>5050.5103522973586</v>
      </c>
      <c r="L22" s="60">
        <v>5638.6055388786999</v>
      </c>
      <c r="M22" s="60">
        <v>6056.2723835256047</v>
      </c>
      <c r="N22" s="60">
        <v>6399.8296684631741</v>
      </c>
      <c r="O22" s="60">
        <v>6629.4297700374273</v>
      </c>
      <c r="P22" s="60">
        <v>6775.1802766876272</v>
      </c>
      <c r="Q22" s="60">
        <v>5360.1635531755364</v>
      </c>
      <c r="R22" s="60">
        <v>4920.2056437745605</v>
      </c>
      <c r="S22" s="60">
        <v>5721.8346510295505</v>
      </c>
      <c r="T22" s="60">
        <v>5347.5511068189271</v>
      </c>
      <c r="U22" s="60">
        <v>5833</v>
      </c>
      <c r="V22" s="60">
        <v>6350.0475407596359</v>
      </c>
      <c r="W22" s="60">
        <v>6362.9783743683402</v>
      </c>
      <c r="X22" s="60">
        <v>6925</v>
      </c>
      <c r="Z22" s="293"/>
    </row>
    <row r="23" spans="2:26" ht="14">
      <c r="B23" s="300" t="s">
        <v>229</v>
      </c>
      <c r="C23" s="60">
        <v>4412.7186741665791</v>
      </c>
      <c r="D23" s="60">
        <v>4056.8339948169996</v>
      </c>
      <c r="E23" s="60">
        <v>5109.4370653792685</v>
      </c>
      <c r="F23" s="60">
        <v>5135.9122511774785</v>
      </c>
      <c r="G23" s="60">
        <v>6191.3184198095287</v>
      </c>
      <c r="H23" s="60">
        <v>5982.9527391877873</v>
      </c>
      <c r="I23" s="60">
        <v>6122.2252460747495</v>
      </c>
      <c r="J23" s="60">
        <v>6395.0577931964071</v>
      </c>
      <c r="K23" s="60">
        <v>7372.7727842137647</v>
      </c>
      <c r="L23" s="60">
        <v>7282.8221867380234</v>
      </c>
      <c r="M23" s="60">
        <v>7579.6785170927624</v>
      </c>
      <c r="N23" s="60">
        <v>7143.3451663230953</v>
      </c>
      <c r="O23" s="60">
        <v>6427.4127112104143</v>
      </c>
      <c r="P23" s="60">
        <v>5653.6849078879141</v>
      </c>
      <c r="Q23" s="60">
        <v>7009.4396126401989</v>
      </c>
      <c r="R23" s="60">
        <v>6787.3213821361815</v>
      </c>
      <c r="S23" s="60">
        <v>5234.9774427674365</v>
      </c>
      <c r="T23" s="60">
        <v>5806.3685773761417</v>
      </c>
      <c r="U23" s="60">
        <v>6218</v>
      </c>
      <c r="V23" s="60">
        <v>6017.3099765371271</v>
      </c>
      <c r="W23" s="60">
        <v>6582.9119117723112</v>
      </c>
      <c r="X23" s="60">
        <v>6207</v>
      </c>
      <c r="Y23" s="388"/>
      <c r="Z23" s="293"/>
    </row>
    <row r="24" spans="2:26" ht="14">
      <c r="B24" s="300" t="s">
        <v>230</v>
      </c>
      <c r="C24" s="60">
        <v>1518.3754583404657</v>
      </c>
      <c r="D24" s="60">
        <v>1604.3267430995281</v>
      </c>
      <c r="E24" s="60">
        <v>1498.3445720672335</v>
      </c>
      <c r="F24" s="60">
        <v>1436.8998875449856</v>
      </c>
      <c r="G24" s="60">
        <v>1498.6260771330737</v>
      </c>
      <c r="H24" s="60">
        <v>1700.1246204359138</v>
      </c>
      <c r="I24" s="60">
        <v>2001.9107328387518</v>
      </c>
      <c r="J24" s="60">
        <v>2132.9364424879964</v>
      </c>
      <c r="K24" s="60">
        <v>2245.208620199176</v>
      </c>
      <c r="L24" s="60">
        <v>2257.1095773381344</v>
      </c>
      <c r="M24" s="60">
        <v>2460.0373675547494</v>
      </c>
      <c r="N24" s="60">
        <v>2578.428623318031</v>
      </c>
      <c r="O24" s="60">
        <v>2399.1248641882585</v>
      </c>
      <c r="P24" s="60">
        <v>2218.4972666148637</v>
      </c>
      <c r="Q24" s="60">
        <v>2217.3911692949487</v>
      </c>
      <c r="R24" s="60">
        <v>2237.3744079303665</v>
      </c>
      <c r="S24" s="60">
        <v>2414.1738715850274</v>
      </c>
      <c r="T24" s="60">
        <v>2436.5794388636273</v>
      </c>
      <c r="U24" s="60">
        <v>2418</v>
      </c>
      <c r="V24" s="60">
        <v>2552.1122190467499</v>
      </c>
      <c r="W24" s="60">
        <v>2596.0493119388225</v>
      </c>
      <c r="X24" s="60">
        <v>2559</v>
      </c>
      <c r="Z24" s="293"/>
    </row>
    <row r="25" spans="2:26" ht="14">
      <c r="B25" s="300" t="s">
        <v>231</v>
      </c>
      <c r="C25" s="60">
        <v>2699.3612698432594</v>
      </c>
      <c r="D25" s="60">
        <v>2941.3689687313376</v>
      </c>
      <c r="E25" s="60">
        <v>2315.0122587481719</v>
      </c>
      <c r="F25" s="60">
        <v>2572.0611113801165</v>
      </c>
      <c r="G25" s="60">
        <v>2197.8230499555257</v>
      </c>
      <c r="H25" s="60">
        <v>2129.1411970999252</v>
      </c>
      <c r="I25" s="60">
        <v>2267.6561935580521</v>
      </c>
      <c r="J25" s="60">
        <v>2615.2687452066284</v>
      </c>
      <c r="K25" s="60">
        <v>2750.983196137684</v>
      </c>
      <c r="L25" s="60">
        <v>2854.2252004385132</v>
      </c>
      <c r="M25" s="60">
        <v>2946.3281955916204</v>
      </c>
      <c r="N25" s="60">
        <v>2929.1404158427354</v>
      </c>
      <c r="O25" s="60">
        <v>2951.6365243477962</v>
      </c>
      <c r="P25" s="60">
        <v>3045.7988303660795</v>
      </c>
      <c r="Q25" s="60">
        <v>3036.456348423792</v>
      </c>
      <c r="R25" s="60">
        <v>3226.1166268553293</v>
      </c>
      <c r="S25" s="60">
        <v>3158.1391477795255</v>
      </c>
      <c r="T25" s="60">
        <v>3233.8006224500205</v>
      </c>
      <c r="U25" s="60">
        <v>3034</v>
      </c>
      <c r="V25" s="60">
        <v>3165.9784664774088</v>
      </c>
      <c r="W25" s="60">
        <v>3425.2328249262409</v>
      </c>
      <c r="X25" s="60">
        <v>3699</v>
      </c>
      <c r="Z25" s="293"/>
    </row>
    <row r="26" spans="2:26" ht="14">
      <c r="B26" s="300" t="s">
        <v>220</v>
      </c>
      <c r="C26" s="60">
        <v>1135.0141931024962</v>
      </c>
      <c r="D26" s="60">
        <v>1322.3480591781979</v>
      </c>
      <c r="E26" s="60">
        <v>1002.7294401790618</v>
      </c>
      <c r="F26" s="60">
        <v>1053.2002226069324</v>
      </c>
      <c r="G26" s="60">
        <v>897.71782312285802</v>
      </c>
      <c r="H26" s="60">
        <v>994.40858661986067</v>
      </c>
      <c r="I26" s="60">
        <v>1100.9083301880071</v>
      </c>
      <c r="J26" s="60">
        <v>1093.0486748884689</v>
      </c>
      <c r="K26" s="60">
        <v>1231.4285558852162</v>
      </c>
      <c r="L26" s="60">
        <v>1120.1262558747928</v>
      </c>
      <c r="M26" s="60">
        <v>1196.4635025336872</v>
      </c>
      <c r="N26" s="60">
        <v>1354.1552318293559</v>
      </c>
      <c r="O26" s="60">
        <v>1438.1995756075337</v>
      </c>
      <c r="P26" s="60">
        <v>1511.6730722724826</v>
      </c>
      <c r="Q26" s="60">
        <v>1359.8377263144021</v>
      </c>
      <c r="R26" s="60">
        <v>1352.5011087598216</v>
      </c>
      <c r="S26" s="60">
        <v>1574.3607018142816</v>
      </c>
      <c r="T26" s="60">
        <v>1322.2331711263523</v>
      </c>
      <c r="U26" s="60">
        <v>1351</v>
      </c>
      <c r="V26" s="60">
        <v>1547.0101500093886</v>
      </c>
      <c r="W26" s="60">
        <v>1618.5490094126633</v>
      </c>
      <c r="X26" s="60">
        <v>1557</v>
      </c>
      <c r="Z26" s="293"/>
    </row>
    <row r="27" spans="2:26" ht="14">
      <c r="B27" s="300"/>
      <c r="C27" s="60"/>
      <c r="D27" s="60"/>
      <c r="E27" s="60"/>
      <c r="F27" s="60"/>
      <c r="G27" s="60"/>
      <c r="H27" s="60"/>
      <c r="I27" s="60"/>
      <c r="J27" s="60"/>
      <c r="K27" s="60"/>
      <c r="L27" s="60"/>
      <c r="M27" s="60"/>
      <c r="N27" s="60"/>
      <c r="O27" s="60"/>
      <c r="P27" s="60"/>
      <c r="Q27" s="60"/>
      <c r="R27" s="60"/>
      <c r="S27" s="60"/>
      <c r="T27" s="60"/>
      <c r="U27" s="60" t="s">
        <v>479</v>
      </c>
      <c r="V27" s="60"/>
      <c r="W27" s="60"/>
      <c r="X27" s="60"/>
    </row>
    <row r="28" spans="2:26" ht="14.5" thickBot="1">
      <c r="B28" s="285" t="s">
        <v>232</v>
      </c>
      <c r="C28" s="59">
        <f t="shared" ref="C28" si="6">SUM(C29:C31)</f>
        <v>161.27436600000001</v>
      </c>
      <c r="D28" s="59">
        <f t="shared" ref="D28:V28" si="7">SUM(D29:D31)</f>
        <v>161.376162502</v>
      </c>
      <c r="E28" s="59">
        <f t="shared" si="7"/>
        <v>181.64663899999999</v>
      </c>
      <c r="F28" s="59">
        <f t="shared" si="7"/>
        <v>193.447865111</v>
      </c>
      <c r="G28" s="59">
        <f t="shared" si="7"/>
        <v>196.21373000100002</v>
      </c>
      <c r="H28" s="59">
        <f t="shared" si="7"/>
        <v>202.10549281900001</v>
      </c>
      <c r="I28" s="59">
        <f t="shared" si="7"/>
        <v>199.22940149300001</v>
      </c>
      <c r="J28" s="59">
        <f t="shared" si="7"/>
        <v>196.31945432499998</v>
      </c>
      <c r="K28" s="59">
        <f t="shared" si="7"/>
        <v>182.447001443</v>
      </c>
      <c r="L28" s="59">
        <f t="shared" si="7"/>
        <v>184.84109272000001</v>
      </c>
      <c r="M28" s="59">
        <f t="shared" si="7"/>
        <v>196.530335159</v>
      </c>
      <c r="N28" s="59">
        <f t="shared" si="7"/>
        <v>190.2891425819999</v>
      </c>
      <c r="O28" s="59">
        <f t="shared" si="7"/>
        <v>176.061848075</v>
      </c>
      <c r="P28" s="59">
        <f t="shared" si="7"/>
        <v>177.59957083400002</v>
      </c>
      <c r="Q28" s="59">
        <f t="shared" si="7"/>
        <v>188.261334342</v>
      </c>
      <c r="R28" s="59">
        <f t="shared" si="7"/>
        <v>197.82499554000003</v>
      </c>
      <c r="S28" s="59">
        <f t="shared" si="7"/>
        <v>193.80223609113</v>
      </c>
      <c r="T28" s="59">
        <f t="shared" si="7"/>
        <v>206.70591785060998</v>
      </c>
      <c r="U28" s="59">
        <f t="shared" si="7"/>
        <v>211</v>
      </c>
      <c r="V28" s="59">
        <f t="shared" si="7"/>
        <v>208.58821916253004</v>
      </c>
      <c r="W28" s="59">
        <f>SUM(W29:W31)</f>
        <v>196.48032214695999</v>
      </c>
      <c r="X28" s="59">
        <f>SUM(X29:X31)</f>
        <v>192</v>
      </c>
    </row>
    <row r="29" spans="2:26" ht="14">
      <c r="B29" s="299" t="s">
        <v>224</v>
      </c>
      <c r="C29" s="189">
        <v>72.272445000000005</v>
      </c>
      <c r="D29" s="189">
        <v>72.227784501999992</v>
      </c>
      <c r="E29" s="189">
        <v>79.473219999999998</v>
      </c>
      <c r="F29" s="189">
        <v>83.346918111000008</v>
      </c>
      <c r="G29" s="189">
        <v>84.548930001000002</v>
      </c>
      <c r="H29" s="189">
        <v>86.888590002000001</v>
      </c>
      <c r="I29" s="189">
        <v>87.091770006000004</v>
      </c>
      <c r="J29" s="189">
        <v>86.400676505999996</v>
      </c>
      <c r="K29" s="189">
        <v>83.667260000000013</v>
      </c>
      <c r="L29" s="189">
        <v>85.175390499999992</v>
      </c>
      <c r="M29" s="189">
        <v>91.339854502999998</v>
      </c>
      <c r="N29" s="189">
        <v>87.168257002999894</v>
      </c>
      <c r="O29" s="189">
        <v>79.028820004000011</v>
      </c>
      <c r="P29" s="189">
        <v>80.075796003000008</v>
      </c>
      <c r="Q29" s="189">
        <v>83.937843002999998</v>
      </c>
      <c r="R29" s="189">
        <v>86.502492001000007</v>
      </c>
      <c r="S29" s="189">
        <v>87.68945500800001</v>
      </c>
      <c r="T29" s="189">
        <v>90.507502504000001</v>
      </c>
      <c r="U29" s="189">
        <v>93</v>
      </c>
      <c r="V29" s="189">
        <v>93.322045052999997</v>
      </c>
      <c r="W29" s="189">
        <v>88.334765003999991</v>
      </c>
      <c r="X29" s="189">
        <v>86</v>
      </c>
      <c r="Y29" s="293"/>
    </row>
    <row r="30" spans="2:26" ht="14">
      <c r="B30" s="300" t="s">
        <v>102</v>
      </c>
      <c r="C30" s="189">
        <v>63.037610000000001</v>
      </c>
      <c r="D30" s="189">
        <v>62.985299000000005</v>
      </c>
      <c r="E30" s="189">
        <v>68.960170000000005</v>
      </c>
      <c r="F30" s="189">
        <v>73.689449999999994</v>
      </c>
      <c r="G30" s="189">
        <v>72.463149999999999</v>
      </c>
      <c r="H30" s="189">
        <v>75.94041</v>
      </c>
      <c r="I30" s="189">
        <v>73.380390000000006</v>
      </c>
      <c r="J30" s="189">
        <v>73.417880000000011</v>
      </c>
      <c r="K30" s="189">
        <v>64.611249360000002</v>
      </c>
      <c r="L30" s="189">
        <v>64.368763999999999</v>
      </c>
      <c r="M30" s="189">
        <v>70.215000000000003</v>
      </c>
      <c r="N30" s="189">
        <v>69.278499999999994</v>
      </c>
      <c r="O30" s="189">
        <v>62.527000000000001</v>
      </c>
      <c r="P30" s="189">
        <v>65.203000000000003</v>
      </c>
      <c r="Q30" s="189">
        <v>73.047714963000004</v>
      </c>
      <c r="R30" s="189">
        <v>80.094974555999997</v>
      </c>
      <c r="S30" s="189">
        <v>74.63741892713</v>
      </c>
      <c r="T30" s="189">
        <v>82.688686902609987</v>
      </c>
      <c r="U30" s="189">
        <v>82</v>
      </c>
      <c r="V30" s="189">
        <v>80.298310205530015</v>
      </c>
      <c r="W30" s="189">
        <v>74.919504410960002</v>
      </c>
      <c r="X30" s="189">
        <v>74</v>
      </c>
      <c r="Y30" s="293"/>
      <c r="Z30" s="388"/>
    </row>
    <row r="31" spans="2:26" ht="14">
      <c r="B31" s="302" t="s">
        <v>105</v>
      </c>
      <c r="C31" s="190">
        <v>25.964311000000002</v>
      </c>
      <c r="D31" s="190">
        <v>26.163078999999996</v>
      </c>
      <c r="E31" s="190">
        <v>33.213248999999998</v>
      </c>
      <c r="F31" s="190">
        <v>36.411497000000004</v>
      </c>
      <c r="G31" s="190">
        <v>39.201650000000001</v>
      </c>
      <c r="H31" s="190">
        <v>39.276492817000005</v>
      </c>
      <c r="I31" s="190">
        <v>38.757241487000002</v>
      </c>
      <c r="J31" s="190">
        <v>36.500897819000002</v>
      </c>
      <c r="K31" s="190">
        <v>34.168492082999997</v>
      </c>
      <c r="L31" s="190">
        <v>35.296938220000001</v>
      </c>
      <c r="M31" s="190">
        <v>34.975480656000002</v>
      </c>
      <c r="N31" s="190">
        <v>33.842385579000002</v>
      </c>
      <c r="O31" s="190">
        <v>34.506028071000003</v>
      </c>
      <c r="P31" s="190">
        <v>32.320774831000001</v>
      </c>
      <c r="Q31" s="190">
        <v>31.275776376000003</v>
      </c>
      <c r="R31" s="190">
        <v>31.227528983000003</v>
      </c>
      <c r="S31" s="190">
        <v>31.475362156000003</v>
      </c>
      <c r="T31" s="190">
        <v>33.509728444000004</v>
      </c>
      <c r="U31" s="190">
        <v>36</v>
      </c>
      <c r="V31" s="190">
        <v>34.967863903999998</v>
      </c>
      <c r="W31" s="190">
        <v>33.226052731999999</v>
      </c>
      <c r="X31" s="190">
        <v>32</v>
      </c>
    </row>
    <row r="32" spans="2:26" ht="14">
      <c r="B32" s="303"/>
      <c r="C32" s="58"/>
      <c r="D32" s="58"/>
      <c r="E32" s="58"/>
      <c r="F32" s="58"/>
      <c r="G32" s="58"/>
      <c r="H32" s="58"/>
      <c r="I32" s="58"/>
      <c r="J32" s="58"/>
      <c r="K32" s="58"/>
      <c r="L32" s="58"/>
      <c r="M32" s="58"/>
      <c r="N32" s="58"/>
      <c r="O32" s="58"/>
      <c r="P32" s="58"/>
      <c r="Q32" s="355"/>
      <c r="R32" s="355"/>
      <c r="S32" s="355"/>
      <c r="T32" s="355"/>
      <c r="U32" s="355"/>
      <c r="V32" s="58"/>
      <c r="W32" s="58"/>
      <c r="X32" s="58"/>
    </row>
    <row r="33" spans="1:26" ht="14">
      <c r="B33" s="299"/>
      <c r="C33" s="58"/>
      <c r="D33" s="58"/>
      <c r="E33" s="58"/>
      <c r="F33" s="58"/>
      <c r="G33" s="58"/>
      <c r="H33" s="58"/>
      <c r="I33" s="58"/>
      <c r="J33" s="58"/>
      <c r="K33" s="58"/>
      <c r="L33" s="58"/>
      <c r="M33" s="58"/>
      <c r="N33" s="58"/>
      <c r="O33" s="58"/>
      <c r="P33" s="58"/>
      <c r="Q33" s="58"/>
      <c r="R33" s="58"/>
      <c r="S33" s="58"/>
      <c r="T33" s="58"/>
      <c r="U33" s="58"/>
      <c r="V33" s="58"/>
      <c r="W33" s="58"/>
      <c r="X33" s="58"/>
    </row>
    <row r="34" spans="1:26" ht="14.5" thickBot="1">
      <c r="B34" s="304" t="s">
        <v>208</v>
      </c>
      <c r="C34" s="295" t="s">
        <v>92</v>
      </c>
      <c r="D34" s="295" t="s">
        <v>93</v>
      </c>
      <c r="E34" s="295" t="s">
        <v>94</v>
      </c>
      <c r="F34" s="295" t="s">
        <v>95</v>
      </c>
      <c r="G34" s="295" t="s">
        <v>96</v>
      </c>
      <c r="H34" s="295" t="s">
        <v>97</v>
      </c>
      <c r="I34" s="295" t="s">
        <v>98</v>
      </c>
      <c r="J34" s="295" t="s">
        <v>99</v>
      </c>
      <c r="K34" s="295" t="s">
        <v>100</v>
      </c>
      <c r="L34" s="295" t="str">
        <f>L6</f>
        <v>2T22</v>
      </c>
      <c r="M34" s="295" t="s">
        <v>336</v>
      </c>
      <c r="N34" s="295" t="s">
        <v>342</v>
      </c>
      <c r="O34" s="295" t="s">
        <v>357</v>
      </c>
      <c r="P34" s="295" t="s">
        <v>384</v>
      </c>
      <c r="Q34" s="295" t="s">
        <v>395</v>
      </c>
      <c r="R34" s="295" t="s">
        <v>396</v>
      </c>
      <c r="S34" s="295" t="s">
        <v>469</v>
      </c>
      <c r="T34" s="295" t="s">
        <v>473</v>
      </c>
      <c r="U34" s="295" t="str">
        <f>U6</f>
        <v>3T24</v>
      </c>
      <c r="V34" s="295" t="s">
        <v>480</v>
      </c>
      <c r="W34" s="295" t="s">
        <v>518</v>
      </c>
      <c r="X34" s="295" t="s">
        <v>521</v>
      </c>
    </row>
    <row r="35" spans="1:26" ht="14.25" customHeight="1" thickTop="1">
      <c r="B35" s="296"/>
      <c r="D35" s="297"/>
      <c r="Q35" s="293"/>
      <c r="R35" s="293"/>
      <c r="S35" s="293"/>
      <c r="T35" s="293"/>
      <c r="U35" s="293"/>
      <c r="V35" s="293"/>
      <c r="W35" s="293"/>
      <c r="X35" s="293"/>
    </row>
    <row r="36" spans="1:26" s="294" customFormat="1" ht="14.5" thickBot="1">
      <c r="B36" s="285" t="s">
        <v>74</v>
      </c>
      <c r="C36" s="59">
        <f t="shared" ref="C36:V36" si="8">SUM(C37:C38)</f>
        <v>256.43430085394277</v>
      </c>
      <c r="D36" s="59">
        <f t="shared" si="8"/>
        <v>234.74784324783266</v>
      </c>
      <c r="E36" s="59">
        <f t="shared" si="8"/>
        <v>288.98157277411218</v>
      </c>
      <c r="F36" s="59">
        <f t="shared" si="8"/>
        <v>374.18744450970667</v>
      </c>
      <c r="G36" s="59">
        <f t="shared" si="8"/>
        <v>415.49275442486294</v>
      </c>
      <c r="H36" s="59">
        <f t="shared" si="8"/>
        <v>414.26863949214714</v>
      </c>
      <c r="I36" s="59">
        <f t="shared" si="8"/>
        <v>666.72318004768749</v>
      </c>
      <c r="J36" s="59">
        <f t="shared" si="8"/>
        <v>711.47393628483201</v>
      </c>
      <c r="K36" s="59">
        <f t="shared" si="8"/>
        <v>557.7215562676987</v>
      </c>
      <c r="L36" s="59">
        <f t="shared" si="8"/>
        <v>657.73795070698907</v>
      </c>
      <c r="M36" s="59">
        <f t="shared" si="8"/>
        <v>477.75029220920021</v>
      </c>
      <c r="N36" s="59">
        <f t="shared" si="8"/>
        <v>400.2897317348428</v>
      </c>
      <c r="O36" s="59">
        <f t="shared" si="8"/>
        <v>473.43832657283099</v>
      </c>
      <c r="P36" s="59">
        <f t="shared" si="8"/>
        <v>409.58742932244843</v>
      </c>
      <c r="Q36" s="59">
        <f t="shared" si="8"/>
        <v>420.95584013340795</v>
      </c>
      <c r="R36" s="59">
        <f t="shared" si="8"/>
        <v>390.65117507567061</v>
      </c>
      <c r="S36" s="59">
        <f t="shared" si="8"/>
        <v>327.61873620391395</v>
      </c>
      <c r="T36" s="59">
        <f t="shared" si="8"/>
        <v>397.34824753504233</v>
      </c>
      <c r="U36" s="59">
        <f t="shared" si="8"/>
        <v>430</v>
      </c>
      <c r="V36" s="59">
        <f t="shared" si="8"/>
        <v>383.39197569424255</v>
      </c>
      <c r="W36" s="59">
        <f>SUM(W37:W38)</f>
        <v>299</v>
      </c>
      <c r="X36" s="59">
        <f>SUM(X37:X38)</f>
        <v>345</v>
      </c>
      <c r="Y36" s="569"/>
      <c r="Z36" s="570"/>
    </row>
    <row r="37" spans="1:26" ht="14.5" thickBot="1">
      <c r="B37" s="305" t="s">
        <v>109</v>
      </c>
      <c r="C37" s="77">
        <v>81.434300853942773</v>
      </c>
      <c r="D37" s="77">
        <v>50.74784324783267</v>
      </c>
      <c r="E37" s="77">
        <v>87.98157277411218</v>
      </c>
      <c r="F37" s="77">
        <v>104.18744450970667</v>
      </c>
      <c r="G37" s="77">
        <v>92.492754424862966</v>
      </c>
      <c r="H37" s="77">
        <v>99.268639492147145</v>
      </c>
      <c r="I37" s="77">
        <v>118.72318004768745</v>
      </c>
      <c r="J37" s="77">
        <v>133.47393628483206</v>
      </c>
      <c r="K37" s="77">
        <v>187.7215562676987</v>
      </c>
      <c r="L37" s="77">
        <v>207.35587113103355</v>
      </c>
      <c r="M37" s="77">
        <v>253.27824174550042</v>
      </c>
      <c r="N37" s="77">
        <v>220.96137976605036</v>
      </c>
      <c r="O37" s="77">
        <v>197.47962396900027</v>
      </c>
      <c r="P37" s="77">
        <v>172.0002046777164</v>
      </c>
      <c r="Q37" s="77">
        <v>153.058200504556</v>
      </c>
      <c r="R37" s="77">
        <v>156.8010760305817</v>
      </c>
      <c r="S37" s="77">
        <v>166.48437962620389</v>
      </c>
      <c r="T37" s="77">
        <v>155.11313298813977</v>
      </c>
      <c r="U37" s="77">
        <v>225</v>
      </c>
      <c r="V37" s="77">
        <v>171.85693097424257</v>
      </c>
      <c r="W37" s="77">
        <v>192</v>
      </c>
      <c r="X37" s="77">
        <v>231</v>
      </c>
    </row>
    <row r="38" spans="1:26" ht="14.5" thickBot="1">
      <c r="B38" s="285" t="s">
        <v>112</v>
      </c>
      <c r="C38" s="59">
        <f t="shared" ref="C38" si="9">SUM(C39:C41)</f>
        <v>175</v>
      </c>
      <c r="D38" s="59">
        <f t="shared" ref="D38:N38" si="10">SUM(D39:D41)</f>
        <v>184</v>
      </c>
      <c r="E38" s="59">
        <f t="shared" si="10"/>
        <v>201</v>
      </c>
      <c r="F38" s="59">
        <f t="shared" si="10"/>
        <v>270</v>
      </c>
      <c r="G38" s="59">
        <f t="shared" si="10"/>
        <v>323</v>
      </c>
      <c r="H38" s="59">
        <f t="shared" si="10"/>
        <v>315</v>
      </c>
      <c r="I38" s="59">
        <f t="shared" si="10"/>
        <v>548</v>
      </c>
      <c r="J38" s="59">
        <f t="shared" si="10"/>
        <v>578</v>
      </c>
      <c r="K38" s="59">
        <f t="shared" si="10"/>
        <v>370</v>
      </c>
      <c r="L38" s="59">
        <f t="shared" si="10"/>
        <v>450.38207957595552</v>
      </c>
      <c r="M38" s="59">
        <f t="shared" si="10"/>
        <v>224.47205046369982</v>
      </c>
      <c r="N38" s="59">
        <f t="shared" si="10"/>
        <v>179.32835196879242</v>
      </c>
      <c r="O38" s="59">
        <f t="shared" ref="O38" si="11">SUM(O39:O41)</f>
        <v>275.95870260383072</v>
      </c>
      <c r="P38" s="59">
        <f t="shared" ref="P38" si="12">SUM(P39:P41)</f>
        <v>237.58722464473203</v>
      </c>
      <c r="Q38" s="59">
        <f t="shared" ref="Q38" si="13">SUM(Q39:Q41)</f>
        <v>267.89763962885195</v>
      </c>
      <c r="R38" s="59">
        <f t="shared" ref="R38" si="14">SUM(R39:R41)</f>
        <v>233.85009904508891</v>
      </c>
      <c r="S38" s="59">
        <f t="shared" ref="S38" si="15">SUM(S39:S41)</f>
        <v>161.13435657771004</v>
      </c>
      <c r="T38" s="59">
        <f t="shared" ref="T38" si="16">SUM(T39:T41)</f>
        <v>242.23511454690257</v>
      </c>
      <c r="U38" s="59">
        <f t="shared" ref="U38" si="17">SUM(U39:U41)</f>
        <v>205</v>
      </c>
      <c r="V38" s="59">
        <f>SUM(V39:V41)</f>
        <v>211.53504472</v>
      </c>
      <c r="W38" s="59">
        <v>107</v>
      </c>
      <c r="X38" s="59">
        <v>114</v>
      </c>
      <c r="Z38" s="293"/>
    </row>
    <row r="39" spans="1:26" ht="14">
      <c r="B39" s="306" t="s">
        <v>233</v>
      </c>
      <c r="C39" s="61">
        <v>85</v>
      </c>
      <c r="D39" s="61">
        <v>63</v>
      </c>
      <c r="E39" s="61">
        <v>68</v>
      </c>
      <c r="F39" s="61">
        <v>219</v>
      </c>
      <c r="G39" s="61">
        <v>198</v>
      </c>
      <c r="H39" s="61">
        <v>231</v>
      </c>
      <c r="I39" s="61">
        <v>363</v>
      </c>
      <c r="J39" s="61">
        <v>431</v>
      </c>
      <c r="K39" s="61">
        <v>232</v>
      </c>
      <c r="L39" s="61">
        <v>8.1503125334999531</v>
      </c>
      <c r="M39" s="61">
        <v>0</v>
      </c>
      <c r="N39" s="61">
        <v>18.012631770000006</v>
      </c>
      <c r="O39" s="61">
        <v>104.61798372</v>
      </c>
      <c r="P39" s="61">
        <v>58.751715080000039</v>
      </c>
      <c r="Q39" s="61">
        <v>46.889823539137602</v>
      </c>
      <c r="R39" s="61">
        <v>5.5430527008623596</v>
      </c>
      <c r="S39" s="61">
        <v>0</v>
      </c>
      <c r="T39" s="61">
        <v>0</v>
      </c>
      <c r="U39" s="61">
        <v>0</v>
      </c>
      <c r="V39" s="61">
        <v>0</v>
      </c>
      <c r="W39" s="61" t="s">
        <v>535</v>
      </c>
      <c r="X39" s="61" t="s">
        <v>535</v>
      </c>
    </row>
    <row r="40" spans="1:26" s="275" customFormat="1" ht="14">
      <c r="B40" s="306" t="s">
        <v>340</v>
      </c>
      <c r="C40" s="61">
        <v>37</v>
      </c>
      <c r="D40" s="61">
        <v>65</v>
      </c>
      <c r="E40" s="61">
        <v>69</v>
      </c>
      <c r="F40" s="61" t="s">
        <v>383</v>
      </c>
      <c r="G40" s="61">
        <v>79</v>
      </c>
      <c r="H40" s="61">
        <v>42</v>
      </c>
      <c r="I40" s="61">
        <v>138</v>
      </c>
      <c r="J40" s="61">
        <v>82</v>
      </c>
      <c r="K40" s="61">
        <v>80</v>
      </c>
      <c r="L40" s="61">
        <v>190.05876842000001</v>
      </c>
      <c r="M40" s="61">
        <v>106.6479229</v>
      </c>
      <c r="N40" s="61">
        <v>48.402552880000002</v>
      </c>
      <c r="O40" s="61">
        <v>63.196630599999992</v>
      </c>
      <c r="P40" s="61">
        <v>54.956602880000005</v>
      </c>
      <c r="Q40" s="61">
        <v>103.68918823000001</v>
      </c>
      <c r="R40" s="61">
        <v>106.28331817</v>
      </c>
      <c r="S40" s="61">
        <v>64.718781890000002</v>
      </c>
      <c r="T40" s="61">
        <v>138.38534986000002</v>
      </c>
      <c r="U40" s="61">
        <v>92</v>
      </c>
      <c r="V40" s="61">
        <v>92.535044720000002</v>
      </c>
      <c r="W40" s="61">
        <v>139</v>
      </c>
      <c r="X40" s="61" t="s">
        <v>535</v>
      </c>
      <c r="Y40" s="493"/>
    </row>
    <row r="41" spans="1:26" ht="14">
      <c r="B41" s="306" t="s">
        <v>115</v>
      </c>
      <c r="C41" s="61">
        <v>53</v>
      </c>
      <c r="D41" s="61">
        <v>56</v>
      </c>
      <c r="E41" s="61">
        <v>64</v>
      </c>
      <c r="F41" s="61">
        <v>51</v>
      </c>
      <c r="G41" s="61">
        <v>46</v>
      </c>
      <c r="H41" s="61">
        <v>42</v>
      </c>
      <c r="I41" s="61">
        <v>47</v>
      </c>
      <c r="J41" s="61">
        <v>65</v>
      </c>
      <c r="K41" s="61">
        <v>58</v>
      </c>
      <c r="L41" s="61">
        <v>252.17299862245557</v>
      </c>
      <c r="M41" s="61">
        <v>117.82412756369983</v>
      </c>
      <c r="N41" s="61">
        <v>112.9131673187924</v>
      </c>
      <c r="O41" s="61">
        <v>108.14408828383074</v>
      </c>
      <c r="P41" s="61">
        <v>123.87890668473197</v>
      </c>
      <c r="Q41" s="61">
        <v>117.31862785971434</v>
      </c>
      <c r="R41" s="61">
        <v>122.02372817422655</v>
      </c>
      <c r="S41" s="61">
        <v>96.415574687710034</v>
      </c>
      <c r="T41" s="61">
        <v>103.84976468690255</v>
      </c>
      <c r="U41" s="61">
        <v>113</v>
      </c>
      <c r="V41" s="61">
        <v>119</v>
      </c>
      <c r="W41" s="61">
        <v>107</v>
      </c>
      <c r="X41" s="61">
        <v>114</v>
      </c>
    </row>
    <row r="42" spans="1:26">
      <c r="B42" s="191"/>
      <c r="C42" s="293"/>
      <c r="D42" s="293"/>
      <c r="E42" s="293"/>
      <c r="F42" s="293"/>
      <c r="G42" s="293"/>
      <c r="H42" s="293"/>
      <c r="I42" s="293"/>
      <c r="J42" s="293"/>
    </row>
    <row r="43" spans="1:26" ht="14.5" thickBot="1">
      <c r="B43" s="344" t="s">
        <v>221</v>
      </c>
      <c r="C43" s="344"/>
      <c r="D43" s="344"/>
      <c r="E43" s="344"/>
      <c r="F43" s="344"/>
      <c r="G43" s="344"/>
      <c r="H43" s="344"/>
      <c r="I43" s="344"/>
      <c r="J43" s="344"/>
      <c r="K43" s="344"/>
      <c r="L43" s="344"/>
      <c r="M43" s="344"/>
      <c r="N43" s="344"/>
      <c r="O43" s="344"/>
      <c r="P43" s="344"/>
      <c r="Q43" s="344"/>
      <c r="R43" s="624"/>
      <c r="S43" s="624"/>
      <c r="T43" s="624"/>
      <c r="U43" s="624"/>
      <c r="V43" s="624"/>
      <c r="W43" s="624"/>
      <c r="X43" s="117"/>
    </row>
    <row r="44" spans="1:26" ht="14.5" thickTop="1">
      <c r="B44" s="345" t="s">
        <v>234</v>
      </c>
      <c r="C44" s="346"/>
      <c r="D44" s="347"/>
      <c r="E44" s="347"/>
      <c r="F44" s="347"/>
      <c r="G44" s="347"/>
      <c r="H44" s="347"/>
      <c r="I44" s="347"/>
      <c r="J44" s="347"/>
      <c r="K44" s="347"/>
      <c r="L44" s="347"/>
      <c r="M44" s="347"/>
      <c r="N44" s="347"/>
      <c r="O44" s="347"/>
      <c r="P44" s="347"/>
      <c r="Q44" s="347"/>
      <c r="R44" s="347"/>
      <c r="S44" s="347"/>
      <c r="T44" s="347"/>
      <c r="U44" s="347"/>
      <c r="V44" s="347"/>
      <c r="W44" s="347"/>
      <c r="X44" s="347"/>
    </row>
    <row r="45" spans="1:26" s="307" customFormat="1" ht="14.25" customHeight="1">
      <c r="A45" s="273"/>
      <c r="B45" s="456" t="s">
        <v>235</v>
      </c>
      <c r="C45" s="623" t="s">
        <v>376</v>
      </c>
      <c r="D45" s="623"/>
      <c r="E45" s="623"/>
      <c r="F45" s="623"/>
      <c r="G45" s="623"/>
      <c r="H45" s="623"/>
      <c r="I45" s="623"/>
      <c r="J45" s="623"/>
      <c r="K45" s="623"/>
      <c r="L45" s="623"/>
      <c r="M45" s="623"/>
      <c r="N45" s="623"/>
      <c r="O45" s="623"/>
      <c r="P45" s="623"/>
      <c r="Q45" s="623"/>
      <c r="R45" s="623"/>
      <c r="S45" s="623"/>
      <c r="T45" s="623"/>
      <c r="U45" s="473"/>
      <c r="V45" s="473"/>
      <c r="W45" s="473"/>
      <c r="X45" s="473"/>
    </row>
    <row r="46" spans="1:26" s="307" customFormat="1" ht="14">
      <c r="A46" s="273"/>
      <c r="B46" s="456"/>
      <c r="C46" s="623"/>
      <c r="D46" s="623"/>
      <c r="E46" s="623"/>
      <c r="F46" s="623"/>
      <c r="G46" s="623"/>
      <c r="H46" s="623"/>
      <c r="I46" s="623"/>
      <c r="J46" s="623"/>
      <c r="K46" s="623"/>
      <c r="L46" s="623"/>
      <c r="M46" s="623"/>
      <c r="N46" s="623"/>
      <c r="O46" s="623"/>
      <c r="P46" s="623"/>
      <c r="Q46" s="623"/>
      <c r="R46" s="623"/>
      <c r="S46" s="623"/>
      <c r="T46" s="623"/>
      <c r="U46" s="473"/>
      <c r="V46" s="473"/>
      <c r="W46" s="473"/>
      <c r="X46" s="473"/>
    </row>
    <row r="47" spans="1:26" ht="14">
      <c r="B47" s="456"/>
      <c r="C47" s="623"/>
      <c r="D47" s="623"/>
      <c r="E47" s="623"/>
      <c r="F47" s="623"/>
      <c r="G47" s="623"/>
      <c r="H47" s="623"/>
      <c r="I47" s="623"/>
      <c r="J47" s="623"/>
      <c r="K47" s="623"/>
      <c r="L47" s="623"/>
      <c r="M47" s="623"/>
      <c r="N47" s="623"/>
      <c r="O47" s="623"/>
      <c r="P47" s="623"/>
      <c r="Q47" s="623"/>
      <c r="R47" s="623"/>
      <c r="S47" s="623"/>
      <c r="T47" s="623"/>
      <c r="U47" s="473"/>
      <c r="V47" s="473"/>
      <c r="W47" s="473"/>
      <c r="X47" s="473"/>
    </row>
    <row r="48" spans="1:26" ht="14">
      <c r="B48" s="456" t="s">
        <v>236</v>
      </c>
      <c r="C48" s="457" t="s">
        <v>237</v>
      </c>
      <c r="D48" s="456"/>
      <c r="E48" s="456"/>
      <c r="F48" s="456"/>
      <c r="G48" s="456"/>
      <c r="H48" s="456"/>
      <c r="I48" s="456"/>
      <c r="J48" s="456"/>
      <c r="K48" s="456"/>
      <c r="L48" s="456"/>
      <c r="M48" s="456"/>
      <c r="N48" s="456"/>
      <c r="O48" s="456"/>
      <c r="P48" s="456"/>
      <c r="Q48" s="456"/>
      <c r="R48" s="456"/>
      <c r="S48" s="456"/>
      <c r="T48" s="456"/>
      <c r="U48" s="456"/>
      <c r="V48" s="456"/>
      <c r="W48" s="456"/>
      <c r="X48" s="456"/>
    </row>
    <row r="49" spans="2:24" ht="14">
      <c r="B49" s="457" t="s">
        <v>238</v>
      </c>
      <c r="C49" s="457" t="s">
        <v>239</v>
      </c>
      <c r="D49" s="457"/>
      <c r="E49" s="457"/>
      <c r="F49" s="457"/>
      <c r="G49" s="457"/>
      <c r="H49" s="457"/>
      <c r="I49" s="457"/>
      <c r="J49" s="457"/>
      <c r="K49" s="457"/>
      <c r="L49" s="457"/>
      <c r="M49" s="457"/>
      <c r="N49" s="457"/>
      <c r="O49" s="457"/>
      <c r="P49" s="457"/>
      <c r="Q49" s="457"/>
      <c r="R49" s="457"/>
      <c r="S49" s="457"/>
      <c r="T49" s="457"/>
      <c r="U49" s="457"/>
      <c r="V49" s="457"/>
      <c r="W49" s="457"/>
      <c r="X49" s="457"/>
    </row>
    <row r="50" spans="2:24" ht="14">
      <c r="B50" s="456" t="s">
        <v>240</v>
      </c>
      <c r="C50" s="457" t="s">
        <v>241</v>
      </c>
      <c r="D50" s="456"/>
      <c r="E50" s="456"/>
      <c r="F50" s="456"/>
      <c r="G50" s="456"/>
      <c r="H50" s="456"/>
      <c r="I50" s="456"/>
      <c r="J50" s="456"/>
      <c r="K50" s="456"/>
      <c r="L50" s="456"/>
      <c r="M50" s="456"/>
      <c r="N50" s="456"/>
      <c r="O50" s="456"/>
      <c r="P50" s="456"/>
      <c r="Q50" s="456"/>
      <c r="R50" s="456"/>
      <c r="S50" s="456"/>
      <c r="T50" s="456"/>
      <c r="U50" s="456"/>
      <c r="V50" s="456"/>
      <c r="W50" s="456"/>
      <c r="X50" s="456"/>
    </row>
    <row r="51" spans="2:24" ht="14">
      <c r="B51" s="456" t="s">
        <v>242</v>
      </c>
      <c r="C51" s="457" t="s">
        <v>243</v>
      </c>
      <c r="D51" s="456"/>
      <c r="E51" s="456"/>
      <c r="F51" s="456"/>
      <c r="G51" s="456"/>
      <c r="H51" s="456"/>
      <c r="I51" s="456"/>
      <c r="J51" s="456"/>
      <c r="K51" s="456"/>
      <c r="L51" s="456"/>
      <c r="M51" s="456"/>
      <c r="N51" s="456"/>
      <c r="O51" s="456"/>
      <c r="P51" s="456"/>
      <c r="Q51" s="456"/>
      <c r="R51" s="456"/>
      <c r="S51" s="456"/>
      <c r="T51" s="456"/>
      <c r="U51" s="456"/>
      <c r="V51" s="456"/>
      <c r="W51" s="456"/>
      <c r="X51" s="456"/>
    </row>
    <row r="52" spans="2:24" ht="14">
      <c r="B52" s="456" t="s">
        <v>244</v>
      </c>
      <c r="C52" s="457" t="s">
        <v>245</v>
      </c>
      <c r="D52" s="456"/>
      <c r="E52" s="456"/>
      <c r="F52" s="456"/>
      <c r="G52" s="456"/>
      <c r="H52" s="456"/>
      <c r="I52" s="456"/>
      <c r="J52" s="456"/>
      <c r="K52" s="456"/>
      <c r="L52" s="456"/>
      <c r="M52" s="456"/>
      <c r="N52" s="456"/>
      <c r="O52" s="456"/>
      <c r="P52" s="456"/>
      <c r="Q52" s="456"/>
      <c r="R52" s="456"/>
      <c r="S52" s="456"/>
      <c r="T52" s="456"/>
      <c r="U52" s="456"/>
      <c r="V52" s="456"/>
      <c r="W52" s="456"/>
      <c r="X52" s="456"/>
    </row>
    <row r="53" spans="2:24" ht="14">
      <c r="B53" s="347"/>
      <c r="C53" s="346"/>
      <c r="D53" s="347"/>
      <c r="E53" s="347"/>
      <c r="F53" s="347"/>
      <c r="G53" s="347"/>
      <c r="H53" s="347"/>
      <c r="I53" s="347"/>
      <c r="J53" s="347"/>
      <c r="K53" s="347"/>
      <c r="L53" s="347"/>
      <c r="M53" s="347"/>
      <c r="N53" s="347"/>
      <c r="O53" s="347"/>
      <c r="P53" s="347"/>
      <c r="Q53" s="347"/>
      <c r="R53" s="347"/>
      <c r="S53" s="347"/>
      <c r="T53" s="347"/>
      <c r="U53" s="347"/>
      <c r="V53" s="347"/>
      <c r="W53" s="347"/>
      <c r="X53" s="347"/>
    </row>
    <row r="54" spans="2:24" ht="14">
      <c r="B54" s="347"/>
      <c r="C54" s="346"/>
      <c r="D54" s="347"/>
      <c r="E54" s="347"/>
      <c r="F54" s="347"/>
      <c r="G54" s="347"/>
      <c r="H54" s="347"/>
      <c r="I54" s="347"/>
      <c r="J54" s="347"/>
      <c r="K54" s="347"/>
      <c r="L54" s="347"/>
      <c r="M54" s="347"/>
      <c r="N54" s="347"/>
      <c r="O54" s="347"/>
      <c r="P54" s="347"/>
      <c r="Q54" s="347"/>
      <c r="R54" s="347"/>
      <c r="S54" s="347"/>
      <c r="T54" s="347"/>
      <c r="U54" s="347"/>
      <c r="V54" s="347"/>
      <c r="W54" s="347"/>
      <c r="X54" s="347"/>
    </row>
    <row r="55" spans="2:24" ht="14">
      <c r="B55" s="345" t="s">
        <v>102</v>
      </c>
      <c r="C55" s="346"/>
      <c r="D55" s="347"/>
      <c r="E55" s="347"/>
      <c r="F55" s="347"/>
      <c r="G55" s="347"/>
      <c r="H55" s="347"/>
      <c r="I55" s="347"/>
      <c r="J55" s="347"/>
      <c r="K55" s="347"/>
      <c r="L55" s="347"/>
      <c r="M55" s="347"/>
      <c r="N55" s="347"/>
      <c r="O55" s="347"/>
      <c r="P55" s="347"/>
      <c r="Q55" s="347"/>
      <c r="R55" s="347"/>
      <c r="S55" s="347"/>
      <c r="T55" s="347"/>
      <c r="U55" s="347"/>
      <c r="V55" s="347"/>
      <c r="W55" s="347"/>
      <c r="X55" s="347"/>
    </row>
    <row r="56" spans="2:24" ht="14.25" customHeight="1">
      <c r="B56" s="347" t="s">
        <v>246</v>
      </c>
      <c r="C56" s="621" t="s">
        <v>247</v>
      </c>
      <c r="D56" s="621"/>
      <c r="E56" s="621"/>
      <c r="F56" s="621"/>
      <c r="G56" s="621"/>
      <c r="H56" s="621"/>
      <c r="I56" s="621"/>
      <c r="J56" s="621"/>
      <c r="K56" s="621"/>
      <c r="L56" s="621"/>
      <c r="M56" s="621"/>
      <c r="N56" s="621"/>
      <c r="O56" s="621"/>
      <c r="P56" s="621"/>
      <c r="Q56" s="621"/>
      <c r="R56" s="621"/>
      <c r="S56" s="621"/>
      <c r="T56" s="621"/>
      <c r="U56" s="471"/>
      <c r="V56" s="471"/>
      <c r="W56" s="471"/>
      <c r="X56" s="471"/>
    </row>
    <row r="57" spans="2:24" ht="14">
      <c r="B57" s="347" t="s">
        <v>248</v>
      </c>
      <c r="C57" s="346" t="s">
        <v>249</v>
      </c>
      <c r="D57" s="346"/>
      <c r="E57" s="346"/>
      <c r="F57" s="346"/>
      <c r="G57" s="346"/>
      <c r="H57" s="346"/>
      <c r="I57" s="346"/>
      <c r="J57" s="346"/>
      <c r="K57" s="346"/>
      <c r="L57" s="346"/>
      <c r="M57" s="346"/>
      <c r="N57" s="346"/>
      <c r="O57" s="346" t="s">
        <v>536</v>
      </c>
      <c r="P57" s="346"/>
      <c r="Q57" s="346"/>
      <c r="R57" s="346"/>
      <c r="S57" s="346"/>
      <c r="T57" s="346"/>
      <c r="U57" s="346"/>
      <c r="V57" s="346"/>
      <c r="W57" s="346"/>
      <c r="X57" s="346"/>
    </row>
    <row r="58" spans="2:24" ht="14">
      <c r="B58" s="347" t="s">
        <v>240</v>
      </c>
      <c r="C58" s="346" t="s">
        <v>250</v>
      </c>
      <c r="D58" s="346"/>
      <c r="E58" s="346"/>
      <c r="F58" s="346"/>
      <c r="G58" s="346"/>
      <c r="H58" s="346"/>
      <c r="I58" s="346"/>
      <c r="J58" s="346"/>
      <c r="K58" s="346"/>
      <c r="L58" s="346"/>
      <c r="M58" s="346"/>
      <c r="N58" s="346"/>
      <c r="O58" s="346"/>
      <c r="P58" s="346"/>
      <c r="Q58" s="346"/>
      <c r="R58" s="346"/>
      <c r="S58" s="346"/>
      <c r="T58" s="346"/>
      <c r="U58" s="346"/>
      <c r="V58" s="346"/>
      <c r="W58" s="346"/>
      <c r="X58" s="346"/>
    </row>
    <row r="59" spans="2:24" ht="14">
      <c r="B59" s="347" t="s">
        <v>251</v>
      </c>
      <c r="C59" s="346" t="s">
        <v>252</v>
      </c>
      <c r="D59" s="346"/>
      <c r="E59" s="346"/>
      <c r="F59" s="346"/>
      <c r="G59" s="346"/>
      <c r="H59" s="346"/>
      <c r="I59" s="346"/>
      <c r="J59" s="346"/>
      <c r="K59" s="346"/>
      <c r="L59" s="346"/>
      <c r="M59" s="346"/>
      <c r="N59" s="346"/>
      <c r="O59" s="346"/>
      <c r="P59" s="346"/>
      <c r="Q59" s="346"/>
      <c r="R59" s="346"/>
      <c r="S59" s="346"/>
      <c r="T59" s="346"/>
      <c r="U59" s="346"/>
      <c r="V59" s="346"/>
      <c r="W59" s="346"/>
      <c r="X59" s="346"/>
    </row>
    <row r="60" spans="2:24" s="275" customFormat="1" ht="14">
      <c r="B60" s="346" t="s">
        <v>253</v>
      </c>
      <c r="C60" s="346" t="s">
        <v>254</v>
      </c>
      <c r="D60" s="346"/>
      <c r="E60" s="346"/>
      <c r="F60" s="346"/>
      <c r="G60" s="346"/>
      <c r="H60" s="346"/>
      <c r="I60" s="346"/>
      <c r="J60" s="346"/>
      <c r="K60" s="346"/>
      <c r="L60" s="346"/>
      <c r="M60" s="346"/>
      <c r="N60" s="346"/>
      <c r="O60" s="346"/>
      <c r="P60" s="346"/>
      <c r="Q60" s="346"/>
      <c r="R60" s="346"/>
      <c r="S60" s="346"/>
      <c r="T60" s="346"/>
      <c r="U60" s="346"/>
      <c r="V60" s="346"/>
      <c r="W60" s="346"/>
      <c r="X60" s="346"/>
    </row>
    <row r="61" spans="2:24" ht="14">
      <c r="B61" s="347"/>
      <c r="C61" s="346"/>
      <c r="D61" s="346"/>
      <c r="E61" s="346"/>
      <c r="F61" s="346"/>
      <c r="G61" s="346"/>
      <c r="H61" s="346"/>
      <c r="I61" s="346"/>
      <c r="J61" s="346"/>
      <c r="K61" s="346"/>
      <c r="L61" s="346"/>
      <c r="M61" s="346"/>
      <c r="N61" s="346"/>
      <c r="O61" s="346"/>
      <c r="P61" s="346"/>
      <c r="Q61" s="346"/>
      <c r="R61" s="346"/>
      <c r="S61" s="346"/>
      <c r="T61" s="346"/>
      <c r="U61" s="346"/>
      <c r="V61" s="346"/>
      <c r="W61" s="346"/>
      <c r="X61" s="346"/>
    </row>
    <row r="62" spans="2:24" ht="14">
      <c r="B62" s="345" t="s">
        <v>105</v>
      </c>
      <c r="C62" s="346"/>
      <c r="D62" s="346"/>
      <c r="E62" s="346"/>
      <c r="F62" s="346"/>
      <c r="G62" s="346"/>
      <c r="H62" s="346"/>
      <c r="I62" s="346"/>
      <c r="J62" s="346"/>
      <c r="K62" s="346"/>
      <c r="L62" s="346"/>
      <c r="M62" s="346"/>
      <c r="N62" s="346"/>
      <c r="O62" s="346"/>
      <c r="P62" s="346"/>
      <c r="Q62" s="346"/>
      <c r="R62" s="346"/>
      <c r="S62" s="346"/>
      <c r="T62" s="346"/>
      <c r="U62" s="346"/>
      <c r="V62" s="346"/>
      <c r="W62" s="346"/>
      <c r="X62" s="346"/>
    </row>
    <row r="63" spans="2:24" ht="14.25" customHeight="1">
      <c r="B63" s="347" t="s">
        <v>246</v>
      </c>
      <c r="C63" s="621" t="s">
        <v>255</v>
      </c>
      <c r="D63" s="621"/>
      <c r="E63" s="621"/>
      <c r="F63" s="621"/>
      <c r="G63" s="621"/>
      <c r="H63" s="621"/>
      <c r="I63" s="621"/>
      <c r="J63" s="621"/>
      <c r="K63" s="621"/>
      <c r="L63" s="621"/>
      <c r="M63" s="621"/>
      <c r="N63" s="621"/>
      <c r="O63" s="621"/>
      <c r="P63" s="621"/>
      <c r="Q63" s="621"/>
      <c r="R63" s="621"/>
      <c r="S63" s="621"/>
      <c r="T63" s="621"/>
      <c r="U63" s="471"/>
      <c r="V63" s="471"/>
      <c r="W63" s="471"/>
      <c r="X63" s="471"/>
    </row>
    <row r="64" spans="2:24" ht="14">
      <c r="B64" s="347" t="s">
        <v>248</v>
      </c>
      <c r="C64" s="346" t="s">
        <v>249</v>
      </c>
      <c r="D64" s="348"/>
      <c r="E64" s="348"/>
      <c r="F64" s="348"/>
      <c r="G64" s="348"/>
      <c r="H64" s="348"/>
      <c r="I64" s="348"/>
      <c r="J64" s="348"/>
      <c r="K64" s="348"/>
      <c r="L64" s="348"/>
      <c r="M64" s="348"/>
      <c r="N64" s="348"/>
      <c r="O64" s="346" t="s">
        <v>536</v>
      </c>
      <c r="P64" s="348"/>
      <c r="Q64" s="348"/>
      <c r="R64" s="348"/>
      <c r="S64" s="348"/>
      <c r="T64" s="348"/>
      <c r="U64" s="348"/>
      <c r="V64" s="348"/>
      <c r="W64" s="348"/>
      <c r="X64" s="348"/>
    </row>
    <row r="65" spans="2:24" ht="14">
      <c r="B65" s="347" t="s">
        <v>240</v>
      </c>
      <c r="C65" s="346" t="s">
        <v>256</v>
      </c>
      <c r="D65" s="347"/>
      <c r="E65" s="347"/>
      <c r="F65" s="347"/>
      <c r="G65" s="347"/>
      <c r="H65" s="347"/>
      <c r="I65" s="347"/>
      <c r="J65" s="347"/>
      <c r="K65" s="347"/>
      <c r="L65" s="347"/>
      <c r="M65" s="347"/>
      <c r="N65" s="347"/>
      <c r="O65" s="347"/>
      <c r="P65" s="347"/>
      <c r="Q65" s="347"/>
      <c r="R65" s="347"/>
      <c r="S65" s="347"/>
      <c r="T65" s="347"/>
      <c r="U65" s="347"/>
      <c r="V65" s="347"/>
      <c r="W65" s="347"/>
      <c r="X65" s="347"/>
    </row>
    <row r="66" spans="2:24" ht="14">
      <c r="B66" s="347" t="s">
        <v>251</v>
      </c>
      <c r="C66" s="346" t="s">
        <v>257</v>
      </c>
      <c r="D66" s="347"/>
      <c r="E66" s="347"/>
      <c r="F66" s="347"/>
      <c r="G66" s="347"/>
      <c r="H66" s="347"/>
      <c r="I66" s="347"/>
      <c r="J66" s="347"/>
      <c r="K66" s="347"/>
      <c r="L66" s="347"/>
      <c r="M66" s="347"/>
      <c r="N66" s="347"/>
      <c r="O66" s="347"/>
      <c r="P66" s="347"/>
      <c r="Q66" s="347"/>
      <c r="R66" s="347"/>
      <c r="S66" s="347"/>
      <c r="T66" s="347"/>
      <c r="U66" s="347"/>
      <c r="V66" s="347"/>
      <c r="W66" s="347"/>
      <c r="X66" s="347"/>
    </row>
    <row r="67" spans="2:24" s="275" customFormat="1" ht="14">
      <c r="B67" s="346" t="s">
        <v>253</v>
      </c>
      <c r="C67" s="346" t="s">
        <v>254</v>
      </c>
      <c r="D67" s="346"/>
      <c r="E67" s="346"/>
      <c r="F67" s="346"/>
      <c r="G67" s="346"/>
      <c r="H67" s="346"/>
      <c r="I67" s="346"/>
      <c r="J67" s="346"/>
      <c r="K67" s="346"/>
      <c r="L67" s="346"/>
      <c r="M67" s="346"/>
      <c r="N67" s="346"/>
      <c r="O67" s="346"/>
      <c r="P67" s="346"/>
      <c r="Q67" s="346"/>
      <c r="R67" s="346"/>
      <c r="S67" s="346"/>
      <c r="T67" s="346"/>
      <c r="U67" s="346"/>
      <c r="V67" s="346"/>
      <c r="W67" s="346"/>
      <c r="X67" s="346"/>
    </row>
    <row r="68" spans="2:24" ht="14">
      <c r="B68" s="347"/>
      <c r="C68" s="346"/>
      <c r="D68" s="347"/>
      <c r="E68" s="347"/>
      <c r="F68" s="347"/>
      <c r="G68" s="347"/>
      <c r="H68" s="347"/>
      <c r="I68" s="347"/>
      <c r="J68" s="347"/>
      <c r="K68" s="347"/>
      <c r="L68" s="347"/>
      <c r="M68" s="347"/>
      <c r="N68" s="347"/>
      <c r="O68" s="347"/>
      <c r="P68" s="347"/>
      <c r="Q68" s="347"/>
      <c r="R68" s="347"/>
      <c r="S68" s="347"/>
      <c r="T68" s="347"/>
      <c r="U68" s="347"/>
      <c r="V68" s="347"/>
      <c r="W68" s="347"/>
      <c r="X68" s="347"/>
    </row>
    <row r="69" spans="2:24" ht="14">
      <c r="B69" s="345" t="s">
        <v>109</v>
      </c>
      <c r="C69" s="346"/>
      <c r="D69" s="347"/>
      <c r="E69" s="347"/>
      <c r="F69" s="347"/>
      <c r="G69" s="347"/>
      <c r="H69" s="347"/>
      <c r="I69" s="347"/>
      <c r="J69" s="347"/>
      <c r="K69" s="347"/>
      <c r="L69" s="347"/>
      <c r="M69" s="347"/>
      <c r="N69" s="347"/>
      <c r="O69" s="347"/>
      <c r="P69" s="347"/>
      <c r="Q69" s="347"/>
      <c r="R69" s="347"/>
      <c r="S69" s="347"/>
      <c r="T69" s="347"/>
      <c r="U69" s="347"/>
      <c r="V69" s="347"/>
      <c r="W69" s="347"/>
      <c r="X69" s="347"/>
    </row>
    <row r="70" spans="2:24" ht="14">
      <c r="B70" s="347" t="s">
        <v>537</v>
      </c>
      <c r="C70" s="346" t="s">
        <v>258</v>
      </c>
      <c r="D70" s="347"/>
      <c r="E70" s="347"/>
      <c r="F70" s="347"/>
      <c r="G70" s="347"/>
      <c r="H70" s="347"/>
      <c r="I70" s="347"/>
      <c r="J70" s="347"/>
      <c r="K70" s="347"/>
      <c r="L70" s="347"/>
      <c r="M70" s="347"/>
      <c r="N70" s="347"/>
      <c r="O70" s="347"/>
      <c r="P70" s="347"/>
      <c r="Q70" s="347"/>
      <c r="R70" s="347"/>
      <c r="S70" s="347"/>
      <c r="T70" s="347"/>
      <c r="U70" s="347"/>
      <c r="V70" s="347"/>
      <c r="W70" s="347"/>
      <c r="X70" s="347"/>
    </row>
    <row r="71" spans="2:24" ht="14">
      <c r="B71" s="347"/>
      <c r="C71" s="346"/>
      <c r="D71" s="347"/>
      <c r="E71" s="347"/>
      <c r="F71" s="347"/>
      <c r="G71" s="347"/>
      <c r="H71" s="347"/>
      <c r="I71" s="347"/>
      <c r="J71" s="347"/>
      <c r="K71" s="347"/>
      <c r="L71" s="347"/>
      <c r="M71" s="347"/>
      <c r="N71" s="347"/>
      <c r="O71" s="347"/>
      <c r="P71" s="347"/>
      <c r="Q71" s="347"/>
      <c r="R71" s="347"/>
      <c r="S71" s="347"/>
      <c r="T71" s="347"/>
      <c r="U71" s="347"/>
      <c r="V71" s="347"/>
      <c r="W71" s="347"/>
      <c r="X71" s="347"/>
    </row>
    <row r="72" spans="2:24" ht="14">
      <c r="B72" s="345" t="s">
        <v>112</v>
      </c>
      <c r="C72" s="346"/>
      <c r="D72" s="347"/>
      <c r="E72" s="347"/>
      <c r="F72" s="347"/>
      <c r="G72" s="347"/>
      <c r="H72" s="347"/>
      <c r="I72" s="347"/>
      <c r="J72" s="347"/>
      <c r="K72" s="347"/>
      <c r="L72" s="347"/>
      <c r="M72" s="347"/>
      <c r="N72" s="347"/>
      <c r="O72" s="347"/>
      <c r="P72" s="347"/>
      <c r="Q72" s="347"/>
      <c r="R72" s="347"/>
      <c r="S72" s="347"/>
      <c r="T72" s="347"/>
      <c r="U72" s="347"/>
      <c r="V72" s="347"/>
      <c r="W72" s="347"/>
      <c r="X72" s="347"/>
    </row>
    <row r="73" spans="2:24" ht="14">
      <c r="B73" s="347" t="s">
        <v>538</v>
      </c>
      <c r="C73" s="346" t="s">
        <v>259</v>
      </c>
      <c r="D73" s="347"/>
      <c r="E73" s="347"/>
      <c r="F73" s="347"/>
      <c r="G73" s="347"/>
      <c r="H73" s="347"/>
      <c r="I73" s="347"/>
      <c r="J73" s="347"/>
      <c r="K73" s="347"/>
      <c r="L73" s="347"/>
      <c r="M73" s="347"/>
      <c r="N73" s="347"/>
      <c r="O73" s="347"/>
      <c r="P73" s="347"/>
      <c r="Q73" s="347"/>
      <c r="R73" s="347"/>
      <c r="S73" s="347"/>
      <c r="T73" s="347"/>
      <c r="U73" s="347"/>
      <c r="V73" s="347"/>
      <c r="W73" s="347"/>
      <c r="X73" s="347"/>
    </row>
    <row r="74" spans="2:24" ht="14.5">
      <c r="B74" s="347" t="s">
        <v>539</v>
      </c>
      <c r="C74" s="346" t="s">
        <v>260</v>
      </c>
      <c r="D74" s="347"/>
      <c r="E74" s="347"/>
      <c r="F74" s="347"/>
      <c r="G74" s="347"/>
      <c r="H74" s="347"/>
      <c r="I74" s="347"/>
      <c r="J74" s="347"/>
      <c r="K74" s="347"/>
      <c r="L74" s="347"/>
      <c r="M74" s="347"/>
      <c r="N74" s="347"/>
      <c r="O74" s="347"/>
      <c r="P74" s="347"/>
      <c r="Q74" s="347"/>
      <c r="R74" s="347"/>
      <c r="S74" s="347"/>
      <c r="T74" s="347"/>
      <c r="U74" s="347"/>
      <c r="V74" s="347"/>
      <c r="W74" s="347"/>
      <c r="X74" s="347"/>
    </row>
    <row r="75" spans="2:24">
      <c r="B75" s="349"/>
      <c r="C75" s="349"/>
      <c r="D75" s="349"/>
      <c r="E75" s="349"/>
      <c r="F75" s="349"/>
      <c r="G75" s="349"/>
      <c r="H75" s="349"/>
      <c r="I75" s="349"/>
      <c r="J75" s="349"/>
      <c r="K75" s="349"/>
      <c r="L75" s="349"/>
      <c r="M75" s="349"/>
      <c r="N75" s="349"/>
      <c r="O75" s="349"/>
      <c r="P75" s="349"/>
      <c r="Q75" s="349"/>
      <c r="R75" s="349"/>
      <c r="S75" s="349"/>
      <c r="T75" s="349"/>
      <c r="U75" s="349"/>
      <c r="V75" s="349"/>
      <c r="W75" s="349"/>
      <c r="X75" s="349"/>
    </row>
    <row r="78" spans="2:24" ht="15">
      <c r="B78" s="458"/>
    </row>
    <row r="79" spans="2:24" ht="15">
      <c r="B79" s="458"/>
    </row>
    <row r="80" spans="2:24" ht="15">
      <c r="B80" s="458"/>
    </row>
    <row r="81" spans="2:24" ht="15">
      <c r="B81" s="458"/>
    </row>
    <row r="82" spans="2:24" ht="15">
      <c r="B82" s="458"/>
    </row>
    <row r="83" spans="2:24" ht="14">
      <c r="B83" s="347"/>
      <c r="C83" s="622"/>
      <c r="D83" s="622"/>
      <c r="E83" s="622"/>
      <c r="F83" s="622"/>
      <c r="G83" s="622"/>
      <c r="H83" s="622"/>
      <c r="I83" s="622"/>
      <c r="J83" s="622"/>
      <c r="K83" s="622"/>
      <c r="L83" s="622"/>
      <c r="M83" s="622"/>
      <c r="N83" s="622"/>
      <c r="O83" s="622"/>
      <c r="P83" s="622"/>
      <c r="Q83" s="622"/>
      <c r="R83" s="622"/>
      <c r="S83" s="622"/>
      <c r="T83" s="622"/>
      <c r="U83" s="472"/>
      <c r="V83" s="472"/>
      <c r="W83" s="472"/>
      <c r="X83" s="472"/>
    </row>
    <row r="84" spans="2:24" ht="14">
      <c r="B84" s="347"/>
      <c r="C84" s="622"/>
      <c r="D84" s="622"/>
      <c r="E84" s="622"/>
      <c r="F84" s="622"/>
      <c r="G84" s="622"/>
      <c r="H84" s="622"/>
      <c r="I84" s="622"/>
      <c r="J84" s="622"/>
      <c r="K84" s="622"/>
      <c r="L84" s="622"/>
      <c r="M84" s="622"/>
      <c r="N84" s="622"/>
      <c r="O84" s="622"/>
      <c r="P84" s="622"/>
      <c r="Q84" s="622"/>
      <c r="R84" s="622"/>
      <c r="S84" s="622"/>
      <c r="T84" s="622"/>
      <c r="U84" s="472"/>
      <c r="V84" s="472"/>
      <c r="W84" s="472"/>
      <c r="X84" s="472"/>
    </row>
    <row r="85" spans="2:24" ht="14">
      <c r="B85" s="347"/>
      <c r="C85" s="346"/>
      <c r="D85" s="347"/>
      <c r="E85" s="347"/>
      <c r="F85" s="347"/>
      <c r="G85" s="347"/>
      <c r="H85" s="347"/>
      <c r="I85" s="347"/>
      <c r="J85" s="347"/>
      <c r="K85" s="347"/>
      <c r="L85" s="347"/>
      <c r="M85" s="347"/>
      <c r="N85" s="347"/>
      <c r="O85" s="347"/>
      <c r="P85" s="347"/>
      <c r="Q85" s="347"/>
      <c r="R85" s="347"/>
      <c r="S85" s="347"/>
      <c r="T85" s="347"/>
      <c r="U85" s="347"/>
      <c r="V85" s="347"/>
      <c r="W85" s="347"/>
      <c r="X85" s="347"/>
    </row>
    <row r="86" spans="2:24" ht="14">
      <c r="B86" s="346"/>
      <c r="C86" s="346"/>
      <c r="D86" s="346"/>
      <c r="E86" s="346"/>
      <c r="F86" s="346"/>
      <c r="G86" s="346"/>
      <c r="H86" s="346"/>
      <c r="I86" s="346"/>
      <c r="J86" s="346"/>
      <c r="K86" s="346"/>
      <c r="L86" s="346"/>
      <c r="M86" s="346"/>
      <c r="N86" s="346"/>
      <c r="O86" s="346"/>
      <c r="P86" s="346"/>
      <c r="Q86" s="346"/>
      <c r="R86" s="346"/>
      <c r="S86" s="346"/>
      <c r="T86" s="346"/>
      <c r="U86" s="346"/>
      <c r="V86" s="346"/>
      <c r="W86" s="346"/>
      <c r="X86" s="346"/>
    </row>
    <row r="87" spans="2:24" ht="14">
      <c r="B87" s="346"/>
      <c r="C87" s="346"/>
      <c r="D87" s="346"/>
      <c r="E87" s="346"/>
      <c r="F87" s="346"/>
      <c r="G87" s="346"/>
      <c r="H87" s="346"/>
      <c r="I87" s="346"/>
      <c r="J87" s="346"/>
      <c r="K87" s="346"/>
      <c r="L87" s="346"/>
      <c r="M87" s="346"/>
      <c r="N87" s="346"/>
      <c r="O87" s="346"/>
      <c r="P87" s="346"/>
      <c r="Q87" s="346"/>
      <c r="R87" s="346"/>
      <c r="S87" s="346"/>
      <c r="T87" s="346"/>
      <c r="U87" s="346"/>
      <c r="V87" s="346"/>
      <c r="W87" s="346"/>
      <c r="X87" s="346"/>
    </row>
    <row r="88" spans="2:24" ht="14">
      <c r="B88" s="347"/>
      <c r="C88" s="346"/>
      <c r="D88" s="347"/>
      <c r="E88" s="347"/>
      <c r="F88" s="347"/>
      <c r="G88" s="347"/>
      <c r="H88" s="347"/>
      <c r="I88" s="347"/>
      <c r="J88" s="347"/>
      <c r="K88" s="347"/>
      <c r="L88" s="347"/>
      <c r="M88" s="347"/>
      <c r="N88" s="347"/>
      <c r="O88" s="347"/>
      <c r="P88" s="347"/>
      <c r="Q88" s="347"/>
      <c r="R88" s="347"/>
      <c r="S88" s="347"/>
      <c r="T88" s="347"/>
      <c r="U88" s="347"/>
      <c r="V88" s="347"/>
      <c r="W88" s="347"/>
      <c r="X88" s="347"/>
    </row>
  </sheetData>
  <mergeCells count="4">
    <mergeCell ref="C63:T63"/>
    <mergeCell ref="C83:T84"/>
    <mergeCell ref="C45:T47"/>
    <mergeCell ref="C56:T56"/>
  </mergeCells>
  <phoneticPr fontId="6" type="noConversion"/>
  <pageMargins left="0.33" right="0.28999999999999998" top="0.984251969" bottom="0.984251969" header="0.49212598499999999" footer="0.49212598499999999"/>
  <pageSetup paperSize="9" orientation="landscape" r:id="rId1"/>
  <headerFooter alignWithMargins="0"/>
  <ignoredErrors>
    <ignoredError sqref="O8:W8 O15:W15 O36:W36"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D067-4D0F-42A1-9AFF-CB23DF9FEBCD}">
  <sheetPr>
    <tabColor rgb="FF00B050"/>
    <pageSetUpPr fitToPage="1"/>
  </sheetPr>
  <dimension ref="B2:AO20"/>
  <sheetViews>
    <sheetView showGridLines="0" zoomScale="80" zoomScaleNormal="80" workbookViewId="0">
      <pane xSplit="2" ySplit="6" topLeftCell="K7" activePane="bottomRight" state="frozen"/>
      <selection activeCell="AC26" sqref="AC26"/>
      <selection pane="topRight" activeCell="AC26" sqref="AC26"/>
      <selection pane="bottomLeft" activeCell="AC26" sqref="AC26"/>
      <selection pane="bottomRight" activeCell="AG22" sqref="AG22"/>
    </sheetView>
  </sheetViews>
  <sheetFormatPr defaultColWidth="9.1796875" defaultRowHeight="12.5" outlineLevelCol="1"/>
  <cols>
    <col min="1" max="1" width="2.1796875" style="273" customWidth="1"/>
    <col min="2" max="2" width="32.1796875" style="273" customWidth="1"/>
    <col min="3" max="5" width="9.453125" style="273" hidden="1" customWidth="1" outlineLevel="1"/>
    <col min="6" max="6" width="10.81640625" style="273" hidden="1" customWidth="1" outlineLevel="1"/>
    <col min="7" max="9" width="9.453125" style="273" hidden="1" customWidth="1" outlineLevel="1"/>
    <col min="10" max="10" width="10.81640625" style="273" hidden="1" customWidth="1" outlineLevel="1"/>
    <col min="11" max="13" width="9.453125" style="273" hidden="1" customWidth="1" outlineLevel="1"/>
    <col min="14" max="14" width="10.81640625" style="273" hidden="1" customWidth="1" outlineLevel="1"/>
    <col min="15" max="16" width="9.453125" style="273" hidden="1" customWidth="1" outlineLevel="1"/>
    <col min="17" max="22" width="10.81640625" style="273" hidden="1" customWidth="1" outlineLevel="1"/>
    <col min="23" max="23" width="10.81640625" style="273" customWidth="1" collapsed="1"/>
    <col min="24" max="28" width="10.81640625" style="273" customWidth="1"/>
    <col min="29" max="29" width="12.54296875" style="273" bestFit="1" customWidth="1"/>
    <col min="30" max="32" width="12.54296875" style="273" customWidth="1"/>
    <col min="33" max="33" width="11.81640625" style="273" bestFit="1" customWidth="1"/>
    <col min="34" max="34" width="9.1796875" style="273"/>
    <col min="35" max="38" width="10.81640625" style="273" hidden="1" customWidth="1" outlineLevel="1"/>
    <col min="39" max="39" width="12.453125" style="273" hidden="1" customWidth="1" outlineLevel="1"/>
    <col min="40" max="40" width="12.453125" style="273" bestFit="1" customWidth="1" collapsed="1"/>
    <col min="41" max="41" width="12.453125" style="273" bestFit="1" customWidth="1"/>
    <col min="42" max="16384" width="9.1796875" style="273"/>
  </cols>
  <sheetData>
    <row r="2" spans="2:41" ht="13.5" customHeight="1"/>
    <row r="4" spans="2:41" ht="20.25" customHeight="1"/>
    <row r="5" spans="2:41" ht="13">
      <c r="B5" s="274"/>
    </row>
    <row r="6" spans="2:41" s="275" customFormat="1" ht="14.25" customHeight="1" thickBot="1">
      <c r="B6" s="276" t="s">
        <v>261</v>
      </c>
      <c r="C6" s="277" t="s">
        <v>84</v>
      </c>
      <c r="D6" s="277" t="s">
        <v>85</v>
      </c>
      <c r="E6" s="277" t="s">
        <v>86</v>
      </c>
      <c r="F6" s="277" t="s">
        <v>87</v>
      </c>
      <c r="G6" s="277" t="s">
        <v>88</v>
      </c>
      <c r="H6" s="277" t="s">
        <v>89</v>
      </c>
      <c r="I6" s="277" t="s">
        <v>90</v>
      </c>
      <c r="J6" s="277" t="s">
        <v>91</v>
      </c>
      <c r="K6" s="277" t="s">
        <v>92</v>
      </c>
      <c r="L6" s="277" t="s">
        <v>93</v>
      </c>
      <c r="M6" s="277" t="s">
        <v>94</v>
      </c>
      <c r="N6" s="277" t="s">
        <v>95</v>
      </c>
      <c r="O6" s="277" t="s">
        <v>96</v>
      </c>
      <c r="P6" s="277" t="s">
        <v>97</v>
      </c>
      <c r="Q6" s="277" t="s">
        <v>98</v>
      </c>
      <c r="R6" s="277" t="s">
        <v>99</v>
      </c>
      <c r="S6" s="277" t="s">
        <v>100</v>
      </c>
      <c r="T6" s="277" t="s">
        <v>101</v>
      </c>
      <c r="U6" s="277" t="s">
        <v>336</v>
      </c>
      <c r="V6" s="277" t="s">
        <v>342</v>
      </c>
      <c r="W6" s="277" t="s">
        <v>357</v>
      </c>
      <c r="X6" s="277" t="s">
        <v>384</v>
      </c>
      <c r="Y6" s="277" t="s">
        <v>395</v>
      </c>
      <c r="Z6" s="277" t="s">
        <v>396</v>
      </c>
      <c r="AA6" s="277" t="s">
        <v>469</v>
      </c>
      <c r="AB6" s="277" t="s">
        <v>473</v>
      </c>
      <c r="AC6" s="277" t="s">
        <v>478</v>
      </c>
      <c r="AD6" s="277" t="s">
        <v>480</v>
      </c>
      <c r="AE6" s="277" t="s">
        <v>518</v>
      </c>
      <c r="AF6" s="277" t="s">
        <v>521</v>
      </c>
      <c r="AI6" s="295">
        <v>2018</v>
      </c>
      <c r="AJ6" s="295">
        <v>2019</v>
      </c>
      <c r="AK6" s="295">
        <v>2020</v>
      </c>
      <c r="AL6" s="295">
        <v>2021</v>
      </c>
      <c r="AM6" s="295">
        <v>2022</v>
      </c>
      <c r="AN6" s="295">
        <v>2023</v>
      </c>
      <c r="AO6" s="295">
        <v>2024</v>
      </c>
    </row>
    <row r="7" spans="2:41" s="275" customFormat="1" ht="14.25" customHeight="1" thickTop="1">
      <c r="B7" s="286" t="s">
        <v>262</v>
      </c>
      <c r="C7" s="219">
        <v>3475.1692026476303</v>
      </c>
      <c r="D7" s="219">
        <v>1999.8556016330122</v>
      </c>
      <c r="E7" s="219">
        <v>5643.7309160939622</v>
      </c>
      <c r="F7" s="219">
        <v>36811.23227962535</v>
      </c>
      <c r="G7" s="219">
        <v>5711.3846610599976</v>
      </c>
      <c r="H7" s="219">
        <v>6621.8033512799993</v>
      </c>
      <c r="I7" s="219">
        <v>9864.8503189080002</v>
      </c>
      <c r="J7" s="219">
        <v>42464.33455846399</v>
      </c>
      <c r="K7" s="219">
        <v>15570.548193095998</v>
      </c>
      <c r="L7" s="219">
        <v>20261.394220988001</v>
      </c>
      <c r="M7" s="219">
        <v>18181.756396284007</v>
      </c>
      <c r="N7" s="219">
        <v>12685.462189631999</v>
      </c>
      <c r="O7" s="219">
        <v>11376.9548</v>
      </c>
      <c r="P7" s="219">
        <v>13302.90792</v>
      </c>
      <c r="Q7" s="219">
        <v>18972.104629999998</v>
      </c>
      <c r="R7" s="219">
        <v>53376.798699999999</v>
      </c>
      <c r="S7" s="219">
        <v>66194.416310000015</v>
      </c>
      <c r="T7" s="219">
        <v>114957</v>
      </c>
      <c r="U7" s="219">
        <v>144557.45674350005</v>
      </c>
      <c r="V7" s="219">
        <v>214212.83257438801</v>
      </c>
      <c r="W7" s="219">
        <v>131953.87991121953</v>
      </c>
      <c r="X7" s="219">
        <v>88019.173840000047</v>
      </c>
      <c r="Y7" s="219">
        <v>136038.58650770539</v>
      </c>
      <c r="Z7" s="219">
        <v>59619.070445265039</v>
      </c>
      <c r="AA7" s="219">
        <v>154017.13400550399</v>
      </c>
      <c r="AB7" s="219">
        <v>110145.50594999996</v>
      </c>
      <c r="AC7" s="468">
        <v>60084.55328</v>
      </c>
      <c r="AD7" s="468">
        <v>79638.078024634116</v>
      </c>
      <c r="AE7" s="468">
        <v>65819.321490731672</v>
      </c>
      <c r="AF7" s="468">
        <v>57624.588329999999</v>
      </c>
      <c r="AG7" s="493"/>
      <c r="AI7" s="219">
        <f>SUM(C7:F7)</f>
        <v>47929.987999999954</v>
      </c>
      <c r="AJ7" s="219">
        <f>SUM(G7:J7)</f>
        <v>64662.372889711987</v>
      </c>
      <c r="AK7" s="219">
        <f>SUM(K7:N7)</f>
        <v>66699.161000000007</v>
      </c>
      <c r="AL7" s="219">
        <f>SUM(O7:R7)</f>
        <v>97028.766049999991</v>
      </c>
      <c r="AM7" s="219">
        <f>SUM(S7:V7)</f>
        <v>539921.70562788809</v>
      </c>
      <c r="AN7" s="219">
        <f>SUM(W7:Z7)</f>
        <v>415630.71070419002</v>
      </c>
      <c r="AO7" s="219">
        <f>SUM(AA7:AD7)</f>
        <v>403885.27126013808</v>
      </c>
    </row>
    <row r="8" spans="2:41" s="275" customFormat="1" ht="14.25" customHeight="1">
      <c r="B8" s="282" t="s">
        <v>219</v>
      </c>
      <c r="C8" s="219">
        <v>17235.073036531809</v>
      </c>
      <c r="D8" s="219">
        <v>22282.829516112808</v>
      </c>
      <c r="E8" s="219">
        <v>35744.262024069874</v>
      </c>
      <c r="F8" s="219">
        <v>53327.498033285476</v>
      </c>
      <c r="G8" s="219">
        <v>32104.058741162517</v>
      </c>
      <c r="H8" s="219">
        <v>33177.024944685742</v>
      </c>
      <c r="I8" s="219">
        <v>34298.031829075917</v>
      </c>
      <c r="J8" s="219">
        <v>103255.28785478818</v>
      </c>
      <c r="K8" s="219">
        <v>21975.299440442395</v>
      </c>
      <c r="L8" s="219">
        <v>15282.6962855736</v>
      </c>
      <c r="M8" s="219">
        <v>42164.805361829196</v>
      </c>
      <c r="N8" s="219">
        <v>84283.850912154987</v>
      </c>
      <c r="O8" s="219">
        <v>19888.411315999994</v>
      </c>
      <c r="P8" s="219">
        <v>25346.336642000002</v>
      </c>
      <c r="Q8" s="219">
        <v>43119.176951999994</v>
      </c>
      <c r="R8" s="219">
        <v>111279.60913435367</v>
      </c>
      <c r="S8" s="219">
        <v>33503.709909999998</v>
      </c>
      <c r="T8" s="219">
        <v>33197</v>
      </c>
      <c r="U8" s="219">
        <v>64762.408183499989</v>
      </c>
      <c r="V8" s="219">
        <v>143903.48204195118</v>
      </c>
      <c r="W8" s="219">
        <v>63653.660490000002</v>
      </c>
      <c r="X8" s="219">
        <v>36061.507099999995</v>
      </c>
      <c r="Y8" s="219">
        <v>41025.282149999999</v>
      </c>
      <c r="Z8" s="219">
        <v>59260.924262926834</v>
      </c>
      <c r="AA8" s="219">
        <v>51856.09369799999</v>
      </c>
      <c r="AB8" s="219">
        <v>40793.174886000015</v>
      </c>
      <c r="AC8" s="468">
        <v>50537.179861999997</v>
      </c>
      <c r="AD8" s="468">
        <v>89046.344587999993</v>
      </c>
      <c r="AE8" s="468">
        <v>84366.461941999994</v>
      </c>
      <c r="AF8" s="468">
        <v>105279.73570999999</v>
      </c>
      <c r="AG8" s="493"/>
      <c r="AI8" s="219">
        <f t="shared" ref="AI8:AI10" si="0">SUM(C8:F8)</f>
        <v>128589.66260999997</v>
      </c>
      <c r="AJ8" s="219">
        <f t="shared" ref="AJ8:AJ10" si="1">SUM(G8:J8)</f>
        <v>202834.40336971235</v>
      </c>
      <c r="AK8" s="219">
        <f t="shared" ref="AK8:AK9" si="2">SUM(K8:N8)</f>
        <v>163706.65200000018</v>
      </c>
      <c r="AL8" s="219">
        <f t="shared" ref="AL8:AL10" si="3">SUM(O8:R8)</f>
        <v>199633.53404435364</v>
      </c>
      <c r="AM8" s="219">
        <f>SUM(S8:V8)</f>
        <v>275366.60013545118</v>
      </c>
      <c r="AN8" s="219">
        <f t="shared" ref="AN8:AN9" si="4">SUM(W8:Z8)</f>
        <v>200001.37400292684</v>
      </c>
      <c r="AO8" s="219">
        <f>SUM(AA8:AD8)</f>
        <v>232232.79303399997</v>
      </c>
    </row>
    <row r="9" spans="2:41" s="275" customFormat="1" ht="14.25" customHeight="1">
      <c r="B9" s="282" t="s">
        <v>263</v>
      </c>
      <c r="C9" s="221">
        <v>11336.325279395029</v>
      </c>
      <c r="D9" s="221">
        <v>15449.04884947541</v>
      </c>
      <c r="E9" s="221">
        <v>25361.631329043586</v>
      </c>
      <c r="F9" s="221">
        <v>31665.303932085983</v>
      </c>
      <c r="G9" s="221">
        <v>17591.243292947984</v>
      </c>
      <c r="H9" s="221">
        <v>30067.678797780012</v>
      </c>
      <c r="I9" s="221">
        <v>41291.312696400004</v>
      </c>
      <c r="J9" s="221">
        <v>22752.917732871982</v>
      </c>
      <c r="K9" s="221">
        <v>21799.665828095996</v>
      </c>
      <c r="L9" s="221">
        <v>28188.455677824</v>
      </c>
      <c r="M9" s="221">
        <v>23055.789278495991</v>
      </c>
      <c r="N9" s="221">
        <v>48270.269215583983</v>
      </c>
      <c r="O9" s="219">
        <v>17213.225599999994</v>
      </c>
      <c r="P9" s="219">
        <v>53864.744979999959</v>
      </c>
      <c r="Q9" s="219">
        <v>65632.899650000007</v>
      </c>
      <c r="R9" s="219">
        <v>36316.183140000045</v>
      </c>
      <c r="S9" s="219">
        <v>46435.458849999981</v>
      </c>
      <c r="T9" s="219">
        <v>60091</v>
      </c>
      <c r="U9" s="219">
        <v>65804.275630000018</v>
      </c>
      <c r="V9" s="219">
        <v>32133.518459999948</v>
      </c>
      <c r="W9" s="219">
        <v>38279.459800000011</v>
      </c>
      <c r="X9" s="219">
        <v>61207.461649999874</v>
      </c>
      <c r="Y9" s="219">
        <v>20300.820870000043</v>
      </c>
      <c r="Z9" s="219">
        <v>25473.324360000017</v>
      </c>
      <c r="AA9" s="219">
        <v>54307.288249999998</v>
      </c>
      <c r="AB9" s="219">
        <v>17829.277120000006</v>
      </c>
      <c r="AC9" s="468">
        <v>24181.452369999988</v>
      </c>
      <c r="AD9" s="468">
        <v>37362.720570000005</v>
      </c>
      <c r="AE9" s="468">
        <v>31138.138760000016</v>
      </c>
      <c r="AF9" s="468">
        <v>34375.41616999999</v>
      </c>
      <c r="AG9" s="493"/>
      <c r="AI9" s="219">
        <f t="shared" si="0"/>
        <v>83812.309390000009</v>
      </c>
      <c r="AJ9" s="219">
        <f t="shared" si="1"/>
        <v>111703.15251999997</v>
      </c>
      <c r="AK9" s="219">
        <f t="shared" si="2"/>
        <v>121314.17999999996</v>
      </c>
      <c r="AL9" s="219">
        <f t="shared" si="3"/>
        <v>173027.05336999998</v>
      </c>
      <c r="AM9" s="219">
        <f>SUM(S9:V9)</f>
        <v>204464.25293999992</v>
      </c>
      <c r="AN9" s="219">
        <f t="shared" si="4"/>
        <v>145261.06667999993</v>
      </c>
      <c r="AO9" s="219">
        <f>SUM(AA9:AD9)</f>
        <v>133680.73830999999</v>
      </c>
    </row>
    <row r="10" spans="2:41" ht="14.5" thickBot="1">
      <c r="B10" s="308" t="s">
        <v>264</v>
      </c>
      <c r="C10" s="309">
        <f t="shared" ref="C10:V10" si="5">SUM(C7:C9)</f>
        <v>32046.567518574469</v>
      </c>
      <c r="D10" s="309">
        <f t="shared" si="5"/>
        <v>39731.733967221226</v>
      </c>
      <c r="E10" s="309">
        <f t="shared" si="5"/>
        <v>66749.624269207416</v>
      </c>
      <c r="F10" s="309">
        <f t="shared" si="5"/>
        <v>121804.03424499682</v>
      </c>
      <c r="G10" s="309">
        <f t="shared" si="5"/>
        <v>55406.686695170501</v>
      </c>
      <c r="H10" s="309">
        <f t="shared" si="5"/>
        <v>69866.507093745749</v>
      </c>
      <c r="I10" s="309">
        <f t="shared" si="5"/>
        <v>85454.194844383921</v>
      </c>
      <c r="J10" s="309">
        <f t="shared" si="5"/>
        <v>168472.54014612417</v>
      </c>
      <c r="K10" s="309">
        <f t="shared" si="5"/>
        <v>59345.513461634386</v>
      </c>
      <c r="L10" s="309">
        <f t="shared" si="5"/>
        <v>63732.546184385603</v>
      </c>
      <c r="M10" s="309">
        <f t="shared" si="5"/>
        <v>83402.351036609194</v>
      </c>
      <c r="N10" s="309">
        <f t="shared" si="5"/>
        <v>145239.58231737098</v>
      </c>
      <c r="O10" s="309">
        <f t="shared" si="5"/>
        <v>48478.591715999988</v>
      </c>
      <c r="P10" s="309">
        <f t="shared" si="5"/>
        <v>92513.989541999967</v>
      </c>
      <c r="Q10" s="309">
        <f t="shared" si="5"/>
        <v>127724.181232</v>
      </c>
      <c r="R10" s="309">
        <f t="shared" si="5"/>
        <v>200972.59097435372</v>
      </c>
      <c r="S10" s="309">
        <f t="shared" si="5"/>
        <v>146133.58506999997</v>
      </c>
      <c r="T10" s="309">
        <f t="shared" si="5"/>
        <v>208245</v>
      </c>
      <c r="U10" s="309">
        <f t="shared" si="5"/>
        <v>275124.14055700006</v>
      </c>
      <c r="V10" s="309">
        <f t="shared" si="5"/>
        <v>390249.8330763391</v>
      </c>
      <c r="W10" s="309">
        <f t="shared" ref="W10:AC10" si="6">SUM(W7:W9)</f>
        <v>233887.00020121955</v>
      </c>
      <c r="X10" s="309">
        <f t="shared" si="6"/>
        <v>185288.14258999992</v>
      </c>
      <c r="Y10" s="309">
        <f t="shared" si="6"/>
        <v>197364.68952770543</v>
      </c>
      <c r="Z10" s="309">
        <f t="shared" si="6"/>
        <v>144353.31906819189</v>
      </c>
      <c r="AA10" s="309">
        <f t="shared" si="6"/>
        <v>260180.51595350396</v>
      </c>
      <c r="AB10" s="309">
        <f t="shared" si="6"/>
        <v>168767.957956</v>
      </c>
      <c r="AC10" s="309">
        <f t="shared" si="6"/>
        <v>134803.185512</v>
      </c>
      <c r="AD10" s="309">
        <f t="shared" ref="AD10:AE10" si="7">SUM(AD7:AD9)</f>
        <v>206047.14318263411</v>
      </c>
      <c r="AE10" s="309">
        <f t="shared" si="7"/>
        <v>181323.9221927317</v>
      </c>
      <c r="AF10" s="309">
        <f t="shared" ref="AF10" si="8">SUM(AF7:AF9)</f>
        <v>197279.74020999996</v>
      </c>
      <c r="AG10" s="388"/>
      <c r="AH10" s="388"/>
      <c r="AI10" s="309">
        <f t="shared" si="0"/>
        <v>260331.95999999993</v>
      </c>
      <c r="AJ10" s="309">
        <f t="shared" si="1"/>
        <v>379199.92877942434</v>
      </c>
      <c r="AK10" s="309">
        <f>SUM(K10:N10)</f>
        <v>351719.99300000013</v>
      </c>
      <c r="AL10" s="309">
        <f t="shared" si="3"/>
        <v>469689.35346435371</v>
      </c>
      <c r="AM10" s="309">
        <f>SUM(S10:V10)</f>
        <v>1019752.5587033391</v>
      </c>
      <c r="AN10" s="309">
        <f>SUM(W10:Z10)</f>
        <v>760893.15138711676</v>
      </c>
      <c r="AO10" s="309">
        <f>SUM(AA10:AD10)</f>
        <v>769798.80260413815</v>
      </c>
    </row>
    <row r="11" spans="2:41" ht="14">
      <c r="B11" s="310"/>
      <c r="C11" s="311"/>
      <c r="D11" s="311"/>
      <c r="E11" s="311"/>
      <c r="F11" s="311"/>
      <c r="G11" s="311"/>
      <c r="H11" s="311"/>
      <c r="I11" s="311"/>
      <c r="J11" s="311"/>
      <c r="K11" s="538"/>
      <c r="L11" s="538"/>
      <c r="M11" s="538"/>
      <c r="N11" s="538"/>
      <c r="O11" s="538"/>
      <c r="P11" s="538"/>
      <c r="Q11" s="538"/>
      <c r="R11" s="538"/>
      <c r="S11" s="538"/>
      <c r="T11" s="538"/>
      <c r="U11" s="538"/>
      <c r="V11" s="538"/>
      <c r="W11" s="538"/>
      <c r="X11" s="538"/>
      <c r="Y11" s="538"/>
      <c r="Z11" s="538"/>
      <c r="AA11" s="538"/>
      <c r="AB11" s="538"/>
      <c r="AC11" s="538"/>
      <c r="AD11" s="538"/>
      <c r="AE11" s="485"/>
      <c r="AF11" s="485"/>
    </row>
    <row r="13" spans="2:41">
      <c r="AG13" s="484"/>
    </row>
    <row r="16" spans="2:41">
      <c r="R16" s="293"/>
    </row>
    <row r="17" spans="18:18">
      <c r="R17" s="293"/>
    </row>
    <row r="18" spans="18:18">
      <c r="R18" s="293"/>
    </row>
    <row r="19" spans="18:18">
      <c r="R19" s="293"/>
    </row>
    <row r="20" spans="18:18">
      <c r="R20" s="293"/>
    </row>
  </sheetData>
  <phoneticPr fontId="98" type="noConversion"/>
  <pageMargins left="0.19685039370078741" right="0.19685039370078741" top="0.19685039370078741" bottom="0.19685039370078741" header="0.51181102362204722" footer="0.51181102362204722"/>
  <pageSetup paperSize="9" scale="83" orientation="landscape" r:id="rId1"/>
  <headerFooter alignWithMargins="0"/>
  <ignoredErrors>
    <ignoredError sqref="AI7:AM9 AI10:AJ10 AL10:AM1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BB78-EE1C-48FC-9EDB-2783943A8C6F}">
  <sheetPr>
    <tabColor rgb="FF00B050"/>
  </sheetPr>
  <dimension ref="A1:AM22"/>
  <sheetViews>
    <sheetView showGridLines="0" zoomScale="80" zoomScaleNormal="80" workbookViewId="0">
      <pane xSplit="2" ySplit="7" topLeftCell="E8" activePane="bottomRight" state="frozen"/>
      <selection activeCell="AG27" sqref="AG27"/>
      <selection pane="topRight" activeCell="AG27" sqref="AG27"/>
      <selection pane="bottomLeft" activeCell="AG27" sqref="AG27"/>
      <selection pane="bottomRight" activeCell="AH8" sqref="AH8:AH11"/>
    </sheetView>
  </sheetViews>
  <sheetFormatPr defaultColWidth="9.1796875" defaultRowHeight="12.5" outlineLevelCol="1"/>
  <cols>
    <col min="1" max="1" width="1.81640625" style="284" customWidth="1"/>
    <col min="2" max="2" width="32.1796875" style="284" bestFit="1" customWidth="1"/>
    <col min="3" max="14" width="9.1796875" style="284" hidden="1" customWidth="1" outlineLevel="1"/>
    <col min="15" max="22" width="0" style="284" hidden="1" customWidth="1" outlineLevel="1"/>
    <col min="23" max="23" width="9.1796875" style="284" collapsed="1"/>
    <col min="24" max="27" width="9.1796875" style="284"/>
    <col min="28" max="29" width="10.81640625" style="284" bestFit="1" customWidth="1"/>
    <col min="30" max="32" width="10.81640625" style="284" customWidth="1"/>
    <col min="33" max="35" width="9.1796875" style="284"/>
    <col min="36" max="36" width="10.81640625" style="284" bestFit="1" customWidth="1"/>
    <col min="37" max="16384" width="9.1796875" style="284"/>
  </cols>
  <sheetData>
    <row r="1" spans="1:39" s="273" customFormat="1"/>
    <row r="2" spans="1:39" s="273" customFormat="1" ht="13.5" customHeight="1"/>
    <row r="3" spans="1:39" s="273" customFormat="1"/>
    <row r="4" spans="1:39" s="273" customFormat="1" ht="20.25" customHeight="1"/>
    <row r="5" spans="1:39" s="273" customFormat="1" ht="13">
      <c r="B5" s="274"/>
    </row>
    <row r="6" spans="1:39" s="275" customFormat="1" ht="14.25" customHeight="1" thickBot="1">
      <c r="B6" s="276" t="s">
        <v>265</v>
      </c>
      <c r="C6" s="277" t="s">
        <v>84</v>
      </c>
      <c r="D6" s="277" t="s">
        <v>85</v>
      </c>
      <c r="E6" s="277" t="s">
        <v>86</v>
      </c>
      <c r="F6" s="277" t="s">
        <v>87</v>
      </c>
      <c r="G6" s="277" t="s">
        <v>88</v>
      </c>
      <c r="H6" s="277" t="s">
        <v>89</v>
      </c>
      <c r="I6" s="277" t="s">
        <v>90</v>
      </c>
      <c r="J6" s="277" t="s">
        <v>91</v>
      </c>
      <c r="K6" s="277" t="s">
        <v>92</v>
      </c>
      <c r="L6" s="277" t="s">
        <v>93</v>
      </c>
      <c r="M6" s="277" t="s">
        <v>94</v>
      </c>
      <c r="N6" s="277" t="s">
        <v>95</v>
      </c>
      <c r="O6" s="277" t="s">
        <v>96</v>
      </c>
      <c r="P6" s="277" t="s">
        <v>97</v>
      </c>
      <c r="Q6" s="277" t="s">
        <v>98</v>
      </c>
      <c r="R6" s="277" t="s">
        <v>99</v>
      </c>
      <c r="S6" s="277" t="s">
        <v>100</v>
      </c>
      <c r="T6" s="277" t="s">
        <v>101</v>
      </c>
      <c r="U6" s="277" t="s">
        <v>336</v>
      </c>
      <c r="V6" s="277" t="s">
        <v>342</v>
      </c>
      <c r="W6" s="277" t="s">
        <v>357</v>
      </c>
      <c r="X6" s="277" t="s">
        <v>384</v>
      </c>
      <c r="Y6" s="277" t="s">
        <v>395</v>
      </c>
      <c r="Z6" s="277" t="s">
        <v>396</v>
      </c>
      <c r="AA6" s="277" t="s">
        <v>469</v>
      </c>
      <c r="AB6" s="277" t="s">
        <v>473</v>
      </c>
      <c r="AC6" s="277" t="s">
        <v>478</v>
      </c>
      <c r="AD6" s="277" t="s">
        <v>480</v>
      </c>
      <c r="AE6" s="277" t="s">
        <v>518</v>
      </c>
      <c r="AF6" s="277" t="s">
        <v>521</v>
      </c>
    </row>
    <row r="7" spans="1:39" s="281" customFormat="1" ht="4.5" customHeight="1" thickTop="1">
      <c r="A7" s="278"/>
      <c r="B7" s="279"/>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I7" s="280"/>
      <c r="AJ7" s="280"/>
      <c r="AK7" s="280"/>
      <c r="AL7" s="280"/>
      <c r="AM7" s="280"/>
    </row>
    <row r="8" spans="1:39" ht="14">
      <c r="B8" s="286" t="s">
        <v>266</v>
      </c>
      <c r="C8" s="219">
        <v>396.54200000000003</v>
      </c>
      <c r="D8" s="219">
        <v>430.05449999999996</v>
      </c>
      <c r="E8" s="219">
        <v>490.70650000000001</v>
      </c>
      <c r="F8" s="219">
        <v>510.18899999999996</v>
      </c>
      <c r="G8" s="219">
        <v>507.40100000000007</v>
      </c>
      <c r="H8" s="219">
        <v>561.96749999999997</v>
      </c>
      <c r="I8" s="219">
        <v>550.31500000000005</v>
      </c>
      <c r="J8" s="219">
        <v>453.04250000000002</v>
      </c>
      <c r="K8" s="219">
        <v>474.18700000000001</v>
      </c>
      <c r="L8" s="219">
        <v>527.654</v>
      </c>
      <c r="M8" s="219">
        <v>561.26499999999999</v>
      </c>
      <c r="N8" s="219">
        <v>543.00749999999994</v>
      </c>
      <c r="O8" s="219">
        <v>559.25400000000002</v>
      </c>
      <c r="P8" s="219">
        <v>655.39650000000006</v>
      </c>
      <c r="Q8" s="219">
        <v>712.5</v>
      </c>
      <c r="R8" s="219">
        <v>728.12450000000001</v>
      </c>
      <c r="S8" s="219">
        <v>691.59850000000006</v>
      </c>
      <c r="T8" s="219">
        <v>627.97399999999993</v>
      </c>
      <c r="U8" s="219">
        <v>548.81400000000008</v>
      </c>
      <c r="V8" s="219">
        <f>AVERAGE('9 - Demonstrativos Financeiros'!V45,'9 - Demonstrativos Financeiros'!U45)</f>
        <v>511.31400000000002</v>
      </c>
      <c r="W8" s="219">
        <f>AVERAGE('9 - Demonstrativos Financeiros'!W45,'9 - Demonstrativos Financeiros'!V45)</f>
        <v>520.41750000000002</v>
      </c>
      <c r="X8" s="219">
        <f>AVERAGE('9 - Demonstrativos Financeiros'!X45,'9 - Demonstrativos Financeiros'!W45)</f>
        <v>531.41750000000002</v>
      </c>
      <c r="Y8" s="219">
        <f>AVERAGE('9 - Demonstrativos Financeiros'!Y45,'9 - Demonstrativos Financeiros'!X45)</f>
        <v>510</v>
      </c>
      <c r="Z8" s="219">
        <f>AVERAGE('9 - Demonstrativos Financeiros'!Z45,'9 - Demonstrativos Financeiros'!Y45)</f>
        <v>442.22149999999999</v>
      </c>
      <c r="AA8" s="219">
        <f>AVERAGE('9 - Demonstrativos Financeiros'!AA45,'9 - Demonstrativos Financeiros'!Z45)</f>
        <v>405.82899999999995</v>
      </c>
      <c r="AB8" s="219">
        <f>AVERAGE('9 - Demonstrativos Financeiros'!AB45,'9 - Demonstrativos Financeiros'!AA45)</f>
        <v>446.19499999999999</v>
      </c>
      <c r="AC8" s="219">
        <f>AVERAGE('9 - Demonstrativos Financeiros'!AC45,'9 - Demonstrativos Financeiros'!AB45)</f>
        <v>490.58749999999998</v>
      </c>
      <c r="AD8" s="219">
        <f>AVERAGE('9 - Demonstrativos Financeiros'!AD45,'9 - Demonstrativos Financeiros'!AC45)</f>
        <v>505.76750000000004</v>
      </c>
      <c r="AE8" s="219">
        <v>566.26750000000004</v>
      </c>
      <c r="AF8" s="219">
        <v>654.5</v>
      </c>
      <c r="AH8" s="524"/>
    </row>
    <row r="9" spans="1:39" ht="14">
      <c r="B9" s="282" t="s">
        <v>166</v>
      </c>
      <c r="C9" s="219">
        <v>660.74400000000003</v>
      </c>
      <c r="D9" s="219">
        <v>715.02200000000005</v>
      </c>
      <c r="E9" s="219">
        <v>849.06150000000002</v>
      </c>
      <c r="F9" s="219">
        <v>878.72399999999993</v>
      </c>
      <c r="G9" s="219">
        <v>807.81449999999995</v>
      </c>
      <c r="H9" s="219">
        <v>842.29250000000002</v>
      </c>
      <c r="I9" s="219">
        <v>913.51600000000008</v>
      </c>
      <c r="J9" s="219">
        <v>929.3755000000001</v>
      </c>
      <c r="K9" s="219">
        <v>1018.22</v>
      </c>
      <c r="L9" s="219">
        <v>1134.9279999999999</v>
      </c>
      <c r="M9" s="219">
        <v>1098.9675</v>
      </c>
      <c r="N9" s="219">
        <v>1053.1285</v>
      </c>
      <c r="O9" s="219">
        <v>1156.904</v>
      </c>
      <c r="P9" s="219">
        <v>1411.4639999999999</v>
      </c>
      <c r="Q9" s="219">
        <v>1605</v>
      </c>
      <c r="R9" s="219">
        <v>1611.6559999999999</v>
      </c>
      <c r="S9" s="219">
        <v>1616.5875000000001</v>
      </c>
      <c r="T9" s="219">
        <v>1718.9315000000001</v>
      </c>
      <c r="U9" s="219">
        <v>1831.1165000000001</v>
      </c>
      <c r="V9" s="219">
        <f>AVERAGE('9 - Demonstrativos Financeiros'!V46,'9 - Demonstrativos Financeiros'!U46)</f>
        <v>1873.1165000000001</v>
      </c>
      <c r="W9" s="219">
        <f>AVERAGE('9 - Demonstrativos Financeiros'!W46,'9 - Demonstrativos Financeiros'!V46)</f>
        <v>1984.8025</v>
      </c>
      <c r="X9" s="219">
        <f>AVERAGE('9 - Demonstrativos Financeiros'!X46,'9 - Demonstrativos Financeiros'!W46)</f>
        <v>2205.3024999999998</v>
      </c>
      <c r="Y9" s="219">
        <f>AVERAGE('9 - Demonstrativos Financeiros'!Y46,'9 - Demonstrativos Financeiros'!X46)</f>
        <v>2229.5</v>
      </c>
      <c r="Z9" s="219">
        <f>AVERAGE('9 - Demonstrativos Financeiros'!Z46,'9 - Demonstrativos Financeiros'!Y46)</f>
        <v>2037.127</v>
      </c>
      <c r="AA9" s="219">
        <f>AVERAGE('9 - Demonstrativos Financeiros'!AA46,'9 - Demonstrativos Financeiros'!Z46)</f>
        <v>1928.7165</v>
      </c>
      <c r="AB9" s="219">
        <f>AVERAGE('9 - Demonstrativos Financeiros'!AB46,'9 - Demonstrativos Financeiros'!AA46)</f>
        <v>1892.837</v>
      </c>
      <c r="AC9" s="219">
        <f>AVERAGE('9 - Demonstrativos Financeiros'!AC46,'9 - Demonstrativos Financeiros'!AB46)</f>
        <v>1902.7474999999999</v>
      </c>
      <c r="AD9" s="219">
        <f>AVERAGE('9 - Demonstrativos Financeiros'!AD46,'9 - Demonstrativos Financeiros'!AC46)</f>
        <v>2051.2984999999999</v>
      </c>
      <c r="AE9" s="219">
        <v>2234.2984999999999</v>
      </c>
      <c r="AF9" s="219">
        <v>2330</v>
      </c>
      <c r="AH9" s="524"/>
    </row>
    <row r="10" spans="1:39" ht="14">
      <c r="B10" s="282" t="s">
        <v>186</v>
      </c>
      <c r="C10" s="219">
        <v>438.75200000000001</v>
      </c>
      <c r="D10" s="219">
        <v>509.4425</v>
      </c>
      <c r="E10" s="219">
        <v>548.95799999999997</v>
      </c>
      <c r="F10" s="219">
        <v>462.34399999999994</v>
      </c>
      <c r="G10" s="219">
        <v>393.85050000000001</v>
      </c>
      <c r="H10" s="219">
        <v>410.18</v>
      </c>
      <c r="I10" s="219">
        <v>423.87149999999997</v>
      </c>
      <c r="J10" s="219">
        <v>415.74149999999997</v>
      </c>
      <c r="K10" s="219">
        <v>462.99099999999999</v>
      </c>
      <c r="L10" s="219">
        <v>480.82900000000006</v>
      </c>
      <c r="M10" s="219">
        <v>451.50450000000001</v>
      </c>
      <c r="N10" s="219">
        <v>443.03449999999998</v>
      </c>
      <c r="O10" s="219">
        <v>468.62099999999998</v>
      </c>
      <c r="P10" s="219">
        <v>517.14549999999997</v>
      </c>
      <c r="Q10" s="219">
        <v>581.5</v>
      </c>
      <c r="R10" s="219">
        <v>647.81299999999999</v>
      </c>
      <c r="S10" s="219">
        <v>651.30449999999996</v>
      </c>
      <c r="T10" s="219">
        <v>697.49149999999997</v>
      </c>
      <c r="U10" s="219">
        <v>838.57349999999997</v>
      </c>
      <c r="V10" s="219">
        <f>AVERAGE('9 - Demonstrativos Financeiros'!V75,'9 - Demonstrativos Financeiros'!U75)</f>
        <v>969.07349999999997</v>
      </c>
      <c r="W10" s="219">
        <f>AVERAGE('9 - Demonstrativos Financeiros'!W75,'9 - Demonstrativos Financeiros'!V75)</f>
        <v>1011.1315</v>
      </c>
      <c r="X10" s="219">
        <f>AVERAGE('9 - Demonstrativos Financeiros'!X75,'9 - Demonstrativos Financeiros'!W75)</f>
        <v>1001.1315</v>
      </c>
      <c r="Y10" s="219">
        <f>AVERAGE('9 - Demonstrativos Financeiros'!Y75,'9 - Demonstrativos Financeiros'!X75)</f>
        <v>935</v>
      </c>
      <c r="Z10" s="219">
        <f>AVERAGE('9 - Demonstrativos Financeiros'!Z75,'9 - Demonstrativos Financeiros'!Y75)</f>
        <v>918.94049999999993</v>
      </c>
      <c r="AA10" s="219">
        <f>AVERAGE('9 - Demonstrativos Financeiros'!AA75,'9 - Demonstrativos Financeiros'!Z75)</f>
        <v>923.09799999999996</v>
      </c>
      <c r="AB10" s="219">
        <f>AVERAGE('9 - Demonstrativos Financeiros'!AB75,'9 - Demonstrativos Financeiros'!AA75)</f>
        <v>842.7645</v>
      </c>
      <c r="AC10" s="219">
        <f>AVERAGE('9 - Demonstrativos Financeiros'!AC75,'9 - Demonstrativos Financeiros'!AB75)</f>
        <v>877.10699999999997</v>
      </c>
      <c r="AD10" s="219">
        <f>AVERAGE('9 - Demonstrativos Financeiros'!AD75,'9 - Demonstrativos Financeiros'!AC75)</f>
        <v>1040.9969999999998</v>
      </c>
      <c r="AE10" s="219">
        <v>1195.4969999999998</v>
      </c>
      <c r="AF10" s="219">
        <v>1210</v>
      </c>
      <c r="AH10" s="524"/>
    </row>
    <row r="11" spans="1:39" ht="14">
      <c r="B11" s="286" t="s">
        <v>267</v>
      </c>
      <c r="C11" s="219">
        <v>41.402500000000003</v>
      </c>
      <c r="D11" s="219">
        <v>36.216999999999999</v>
      </c>
      <c r="E11" s="219">
        <v>93.34</v>
      </c>
      <c r="F11" s="219">
        <v>207.63149999999999</v>
      </c>
      <c r="G11" s="219">
        <v>258.60000000000002</v>
      </c>
      <c r="H11" s="219">
        <v>323.82799999999997</v>
      </c>
      <c r="I11" s="219">
        <v>373.71449999999999</v>
      </c>
      <c r="J11" s="219">
        <v>347.72899999999998</v>
      </c>
      <c r="K11" s="219">
        <v>375.964</v>
      </c>
      <c r="L11" s="219">
        <v>382.10500000000002</v>
      </c>
      <c r="M11" s="219">
        <v>380.07349999999997</v>
      </c>
      <c r="N11" s="219">
        <v>503.65800000000002</v>
      </c>
      <c r="O11" s="219">
        <v>592.23</v>
      </c>
      <c r="P11" s="219">
        <v>601.93949999999995</v>
      </c>
      <c r="Q11" s="219">
        <v>500.5</v>
      </c>
      <c r="R11" s="219">
        <v>472.50850000000003</v>
      </c>
      <c r="S11" s="219">
        <v>415.44800000000004</v>
      </c>
      <c r="T11" s="219">
        <v>190.93950000000001</v>
      </c>
      <c r="U11" s="219">
        <v>114.71250000000001</v>
      </c>
      <c r="V11" s="219">
        <f>AVERAGE('9 - Demonstrativos Financeiros'!V74,'9 - Demonstrativos Financeiros'!U74)</f>
        <v>165.21250000000001</v>
      </c>
      <c r="W11" s="219">
        <f>AVERAGE('9 - Demonstrativos Financeiros'!W74,'9 - Demonstrativos Financeiros'!V74)</f>
        <v>242.828</v>
      </c>
      <c r="X11" s="219">
        <f>AVERAGE('9 - Demonstrativos Financeiros'!X74,'9 - Demonstrativos Financeiros'!W74)</f>
        <v>271.32799999999997</v>
      </c>
      <c r="Y11" s="219">
        <f>AVERAGE('9 - Demonstrativos Financeiros'!Y74,'9 - Demonstrativos Financeiros'!X74)</f>
        <v>192.5</v>
      </c>
      <c r="Z11" s="219">
        <f>AVERAGE('9 - Demonstrativos Financeiros'!Z74,'9 - Demonstrativos Financeiros'!Y74)</f>
        <v>183.40600000000001</v>
      </c>
      <c r="AA11" s="219">
        <f>AVERAGE('9 - Demonstrativos Financeiros'!AA74,'9 - Demonstrativos Financeiros'!Z74)</f>
        <v>191.48250000000002</v>
      </c>
      <c r="AB11" s="219">
        <f>AVERAGE('9 - Demonstrativos Financeiros'!AB74,'9 - Demonstrativos Financeiros'!AA74)</f>
        <v>142.29050000000001</v>
      </c>
      <c r="AC11" s="219">
        <f>AVERAGE('9 - Demonstrativos Financeiros'!AC74,'9 - Demonstrativos Financeiros'!AB74)</f>
        <v>124.214</v>
      </c>
      <c r="AD11" s="219">
        <f>AVERAGE('9 - Demonstrativos Financeiros'!AD74,'9 - Demonstrativos Financeiros'!AC74)</f>
        <v>138.23349999999999</v>
      </c>
      <c r="AE11" s="219">
        <v>154.73349999999999</v>
      </c>
      <c r="AF11" s="219">
        <v>144</v>
      </c>
      <c r="AH11" s="524"/>
    </row>
    <row r="12" spans="1:39" ht="14">
      <c r="B12" s="312" t="s">
        <v>338</v>
      </c>
      <c r="C12" s="313">
        <v>577.13150000000007</v>
      </c>
      <c r="D12" s="313">
        <v>599.41700000000014</v>
      </c>
      <c r="E12" s="313">
        <v>697.47</v>
      </c>
      <c r="F12" s="313">
        <v>718.93750000000011</v>
      </c>
      <c r="G12" s="313">
        <v>662.76499999999999</v>
      </c>
      <c r="H12" s="313">
        <v>670.25199999999995</v>
      </c>
      <c r="I12" s="313">
        <v>666.24500000000012</v>
      </c>
      <c r="J12" s="313">
        <v>618.94750000000022</v>
      </c>
      <c r="K12" s="313">
        <v>653.45200000000023</v>
      </c>
      <c r="L12" s="313">
        <v>799.64799999999968</v>
      </c>
      <c r="M12" s="313">
        <v>828.6545000000001</v>
      </c>
      <c r="N12" s="313">
        <v>649.44349999999997</v>
      </c>
      <c r="O12" s="313">
        <v>655.30699999999979</v>
      </c>
      <c r="P12" s="313">
        <v>947.77549999999974</v>
      </c>
      <c r="Q12" s="313">
        <v>1235.5</v>
      </c>
      <c r="R12" s="313">
        <v>1219.4589999999998</v>
      </c>
      <c r="S12" s="313">
        <v>1241.4335000000001</v>
      </c>
      <c r="T12" s="313">
        <v>1458.4744999999998</v>
      </c>
      <c r="U12" s="313">
        <v>1426.6445000000003</v>
      </c>
      <c r="V12" s="313">
        <f t="shared" ref="V12:AA12" si="0">V9+V8-V10-V11</f>
        <v>1250.1444999999999</v>
      </c>
      <c r="W12" s="313">
        <f t="shared" si="0"/>
        <v>1251.2605000000003</v>
      </c>
      <c r="X12" s="313">
        <f t="shared" si="0"/>
        <v>1464.2604999999999</v>
      </c>
      <c r="Y12" s="313">
        <f t="shared" si="0"/>
        <v>1612</v>
      </c>
      <c r="Z12" s="313">
        <f t="shared" si="0"/>
        <v>1377.0020000000002</v>
      </c>
      <c r="AA12" s="313">
        <f t="shared" si="0"/>
        <v>1219.9650000000001</v>
      </c>
      <c r="AB12" s="313">
        <f t="shared" ref="AB12:AC12" si="1">AB9+AB8-AB10-AB11</f>
        <v>1353.9770000000001</v>
      </c>
      <c r="AC12" s="313">
        <f t="shared" si="1"/>
        <v>1392.0140000000001</v>
      </c>
      <c r="AD12" s="313">
        <f t="shared" ref="AD12:AF12" si="2">AD9+AD8-AD10-AD11</f>
        <v>1377.8354999999999</v>
      </c>
      <c r="AE12" s="313">
        <f t="shared" si="2"/>
        <v>1450.3354999999999</v>
      </c>
      <c r="AF12" s="313">
        <f t="shared" si="2"/>
        <v>1630.5</v>
      </c>
    </row>
    <row r="13" spans="1:39" ht="14">
      <c r="B13" s="282" t="s">
        <v>111</v>
      </c>
      <c r="C13" s="219">
        <v>1165.088</v>
      </c>
      <c r="D13" s="219">
        <v>1316.9949999999999</v>
      </c>
      <c r="E13" s="219">
        <v>1438.836</v>
      </c>
      <c r="F13" s="219">
        <v>1496.5569999999993</v>
      </c>
      <c r="G13" s="219">
        <v>1327.079</v>
      </c>
      <c r="H13" s="219">
        <v>1365.954</v>
      </c>
      <c r="I13" s="219">
        <v>1313.2519999999995</v>
      </c>
      <c r="J13" s="219">
        <v>1257.3990000000013</v>
      </c>
      <c r="K13" s="219">
        <v>1252.7380000000001</v>
      </c>
      <c r="L13" s="219">
        <v>1101.9179999999999</v>
      </c>
      <c r="M13" s="219">
        <v>1485.6209999999999</v>
      </c>
      <c r="N13" s="219">
        <v>1571.105</v>
      </c>
      <c r="O13" s="219">
        <v>1792.8239999999998</v>
      </c>
      <c r="P13" s="219">
        <v>1913.0839999999996</v>
      </c>
      <c r="Q13" s="219">
        <v>2300.0440000000008</v>
      </c>
      <c r="R13" s="219">
        <v>2417.2279999999996</v>
      </c>
      <c r="S13" s="219">
        <v>2291.665</v>
      </c>
      <c r="T13" s="219">
        <v>2331</v>
      </c>
      <c r="U13" s="219">
        <v>2245</v>
      </c>
      <c r="V13" s="219">
        <f>'9 - Demonstrativos Financeiros'!V7</f>
        <v>1957</v>
      </c>
      <c r="W13" s="219">
        <f>'9 - Demonstrativos Financeiros'!W7</f>
        <v>1915.819</v>
      </c>
      <c r="X13" s="219">
        <f>'9 - Demonstrativos Financeiros'!X7</f>
        <v>1665</v>
      </c>
      <c r="Y13" s="219">
        <f>'9 - Demonstrativos Financeiros'!Y7</f>
        <v>1864</v>
      </c>
      <c r="Z13" s="219">
        <f>'9 - Demonstrativos Financeiros'!Z7</f>
        <v>1904</v>
      </c>
      <c r="AA13" s="219">
        <f>'9 - Demonstrativos Financeiros'!AA7</f>
        <v>1693.866</v>
      </c>
      <c r="AB13" s="219">
        <f>'9 - Demonstrativos Financeiros'!AB7</f>
        <v>2065</v>
      </c>
      <c r="AC13" s="219">
        <f>'9 - Demonstrativos Financeiros'!AC7</f>
        <v>2135</v>
      </c>
      <c r="AD13" s="219">
        <f>'9 - Demonstrativos Financeiros'!AD7</f>
        <v>2280.4187040800002</v>
      </c>
      <c r="AE13" s="219">
        <v>2338</v>
      </c>
      <c r="AF13" s="219">
        <v>2005</v>
      </c>
      <c r="AJ13" s="352"/>
    </row>
    <row r="14" spans="1:39" ht="14.5" thickBot="1">
      <c r="B14" s="314" t="s">
        <v>268</v>
      </c>
      <c r="C14" s="315">
        <v>90</v>
      </c>
      <c r="D14" s="315">
        <v>91</v>
      </c>
      <c r="E14" s="315">
        <v>92</v>
      </c>
      <c r="F14" s="315">
        <v>92</v>
      </c>
      <c r="G14" s="315">
        <v>90</v>
      </c>
      <c r="H14" s="315">
        <v>91</v>
      </c>
      <c r="I14" s="315">
        <v>92</v>
      </c>
      <c r="J14" s="315">
        <v>92</v>
      </c>
      <c r="K14" s="315">
        <v>91</v>
      </c>
      <c r="L14" s="315">
        <v>91</v>
      </c>
      <c r="M14" s="315">
        <v>92</v>
      </c>
      <c r="N14" s="315">
        <v>92</v>
      </c>
      <c r="O14" s="316">
        <v>90</v>
      </c>
      <c r="P14" s="315">
        <v>91</v>
      </c>
      <c r="Q14" s="315">
        <v>92</v>
      </c>
      <c r="R14" s="315">
        <v>92</v>
      </c>
      <c r="S14" s="315">
        <v>90</v>
      </c>
      <c r="T14" s="315">
        <v>91</v>
      </c>
      <c r="U14" s="315">
        <v>92</v>
      </c>
      <c r="V14" s="315">
        <f>31+30+31</f>
        <v>92</v>
      </c>
      <c r="W14" s="315">
        <v>90</v>
      </c>
      <c r="X14" s="315">
        <v>91</v>
      </c>
      <c r="Y14" s="315">
        <v>92</v>
      </c>
      <c r="Z14" s="315">
        <v>92</v>
      </c>
      <c r="AA14" s="315">
        <v>91</v>
      </c>
      <c r="AB14" s="315">
        <v>91</v>
      </c>
      <c r="AC14" s="315">
        <v>91</v>
      </c>
      <c r="AD14" s="315">
        <v>91</v>
      </c>
      <c r="AE14" s="315">
        <v>90</v>
      </c>
      <c r="AF14" s="315">
        <v>91</v>
      </c>
      <c r="AJ14" s="352"/>
    </row>
    <row r="15" spans="1:39" ht="14.5" thickBot="1">
      <c r="B15" s="317" t="s">
        <v>269</v>
      </c>
      <c r="C15" s="318">
        <v>44.581898534702965</v>
      </c>
      <c r="D15" s="318">
        <v>41.417732793214874</v>
      </c>
      <c r="E15" s="318">
        <v>44.596632277757855</v>
      </c>
      <c r="F15" s="318">
        <v>44.196278524640256</v>
      </c>
      <c r="G15" s="318">
        <v>44.947474867735835</v>
      </c>
      <c r="H15" s="318">
        <v>44.652259153675743</v>
      </c>
      <c r="I15" s="318">
        <v>46.673860005543517</v>
      </c>
      <c r="J15" s="318">
        <v>45.286476289546883</v>
      </c>
      <c r="K15" s="318">
        <v>47.467333153460672</v>
      </c>
      <c r="L15" s="318">
        <v>66.037552703558674</v>
      </c>
      <c r="M15" s="318">
        <v>51.316058402513164</v>
      </c>
      <c r="N15" s="318">
        <v>38.029795589728245</v>
      </c>
      <c r="O15" s="318">
        <v>32.896497369513121</v>
      </c>
      <c r="P15" s="318">
        <v>45.083002366858949</v>
      </c>
      <c r="Q15" s="318">
        <v>49.419054591999092</v>
      </c>
      <c r="R15" s="318">
        <v>46.41276205637201</v>
      </c>
      <c r="S15" s="318">
        <v>48.754514730556174</v>
      </c>
      <c r="T15" s="318">
        <v>56.93744294294293</v>
      </c>
      <c r="U15" s="318">
        <v>58.463828062360811</v>
      </c>
      <c r="V15" s="318">
        <f t="shared" ref="V15:AC15" si="3">(V12*V14)/V13</f>
        <v>58.770206438426158</v>
      </c>
      <c r="W15" s="318">
        <f t="shared" si="3"/>
        <v>58.780837333798253</v>
      </c>
      <c r="X15" s="318">
        <f t="shared" si="3"/>
        <v>80.028651951951943</v>
      </c>
      <c r="Y15" s="318">
        <f t="shared" si="3"/>
        <v>79.562231759656655</v>
      </c>
      <c r="Z15" s="318">
        <f t="shared" si="3"/>
        <v>66.535810924369756</v>
      </c>
      <c r="AA15" s="318">
        <f t="shared" si="3"/>
        <v>65.540494348431352</v>
      </c>
      <c r="AB15" s="318">
        <f t="shared" si="3"/>
        <v>59.666783050847464</v>
      </c>
      <c r="AC15" s="318">
        <f t="shared" si="3"/>
        <v>59.331744262295082</v>
      </c>
      <c r="AD15" s="318">
        <f t="shared" ref="AD15:AF15" si="4">(AD12*AD14)/AD13</f>
        <v>54.982460140180194</v>
      </c>
      <c r="AE15" s="318">
        <f t="shared" si="4"/>
        <v>55.829852437981174</v>
      </c>
      <c r="AF15" s="318">
        <f t="shared" si="4"/>
        <v>74.002743142144638</v>
      </c>
    </row>
    <row r="17" spans="21:32">
      <c r="U17"/>
      <c r="AB17" s="352"/>
      <c r="AC17" s="352"/>
      <c r="AD17" s="352"/>
      <c r="AE17" s="352"/>
      <c r="AF17" s="352"/>
    </row>
    <row r="18" spans="21:32">
      <c r="U18"/>
      <c r="AB18" s="352"/>
      <c r="AC18" s="352"/>
      <c r="AD18" s="352"/>
      <c r="AE18" s="352"/>
      <c r="AF18" s="352"/>
    </row>
    <row r="19" spans="21:32">
      <c r="U19"/>
    </row>
    <row r="20" spans="21:32">
      <c r="U20"/>
    </row>
    <row r="21" spans="21:32">
      <c r="U21"/>
    </row>
    <row r="22" spans="21:32">
      <c r="U22"/>
    </row>
  </sheetData>
  <phoneticPr fontId="98" type="noConversion"/>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CCF1-3F6F-4902-9333-664A1A811917}">
  <sheetPr>
    <tabColor rgb="FF00B050"/>
  </sheetPr>
  <dimension ref="A1:AM20"/>
  <sheetViews>
    <sheetView showGridLines="0" zoomScale="80" zoomScaleNormal="80" workbookViewId="0">
      <selection activeCell="T9" sqref="T9"/>
    </sheetView>
  </sheetViews>
  <sheetFormatPr defaultColWidth="9.1796875" defaultRowHeight="12.5" outlineLevelCol="1"/>
  <cols>
    <col min="1" max="1" width="2.1796875" style="284" customWidth="1"/>
    <col min="2" max="2" width="23.54296875" style="284" bestFit="1" customWidth="1"/>
    <col min="3" max="10" width="9.1796875" style="284" hidden="1" customWidth="1" outlineLevel="1"/>
    <col min="11" max="11" width="9.1796875" style="284" customWidth="1" collapsed="1"/>
    <col min="12" max="16384" width="9.1796875" style="284"/>
  </cols>
  <sheetData>
    <row r="1" spans="1:39" s="273" customFormat="1"/>
    <row r="2" spans="1:39" s="273" customFormat="1" ht="13.5" customHeight="1"/>
    <row r="3" spans="1:39" s="273" customFormat="1"/>
    <row r="4" spans="1:39" s="273" customFormat="1" ht="20.25" customHeight="1"/>
    <row r="5" spans="1:39" s="273" customFormat="1" ht="13">
      <c r="B5" s="274"/>
    </row>
    <row r="6" spans="1:39" s="275" customFormat="1" ht="14.25" customHeight="1" thickBot="1">
      <c r="B6" s="276" t="s">
        <v>270</v>
      </c>
      <c r="C6" s="277" t="s">
        <v>96</v>
      </c>
      <c r="D6" s="277" t="s">
        <v>97</v>
      </c>
      <c r="E6" s="277" t="s">
        <v>98</v>
      </c>
      <c r="F6" s="277" t="s">
        <v>99</v>
      </c>
      <c r="G6" s="277" t="s">
        <v>100</v>
      </c>
      <c r="H6" s="277" t="s">
        <v>101</v>
      </c>
      <c r="I6" s="277" t="s">
        <v>336</v>
      </c>
      <c r="J6" s="277" t="s">
        <v>342</v>
      </c>
      <c r="K6" s="277" t="s">
        <v>357</v>
      </c>
      <c r="L6" s="277" t="s">
        <v>384</v>
      </c>
      <c r="M6" s="277" t="s">
        <v>395</v>
      </c>
      <c r="N6" s="277" t="s">
        <v>396</v>
      </c>
      <c r="O6" s="277" t="s">
        <v>469</v>
      </c>
      <c r="P6" s="277" t="s">
        <v>473</v>
      </c>
      <c r="Q6" s="277" t="s">
        <v>478</v>
      </c>
      <c r="R6" s="277" t="s">
        <v>480</v>
      </c>
      <c r="S6" s="277" t="s">
        <v>518</v>
      </c>
      <c r="T6" s="277" t="s">
        <v>521</v>
      </c>
      <c r="U6" s="284"/>
      <c r="V6" s="284"/>
    </row>
    <row r="7" spans="1:39" s="281" customFormat="1" ht="4.5" customHeight="1" thickTop="1">
      <c r="A7" s="278"/>
      <c r="B7" s="279"/>
      <c r="C7" s="280"/>
      <c r="D7" s="280"/>
      <c r="E7" s="280"/>
      <c r="F7" s="280"/>
      <c r="G7" s="280"/>
      <c r="H7" s="280"/>
      <c r="I7" s="280"/>
      <c r="J7" s="280"/>
      <c r="K7" s="280"/>
      <c r="L7" s="280"/>
      <c r="M7" s="280"/>
      <c r="N7" s="280"/>
      <c r="O7" s="280"/>
      <c r="P7" s="280"/>
      <c r="Q7" s="280"/>
      <c r="R7" s="280"/>
      <c r="S7" s="280"/>
      <c r="T7" s="280"/>
      <c r="U7" s="459"/>
      <c r="V7" s="459"/>
      <c r="W7" s="284"/>
      <c r="X7" s="284"/>
      <c r="Y7" s="280"/>
      <c r="Z7" s="280"/>
      <c r="AA7" s="280"/>
      <c r="AB7" s="280"/>
      <c r="AC7" s="280"/>
      <c r="AD7" s="280"/>
      <c r="AE7" s="280"/>
      <c r="AF7" s="280"/>
      <c r="AI7" s="280"/>
      <c r="AJ7" s="280"/>
      <c r="AK7" s="280"/>
      <c r="AL7" s="280"/>
      <c r="AM7" s="280"/>
    </row>
    <row r="8" spans="1:39" s="273" customFormat="1" ht="14.25" customHeight="1" thickBot="1">
      <c r="B8" s="285" t="s">
        <v>158</v>
      </c>
      <c r="C8" s="59">
        <v>360.42100000000011</v>
      </c>
      <c r="D8" s="59">
        <v>362.67900000000003</v>
      </c>
      <c r="E8" s="59">
        <v>313.71800000000081</v>
      </c>
      <c r="F8" s="59">
        <v>500.678</v>
      </c>
      <c r="G8" s="59">
        <v>552.33500000000004</v>
      </c>
      <c r="H8" s="59">
        <v>641</v>
      </c>
      <c r="I8" s="59">
        <v>330</v>
      </c>
      <c r="J8" s="59">
        <v>102.697</v>
      </c>
      <c r="K8" s="59">
        <f>'9 - Demonstrativos Financeiros'!W35</f>
        <v>84.31006989999986</v>
      </c>
      <c r="L8" s="59">
        <f>'9 - Demonstrativos Financeiros'!X35</f>
        <v>74</v>
      </c>
      <c r="M8" s="59">
        <f>'9 - Demonstrativos Financeiros'!Y35</f>
        <v>45.689930099999941</v>
      </c>
      <c r="N8" s="59">
        <f>'9 - Demonstrativos Financeiros'!Z35</f>
        <v>102.48400000000004</v>
      </c>
      <c r="O8" s="59">
        <f>'9 - Demonstrativos Financeiros'!AA35</f>
        <v>146.19999999999999</v>
      </c>
      <c r="P8" s="59">
        <f>'9 - Demonstrativos Financeiros'!AB35</f>
        <v>338.84199999999998</v>
      </c>
      <c r="Q8" s="59">
        <f>'9 - Demonstrativos Financeiros'!AC35</f>
        <v>408.86799999999999</v>
      </c>
      <c r="R8" s="495">
        <v>486</v>
      </c>
      <c r="S8" s="495">
        <v>430</v>
      </c>
      <c r="T8" s="495">
        <v>189</v>
      </c>
      <c r="U8" s="459"/>
      <c r="V8" s="459"/>
      <c r="W8" s="459"/>
      <c r="X8" s="284"/>
    </row>
    <row r="9" spans="1:39" ht="14">
      <c r="B9" s="282" t="s">
        <v>271</v>
      </c>
      <c r="C9" s="219">
        <v>-195</v>
      </c>
      <c r="D9" s="219">
        <v>-254</v>
      </c>
      <c r="E9" s="219">
        <v>51</v>
      </c>
      <c r="F9" s="219">
        <v>179.5</v>
      </c>
      <c r="G9" s="219">
        <v>-308.79700000000003</v>
      </c>
      <c r="H9" s="219">
        <v>-191.24038703999963</v>
      </c>
      <c r="I9" s="219">
        <v>114.34292782000004</v>
      </c>
      <c r="J9" s="219">
        <v>-58</v>
      </c>
      <c r="K9" s="219">
        <v>-313.20699999999994</v>
      </c>
      <c r="L9" s="219">
        <v>-202</v>
      </c>
      <c r="M9" s="219">
        <v>21.455999999999932</v>
      </c>
      <c r="N9" s="219">
        <v>532.45769427999994</v>
      </c>
      <c r="O9" s="219">
        <v>-162.49400000000009</v>
      </c>
      <c r="P9" s="219">
        <v>-89.650999999999897</v>
      </c>
      <c r="Q9" s="219">
        <v>60.197000000000173</v>
      </c>
      <c r="R9" s="468">
        <v>1.0493757299998947</v>
      </c>
      <c r="S9" s="468">
        <v>-217</v>
      </c>
      <c r="T9" s="468">
        <v>-122</v>
      </c>
      <c r="U9" s="459"/>
      <c r="V9" s="459"/>
      <c r="W9" s="459"/>
    </row>
    <row r="10" spans="1:39" ht="14">
      <c r="B10" s="282" t="s">
        <v>272</v>
      </c>
      <c r="C10" s="219">
        <v>-50</v>
      </c>
      <c r="D10" s="219">
        <v>0</v>
      </c>
      <c r="E10" s="219">
        <v>-72</v>
      </c>
      <c r="F10" s="219">
        <v>-19.5</v>
      </c>
      <c r="G10" s="219">
        <v>-77.283000000000001</v>
      </c>
      <c r="H10" s="219">
        <v>-94.908000000000001</v>
      </c>
      <c r="I10" s="219">
        <v>-72.405000000000001</v>
      </c>
      <c r="J10" s="219">
        <v>-10</v>
      </c>
      <c r="K10" s="219">
        <v>-12.263999999999999</v>
      </c>
      <c r="L10" s="219">
        <v>-8</v>
      </c>
      <c r="M10" s="219">
        <v>-8.0449999999999999</v>
      </c>
      <c r="N10" s="219">
        <v>-2.9</v>
      </c>
      <c r="O10" s="468">
        <v>-2.29</v>
      </c>
      <c r="P10" s="219">
        <v>-4.1760000000000002</v>
      </c>
      <c r="Q10" s="219">
        <v>-5.1239999999999997</v>
      </c>
      <c r="R10" s="468">
        <v>-10.746</v>
      </c>
      <c r="S10" s="468">
        <v>-12</v>
      </c>
      <c r="T10" s="468">
        <v>-12</v>
      </c>
      <c r="U10" s="486"/>
      <c r="V10" s="459"/>
      <c r="W10" s="459"/>
    </row>
    <row r="11" spans="1:39" ht="14">
      <c r="B11" s="286" t="s">
        <v>261</v>
      </c>
      <c r="C11" s="219">
        <v>-84</v>
      </c>
      <c r="D11" s="219">
        <v>-106</v>
      </c>
      <c r="E11" s="219">
        <v>-185</v>
      </c>
      <c r="F11" s="219">
        <v>-185</v>
      </c>
      <c r="G11" s="219">
        <v>-148.566</v>
      </c>
      <c r="H11" s="219">
        <v>-177.45099999999999</v>
      </c>
      <c r="I11" s="219">
        <v>-287.84100000000001</v>
      </c>
      <c r="J11" s="219">
        <v>-339</v>
      </c>
      <c r="K11" s="219">
        <v>-276.67700000000002</v>
      </c>
      <c r="L11" s="219">
        <v>-281</v>
      </c>
      <c r="M11" s="219">
        <v>-213.59200000000001</v>
      </c>
      <c r="N11" s="219">
        <v>-195.643</v>
      </c>
      <c r="O11" s="468">
        <v>-261.54599999999999</v>
      </c>
      <c r="P11" s="219">
        <v>-168.99</v>
      </c>
      <c r="Q11" s="468">
        <v>-135.786</v>
      </c>
      <c r="R11" s="468">
        <v>-211</v>
      </c>
      <c r="S11" s="468">
        <v>-181</v>
      </c>
      <c r="T11" s="468">
        <v>-197</v>
      </c>
      <c r="U11" s="459"/>
      <c r="V11" s="459"/>
      <c r="W11" s="459"/>
    </row>
    <row r="12" spans="1:39" ht="14">
      <c r="B12" s="286" t="s">
        <v>544</v>
      </c>
      <c r="C12" s="219">
        <v>-16</v>
      </c>
      <c r="D12" s="219">
        <v>-57</v>
      </c>
      <c r="E12" s="219">
        <v>-44</v>
      </c>
      <c r="F12" s="219">
        <v>-86.5</v>
      </c>
      <c r="G12" s="219">
        <v>-86.14100000000002</v>
      </c>
      <c r="H12" s="219">
        <v>-1.0580000000000043</v>
      </c>
      <c r="I12" s="219">
        <v>-36.755000000000017</v>
      </c>
      <c r="J12" s="219">
        <v>-68</v>
      </c>
      <c r="K12" s="219">
        <v>-25.553000000000033</v>
      </c>
      <c r="L12" s="219">
        <v>-52</v>
      </c>
      <c r="M12" s="219">
        <v>-36.945000000000064</v>
      </c>
      <c r="N12" s="219">
        <v>-20.921000000000042</v>
      </c>
      <c r="O12" s="219">
        <v>-11</v>
      </c>
      <c r="P12" s="219">
        <v>-34.506999999999969</v>
      </c>
      <c r="Q12" s="219">
        <v>-105.04900000000001</v>
      </c>
      <c r="R12" s="468">
        <v>-106.21099999999998</v>
      </c>
      <c r="S12" s="468">
        <v>-183</v>
      </c>
      <c r="T12" s="468">
        <v>-150</v>
      </c>
      <c r="U12" s="459"/>
      <c r="V12" s="459"/>
      <c r="W12" s="459"/>
    </row>
    <row r="13" spans="1:39" ht="14">
      <c r="B13" s="286" t="s">
        <v>545</v>
      </c>
      <c r="C13" s="219">
        <v>-380.5</v>
      </c>
      <c r="D13" s="219">
        <v>-33</v>
      </c>
      <c r="E13" s="219">
        <v>-11</v>
      </c>
      <c r="F13" s="219">
        <v>0</v>
      </c>
      <c r="G13" s="219">
        <v>0</v>
      </c>
      <c r="H13" s="219">
        <v>-217.24107218000006</v>
      </c>
      <c r="I13" s="219">
        <v>0</v>
      </c>
      <c r="J13" s="219">
        <v>-107</v>
      </c>
      <c r="K13" s="219">
        <v>0</v>
      </c>
      <c r="L13" s="219">
        <v>0</v>
      </c>
      <c r="M13" s="219"/>
      <c r="N13" s="219">
        <v>-82.845694279999989</v>
      </c>
      <c r="O13" s="468">
        <v>0</v>
      </c>
      <c r="P13" s="219">
        <v>0</v>
      </c>
      <c r="Q13" s="219">
        <v>-58.831000000000003</v>
      </c>
      <c r="R13" s="468">
        <v>12.396000000000015</v>
      </c>
      <c r="S13" s="468">
        <v>0</v>
      </c>
      <c r="T13" s="468">
        <v>53</v>
      </c>
      <c r="U13" s="459"/>
      <c r="V13" s="459"/>
      <c r="W13" s="459"/>
    </row>
    <row r="14" spans="1:39" ht="14">
      <c r="B14" s="319" t="s">
        <v>177</v>
      </c>
      <c r="C14" s="219">
        <v>0</v>
      </c>
      <c r="D14" s="219">
        <v>-37</v>
      </c>
      <c r="E14" s="219">
        <v>0</v>
      </c>
      <c r="F14" s="219">
        <v>0</v>
      </c>
      <c r="G14" s="219">
        <v>-129.61399999999998</v>
      </c>
      <c r="H14" s="219">
        <v>0</v>
      </c>
      <c r="I14" s="219">
        <v>46.164999999999999</v>
      </c>
      <c r="J14" s="219">
        <v>-2</v>
      </c>
      <c r="K14" s="219">
        <v>-83.584000000000003</v>
      </c>
      <c r="L14" s="219">
        <v>50</v>
      </c>
      <c r="M14" s="219">
        <v>-66.222999999999999</v>
      </c>
      <c r="N14" s="219">
        <v>42.936</v>
      </c>
      <c r="O14" s="468">
        <v>13.034000000000001</v>
      </c>
      <c r="P14" s="219">
        <v>-8.702</v>
      </c>
      <c r="Q14" s="219">
        <v>11.801</v>
      </c>
      <c r="R14" s="468">
        <v>238.46299999999999</v>
      </c>
      <c r="S14" s="468">
        <v>0</v>
      </c>
      <c r="T14" s="468">
        <v>29</v>
      </c>
      <c r="U14" s="459"/>
      <c r="V14" s="459"/>
      <c r="W14" s="459"/>
    </row>
    <row r="15" spans="1:39" ht="14.5" hidden="1" thickBot="1">
      <c r="B15" s="314" t="s">
        <v>274</v>
      </c>
      <c r="C15" s="316">
        <v>0</v>
      </c>
      <c r="D15" s="316">
        <v>0</v>
      </c>
      <c r="E15" s="316">
        <v>657</v>
      </c>
      <c r="F15" s="316">
        <v>0</v>
      </c>
      <c r="G15" s="316">
        <v>0</v>
      </c>
      <c r="H15" s="316">
        <v>0</v>
      </c>
      <c r="I15" s="316">
        <v>0</v>
      </c>
      <c r="J15" s="316">
        <v>0</v>
      </c>
      <c r="K15" s="316">
        <v>0</v>
      </c>
      <c r="L15" s="316"/>
      <c r="M15" s="316"/>
      <c r="N15" s="316"/>
      <c r="O15" s="316">
        <v>0</v>
      </c>
      <c r="P15" s="316">
        <v>0</v>
      </c>
      <c r="Q15" s="316">
        <v>0</v>
      </c>
      <c r="R15" s="496">
        <v>0</v>
      </c>
      <c r="S15" s="496"/>
      <c r="T15" s="496"/>
      <c r="U15" s="459"/>
      <c r="V15" s="459"/>
      <c r="W15" s="459"/>
    </row>
    <row r="16" spans="1:39" s="273" customFormat="1" ht="14.25" customHeight="1" thickBot="1">
      <c r="B16" s="285" t="s">
        <v>275</v>
      </c>
      <c r="C16" s="59">
        <v>-365.07899999999989</v>
      </c>
      <c r="D16" s="59">
        <v>-124.32099999999997</v>
      </c>
      <c r="E16" s="59">
        <v>709.71800000000076</v>
      </c>
      <c r="F16" s="59">
        <v>389.178</v>
      </c>
      <c r="G16" s="59">
        <v>-198.066</v>
      </c>
      <c r="H16" s="59">
        <v>-40.898459219999694</v>
      </c>
      <c r="I16" s="59">
        <v>93.506927820000001</v>
      </c>
      <c r="J16" s="59">
        <f>SUM(J8:J15)</f>
        <v>-481.303</v>
      </c>
      <c r="K16" s="59">
        <f t="shared" ref="K16:T16" si="0">SUM(K8:K15)</f>
        <v>-626.97493010000017</v>
      </c>
      <c r="L16" s="59">
        <f t="shared" si="0"/>
        <v>-419</v>
      </c>
      <c r="M16" s="59">
        <f t="shared" si="0"/>
        <v>-257.65906990000019</v>
      </c>
      <c r="N16" s="59">
        <f t="shared" si="0"/>
        <v>375.56799999999993</v>
      </c>
      <c r="O16" s="59">
        <f t="shared" si="0"/>
        <v>-278.09600000000012</v>
      </c>
      <c r="P16" s="59">
        <f t="shared" si="0"/>
        <v>32.816000000000123</v>
      </c>
      <c r="Q16" s="59">
        <f t="shared" si="0"/>
        <v>176.07600000000014</v>
      </c>
      <c r="R16" s="59">
        <f t="shared" si="0"/>
        <v>409.95137572999994</v>
      </c>
      <c r="S16" s="59">
        <f t="shared" si="0"/>
        <v>-163</v>
      </c>
      <c r="T16" s="59">
        <f t="shared" si="0"/>
        <v>-210</v>
      </c>
      <c r="U16" s="459"/>
      <c r="V16" s="459"/>
      <c r="W16" s="459"/>
      <c r="X16" s="284"/>
    </row>
    <row r="17" spans="2:20">
      <c r="R17" s="356"/>
      <c r="S17" s="356"/>
      <c r="T17" s="356"/>
    </row>
    <row r="18" spans="2:20" ht="13">
      <c r="B18" s="566"/>
      <c r="R18" s="356"/>
      <c r="S18" s="356"/>
      <c r="T18" s="356"/>
    </row>
    <row r="19" spans="2:20" ht="13">
      <c r="B19" s="566"/>
      <c r="R19" s="356"/>
      <c r="S19" s="356"/>
      <c r="T19" s="356"/>
    </row>
    <row r="20" spans="2:20" ht="13">
      <c r="B20" s="566"/>
      <c r="R20" s="356"/>
      <c r="S20" s="356"/>
      <c r="T20" s="356"/>
    </row>
  </sheetData>
  <phoneticPr fontId="98" type="noConversion"/>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4BFBB-C5B7-4BC2-898C-6B316C78BB4B}">
  <sheetPr>
    <tabColor rgb="FF00B050"/>
  </sheetPr>
  <dimension ref="A1:AH120"/>
  <sheetViews>
    <sheetView showGridLines="0" zoomScale="80" zoomScaleNormal="80" workbookViewId="0">
      <pane xSplit="2" ySplit="6" topLeftCell="W7" activePane="bottomRight" state="frozen"/>
      <selection activeCell="AB15" sqref="AB15"/>
      <selection pane="topRight" activeCell="AB15" sqref="AB15"/>
      <selection pane="bottomLeft" activeCell="AB15" sqref="AB15"/>
      <selection pane="bottomRight" activeCell="AF111" sqref="AF111"/>
    </sheetView>
  </sheetViews>
  <sheetFormatPr defaultColWidth="9.1796875" defaultRowHeight="14" outlineLevelCol="1"/>
  <cols>
    <col min="1" max="1" width="3.81640625" style="288" customWidth="1"/>
    <col min="2" max="2" width="78.54296875" style="288" bestFit="1" customWidth="1"/>
    <col min="3" max="22" width="10.81640625" style="288" hidden="1" customWidth="1" outlineLevel="1"/>
    <col min="23" max="23" width="10.81640625" style="288" customWidth="1" collapsed="1"/>
    <col min="24" max="32" width="10.81640625" style="288" customWidth="1"/>
    <col min="33" max="33" width="13.81640625" style="288" customWidth="1"/>
    <col min="34" max="34" width="1.81640625" style="288" customWidth="1"/>
    <col min="35" max="16384" width="9.1796875" style="288"/>
  </cols>
  <sheetData>
    <row r="1" spans="1:34" s="320" customFormat="1">
      <c r="U1" s="320" t="s">
        <v>344</v>
      </c>
    </row>
    <row r="2" spans="1:34" s="320" customFormat="1" ht="13.5" customHeight="1"/>
    <row r="3" spans="1:34" s="320" customFormat="1"/>
    <row r="4" spans="1:34" s="320" customFormat="1" ht="20.25" customHeight="1"/>
    <row r="5" spans="1:34" s="320" customFormat="1">
      <c r="B5" s="321"/>
      <c r="C5" s="321"/>
      <c r="D5" s="321"/>
      <c r="E5" s="321"/>
      <c r="F5" s="321"/>
      <c r="G5" s="321"/>
      <c r="H5" s="321"/>
      <c r="I5" s="321"/>
      <c r="J5" s="321"/>
      <c r="K5" s="321"/>
      <c r="L5" s="321"/>
      <c r="M5" s="321"/>
      <c r="N5" s="321"/>
    </row>
    <row r="6" spans="1:34" ht="14.25" customHeight="1" thickBot="1">
      <c r="B6" s="276" t="s">
        <v>277</v>
      </c>
      <c r="C6" s="277" t="s">
        <v>84</v>
      </c>
      <c r="D6" s="277" t="s">
        <v>85</v>
      </c>
      <c r="E6" s="277" t="s">
        <v>86</v>
      </c>
      <c r="F6" s="277" t="s">
        <v>87</v>
      </c>
      <c r="G6" s="277" t="s">
        <v>88</v>
      </c>
      <c r="H6" s="277" t="s">
        <v>89</v>
      </c>
      <c r="I6" s="277" t="s">
        <v>90</v>
      </c>
      <c r="J6" s="277" t="s">
        <v>91</v>
      </c>
      <c r="K6" s="277" t="s">
        <v>92</v>
      </c>
      <c r="L6" s="277" t="s">
        <v>93</v>
      </c>
      <c r="M6" s="277" t="s">
        <v>94</v>
      </c>
      <c r="N6" s="277" t="s">
        <v>95</v>
      </c>
      <c r="O6" s="277" t="s">
        <v>96</v>
      </c>
      <c r="P6" s="277" t="s">
        <v>97</v>
      </c>
      <c r="Q6" s="277" t="s">
        <v>98</v>
      </c>
      <c r="R6" s="277" t="s">
        <v>99</v>
      </c>
      <c r="S6" s="277" t="s">
        <v>100</v>
      </c>
      <c r="T6" s="277" t="s">
        <v>101</v>
      </c>
      <c r="U6" s="277" t="s">
        <v>336</v>
      </c>
      <c r="V6" s="277" t="s">
        <v>342</v>
      </c>
      <c r="W6" s="277" t="s">
        <v>357</v>
      </c>
      <c r="X6" s="277" t="s">
        <v>384</v>
      </c>
      <c r="Y6" s="277" t="s">
        <v>395</v>
      </c>
      <c r="Z6" s="277" t="s">
        <v>396</v>
      </c>
      <c r="AA6" s="277" t="s">
        <v>469</v>
      </c>
      <c r="AB6" s="277" t="s">
        <v>473</v>
      </c>
      <c r="AC6" s="277" t="s">
        <v>478</v>
      </c>
      <c r="AD6" s="277" t="s">
        <v>480</v>
      </c>
      <c r="AE6" s="277" t="s">
        <v>518</v>
      </c>
      <c r="AF6" s="277" t="s">
        <v>521</v>
      </c>
    </row>
    <row r="7" spans="1:34" s="281" customFormat="1" ht="4.5" customHeight="1" thickTop="1">
      <c r="A7" s="278"/>
      <c r="B7" s="279"/>
      <c r="C7" s="279"/>
      <c r="D7" s="279"/>
      <c r="E7" s="279"/>
      <c r="F7" s="279"/>
      <c r="G7" s="279"/>
      <c r="H7" s="279"/>
      <c r="I7" s="279"/>
      <c r="J7" s="279"/>
      <c r="K7" s="279"/>
      <c r="L7" s="279"/>
      <c r="M7" s="279"/>
      <c r="N7" s="279"/>
      <c r="O7" s="280"/>
      <c r="P7" s="280"/>
      <c r="Q7" s="280"/>
      <c r="R7" s="280"/>
      <c r="S7" s="280"/>
      <c r="T7" s="280"/>
      <c r="U7" s="280"/>
      <c r="V7" s="280"/>
      <c r="W7" s="280"/>
      <c r="X7" s="280"/>
      <c r="Y7" s="280"/>
      <c r="Z7" s="280"/>
      <c r="AA7" s="280"/>
      <c r="AB7" s="280"/>
      <c r="AC7" s="280"/>
      <c r="AD7" s="280"/>
      <c r="AE7" s="280"/>
      <c r="AF7" s="280"/>
      <c r="AG7" s="288"/>
    </row>
    <row r="8" spans="1:34" s="322" customFormat="1" ht="14.15" customHeight="1" thickBot="1">
      <c r="B8" s="285" t="s">
        <v>278</v>
      </c>
      <c r="C8" s="285"/>
      <c r="D8" s="285"/>
      <c r="E8" s="285"/>
      <c r="F8" s="285"/>
      <c r="G8" s="285"/>
      <c r="H8" s="285"/>
      <c r="I8" s="285"/>
      <c r="J8" s="285"/>
      <c r="K8" s="285"/>
      <c r="L8" s="285"/>
      <c r="M8" s="285"/>
      <c r="N8" s="285"/>
      <c r="O8" s="59"/>
      <c r="P8" s="59"/>
      <c r="Q8" s="59"/>
      <c r="R8" s="59"/>
      <c r="S8" s="59"/>
      <c r="T8" s="59"/>
      <c r="U8" s="59"/>
      <c r="V8" s="59"/>
      <c r="W8" s="59"/>
      <c r="X8" s="59"/>
      <c r="Y8" s="59"/>
      <c r="Z8" s="59"/>
      <c r="AA8" s="59"/>
      <c r="AB8" s="59"/>
      <c r="AC8" s="59"/>
      <c r="AD8" s="495"/>
      <c r="AE8" s="495"/>
      <c r="AF8" s="495"/>
      <c r="AG8" s="310"/>
    </row>
    <row r="9" spans="1:34">
      <c r="B9" s="323"/>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5"/>
    </row>
    <row r="10" spans="1:34" s="310" customFormat="1">
      <c r="B10" s="312" t="s">
        <v>279</v>
      </c>
      <c r="C10" s="326">
        <v>108.297</v>
      </c>
      <c r="D10" s="326">
        <v>-50.103000000000002</v>
      </c>
      <c r="E10" s="326">
        <v>-13.071</v>
      </c>
      <c r="F10" s="326">
        <v>83.028000000000006</v>
      </c>
      <c r="G10" s="326">
        <v>50.384</v>
      </c>
      <c r="H10" s="326">
        <v>0.60499999999999998</v>
      </c>
      <c r="I10" s="326">
        <v>-80.798000000000002</v>
      </c>
      <c r="J10" s="326">
        <v>26.710999999999999</v>
      </c>
      <c r="K10" s="326">
        <v>117.611</v>
      </c>
      <c r="L10" s="326">
        <v>21.783999999999999</v>
      </c>
      <c r="M10" s="326">
        <v>-170.96199999999999</v>
      </c>
      <c r="N10" s="326">
        <v>-29.965</v>
      </c>
      <c r="O10" s="326">
        <v>-126.777</v>
      </c>
      <c r="P10" s="326">
        <v>578.04999999999995</v>
      </c>
      <c r="Q10" s="326">
        <v>-87.432000000000002</v>
      </c>
      <c r="R10" s="326">
        <v>493.56700000000001</v>
      </c>
      <c r="S10" s="326">
        <v>582.38</v>
      </c>
      <c r="T10" s="326">
        <v>545.79499999999996</v>
      </c>
      <c r="U10" s="326">
        <v>157</v>
      </c>
      <c r="V10" s="326">
        <v>-154.84899999999993</v>
      </c>
      <c r="W10" s="326">
        <v>121.965</v>
      </c>
      <c r="X10" s="326">
        <v>-3</v>
      </c>
      <c r="Y10" s="326">
        <f>'9 - Demonstrativos Financeiros'!Y23</f>
        <v>-275.49138708119938</v>
      </c>
      <c r="Z10" s="326">
        <f>'9 - Demonstrativos Financeiros'!Z23-1</f>
        <v>-823.49379310192512</v>
      </c>
      <c r="AA10" s="326">
        <f>'9 - Demonstrativos Financeiros'!AA23-1+1</f>
        <v>0.6759464899999017</v>
      </c>
      <c r="AB10" s="326">
        <f>'9 - Demonstrativos Financeiros'!AB23</f>
        <v>-128.02315714897554</v>
      </c>
      <c r="AC10" s="326">
        <f>'9 - Demonstrativos Financeiros'!AC23</f>
        <v>41.131999999999991</v>
      </c>
      <c r="AD10" s="326">
        <f>'9 - Demonstrativos Financeiros'!AD23</f>
        <v>-273.5922959200002</v>
      </c>
      <c r="AE10" s="326">
        <f>'9 - Demonstrativos Financeiros'!AE23</f>
        <v>478</v>
      </c>
      <c r="AF10" s="326">
        <f>'9 - Demonstrativos Financeiros'!AF23</f>
        <v>-62</v>
      </c>
      <c r="AG10" s="327"/>
      <c r="AH10" s="327"/>
    </row>
    <row r="11" spans="1:34">
      <c r="B11" s="282"/>
      <c r="C11" s="328"/>
      <c r="D11" s="328"/>
      <c r="E11" s="328"/>
      <c r="F11" s="328"/>
      <c r="G11" s="328"/>
      <c r="H11" s="328"/>
      <c r="I11" s="328"/>
      <c r="J11" s="328"/>
      <c r="K11" s="312"/>
      <c r="L11" s="328"/>
      <c r="M11" s="328"/>
      <c r="N11" s="328"/>
      <c r="O11" s="312"/>
      <c r="P11" s="328"/>
      <c r="Q11" s="328"/>
      <c r="R11" s="328"/>
      <c r="S11" s="328"/>
      <c r="T11" s="328"/>
      <c r="U11" s="328"/>
      <c r="V11" s="328"/>
      <c r="W11" s="328"/>
      <c r="X11" s="328"/>
      <c r="Y11" s="328"/>
      <c r="Z11" s="328"/>
      <c r="AA11" s="328"/>
      <c r="AB11" s="328"/>
      <c r="AC11" s="328"/>
      <c r="AD11" s="328"/>
      <c r="AE11" s="328">
        <v>0</v>
      </c>
      <c r="AF11" s="328"/>
      <c r="AG11" s="327"/>
      <c r="AH11" s="327"/>
    </row>
    <row r="12" spans="1:34">
      <c r="B12" s="282" t="s">
        <v>281</v>
      </c>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v>0</v>
      </c>
      <c r="AF12" s="328"/>
      <c r="AG12" s="327"/>
      <c r="AH12" s="327"/>
    </row>
    <row r="13" spans="1:34">
      <c r="B13" s="329" t="s">
        <v>282</v>
      </c>
      <c r="C13" s="328">
        <v>79.298000000000002</v>
      </c>
      <c r="D13" s="328">
        <v>315.541</v>
      </c>
      <c r="E13" s="328">
        <v>162.523</v>
      </c>
      <c r="F13" s="328">
        <v>-107.462</v>
      </c>
      <c r="G13" s="328">
        <v>46.779000000000003</v>
      </c>
      <c r="H13" s="328">
        <v>27.838000000000001</v>
      </c>
      <c r="I13" s="328">
        <v>78.855999999999995</v>
      </c>
      <c r="J13" s="328">
        <v>114.05200000000001</v>
      </c>
      <c r="K13" s="328">
        <v>203.49299999999999</v>
      </c>
      <c r="L13" s="328">
        <v>77.408000000000001</v>
      </c>
      <c r="M13" s="328">
        <v>138.536</v>
      </c>
      <c r="N13" s="328">
        <v>12.472</v>
      </c>
      <c r="O13" s="328">
        <v>149.56899999999999</v>
      </c>
      <c r="P13" s="328">
        <v>-50.171999999999997</v>
      </c>
      <c r="Q13" s="328">
        <v>183.036</v>
      </c>
      <c r="R13" s="328">
        <v>134.57400000000001</v>
      </c>
      <c r="S13" s="328">
        <v>29.379000000000001</v>
      </c>
      <c r="T13" s="328">
        <v>98.695999999999998</v>
      </c>
      <c r="U13" s="328">
        <v>59</v>
      </c>
      <c r="V13" s="328">
        <v>-17.268999999999977</v>
      </c>
      <c r="W13" s="328">
        <v>17.359000000000002</v>
      </c>
      <c r="X13" s="328">
        <v>-15</v>
      </c>
      <c r="Y13" s="328">
        <f>227-SUM(W13:X13)</f>
        <v>224.64099999999999</v>
      </c>
      <c r="Z13" s="328">
        <v>54.03</v>
      </c>
      <c r="AA13" s="328">
        <f>153498/1000</f>
        <v>153.49799999999999</v>
      </c>
      <c r="AB13" s="328">
        <v>205.108</v>
      </c>
      <c r="AC13" s="328">
        <v>81</v>
      </c>
      <c r="AD13" s="328">
        <v>424.92200000000003</v>
      </c>
      <c r="AE13" s="328">
        <v>81</v>
      </c>
      <c r="AF13" s="328">
        <v>73</v>
      </c>
      <c r="AG13" s="327"/>
      <c r="AH13" s="327"/>
    </row>
    <row r="14" spans="1:34">
      <c r="B14" s="329" t="s">
        <v>283</v>
      </c>
      <c r="C14" s="328">
        <v>-1.3029999999999999</v>
      </c>
      <c r="D14" s="328">
        <v>19.989999999999998</v>
      </c>
      <c r="E14" s="328">
        <v>8.3290000000000006</v>
      </c>
      <c r="F14" s="328">
        <v>2.1000000000000001E-2</v>
      </c>
      <c r="G14" s="328">
        <v>0.35099999999999998</v>
      </c>
      <c r="H14" s="328">
        <v>-4.992</v>
      </c>
      <c r="I14" s="328">
        <v>-1.9610000000000001</v>
      </c>
      <c r="J14" s="328">
        <v>-7.8949999999999996</v>
      </c>
      <c r="K14" s="328">
        <v>26.245000000000001</v>
      </c>
      <c r="L14" s="328">
        <v>-7.7720000000000002</v>
      </c>
      <c r="M14" s="328">
        <v>-5.1269999999999998</v>
      </c>
      <c r="N14" s="328">
        <v>-10.3</v>
      </c>
      <c r="O14" s="328">
        <v>17.169</v>
      </c>
      <c r="P14" s="328">
        <v>-17.065000000000001</v>
      </c>
      <c r="Q14" s="328">
        <v>17.646999999999998</v>
      </c>
      <c r="R14" s="328">
        <v>-30.475000000000001</v>
      </c>
      <c r="S14" s="328">
        <v>-19.192</v>
      </c>
      <c r="T14" s="328">
        <v>14.773999999999999</v>
      </c>
      <c r="U14" s="328">
        <v>10</v>
      </c>
      <c r="V14" s="328">
        <v>7.2830000000000013</v>
      </c>
      <c r="W14" s="328">
        <v>-18.428000000000001</v>
      </c>
      <c r="X14" s="328">
        <v>-26</v>
      </c>
      <c r="Y14" s="328">
        <f>-56-SUM(W14:X14)</f>
        <v>-11.572000000000003</v>
      </c>
      <c r="Z14" s="328">
        <v>-11.407999999999999</v>
      </c>
      <c r="AA14" s="328">
        <v>-32.139000000000003</v>
      </c>
      <c r="AB14" s="328">
        <v>-31.561999999999998</v>
      </c>
      <c r="AC14" s="328">
        <v>-34</v>
      </c>
      <c r="AD14" s="328">
        <v>-31.518000000000001</v>
      </c>
      <c r="AE14" s="328">
        <v>-32</v>
      </c>
      <c r="AF14" s="328">
        <v>-29</v>
      </c>
      <c r="AG14" s="327"/>
      <c r="AH14" s="327"/>
    </row>
    <row r="15" spans="1:34">
      <c r="B15" s="329" t="s">
        <v>222</v>
      </c>
      <c r="C15" s="328">
        <v>74.691999999999993</v>
      </c>
      <c r="D15" s="328">
        <v>78.034999999999997</v>
      </c>
      <c r="E15" s="328">
        <v>74.795000000000002</v>
      </c>
      <c r="F15" s="328">
        <v>75.680000000000007</v>
      </c>
      <c r="G15" s="328">
        <v>96.887</v>
      </c>
      <c r="H15" s="328">
        <v>141.75299999999999</v>
      </c>
      <c r="I15" s="328">
        <v>89.731999999999999</v>
      </c>
      <c r="J15" s="328">
        <v>134.18899999999999</v>
      </c>
      <c r="K15" s="328">
        <v>91.376000000000005</v>
      </c>
      <c r="L15" s="328">
        <v>110.422</v>
      </c>
      <c r="M15" s="328">
        <v>103.4</v>
      </c>
      <c r="N15" s="328">
        <v>126.283</v>
      </c>
      <c r="O15" s="328">
        <v>113.1</v>
      </c>
      <c r="P15" s="328">
        <v>126.14100000000001</v>
      </c>
      <c r="Q15" s="328">
        <v>137.14400000000001</v>
      </c>
      <c r="R15" s="328">
        <v>119.66</v>
      </c>
      <c r="S15" s="328">
        <v>128.72800000000001</v>
      </c>
      <c r="T15" s="328">
        <v>123.63800000000001</v>
      </c>
      <c r="U15" s="328">
        <v>137</v>
      </c>
      <c r="V15" s="328">
        <v>150.14499999999998</v>
      </c>
      <c r="W15" s="328">
        <v>134.69200000000001</v>
      </c>
      <c r="X15" s="328">
        <v>145</v>
      </c>
      <c r="Y15" s="328">
        <f>422-SUM(W15:X15)</f>
        <v>142.30799999999999</v>
      </c>
      <c r="Z15" s="328">
        <v>148.05699999999999</v>
      </c>
      <c r="AA15" s="328">
        <f>144215/1000</f>
        <v>144.215</v>
      </c>
      <c r="AB15" s="328">
        <v>144.18199999999999</v>
      </c>
      <c r="AC15" s="328">
        <v>158</v>
      </c>
      <c r="AD15" s="328">
        <v>196.93800000000005</v>
      </c>
      <c r="AE15" s="328">
        <v>174</v>
      </c>
      <c r="AF15" s="328">
        <v>166</v>
      </c>
      <c r="AG15" s="327"/>
      <c r="AH15" s="327"/>
    </row>
    <row r="16" spans="1:34">
      <c r="B16" s="329" t="s">
        <v>192</v>
      </c>
      <c r="C16" s="328">
        <v>0</v>
      </c>
      <c r="D16" s="328">
        <v>0</v>
      </c>
      <c r="E16" s="328">
        <v>0</v>
      </c>
      <c r="F16" s="328">
        <v>0</v>
      </c>
      <c r="G16" s="328">
        <v>0</v>
      </c>
      <c r="H16" s="328">
        <v>0</v>
      </c>
      <c r="I16" s="328">
        <v>0</v>
      </c>
      <c r="J16" s="328">
        <v>127.169</v>
      </c>
      <c r="K16" s="328">
        <v>12.266</v>
      </c>
      <c r="L16" s="328">
        <v>27.07</v>
      </c>
      <c r="M16" s="328">
        <v>40.185000000000002</v>
      </c>
      <c r="N16" s="328">
        <v>45.701000000000001</v>
      </c>
      <c r="O16" s="328">
        <v>-10.72</v>
      </c>
      <c r="P16" s="328">
        <v>-202.61799999999999</v>
      </c>
      <c r="Q16" s="328">
        <v>14.486000000000001</v>
      </c>
      <c r="R16" s="328">
        <v>15.747</v>
      </c>
      <c r="S16" s="328">
        <v>24.39</v>
      </c>
      <c r="T16" s="328">
        <v>22.529</v>
      </c>
      <c r="U16" s="328">
        <v>40</v>
      </c>
      <c r="V16" s="328">
        <v>-0.51599999999999113</v>
      </c>
      <c r="W16" s="328">
        <v>-0.105</v>
      </c>
      <c r="X16" s="328">
        <v>52</v>
      </c>
      <c r="Y16" s="328">
        <f>-51-SUM(W16:X16)</f>
        <v>-102.89500000000001</v>
      </c>
      <c r="Z16" s="328">
        <v>639.02800000000002</v>
      </c>
      <c r="AA16" s="328">
        <f>-112101/1000</f>
        <v>-112.101</v>
      </c>
      <c r="AB16" s="328">
        <v>-152.06299999999999</v>
      </c>
      <c r="AC16" s="328">
        <v>56</v>
      </c>
      <c r="AD16" s="328">
        <v>48.942999999999984</v>
      </c>
      <c r="AE16" s="328">
        <v>-192</v>
      </c>
      <c r="AF16" s="328">
        <v>0</v>
      </c>
      <c r="AG16" s="327"/>
      <c r="AH16" s="327"/>
    </row>
    <row r="17" spans="2:34">
      <c r="B17" s="329" t="s">
        <v>474</v>
      </c>
      <c r="C17" s="328">
        <v>0</v>
      </c>
      <c r="D17" s="328">
        <v>0</v>
      </c>
      <c r="E17" s="328">
        <v>0</v>
      </c>
      <c r="F17" s="328">
        <v>0</v>
      </c>
      <c r="G17" s="328">
        <v>0</v>
      </c>
      <c r="H17" s="328">
        <v>0</v>
      </c>
      <c r="I17" s="328">
        <v>0</v>
      </c>
      <c r="J17" s="328">
        <v>0</v>
      </c>
      <c r="K17" s="328">
        <v>0</v>
      </c>
      <c r="L17" s="328">
        <v>0</v>
      </c>
      <c r="M17" s="328">
        <v>0</v>
      </c>
      <c r="N17" s="328">
        <v>0</v>
      </c>
      <c r="O17" s="328">
        <v>0</v>
      </c>
      <c r="P17" s="328">
        <v>0</v>
      </c>
      <c r="Q17" s="328">
        <v>0</v>
      </c>
      <c r="R17" s="328">
        <v>-29</v>
      </c>
      <c r="S17" s="328">
        <v>0</v>
      </c>
      <c r="T17" s="328">
        <v>0</v>
      </c>
      <c r="U17" s="328">
        <v>0</v>
      </c>
      <c r="V17" s="328">
        <v>0</v>
      </c>
      <c r="W17" s="328">
        <v>0</v>
      </c>
      <c r="X17" s="328">
        <v>0</v>
      </c>
      <c r="Y17" s="328">
        <v>0</v>
      </c>
      <c r="Z17" s="328">
        <v>0</v>
      </c>
      <c r="AA17" s="328">
        <v>-26.597000000000001</v>
      </c>
      <c r="AB17" s="328">
        <v>65.100999999999999</v>
      </c>
      <c r="AC17" s="328">
        <v>-4</v>
      </c>
      <c r="AD17" s="328">
        <v>-42.302999999999997</v>
      </c>
      <c r="AE17" s="328">
        <v>0</v>
      </c>
      <c r="AF17" s="328">
        <v>13</v>
      </c>
      <c r="AG17" s="327"/>
      <c r="AH17" s="327"/>
    </row>
    <row r="18" spans="2:34">
      <c r="B18" s="329" t="s">
        <v>481</v>
      </c>
      <c r="C18" s="328"/>
      <c r="D18" s="328"/>
      <c r="E18" s="328"/>
      <c r="F18" s="328"/>
      <c r="G18" s="328"/>
      <c r="H18" s="328"/>
      <c r="I18" s="328"/>
      <c r="J18" s="328"/>
      <c r="K18" s="328"/>
      <c r="L18" s="328"/>
      <c r="M18" s="328"/>
      <c r="N18" s="328"/>
      <c r="O18" s="328"/>
      <c r="P18" s="328"/>
      <c r="Q18" s="328"/>
      <c r="R18" s="328"/>
      <c r="S18" s="328"/>
      <c r="T18" s="328"/>
      <c r="U18" s="328"/>
      <c r="V18" s="328"/>
      <c r="W18" s="328">
        <v>0</v>
      </c>
      <c r="X18" s="328">
        <v>0</v>
      </c>
      <c r="Y18" s="328">
        <v>0</v>
      </c>
      <c r="Z18" s="328">
        <v>0</v>
      </c>
      <c r="AA18" s="328">
        <v>0</v>
      </c>
      <c r="AB18" s="328">
        <v>0</v>
      </c>
      <c r="AC18" s="328">
        <v>0</v>
      </c>
      <c r="AD18" s="328">
        <v>-128.251</v>
      </c>
      <c r="AE18" s="328">
        <v>0</v>
      </c>
      <c r="AF18" s="328">
        <v>0</v>
      </c>
      <c r="AG18" s="327"/>
      <c r="AH18" s="327"/>
    </row>
    <row r="19" spans="2:34">
      <c r="B19" s="329" t="s">
        <v>173</v>
      </c>
      <c r="C19" s="328">
        <v>0</v>
      </c>
      <c r="D19" s="328">
        <v>0</v>
      </c>
      <c r="E19" s="328">
        <v>0</v>
      </c>
      <c r="F19" s="328">
        <v>0</v>
      </c>
      <c r="G19" s="328">
        <v>0</v>
      </c>
      <c r="H19" s="328">
        <v>0</v>
      </c>
      <c r="I19" s="328">
        <v>0</v>
      </c>
      <c r="J19" s="328">
        <v>-147.37200000000001</v>
      </c>
      <c r="K19" s="328">
        <v>0</v>
      </c>
      <c r="L19" s="328">
        <v>0</v>
      </c>
      <c r="M19" s="328">
        <v>0</v>
      </c>
      <c r="N19" s="328">
        <v>204.30500000000001</v>
      </c>
      <c r="O19" s="328">
        <v>239.08199999999999</v>
      </c>
      <c r="P19" s="328">
        <v>78.819999999999993</v>
      </c>
      <c r="Q19" s="328">
        <v>-317.90199999999999</v>
      </c>
      <c r="R19" s="328">
        <v>912.33199999999999</v>
      </c>
      <c r="S19" s="328">
        <v>-76.239999999999995</v>
      </c>
      <c r="T19" s="328">
        <v>45.515999999999998</v>
      </c>
      <c r="U19" s="328">
        <v>-15</v>
      </c>
      <c r="V19" s="328">
        <v>-10.260000000000005</v>
      </c>
      <c r="W19" s="328">
        <v>-43</v>
      </c>
      <c r="X19" s="328">
        <v>-197</v>
      </c>
      <c r="Y19" s="328">
        <f>-288-SUM(W19:X19)</f>
        <v>-48</v>
      </c>
      <c r="Z19" s="328">
        <v>-47.5</v>
      </c>
      <c r="AA19" s="328">
        <f>11873/1000</f>
        <v>11.872999999999999</v>
      </c>
      <c r="AB19" s="328">
        <v>87.040999999999997</v>
      </c>
      <c r="AC19" s="328">
        <v>-2</v>
      </c>
      <c r="AD19" s="328">
        <v>173.48400000000004</v>
      </c>
      <c r="AE19" s="328">
        <v>-58</v>
      </c>
      <c r="AF19" s="328">
        <v>-38</v>
      </c>
      <c r="AG19" s="327"/>
      <c r="AH19" s="327"/>
    </row>
    <row r="20" spans="2:34">
      <c r="B20" s="329" t="s">
        <v>475</v>
      </c>
      <c r="C20" s="328">
        <v>0</v>
      </c>
      <c r="D20" s="328">
        <v>0</v>
      </c>
      <c r="E20" s="328">
        <v>0</v>
      </c>
      <c r="F20" s="328">
        <v>0</v>
      </c>
      <c r="G20" s="328">
        <v>0</v>
      </c>
      <c r="H20" s="328">
        <v>0</v>
      </c>
      <c r="I20" s="328">
        <v>0</v>
      </c>
      <c r="J20" s="328">
        <v>0</v>
      </c>
      <c r="K20" s="328">
        <v>0</v>
      </c>
      <c r="L20" s="328">
        <v>0</v>
      </c>
      <c r="M20" s="328">
        <v>0</v>
      </c>
      <c r="N20" s="328">
        <v>0</v>
      </c>
      <c r="O20" s="328">
        <v>0</v>
      </c>
      <c r="P20" s="328">
        <v>0</v>
      </c>
      <c r="Q20" s="328">
        <v>0</v>
      </c>
      <c r="R20" s="328">
        <v>0</v>
      </c>
      <c r="S20" s="328">
        <v>0</v>
      </c>
      <c r="T20" s="328">
        <v>0</v>
      </c>
      <c r="U20" s="328">
        <v>0</v>
      </c>
      <c r="V20" s="328">
        <v>0</v>
      </c>
      <c r="W20" s="328">
        <v>0</v>
      </c>
      <c r="X20" s="328">
        <v>0</v>
      </c>
      <c r="Y20" s="328">
        <v>0</v>
      </c>
      <c r="Z20" s="328">
        <v>0</v>
      </c>
      <c r="AA20" s="328">
        <v>0</v>
      </c>
      <c r="AB20" s="328">
        <v>127.81399999999999</v>
      </c>
      <c r="AC20" s="328">
        <v>40</v>
      </c>
      <c r="AD20" s="328">
        <v>-157.42599999999999</v>
      </c>
      <c r="AE20" s="328">
        <v>4</v>
      </c>
      <c r="AF20" s="328">
        <v>8</v>
      </c>
      <c r="AG20" s="327"/>
      <c r="AH20" s="327"/>
    </row>
    <row r="21" spans="2:34">
      <c r="B21" s="329" t="s">
        <v>483</v>
      </c>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v>99.343000000000004</v>
      </c>
      <c r="AE21" s="328">
        <v>0</v>
      </c>
      <c r="AF21" s="328">
        <v>-29</v>
      </c>
      <c r="AG21" s="327"/>
      <c r="AH21" s="327"/>
    </row>
    <row r="22" spans="2:34">
      <c r="B22" s="329" t="s">
        <v>284</v>
      </c>
      <c r="C22" s="328">
        <v>29.088999999999999</v>
      </c>
      <c r="D22" s="328">
        <v>28.228000000000002</v>
      </c>
      <c r="E22" s="328">
        <v>29.576000000000001</v>
      </c>
      <c r="F22" s="328">
        <v>29.222000000000001</v>
      </c>
      <c r="G22" s="328">
        <v>27.516999999999999</v>
      </c>
      <c r="H22" s="328">
        <v>25.667999999999999</v>
      </c>
      <c r="I22" s="328">
        <v>25.864999999999998</v>
      </c>
      <c r="J22" s="328">
        <v>-79.05</v>
      </c>
      <c r="K22" s="328">
        <v>0</v>
      </c>
      <c r="L22" s="328">
        <v>0</v>
      </c>
      <c r="M22" s="328">
        <v>0</v>
      </c>
      <c r="N22" s="328">
        <v>0</v>
      </c>
      <c r="O22" s="328">
        <v>0</v>
      </c>
      <c r="P22" s="328">
        <v>0</v>
      </c>
      <c r="Q22" s="328">
        <v>0</v>
      </c>
      <c r="R22" s="328">
        <v>0</v>
      </c>
      <c r="S22" s="328">
        <v>0</v>
      </c>
      <c r="T22" s="328">
        <v>0</v>
      </c>
      <c r="U22" s="328">
        <v>0</v>
      </c>
      <c r="V22" s="328">
        <v>0</v>
      </c>
      <c r="W22" s="328">
        <v>0</v>
      </c>
      <c r="X22" s="328">
        <v>0</v>
      </c>
      <c r="Y22" s="328">
        <v>0</v>
      </c>
      <c r="Z22" s="328">
        <v>0</v>
      </c>
      <c r="AA22" s="328">
        <v>0</v>
      </c>
      <c r="AB22" s="328">
        <v>0</v>
      </c>
      <c r="AC22" s="328">
        <v>0</v>
      </c>
      <c r="AD22" s="328">
        <v>0</v>
      </c>
      <c r="AE22" s="328">
        <v>0</v>
      </c>
      <c r="AF22" s="328">
        <v>93</v>
      </c>
      <c r="AG22" s="327"/>
      <c r="AH22" s="327"/>
    </row>
    <row r="23" spans="2:34">
      <c r="B23" s="329" t="s">
        <v>285</v>
      </c>
      <c r="C23" s="328">
        <v>2.4689999999999999</v>
      </c>
      <c r="D23" s="328">
        <v>-5.5910000000000002</v>
      </c>
      <c r="E23" s="328">
        <v>10.67</v>
      </c>
      <c r="F23" s="328">
        <v>1.7929999999999999</v>
      </c>
      <c r="G23" s="328">
        <v>2.552</v>
      </c>
      <c r="H23" s="328">
        <v>6.24</v>
      </c>
      <c r="I23" s="328">
        <v>2.8969999999999998</v>
      </c>
      <c r="J23" s="328">
        <v>-11.689</v>
      </c>
      <c r="K23" s="328">
        <v>0</v>
      </c>
      <c r="L23" s="328">
        <v>0</v>
      </c>
      <c r="M23" s="328">
        <v>0</v>
      </c>
      <c r="N23" s="328">
        <v>0</v>
      </c>
      <c r="O23" s="328">
        <v>0</v>
      </c>
      <c r="P23" s="328">
        <v>0</v>
      </c>
      <c r="Q23" s="328">
        <v>0</v>
      </c>
      <c r="R23" s="328">
        <v>0</v>
      </c>
      <c r="S23" s="328">
        <v>0</v>
      </c>
      <c r="T23" s="328">
        <v>0</v>
      </c>
      <c r="U23" s="328">
        <v>0</v>
      </c>
      <c r="V23" s="328">
        <v>0</v>
      </c>
      <c r="W23" s="328">
        <v>0</v>
      </c>
      <c r="X23" s="328">
        <v>0</v>
      </c>
      <c r="Y23" s="328">
        <v>0</v>
      </c>
      <c r="Z23" s="328">
        <v>0</v>
      </c>
      <c r="AA23" s="328">
        <v>0</v>
      </c>
      <c r="AB23" s="328">
        <v>0</v>
      </c>
      <c r="AC23" s="328">
        <v>0</v>
      </c>
      <c r="AD23" s="328">
        <v>0</v>
      </c>
      <c r="AE23" s="328">
        <v>0</v>
      </c>
      <c r="AF23" s="328">
        <v>0</v>
      </c>
      <c r="AG23" s="327"/>
      <c r="AH23" s="327"/>
    </row>
    <row r="24" spans="2:34">
      <c r="B24" s="329" t="s">
        <v>286</v>
      </c>
      <c r="C24" s="328">
        <v>-4.1870000000000003</v>
      </c>
      <c r="D24" s="328">
        <v>8.8379999999999992</v>
      </c>
      <c r="E24" s="328">
        <v>-7.6589999999999998</v>
      </c>
      <c r="F24" s="328">
        <v>25.727</v>
      </c>
      <c r="G24" s="328">
        <v>-34.777000000000001</v>
      </c>
      <c r="H24" s="328">
        <v>6.5579999999999998</v>
      </c>
      <c r="I24" s="328">
        <v>-6.3559999999999999</v>
      </c>
      <c r="J24" s="328">
        <v>34.575000000000003</v>
      </c>
      <c r="K24" s="328">
        <v>0</v>
      </c>
      <c r="L24" s="328">
        <v>0</v>
      </c>
      <c r="M24" s="328">
        <v>0</v>
      </c>
      <c r="N24" s="328">
        <v>0</v>
      </c>
      <c r="O24" s="328">
        <v>0</v>
      </c>
      <c r="P24" s="328">
        <v>0</v>
      </c>
      <c r="Q24" s="328">
        <v>0</v>
      </c>
      <c r="R24" s="328">
        <v>0</v>
      </c>
      <c r="S24" s="328">
        <v>0</v>
      </c>
      <c r="T24" s="328">
        <v>0</v>
      </c>
      <c r="U24" s="328">
        <v>0</v>
      </c>
      <c r="V24" s="328">
        <v>0</v>
      </c>
      <c r="W24" s="328">
        <v>0</v>
      </c>
      <c r="X24" s="328">
        <v>0</v>
      </c>
      <c r="Y24" s="328">
        <v>0</v>
      </c>
      <c r="Z24" s="328">
        <v>0</v>
      </c>
      <c r="AA24" s="328">
        <v>0</v>
      </c>
      <c r="AB24" s="328">
        <v>0</v>
      </c>
      <c r="AC24" s="328">
        <v>0</v>
      </c>
      <c r="AD24" s="328">
        <v>0</v>
      </c>
      <c r="AE24" s="328">
        <v>0</v>
      </c>
      <c r="AF24" s="328">
        <v>0</v>
      </c>
      <c r="AG24" s="327"/>
      <c r="AH24" s="327"/>
    </row>
    <row r="25" spans="2:34">
      <c r="B25" s="329" t="s">
        <v>287</v>
      </c>
      <c r="C25" s="328">
        <v>10.19</v>
      </c>
      <c r="D25" s="328">
        <v>-21.640999999999998</v>
      </c>
      <c r="E25" s="328">
        <v>-12.103</v>
      </c>
      <c r="F25" s="328">
        <v>21.893999999999998</v>
      </c>
      <c r="G25" s="328">
        <v>5.0570000000000004</v>
      </c>
      <c r="H25" s="328">
        <v>-0.71799999999999997</v>
      </c>
      <c r="I25" s="328">
        <v>0.64300000000000002</v>
      </c>
      <c r="J25" s="328">
        <v>-4.9820000000000002</v>
      </c>
      <c r="K25" s="328">
        <v>0</v>
      </c>
      <c r="L25" s="328">
        <v>0</v>
      </c>
      <c r="M25" s="328">
        <v>0</v>
      </c>
      <c r="N25" s="328">
        <v>0</v>
      </c>
      <c r="O25" s="328">
        <v>0</v>
      </c>
      <c r="P25" s="328">
        <v>0</v>
      </c>
      <c r="Q25" s="328">
        <v>0</v>
      </c>
      <c r="R25" s="328">
        <v>0</v>
      </c>
      <c r="S25" s="328">
        <v>0</v>
      </c>
      <c r="T25" s="328">
        <v>0</v>
      </c>
      <c r="U25" s="328">
        <v>0</v>
      </c>
      <c r="V25" s="328">
        <v>0</v>
      </c>
      <c r="W25" s="328">
        <v>0</v>
      </c>
      <c r="X25" s="328">
        <v>0</v>
      </c>
      <c r="Y25" s="328">
        <v>0</v>
      </c>
      <c r="Z25" s="328">
        <v>0</v>
      </c>
      <c r="AA25" s="328">
        <v>0</v>
      </c>
      <c r="AB25" s="328">
        <v>0</v>
      </c>
      <c r="AC25" s="328">
        <v>0</v>
      </c>
      <c r="AD25" s="328">
        <v>0</v>
      </c>
      <c r="AE25" s="328">
        <v>0</v>
      </c>
      <c r="AF25" s="328">
        <v>0</v>
      </c>
      <c r="AG25" s="327"/>
      <c r="AH25" s="327"/>
    </row>
    <row r="26" spans="2:34">
      <c r="B26" s="329" t="s">
        <v>288</v>
      </c>
      <c r="C26" s="328">
        <v>-0.42699999999999999</v>
      </c>
      <c r="D26" s="328">
        <v>-1.411</v>
      </c>
      <c r="E26" s="328">
        <v>2.024</v>
      </c>
      <c r="F26" s="328">
        <v>1.96</v>
      </c>
      <c r="G26" s="328">
        <v>-1.028</v>
      </c>
      <c r="H26" s="328">
        <v>23.655000000000001</v>
      </c>
      <c r="I26" s="328">
        <v>1E-3</v>
      </c>
      <c r="J26" s="328">
        <v>34.9</v>
      </c>
      <c r="K26" s="328">
        <v>0.99399999999999999</v>
      </c>
      <c r="L26" s="328">
        <v>12.071999999999999</v>
      </c>
      <c r="M26" s="328">
        <v>23.373999999999999</v>
      </c>
      <c r="N26" s="328">
        <v>6.9130000000000003</v>
      </c>
      <c r="O26" s="328">
        <v>0</v>
      </c>
      <c r="P26" s="328">
        <v>0</v>
      </c>
      <c r="Q26" s="328">
        <v>5.0490000000000004</v>
      </c>
      <c r="R26" s="328">
        <v>528.84</v>
      </c>
      <c r="S26" s="328">
        <v>1.7789999999999999</v>
      </c>
      <c r="T26" s="328">
        <v>-0.29499999999999998</v>
      </c>
      <c r="U26" s="328">
        <v>5</v>
      </c>
      <c r="V26" s="328">
        <v>0.18299999999999983</v>
      </c>
      <c r="W26" s="328">
        <v>11.348000000000001</v>
      </c>
      <c r="X26" s="328">
        <v>1</v>
      </c>
      <c r="Y26" s="328">
        <v>0</v>
      </c>
      <c r="Z26" s="328">
        <v>-5.73</v>
      </c>
      <c r="AA26" s="328">
        <v>0</v>
      </c>
      <c r="AB26" s="328">
        <v>0</v>
      </c>
      <c r="AC26" s="328">
        <v>0</v>
      </c>
      <c r="AD26" s="328">
        <v>0</v>
      </c>
      <c r="AE26" s="328">
        <v>0</v>
      </c>
      <c r="AF26" s="328">
        <v>0</v>
      </c>
      <c r="AG26" s="327"/>
      <c r="AH26" s="327"/>
    </row>
    <row r="27" spans="2:34">
      <c r="B27" s="329" t="s">
        <v>289</v>
      </c>
      <c r="C27" s="328">
        <v>0</v>
      </c>
      <c r="D27" s="328">
        <v>0</v>
      </c>
      <c r="E27" s="328">
        <v>0</v>
      </c>
      <c r="F27" s="328">
        <v>0</v>
      </c>
      <c r="G27" s="328">
        <v>0</v>
      </c>
      <c r="H27" s="328">
        <v>0</v>
      </c>
      <c r="I27" s="328">
        <v>0</v>
      </c>
      <c r="J27" s="328">
        <v>0</v>
      </c>
      <c r="K27" s="328">
        <v>-365.99900000000002</v>
      </c>
      <c r="L27" s="328">
        <v>0</v>
      </c>
      <c r="M27" s="328">
        <v>0</v>
      </c>
      <c r="N27" s="328">
        <v>0</v>
      </c>
      <c r="O27" s="328">
        <v>0</v>
      </c>
      <c r="P27" s="328">
        <v>0</v>
      </c>
      <c r="Q27" s="328">
        <v>-17.143000000000001</v>
      </c>
      <c r="R27" s="328">
        <v>0</v>
      </c>
      <c r="S27" s="328">
        <v>0</v>
      </c>
      <c r="T27" s="328">
        <v>0</v>
      </c>
      <c r="U27" s="328">
        <v>0</v>
      </c>
      <c r="V27" s="328">
        <v>0</v>
      </c>
      <c r="W27" s="328">
        <v>0</v>
      </c>
      <c r="X27" s="328">
        <v>0</v>
      </c>
      <c r="Y27" s="328">
        <v>0</v>
      </c>
      <c r="Z27" s="328">
        <v>0</v>
      </c>
      <c r="AA27" s="328">
        <v>0</v>
      </c>
      <c r="AB27" s="328">
        <v>0</v>
      </c>
      <c r="AC27" s="328">
        <v>0</v>
      </c>
      <c r="AD27" s="328">
        <v>0</v>
      </c>
      <c r="AE27" s="328">
        <v>0</v>
      </c>
      <c r="AF27" s="328">
        <v>0</v>
      </c>
      <c r="AG27" s="327"/>
      <c r="AH27" s="327"/>
    </row>
    <row r="28" spans="2:34">
      <c r="B28" s="329" t="s">
        <v>345</v>
      </c>
      <c r="C28" s="328"/>
      <c r="D28" s="328"/>
      <c r="E28" s="328"/>
      <c r="F28" s="328"/>
      <c r="G28" s="328"/>
      <c r="H28" s="328"/>
      <c r="I28" s="328"/>
      <c r="J28" s="328"/>
      <c r="K28" s="328"/>
      <c r="L28" s="328"/>
      <c r="M28" s="328"/>
      <c r="N28" s="328"/>
      <c r="O28" s="328"/>
      <c r="P28" s="328"/>
      <c r="Q28" s="328"/>
      <c r="R28" s="328"/>
      <c r="S28" s="328"/>
      <c r="T28" s="328"/>
      <c r="U28" s="328"/>
      <c r="V28" s="328">
        <v>47.521999999999998</v>
      </c>
      <c r="W28" s="328">
        <v>0</v>
      </c>
      <c r="X28" s="328">
        <v>0</v>
      </c>
      <c r="Y28" s="328">
        <v>0</v>
      </c>
      <c r="Z28" s="328">
        <v>0</v>
      </c>
      <c r="AA28" s="328">
        <v>0</v>
      </c>
      <c r="AB28" s="328">
        <v>0</v>
      </c>
      <c r="AC28" s="328">
        <v>0</v>
      </c>
      <c r="AD28" s="328">
        <v>0</v>
      </c>
      <c r="AE28" s="328">
        <v>0</v>
      </c>
      <c r="AF28" s="328">
        <v>0</v>
      </c>
      <c r="AG28" s="327"/>
      <c r="AH28" s="327"/>
    </row>
    <row r="29" spans="2:34">
      <c r="B29" s="329" t="s">
        <v>290</v>
      </c>
      <c r="C29" s="328">
        <v>-1.056</v>
      </c>
      <c r="D29" s="328">
        <v>-0.85599999999999998</v>
      </c>
      <c r="E29" s="328">
        <v>-0.96399999999999997</v>
      </c>
      <c r="F29" s="328">
        <v>-37.850999999999999</v>
      </c>
      <c r="G29" s="328">
        <v>-0.63100000000000001</v>
      </c>
      <c r="H29" s="328">
        <v>-8.9190000000000005</v>
      </c>
      <c r="I29" s="328">
        <v>-0.63200000000000001</v>
      </c>
      <c r="J29" s="328">
        <v>155.09899999999999</v>
      </c>
      <c r="K29" s="328">
        <v>-0.78900000000000003</v>
      </c>
      <c r="L29" s="328">
        <v>0.23200000000000001</v>
      </c>
      <c r="M29" s="328">
        <v>16.835000000000001</v>
      </c>
      <c r="N29" s="328">
        <v>1.5289999999999999</v>
      </c>
      <c r="O29" s="328">
        <v>122.943</v>
      </c>
      <c r="P29" s="328">
        <v>16.757000000000001</v>
      </c>
      <c r="Q29" s="328">
        <v>-5.8159999999999998</v>
      </c>
      <c r="R29" s="328">
        <v>-737.82899999999995</v>
      </c>
      <c r="S29" s="328">
        <v>-1.2390000000000001</v>
      </c>
      <c r="T29" s="328">
        <v>-190.41800000000001</v>
      </c>
      <c r="U29" s="328">
        <v>-41</v>
      </c>
      <c r="V29" s="328">
        <v>6.6500000000000057</v>
      </c>
      <c r="W29" s="328">
        <v>-156.83199999999999</v>
      </c>
      <c r="X29" s="328">
        <v>44</v>
      </c>
      <c r="Y29" s="328">
        <f>-103-SUM(W29:X29)</f>
        <v>9.8319999999999936</v>
      </c>
      <c r="Z29" s="328">
        <v>61.915999999999997</v>
      </c>
      <c r="AA29" s="328">
        <f>1057/1000</f>
        <v>1.0569999999999999</v>
      </c>
      <c r="AB29" s="328">
        <v>0</v>
      </c>
      <c r="AC29" s="328">
        <v>0</v>
      </c>
      <c r="AD29" s="328">
        <v>0</v>
      </c>
      <c r="AE29" s="328">
        <v>0</v>
      </c>
      <c r="AF29" s="328">
        <v>0</v>
      </c>
      <c r="AG29" s="327"/>
      <c r="AH29" s="327"/>
    </row>
    <row r="30" spans="2:34">
      <c r="B30" s="329" t="s">
        <v>346</v>
      </c>
      <c r="C30" s="328"/>
      <c r="D30" s="328"/>
      <c r="E30" s="328"/>
      <c r="F30" s="328"/>
      <c r="G30" s="328"/>
      <c r="H30" s="328"/>
      <c r="I30" s="328"/>
      <c r="J30" s="328"/>
      <c r="K30" s="328"/>
      <c r="L30" s="328"/>
      <c r="M30" s="328"/>
      <c r="N30" s="328"/>
      <c r="O30" s="328"/>
      <c r="P30" s="328"/>
      <c r="Q30" s="328"/>
      <c r="R30" s="328"/>
      <c r="S30" s="328"/>
      <c r="T30" s="328"/>
      <c r="U30" s="328"/>
      <c r="V30" s="328">
        <v>15.444000000000001</v>
      </c>
      <c r="W30" s="328">
        <v>0</v>
      </c>
      <c r="X30" s="328">
        <v>0</v>
      </c>
      <c r="Y30" s="328">
        <v>0</v>
      </c>
      <c r="Z30" s="328">
        <v>0</v>
      </c>
      <c r="AA30" s="328">
        <v>-0.35399999999999998</v>
      </c>
      <c r="AB30" s="328">
        <v>0</v>
      </c>
      <c r="AC30" s="328">
        <v>0</v>
      </c>
      <c r="AD30" s="328">
        <v>0</v>
      </c>
      <c r="AE30" s="328">
        <v>0</v>
      </c>
      <c r="AF30" s="328">
        <v>0</v>
      </c>
      <c r="AG30" s="327"/>
      <c r="AH30" s="327"/>
    </row>
    <row r="31" spans="2:34">
      <c r="B31" s="329" t="s">
        <v>291</v>
      </c>
      <c r="C31" s="328">
        <v>0</v>
      </c>
      <c r="D31" s="328">
        <v>-111.07</v>
      </c>
      <c r="E31" s="328">
        <v>0</v>
      </c>
      <c r="F31" s="328">
        <v>0</v>
      </c>
      <c r="G31" s="328">
        <v>0</v>
      </c>
      <c r="H31" s="328">
        <v>0</v>
      </c>
      <c r="I31" s="328">
        <v>0</v>
      </c>
      <c r="J31" s="328">
        <v>0</v>
      </c>
      <c r="K31" s="328">
        <v>0</v>
      </c>
      <c r="L31" s="328">
        <v>0</v>
      </c>
      <c r="M31" s="328">
        <v>0</v>
      </c>
      <c r="N31" s="328">
        <v>0</v>
      </c>
      <c r="O31" s="328">
        <v>0</v>
      </c>
      <c r="P31" s="328">
        <v>0</v>
      </c>
      <c r="Q31" s="328">
        <v>0</v>
      </c>
      <c r="R31" s="328">
        <v>0</v>
      </c>
      <c r="S31" s="328">
        <v>0</v>
      </c>
      <c r="T31" s="328">
        <v>0</v>
      </c>
      <c r="U31" s="328">
        <v>0</v>
      </c>
      <c r="V31" s="328">
        <v>0</v>
      </c>
      <c r="W31" s="328">
        <v>0</v>
      </c>
      <c r="X31" s="328">
        <v>0</v>
      </c>
      <c r="Y31" s="328">
        <v>0</v>
      </c>
      <c r="Z31" s="328">
        <v>0</v>
      </c>
      <c r="AA31" s="328">
        <v>0</v>
      </c>
      <c r="AB31" s="328">
        <v>0</v>
      </c>
      <c r="AC31" s="328">
        <v>0</v>
      </c>
      <c r="AD31" s="328">
        <v>0</v>
      </c>
      <c r="AE31" s="328">
        <v>0</v>
      </c>
      <c r="AF31" s="328">
        <v>0</v>
      </c>
      <c r="AG31" s="327"/>
      <c r="AH31" s="327"/>
    </row>
    <row r="32" spans="2:34">
      <c r="B32" s="329" t="s">
        <v>292</v>
      </c>
      <c r="C32" s="328">
        <v>0</v>
      </c>
      <c r="D32" s="328">
        <v>0</v>
      </c>
      <c r="E32" s="328">
        <v>0</v>
      </c>
      <c r="F32" s="328">
        <v>0</v>
      </c>
      <c r="G32" s="328">
        <v>0</v>
      </c>
      <c r="H32" s="328">
        <v>0</v>
      </c>
      <c r="I32" s="328">
        <v>-170.85300000000001</v>
      </c>
      <c r="J32" s="328">
        <v>-104.94499999999999</v>
      </c>
      <c r="K32" s="328">
        <v>0</v>
      </c>
      <c r="L32" s="328">
        <v>0</v>
      </c>
      <c r="M32" s="328">
        <v>0</v>
      </c>
      <c r="N32" s="328">
        <v>0</v>
      </c>
      <c r="O32" s="328">
        <v>0</v>
      </c>
      <c r="P32" s="328">
        <v>0</v>
      </c>
      <c r="Q32" s="328">
        <v>0</v>
      </c>
      <c r="R32" s="328">
        <v>0</v>
      </c>
      <c r="S32" s="328">
        <v>0</v>
      </c>
      <c r="T32" s="328">
        <v>0</v>
      </c>
      <c r="U32" s="328">
        <v>0</v>
      </c>
      <c r="V32" s="328">
        <v>0</v>
      </c>
      <c r="W32" s="328">
        <v>0</v>
      </c>
      <c r="X32" s="328">
        <v>0</v>
      </c>
      <c r="Y32" s="328">
        <v>0</v>
      </c>
      <c r="Z32" s="328">
        <v>0</v>
      </c>
      <c r="AA32" s="328">
        <v>0</v>
      </c>
      <c r="AB32" s="328">
        <v>0</v>
      </c>
      <c r="AC32" s="328">
        <v>0</v>
      </c>
      <c r="AD32" s="328">
        <v>0</v>
      </c>
      <c r="AE32" s="328">
        <v>0</v>
      </c>
      <c r="AF32" s="328">
        <v>0</v>
      </c>
      <c r="AG32" s="327"/>
      <c r="AH32" s="327"/>
    </row>
    <row r="33" spans="2:34">
      <c r="B33" s="329" t="s">
        <v>341</v>
      </c>
      <c r="C33" s="328"/>
      <c r="D33" s="328"/>
      <c r="E33" s="328"/>
      <c r="F33" s="328"/>
      <c r="G33" s="328"/>
      <c r="H33" s="328"/>
      <c r="I33" s="328"/>
      <c r="J33" s="328"/>
      <c r="K33" s="328"/>
      <c r="L33" s="328"/>
      <c r="M33" s="328"/>
      <c r="N33" s="328"/>
      <c r="O33" s="328"/>
      <c r="P33" s="328"/>
      <c r="Q33" s="328">
        <v>0</v>
      </c>
      <c r="R33" s="328">
        <v>0</v>
      </c>
      <c r="S33" s="328">
        <v>0</v>
      </c>
      <c r="T33" s="328">
        <v>0</v>
      </c>
      <c r="U33" s="328">
        <v>-8</v>
      </c>
      <c r="V33" s="328">
        <v>4.0000000000000036E-2</v>
      </c>
      <c r="W33" s="328">
        <v>0</v>
      </c>
      <c r="X33" s="328">
        <v>0</v>
      </c>
      <c r="Y33" s="328">
        <v>0</v>
      </c>
      <c r="Z33" s="328">
        <v>0</v>
      </c>
      <c r="AA33" s="328">
        <v>0</v>
      </c>
      <c r="AB33" s="328">
        <v>0</v>
      </c>
      <c r="AC33" s="328">
        <v>0</v>
      </c>
      <c r="AD33" s="328">
        <v>0</v>
      </c>
      <c r="AE33" s="328">
        <v>0</v>
      </c>
      <c r="AF33" s="328">
        <v>0</v>
      </c>
      <c r="AG33" s="327"/>
      <c r="AH33" s="327"/>
    </row>
    <row r="34" spans="2:34">
      <c r="B34" s="329" t="s">
        <v>293</v>
      </c>
      <c r="C34" s="328">
        <v>-91.701999999999998</v>
      </c>
      <c r="D34" s="328">
        <v>-1.292</v>
      </c>
      <c r="E34" s="328">
        <v>-0.47599999999999998</v>
      </c>
      <c r="F34" s="328">
        <v>7.07</v>
      </c>
      <c r="G34" s="328">
        <v>16.89</v>
      </c>
      <c r="H34" s="328">
        <v>-80.995999999999995</v>
      </c>
      <c r="I34" s="328">
        <v>-15.044</v>
      </c>
      <c r="J34" s="328">
        <v>71.445999999999998</v>
      </c>
      <c r="K34" s="328">
        <v>11.086</v>
      </c>
      <c r="L34" s="328">
        <v>2.476</v>
      </c>
      <c r="M34" s="328">
        <v>35.395000000000003</v>
      </c>
      <c r="N34" s="328">
        <v>7.9509999999999996</v>
      </c>
      <c r="O34" s="328">
        <v>12.103</v>
      </c>
      <c r="P34" s="328">
        <v>47.616</v>
      </c>
      <c r="Q34" s="328">
        <v>28.148</v>
      </c>
      <c r="R34" s="328">
        <v>-52.795999999999999</v>
      </c>
      <c r="S34" s="328">
        <v>12.414999999999999</v>
      </c>
      <c r="T34" s="328">
        <v>22.573</v>
      </c>
      <c r="U34" s="328">
        <v>8</v>
      </c>
      <c r="V34" s="328">
        <v>-3.5300000000000011</v>
      </c>
      <c r="W34" s="328">
        <v>-1.264</v>
      </c>
      <c r="X34" s="328">
        <v>7</v>
      </c>
      <c r="Y34" s="328">
        <f>10-SUM(W34:X34)</f>
        <v>4.2640000000000002</v>
      </c>
      <c r="Z34" s="328">
        <v>-10.218999999999999</v>
      </c>
      <c r="AA34" s="328">
        <v>-10.345000000000001</v>
      </c>
      <c r="AB34" s="328">
        <v>103.989</v>
      </c>
      <c r="AC34" s="328">
        <v>43</v>
      </c>
      <c r="AD34" s="328">
        <v>-217.07900000000001</v>
      </c>
      <c r="AE34" s="328">
        <v>0</v>
      </c>
      <c r="AF34" s="328">
        <v>0</v>
      </c>
      <c r="AG34" s="327"/>
      <c r="AH34" s="327"/>
    </row>
    <row r="35" spans="2:34">
      <c r="B35" s="329" t="s">
        <v>294</v>
      </c>
      <c r="C35" s="328">
        <v>0</v>
      </c>
      <c r="D35" s="328">
        <v>0</v>
      </c>
      <c r="E35" s="328">
        <v>0</v>
      </c>
      <c r="F35" s="328">
        <v>0</v>
      </c>
      <c r="G35" s="328">
        <v>0</v>
      </c>
      <c r="H35" s="328">
        <v>0</v>
      </c>
      <c r="I35" s="328">
        <v>0</v>
      </c>
      <c r="J35" s="328">
        <v>0</v>
      </c>
      <c r="K35" s="328">
        <v>0</v>
      </c>
      <c r="L35" s="328">
        <v>0</v>
      </c>
      <c r="M35" s="328">
        <v>-155.464</v>
      </c>
      <c r="N35" s="328">
        <v>-12.669</v>
      </c>
      <c r="O35" s="328">
        <v>0</v>
      </c>
      <c r="P35" s="328">
        <v>0</v>
      </c>
      <c r="Q35" s="328">
        <v>0</v>
      </c>
      <c r="R35" s="328">
        <v>0</v>
      </c>
      <c r="S35" s="328">
        <v>0</v>
      </c>
      <c r="T35" s="328">
        <v>0</v>
      </c>
      <c r="U35" s="328">
        <v>0</v>
      </c>
      <c r="V35" s="328">
        <v>0</v>
      </c>
      <c r="W35" s="328">
        <v>0</v>
      </c>
      <c r="X35" s="328">
        <v>0</v>
      </c>
      <c r="Y35" s="328">
        <v>0</v>
      </c>
      <c r="Z35" s="328">
        <v>0</v>
      </c>
      <c r="AA35" s="328">
        <v>0</v>
      </c>
      <c r="AB35" s="328">
        <v>0</v>
      </c>
      <c r="AC35" s="328">
        <v>0</v>
      </c>
      <c r="AD35" s="328">
        <v>0</v>
      </c>
      <c r="AE35" s="328">
        <v>38</v>
      </c>
      <c r="AF35" s="328">
        <v>4</v>
      </c>
      <c r="AG35" s="327"/>
      <c r="AH35" s="327"/>
    </row>
    <row r="36" spans="2:34">
      <c r="B36" s="329" t="s">
        <v>295</v>
      </c>
      <c r="C36" s="328">
        <v>0</v>
      </c>
      <c r="D36" s="328">
        <v>0</v>
      </c>
      <c r="E36" s="328">
        <v>0</v>
      </c>
      <c r="F36" s="328">
        <v>0</v>
      </c>
      <c r="G36" s="328">
        <v>0</v>
      </c>
      <c r="H36" s="328">
        <v>0</v>
      </c>
      <c r="I36" s="328">
        <v>0</v>
      </c>
      <c r="J36" s="328">
        <v>0</v>
      </c>
      <c r="K36" s="328">
        <v>0</v>
      </c>
      <c r="L36" s="328">
        <v>0</v>
      </c>
      <c r="M36" s="328">
        <v>0</v>
      </c>
      <c r="N36" s="328">
        <v>0</v>
      </c>
      <c r="O36" s="328">
        <v>0</v>
      </c>
      <c r="P36" s="328">
        <v>0</v>
      </c>
      <c r="Q36" s="328">
        <v>-141.559</v>
      </c>
      <c r="R36" s="328">
        <v>-143.887</v>
      </c>
      <c r="S36" s="328">
        <v>0</v>
      </c>
      <c r="T36" s="328">
        <v>0</v>
      </c>
      <c r="U36" s="328">
        <v>0</v>
      </c>
      <c r="V36" s="328">
        <v>0</v>
      </c>
      <c r="W36" s="328">
        <v>0</v>
      </c>
      <c r="X36" s="328">
        <v>0</v>
      </c>
      <c r="Y36" s="328">
        <v>0</v>
      </c>
      <c r="Z36" s="328">
        <v>0</v>
      </c>
      <c r="AA36" s="328">
        <v>0</v>
      </c>
      <c r="AB36" s="328">
        <v>0</v>
      </c>
      <c r="AC36" s="328">
        <v>0</v>
      </c>
      <c r="AD36" s="328">
        <v>0</v>
      </c>
      <c r="AE36" s="328">
        <v>0</v>
      </c>
      <c r="AF36" s="328">
        <v>0</v>
      </c>
      <c r="AG36" s="327"/>
      <c r="AH36" s="327"/>
    </row>
    <row r="37" spans="2:34">
      <c r="B37" s="329" t="s">
        <v>296</v>
      </c>
      <c r="C37" s="328">
        <v>0</v>
      </c>
      <c r="D37" s="328">
        <v>0</v>
      </c>
      <c r="E37" s="328">
        <v>0</v>
      </c>
      <c r="F37" s="328">
        <v>0</v>
      </c>
      <c r="G37" s="328">
        <v>0</v>
      </c>
      <c r="H37" s="328">
        <v>0</v>
      </c>
      <c r="I37" s="328">
        <v>0</v>
      </c>
      <c r="J37" s="328">
        <v>0</v>
      </c>
      <c r="K37" s="328">
        <v>0</v>
      </c>
      <c r="L37" s="328">
        <v>0</v>
      </c>
      <c r="M37" s="328">
        <v>0</v>
      </c>
      <c r="N37" s="328">
        <v>0</v>
      </c>
      <c r="O37" s="328">
        <v>0</v>
      </c>
      <c r="P37" s="328">
        <v>0</v>
      </c>
      <c r="Q37" s="328">
        <v>106.40900000000001</v>
      </c>
      <c r="R37" s="328">
        <v>5.5460000000000003</v>
      </c>
      <c r="S37" s="328">
        <v>0</v>
      </c>
      <c r="T37" s="328">
        <v>0</v>
      </c>
      <c r="U37" s="328">
        <v>0</v>
      </c>
      <c r="V37" s="328">
        <v>0</v>
      </c>
      <c r="W37" s="328">
        <v>0</v>
      </c>
      <c r="X37" s="328">
        <v>0</v>
      </c>
      <c r="Y37" s="328">
        <v>0</v>
      </c>
      <c r="Z37" s="328">
        <v>0</v>
      </c>
      <c r="AA37" s="328">
        <v>0</v>
      </c>
      <c r="AB37" s="328">
        <v>0</v>
      </c>
      <c r="AC37" s="328">
        <v>0</v>
      </c>
      <c r="AD37" s="328">
        <v>0</v>
      </c>
      <c r="AE37" s="328">
        <v>0</v>
      </c>
      <c r="AF37" s="328">
        <v>0</v>
      </c>
      <c r="AG37" s="327"/>
      <c r="AH37" s="327"/>
    </row>
    <row r="38" spans="2:34">
      <c r="B38" s="350" t="s">
        <v>360</v>
      </c>
      <c r="C38" s="351"/>
      <c r="D38" s="351"/>
      <c r="E38" s="351"/>
      <c r="F38" s="351"/>
      <c r="G38" s="351"/>
      <c r="H38" s="351"/>
      <c r="I38" s="351"/>
      <c r="J38" s="351"/>
      <c r="K38" s="351"/>
      <c r="L38" s="351"/>
      <c r="M38" s="351"/>
      <c r="N38" s="351"/>
      <c r="O38" s="351"/>
      <c r="P38" s="351"/>
      <c r="Q38" s="351"/>
      <c r="R38" s="351"/>
      <c r="S38" s="351"/>
      <c r="T38" s="351"/>
      <c r="U38" s="351"/>
      <c r="V38" s="351"/>
      <c r="W38" s="351">
        <v>-1.1020000000000001</v>
      </c>
      <c r="X38" s="351">
        <v>0</v>
      </c>
      <c r="Y38" s="351">
        <v>0</v>
      </c>
      <c r="Z38" s="351">
        <v>0</v>
      </c>
      <c r="AA38" s="351">
        <v>0</v>
      </c>
      <c r="AB38" s="351">
        <v>0</v>
      </c>
      <c r="AC38" s="351">
        <v>0</v>
      </c>
      <c r="AD38" s="351">
        <v>0</v>
      </c>
      <c r="AE38" s="351">
        <v>0</v>
      </c>
      <c r="AF38" s="351">
        <v>0</v>
      </c>
      <c r="AG38" s="327"/>
      <c r="AH38" s="327"/>
    </row>
    <row r="39" spans="2:34" ht="14.5" thickBot="1">
      <c r="B39" s="330" t="s">
        <v>297</v>
      </c>
      <c r="C39" s="331">
        <v>0</v>
      </c>
      <c r="D39" s="331">
        <v>0</v>
      </c>
      <c r="E39" s="331">
        <v>0</v>
      </c>
      <c r="F39" s="331">
        <v>0</v>
      </c>
      <c r="G39" s="331">
        <v>0</v>
      </c>
      <c r="H39" s="331">
        <v>0</v>
      </c>
      <c r="I39" s="331">
        <v>0</v>
      </c>
      <c r="J39" s="331">
        <v>0</v>
      </c>
      <c r="K39" s="331">
        <v>0</v>
      </c>
      <c r="L39" s="331">
        <v>0</v>
      </c>
      <c r="M39" s="331">
        <v>0</v>
      </c>
      <c r="N39" s="331">
        <v>0</v>
      </c>
      <c r="O39" s="331">
        <v>0</v>
      </c>
      <c r="P39" s="331">
        <v>0</v>
      </c>
      <c r="Q39" s="331">
        <v>0</v>
      </c>
      <c r="R39" s="331">
        <v>50.816000000000003</v>
      </c>
      <c r="S39" s="331">
        <v>0</v>
      </c>
      <c r="T39" s="331">
        <v>0</v>
      </c>
      <c r="U39" s="331">
        <v>0</v>
      </c>
      <c r="V39" s="331">
        <v>0</v>
      </c>
      <c r="W39" s="331"/>
      <c r="X39" s="331">
        <v>0</v>
      </c>
      <c r="Y39" s="331">
        <v>0</v>
      </c>
      <c r="Z39" s="331">
        <v>0</v>
      </c>
      <c r="AA39" s="331">
        <v>0</v>
      </c>
      <c r="AB39" s="331">
        <v>0</v>
      </c>
      <c r="AC39" s="331">
        <v>0</v>
      </c>
      <c r="AD39" s="331">
        <v>0</v>
      </c>
      <c r="AE39" s="331">
        <v>0</v>
      </c>
      <c r="AF39" s="331">
        <v>0</v>
      </c>
      <c r="AG39" s="327"/>
      <c r="AH39" s="327"/>
    </row>
    <row r="40" spans="2:34">
      <c r="B40" s="323"/>
      <c r="C40" s="332">
        <f t="shared" ref="C40:AC40" si="0">SUM(C10:C39)</f>
        <v>205.35999999999996</v>
      </c>
      <c r="D40" s="332">
        <f t="shared" si="0"/>
        <v>258.66800000000001</v>
      </c>
      <c r="E40" s="332">
        <f t="shared" si="0"/>
        <v>253.64400000000006</v>
      </c>
      <c r="F40" s="332">
        <f t="shared" si="0"/>
        <v>101.08200000000002</v>
      </c>
      <c r="G40" s="332">
        <f t="shared" si="0"/>
        <v>209.98099999999999</v>
      </c>
      <c r="H40" s="332">
        <f t="shared" si="0"/>
        <v>136.69200000000001</v>
      </c>
      <c r="I40" s="332">
        <f t="shared" si="0"/>
        <v>-77.650000000000006</v>
      </c>
      <c r="J40" s="332">
        <f t="shared" si="0"/>
        <v>342.20799999999997</v>
      </c>
      <c r="K40" s="332">
        <f t="shared" si="0"/>
        <v>96.283000000000044</v>
      </c>
      <c r="L40" s="332">
        <f t="shared" si="0"/>
        <v>243.69199999999998</v>
      </c>
      <c r="M40" s="332">
        <f t="shared" si="0"/>
        <v>26.172000000000025</v>
      </c>
      <c r="N40" s="332">
        <f t="shared" si="0"/>
        <v>352.22</v>
      </c>
      <c r="O40" s="332">
        <f t="shared" si="0"/>
        <v>516.46899999999994</v>
      </c>
      <c r="P40" s="332">
        <f t="shared" si="0"/>
        <v>577.52899999999988</v>
      </c>
      <c r="Q40" s="332">
        <f t="shared" si="0"/>
        <v>-77.93299999999995</v>
      </c>
      <c r="R40" s="332">
        <f t="shared" si="0"/>
        <v>1267.095</v>
      </c>
      <c r="S40" s="332">
        <f t="shared" si="0"/>
        <v>682.4</v>
      </c>
      <c r="T40" s="332">
        <f t="shared" si="0"/>
        <v>682.80799999999999</v>
      </c>
      <c r="U40" s="332">
        <f t="shared" si="0"/>
        <v>352</v>
      </c>
      <c r="V40" s="332">
        <f t="shared" si="0"/>
        <v>40.843000000000067</v>
      </c>
      <c r="W40" s="332">
        <f t="shared" si="0"/>
        <v>64.633000000000052</v>
      </c>
      <c r="X40" s="332">
        <f t="shared" si="0"/>
        <v>8</v>
      </c>
      <c r="Y40" s="332">
        <f t="shared" si="0"/>
        <v>-56.91338708119941</v>
      </c>
      <c r="Z40" s="332">
        <f t="shared" si="0"/>
        <v>4.6802068980748661</v>
      </c>
      <c r="AA40" s="332">
        <f t="shared" si="0"/>
        <v>129.7829464899998</v>
      </c>
      <c r="AB40" s="332">
        <f t="shared" si="0"/>
        <v>421.58684285102447</v>
      </c>
      <c r="AC40" s="332">
        <f t="shared" si="0"/>
        <v>379.13200000000001</v>
      </c>
      <c r="AD40" s="332">
        <f t="shared" ref="AD40:AF40" si="1">SUM(AD10:AD39)</f>
        <v>93.460704079999971</v>
      </c>
      <c r="AE40" s="332">
        <f t="shared" si="1"/>
        <v>493</v>
      </c>
      <c r="AF40" s="332">
        <f t="shared" si="1"/>
        <v>199</v>
      </c>
      <c r="AG40" s="327"/>
      <c r="AH40" s="327"/>
    </row>
    <row r="41" spans="2:34">
      <c r="B41" s="329"/>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6"/>
      <c r="AF41" s="326"/>
      <c r="AG41" s="327"/>
      <c r="AH41" s="327"/>
    </row>
    <row r="42" spans="2:34" s="310" customFormat="1">
      <c r="B42" s="312" t="s">
        <v>298</v>
      </c>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7"/>
      <c r="AH42" s="327"/>
    </row>
    <row r="43" spans="2:34">
      <c r="B43" s="329" t="s">
        <v>173</v>
      </c>
      <c r="C43" s="328">
        <v>0</v>
      </c>
      <c r="D43" s="328">
        <v>0</v>
      </c>
      <c r="E43" s="328">
        <v>0</v>
      </c>
      <c r="F43" s="328">
        <v>0</v>
      </c>
      <c r="G43" s="328">
        <v>0</v>
      </c>
      <c r="H43" s="328">
        <v>0</v>
      </c>
      <c r="I43" s="328">
        <v>0</v>
      </c>
      <c r="J43" s="328">
        <v>140.953</v>
      </c>
      <c r="K43" s="328">
        <v>6.077</v>
      </c>
      <c r="L43" s="328">
        <v>-6.077</v>
      </c>
      <c r="M43" s="328">
        <v>119.776</v>
      </c>
      <c r="N43" s="328">
        <v>-283.84100000000001</v>
      </c>
      <c r="O43" s="328">
        <v>-134.053</v>
      </c>
      <c r="P43" s="328">
        <v>-185.95599999999999</v>
      </c>
      <c r="Q43" s="328">
        <v>448.82</v>
      </c>
      <c r="R43" s="328">
        <v>-925.38400000000001</v>
      </c>
      <c r="S43" s="328">
        <v>-173.91300000000001</v>
      </c>
      <c r="T43" s="328">
        <v>-49.033999999999999</v>
      </c>
      <c r="U43" s="328">
        <v>0</v>
      </c>
      <c r="V43" s="328">
        <v>1.0000000000047748E-3</v>
      </c>
      <c r="W43" s="328">
        <v>0</v>
      </c>
      <c r="X43" s="328">
        <v>0</v>
      </c>
      <c r="Y43" s="328">
        <v>198</v>
      </c>
      <c r="Z43" s="328">
        <v>-105.15900000000001</v>
      </c>
      <c r="AA43" s="328">
        <v>0</v>
      </c>
      <c r="AB43" s="328">
        <v>0</v>
      </c>
      <c r="AC43" s="328">
        <v>0</v>
      </c>
      <c r="AD43" s="328">
        <v>0</v>
      </c>
      <c r="AE43" s="328">
        <v>0</v>
      </c>
      <c r="AF43" s="328">
        <v>0</v>
      </c>
      <c r="AG43" s="327"/>
      <c r="AH43" s="327"/>
    </row>
    <row r="44" spans="2:34">
      <c r="B44" s="329" t="s">
        <v>165</v>
      </c>
      <c r="C44" s="328">
        <v>-23.800999999999998</v>
      </c>
      <c r="D44" s="328">
        <v>-39.759</v>
      </c>
      <c r="E44" s="328">
        <v>-78.361999999999995</v>
      </c>
      <c r="F44" s="328">
        <v>41.151000000000003</v>
      </c>
      <c r="G44" s="328">
        <v>-92.316000000000003</v>
      </c>
      <c r="H44" s="328">
        <v>-21.888000000000002</v>
      </c>
      <c r="I44" s="328">
        <v>98.221000000000004</v>
      </c>
      <c r="J44" s="328">
        <v>98.701999999999998</v>
      </c>
      <c r="K44" s="328">
        <v>-111.511</v>
      </c>
      <c r="L44" s="328">
        <v>37.229999999999997</v>
      </c>
      <c r="M44" s="328">
        <v>-94.141999999999996</v>
      </c>
      <c r="N44" s="328">
        <v>140.125</v>
      </c>
      <c r="O44" s="328">
        <v>-167.536</v>
      </c>
      <c r="P44" s="328">
        <v>-22.317</v>
      </c>
      <c r="Q44" s="328">
        <v>-93.941000000000003</v>
      </c>
      <c r="R44" s="328">
        <v>64.203999999999994</v>
      </c>
      <c r="S44" s="328">
        <v>56.966000000000001</v>
      </c>
      <c r="T44" s="328">
        <v>108.72799999999999</v>
      </c>
      <c r="U44" s="328">
        <v>23</v>
      </c>
      <c r="V44" s="328">
        <v>-76.793999999999983</v>
      </c>
      <c r="W44" s="328">
        <v>-49.466000000000001</v>
      </c>
      <c r="X44" s="328">
        <v>27</v>
      </c>
      <c r="Y44" s="328">
        <f>-6-SUM(W44:X44)</f>
        <v>16.466000000000001</v>
      </c>
      <c r="Z44" s="328">
        <v>123.229</v>
      </c>
      <c r="AA44" s="328">
        <v>-25.515000000000001</v>
      </c>
      <c r="AB44" s="328">
        <f>-26402/10^3-AA44</f>
        <v>-0.88700000000000045</v>
      </c>
      <c r="AC44" s="328">
        <v>-55</v>
      </c>
      <c r="AD44" s="328">
        <v>-18.349000000000004</v>
      </c>
      <c r="AE44" s="328">
        <v>-146</v>
      </c>
      <c r="AF44" s="328">
        <v>-19</v>
      </c>
      <c r="AG44" s="327"/>
      <c r="AH44" s="327"/>
    </row>
    <row r="45" spans="2:34">
      <c r="B45" s="329" t="s">
        <v>166</v>
      </c>
      <c r="C45" s="328">
        <v>-8.2530000000000001</v>
      </c>
      <c r="D45" s="328">
        <v>-104.685</v>
      </c>
      <c r="E45" s="328">
        <v>-157.45699999999999</v>
      </c>
      <c r="F45" s="328">
        <v>103.676</v>
      </c>
      <c r="G45" s="328">
        <v>39.283999999999999</v>
      </c>
      <c r="H45" s="328">
        <v>-108.261</v>
      </c>
      <c r="I45" s="328">
        <v>-32.728999999999999</v>
      </c>
      <c r="J45" s="328">
        <v>6.226</v>
      </c>
      <c r="K45" s="328">
        <v>-35.125999999999998</v>
      </c>
      <c r="L45" s="328">
        <v>-62.41</v>
      </c>
      <c r="M45" s="328">
        <v>125.181</v>
      </c>
      <c r="N45" s="328">
        <v>-28.367999999999999</v>
      </c>
      <c r="O45" s="328">
        <v>-170.399</v>
      </c>
      <c r="P45" s="328">
        <v>-334.791</v>
      </c>
      <c r="Q45" s="328">
        <v>-61.015999999999998</v>
      </c>
      <c r="R45" s="328">
        <v>42.247</v>
      </c>
      <c r="S45" s="328">
        <v>-24.056999999999999</v>
      </c>
      <c r="T45" s="328">
        <v>-151.92400000000001</v>
      </c>
      <c r="U45" s="328">
        <v>-61</v>
      </c>
      <c r="V45" s="328">
        <v>-11.093000000000018</v>
      </c>
      <c r="W45" s="328">
        <v>-200.255</v>
      </c>
      <c r="X45" s="328">
        <v>-243</v>
      </c>
      <c r="Y45" s="328">
        <f>-270-SUM(W45:X45)</f>
        <v>173.255</v>
      </c>
      <c r="Z45" s="328">
        <v>221.40799999999999</v>
      </c>
      <c r="AA45" s="328">
        <f>21170/1000</f>
        <v>21.17</v>
      </c>
      <c r="AB45" s="328">
        <f>71387/10^3-AA45</f>
        <v>50.216999999999999</v>
      </c>
      <c r="AC45" s="328">
        <v>-72</v>
      </c>
      <c r="AD45" s="328">
        <v>-237.91200000000001</v>
      </c>
      <c r="AE45" s="328">
        <v>-144</v>
      </c>
      <c r="AF45" s="328">
        <v>-50</v>
      </c>
      <c r="AG45" s="327"/>
      <c r="AH45" s="327"/>
    </row>
    <row r="46" spans="2:34">
      <c r="B46" s="329" t="s">
        <v>167</v>
      </c>
      <c r="C46" s="328">
        <v>51.154000000000003</v>
      </c>
      <c r="D46" s="328">
        <v>14.711</v>
      </c>
      <c r="E46" s="328">
        <v>-38.353999999999999</v>
      </c>
      <c r="F46" s="328">
        <v>-40.587000000000003</v>
      </c>
      <c r="G46" s="328">
        <v>11.301</v>
      </c>
      <c r="H46" s="328">
        <v>-156.65600000000001</v>
      </c>
      <c r="I46" s="328">
        <v>219.45</v>
      </c>
      <c r="J46" s="328">
        <v>-162.62200000000001</v>
      </c>
      <c r="K46" s="328">
        <v>3.6520000000000001</v>
      </c>
      <c r="L46" s="328">
        <v>-151.399</v>
      </c>
      <c r="M46" s="328">
        <v>256.82600000000002</v>
      </c>
      <c r="N46" s="328">
        <v>155.65600000000001</v>
      </c>
      <c r="O46" s="328">
        <v>44.564999999999998</v>
      </c>
      <c r="P46" s="328">
        <v>26.77</v>
      </c>
      <c r="Q46" s="328">
        <v>30.51</v>
      </c>
      <c r="R46" s="328">
        <v>375.86799999999999</v>
      </c>
      <c r="S46" s="328">
        <v>56.970999999999997</v>
      </c>
      <c r="T46" s="328">
        <v>-31.657</v>
      </c>
      <c r="U46" s="328">
        <v>-27</v>
      </c>
      <c r="V46" s="328">
        <v>109.131</v>
      </c>
      <c r="W46" s="328">
        <v>-34.715000000000003</v>
      </c>
      <c r="X46" s="328">
        <v>22</v>
      </c>
      <c r="Y46" s="328">
        <f>22-SUM(W46:X46)</f>
        <v>34.715000000000003</v>
      </c>
      <c r="Z46" s="328">
        <v>83.091999999999999</v>
      </c>
      <c r="AA46" s="328">
        <f>10955/1000</f>
        <v>10.955</v>
      </c>
      <c r="AB46" s="328">
        <f>25416/10^3-AA46</f>
        <v>14.461</v>
      </c>
      <c r="AC46" s="328">
        <v>73</v>
      </c>
      <c r="AD46" s="328">
        <v>60.768000000000001</v>
      </c>
      <c r="AE46" s="328">
        <v>-15</v>
      </c>
      <c r="AF46" s="328">
        <v>21</v>
      </c>
      <c r="AG46" s="327"/>
      <c r="AH46" s="327"/>
    </row>
    <row r="47" spans="2:34">
      <c r="B47" s="329" t="s">
        <v>193</v>
      </c>
      <c r="C47" s="328">
        <v>0</v>
      </c>
      <c r="D47" s="328">
        <v>0</v>
      </c>
      <c r="E47" s="328">
        <v>0</v>
      </c>
      <c r="F47" s="328">
        <v>0</v>
      </c>
      <c r="G47" s="328">
        <v>0</v>
      </c>
      <c r="H47" s="328">
        <v>0</v>
      </c>
      <c r="I47" s="328">
        <v>0</v>
      </c>
      <c r="J47" s="328">
        <v>0</v>
      </c>
      <c r="K47" s="328">
        <v>-0.08</v>
      </c>
      <c r="L47" s="328">
        <v>0.08</v>
      </c>
      <c r="M47" s="328">
        <v>0</v>
      </c>
      <c r="N47" s="328">
        <v>0</v>
      </c>
      <c r="O47" s="328">
        <v>0.35</v>
      </c>
      <c r="P47" s="328">
        <v>4.9829999999999997</v>
      </c>
      <c r="Q47" s="328">
        <v>-5.3330000000000002</v>
      </c>
      <c r="R47" s="328">
        <v>0</v>
      </c>
      <c r="S47" s="328">
        <v>0</v>
      </c>
      <c r="T47" s="328">
        <v>0</v>
      </c>
      <c r="U47" s="328">
        <v>0</v>
      </c>
      <c r="V47" s="328">
        <v>0</v>
      </c>
      <c r="W47" s="328">
        <v>0</v>
      </c>
      <c r="X47" s="328">
        <v>0</v>
      </c>
      <c r="Y47" s="328"/>
      <c r="Z47" s="328">
        <v>0</v>
      </c>
      <c r="AA47" s="328">
        <v>0</v>
      </c>
      <c r="AB47" s="328">
        <v>0</v>
      </c>
      <c r="AC47" s="328">
        <v>0</v>
      </c>
      <c r="AD47" s="328">
        <v>0</v>
      </c>
      <c r="AE47" s="328">
        <v>0</v>
      </c>
      <c r="AF47" s="328">
        <v>0</v>
      </c>
      <c r="AG47" s="327"/>
      <c r="AH47" s="327"/>
    </row>
    <row r="48" spans="2:34">
      <c r="B48" s="329" t="s">
        <v>176</v>
      </c>
      <c r="C48" s="328">
        <v>0</v>
      </c>
      <c r="D48" s="328">
        <v>0</v>
      </c>
      <c r="E48" s="328">
        <v>0</v>
      </c>
      <c r="F48" s="328">
        <v>-9.0950000000000006</v>
      </c>
      <c r="G48" s="328">
        <v>0</v>
      </c>
      <c r="H48" s="328">
        <v>0</v>
      </c>
      <c r="I48" s="328">
        <v>0</v>
      </c>
      <c r="J48" s="328">
        <v>12.848000000000001</v>
      </c>
      <c r="K48" s="328">
        <v>3.4359999999999999</v>
      </c>
      <c r="L48" s="328">
        <v>96.305999999999997</v>
      </c>
      <c r="M48" s="328">
        <v>-0.09</v>
      </c>
      <c r="N48" s="328">
        <v>0.46600000000000003</v>
      </c>
      <c r="O48" s="328">
        <v>-2.1999999999999999E-2</v>
      </c>
      <c r="P48" s="328">
        <v>-0.73799999999999999</v>
      </c>
      <c r="Q48" s="328">
        <v>-2.3679999999999999</v>
      </c>
      <c r="R48" s="328">
        <v>-2.1040000000000001</v>
      </c>
      <c r="S48" s="328">
        <v>-3.6890000000000001</v>
      </c>
      <c r="T48" s="328">
        <v>-5.6289999999999996</v>
      </c>
      <c r="U48" s="328">
        <v>-13</v>
      </c>
      <c r="V48" s="328">
        <v>3.8889999999999993</v>
      </c>
      <c r="W48" s="328">
        <v>-1.8160000000000001</v>
      </c>
      <c r="X48" s="328">
        <v>-3</v>
      </c>
      <c r="Y48" s="328">
        <f>19-SUM(W48:X48)</f>
        <v>23.815999999999999</v>
      </c>
      <c r="Z48" s="328">
        <v>9.25</v>
      </c>
      <c r="AA48" s="328">
        <v>-2.6549999999999998</v>
      </c>
      <c r="AB48" s="328">
        <f>-438/10^3-AA48</f>
        <v>2.2169999999999996</v>
      </c>
      <c r="AC48" s="328">
        <v>-1</v>
      </c>
      <c r="AD48" s="328">
        <v>-1.1519999999999997</v>
      </c>
      <c r="AE48" s="328">
        <v>17</v>
      </c>
      <c r="AF48" s="328">
        <v>1</v>
      </c>
      <c r="AG48" s="327"/>
      <c r="AH48" s="327"/>
    </row>
    <row r="49" spans="2:34">
      <c r="B49" s="329" t="s">
        <v>168</v>
      </c>
      <c r="C49" s="328"/>
      <c r="D49" s="328"/>
      <c r="E49" s="328"/>
      <c r="F49" s="328"/>
      <c r="G49" s="328"/>
      <c r="H49" s="328"/>
      <c r="I49" s="328"/>
      <c r="J49" s="328"/>
      <c r="K49" s="328"/>
      <c r="L49" s="328"/>
      <c r="M49" s="328"/>
      <c r="N49" s="328"/>
      <c r="O49" s="328"/>
      <c r="P49" s="328"/>
      <c r="Q49" s="328"/>
      <c r="R49" s="328"/>
      <c r="S49" s="328"/>
      <c r="T49" s="328"/>
      <c r="U49" s="328"/>
      <c r="V49" s="328"/>
      <c r="W49" s="328">
        <v>0</v>
      </c>
      <c r="X49" s="328">
        <v>0</v>
      </c>
      <c r="Y49" s="328">
        <v>0</v>
      </c>
      <c r="Z49" s="328">
        <v>0</v>
      </c>
      <c r="AA49" s="328">
        <v>0</v>
      </c>
      <c r="AB49" s="328">
        <f>-136096/10^3</f>
        <v>-136.096</v>
      </c>
      <c r="AC49" s="328">
        <v>0</v>
      </c>
      <c r="AD49" s="328">
        <v>136.096</v>
      </c>
      <c r="AE49" s="328">
        <v>0</v>
      </c>
      <c r="AF49" s="328">
        <v>0</v>
      </c>
      <c r="AG49" s="327"/>
      <c r="AH49" s="327"/>
    </row>
    <row r="50" spans="2:34">
      <c r="B50" s="329" t="s">
        <v>358</v>
      </c>
      <c r="C50" s="328"/>
      <c r="D50" s="328"/>
      <c r="E50" s="328"/>
      <c r="F50" s="328"/>
      <c r="G50" s="328"/>
      <c r="H50" s="328"/>
      <c r="I50" s="328"/>
      <c r="J50" s="328"/>
      <c r="K50" s="328"/>
      <c r="L50" s="328"/>
      <c r="M50" s="328"/>
      <c r="N50" s="328"/>
      <c r="O50" s="328"/>
      <c r="P50" s="328"/>
      <c r="Q50" s="328"/>
      <c r="R50" s="328"/>
      <c r="S50" s="328"/>
      <c r="T50" s="328"/>
      <c r="U50" s="328"/>
      <c r="V50" s="328"/>
      <c r="W50" s="328">
        <v>0</v>
      </c>
      <c r="X50" s="328">
        <v>0</v>
      </c>
      <c r="Y50" s="328"/>
      <c r="Z50" s="328">
        <v>0</v>
      </c>
      <c r="AA50" s="328">
        <v>0</v>
      </c>
      <c r="AB50" s="328">
        <v>0</v>
      </c>
      <c r="AC50" s="328">
        <v>0</v>
      </c>
      <c r="AD50" s="328">
        <v>0</v>
      </c>
      <c r="AE50" s="328">
        <v>0</v>
      </c>
      <c r="AF50" s="328">
        <v>0</v>
      </c>
      <c r="AG50" s="327"/>
      <c r="AH50" s="327"/>
    </row>
    <row r="51" spans="2:34">
      <c r="B51" s="329" t="s">
        <v>299</v>
      </c>
      <c r="C51" s="328">
        <v>-2.7570000000000001</v>
      </c>
      <c r="D51" s="328">
        <v>-2.9079999999999999</v>
      </c>
      <c r="E51" s="328">
        <v>-23.43</v>
      </c>
      <c r="F51" s="328">
        <v>13.012</v>
      </c>
      <c r="G51" s="328">
        <v>7.3380000000000001</v>
      </c>
      <c r="H51" s="328">
        <v>78.641999999999996</v>
      </c>
      <c r="I51" s="328">
        <v>3.17</v>
      </c>
      <c r="J51" s="328">
        <v>-96.028999999999996</v>
      </c>
      <c r="K51" s="328">
        <v>0.91100000000000003</v>
      </c>
      <c r="L51" s="328">
        <v>-14.91</v>
      </c>
      <c r="M51" s="328">
        <v>-8.4109999999999996</v>
      </c>
      <c r="N51" s="328">
        <v>-14.769</v>
      </c>
      <c r="O51" s="328">
        <v>31.379000000000001</v>
      </c>
      <c r="P51" s="328">
        <v>-11.959</v>
      </c>
      <c r="Q51" s="328">
        <v>35.774000000000001</v>
      </c>
      <c r="R51" s="328">
        <v>-71.384</v>
      </c>
      <c r="S51" s="328">
        <v>8.39</v>
      </c>
      <c r="T51" s="328">
        <v>-36.694000000000003</v>
      </c>
      <c r="U51" s="328">
        <v>-20</v>
      </c>
      <c r="V51" s="328">
        <v>-61.981999999999999</v>
      </c>
      <c r="W51" s="328">
        <v>2</v>
      </c>
      <c r="X51" s="328">
        <v>26</v>
      </c>
      <c r="Y51" s="328">
        <f>65-SUM(W51:X51)</f>
        <v>37</v>
      </c>
      <c r="Z51" s="328">
        <v>122.455</v>
      </c>
      <c r="AA51" s="328">
        <v>-28.186</v>
      </c>
      <c r="AB51" s="328">
        <f>89066/10^3-AA51</f>
        <v>117.25200000000001</v>
      </c>
      <c r="AC51" s="328">
        <v>-37</v>
      </c>
      <c r="AD51" s="328">
        <v>126.387</v>
      </c>
      <c r="AE51" s="328">
        <v>27</v>
      </c>
      <c r="AF51" s="328">
        <v>29</v>
      </c>
      <c r="AG51" s="327"/>
      <c r="AH51" s="327"/>
    </row>
    <row r="52" spans="2:34" s="310" customFormat="1">
      <c r="B52" s="312" t="s">
        <v>300</v>
      </c>
      <c r="C52" s="326"/>
      <c r="D52" s="326"/>
      <c r="E52" s="326"/>
      <c r="F52" s="326"/>
      <c r="G52" s="326"/>
      <c r="H52" s="326"/>
      <c r="I52" s="326"/>
      <c r="J52" s="326"/>
      <c r="K52" s="326"/>
      <c r="L52" s="326"/>
      <c r="M52" s="326"/>
      <c r="N52" s="326"/>
      <c r="O52" s="326"/>
      <c r="P52" s="326"/>
      <c r="Q52" s="326"/>
      <c r="R52" s="326"/>
      <c r="S52" s="326"/>
      <c r="T52" s="326"/>
      <c r="U52" s="326">
        <v>0</v>
      </c>
      <c r="V52" s="326">
        <v>0</v>
      </c>
      <c r="W52" s="326"/>
      <c r="X52" s="326"/>
      <c r="Y52" s="326"/>
      <c r="Z52" s="326"/>
      <c r="AA52" s="326"/>
      <c r="AB52" s="326"/>
      <c r="AC52" s="326"/>
      <c r="AD52" s="326"/>
      <c r="AE52" s="326">
        <v>0</v>
      </c>
      <c r="AF52" s="326"/>
      <c r="AG52" s="327"/>
      <c r="AH52" s="327"/>
    </row>
    <row r="53" spans="2:34">
      <c r="B53" s="329" t="s">
        <v>186</v>
      </c>
      <c r="C53" s="328">
        <v>32.177999999999997</v>
      </c>
      <c r="D53" s="328">
        <v>109.203</v>
      </c>
      <c r="E53" s="328">
        <v>-30.186</v>
      </c>
      <c r="F53" s="328">
        <v>-143.042</v>
      </c>
      <c r="G53" s="328">
        <v>6.069</v>
      </c>
      <c r="H53" s="328">
        <v>26.59</v>
      </c>
      <c r="I53" s="328">
        <v>0.79300000000000004</v>
      </c>
      <c r="J53" s="328">
        <v>-17.053000000000001</v>
      </c>
      <c r="K53" s="328">
        <v>42.962000000000003</v>
      </c>
      <c r="L53" s="328">
        <v>-75.876000000000005</v>
      </c>
      <c r="M53" s="328">
        <v>17.227</v>
      </c>
      <c r="N53" s="328">
        <v>-34.167000000000002</v>
      </c>
      <c r="O53" s="328">
        <v>85.34</v>
      </c>
      <c r="P53" s="328">
        <v>12.153</v>
      </c>
      <c r="Q53" s="328">
        <v>116.52800000000001</v>
      </c>
      <c r="R53" s="328">
        <v>15.488</v>
      </c>
      <c r="S53" s="328">
        <v>-34.817</v>
      </c>
      <c r="T53" s="328">
        <v>94.113</v>
      </c>
      <c r="U53" s="328">
        <v>182</v>
      </c>
      <c r="V53" s="328">
        <v>85.187999999999988</v>
      </c>
      <c r="W53" s="328">
        <v>4.5940000000000003</v>
      </c>
      <c r="X53" s="328">
        <v>-22</v>
      </c>
      <c r="Y53" s="328">
        <f>-125-SUM(W53:X53)</f>
        <v>-107.59399999999999</v>
      </c>
      <c r="Z53" s="328">
        <v>73.591999999999999</v>
      </c>
      <c r="AA53" s="328">
        <v>21.74</v>
      </c>
      <c r="AB53" s="328">
        <f>-269770/10^3-AA53</f>
        <v>-291.51</v>
      </c>
      <c r="AC53" s="328">
        <v>57</v>
      </c>
      <c r="AD53" s="328">
        <v>299.202</v>
      </c>
      <c r="AE53" s="328">
        <v>124</v>
      </c>
      <c r="AF53" s="328">
        <v>-170</v>
      </c>
      <c r="AG53" s="327"/>
      <c r="AH53" s="327"/>
    </row>
    <row r="54" spans="2:34">
      <c r="B54" s="329" t="s">
        <v>185</v>
      </c>
      <c r="C54" s="328">
        <v>5.9390000000000001</v>
      </c>
      <c r="D54" s="328">
        <v>-16.309999999999999</v>
      </c>
      <c r="E54" s="328">
        <v>130.55600000000001</v>
      </c>
      <c r="F54" s="328">
        <v>98.027000000000001</v>
      </c>
      <c r="G54" s="328">
        <v>3.91</v>
      </c>
      <c r="H54" s="328">
        <v>126.54600000000001</v>
      </c>
      <c r="I54" s="328">
        <v>-26.773</v>
      </c>
      <c r="J54" s="328">
        <v>-25.198</v>
      </c>
      <c r="K54" s="328">
        <v>81.668000000000006</v>
      </c>
      <c r="L54" s="328">
        <v>-69.385999999999996</v>
      </c>
      <c r="M54" s="328">
        <v>65.322999999999993</v>
      </c>
      <c r="N54" s="328">
        <v>181.846</v>
      </c>
      <c r="O54" s="328">
        <v>-4.702</v>
      </c>
      <c r="P54" s="328">
        <v>23.922000000000001</v>
      </c>
      <c r="Q54" s="328">
        <v>-227.05799999999999</v>
      </c>
      <c r="R54" s="328">
        <v>171.274</v>
      </c>
      <c r="S54" s="328">
        <v>-285.13799999999998</v>
      </c>
      <c r="T54" s="328">
        <v>-163.80199999999999</v>
      </c>
      <c r="U54" s="328">
        <v>11</v>
      </c>
      <c r="V54" s="328">
        <v>90.41399999999993</v>
      </c>
      <c r="W54" s="328">
        <v>65.165000000000006</v>
      </c>
      <c r="X54" s="328">
        <v>-9</v>
      </c>
      <c r="Y54" s="328">
        <f>-92-SUM(W54:X54)</f>
        <v>-148.16500000000002</v>
      </c>
      <c r="Z54" s="328">
        <v>130.47</v>
      </c>
      <c r="AA54" s="328">
        <f>-114659/1000</f>
        <v>-114.65900000000001</v>
      </c>
      <c r="AB54" s="328">
        <f>-98384/10^3-AA54+0.3</f>
        <v>16.575000000000006</v>
      </c>
      <c r="AC54" s="328">
        <v>-53</v>
      </c>
      <c r="AD54" s="328">
        <v>80.739000000000004</v>
      </c>
      <c r="AE54" s="328">
        <v>-47</v>
      </c>
      <c r="AF54" s="328">
        <v>25</v>
      </c>
      <c r="AG54" s="327"/>
      <c r="AH54" s="327"/>
    </row>
    <row r="55" spans="2:34">
      <c r="B55" s="329" t="s">
        <v>187</v>
      </c>
      <c r="C55" s="328">
        <v>-55.063000000000002</v>
      </c>
      <c r="D55" s="328">
        <v>17.59</v>
      </c>
      <c r="E55" s="328">
        <v>26.643000000000001</v>
      </c>
      <c r="F55" s="328">
        <v>-7.984</v>
      </c>
      <c r="G55" s="328">
        <v>-36.630000000000003</v>
      </c>
      <c r="H55" s="328">
        <v>20.597000000000001</v>
      </c>
      <c r="I55" s="328">
        <v>21.901</v>
      </c>
      <c r="J55" s="328">
        <v>-1.538</v>
      </c>
      <c r="K55" s="328">
        <v>-33.082000000000001</v>
      </c>
      <c r="L55" s="328">
        <v>47.378</v>
      </c>
      <c r="M55" s="328">
        <v>13.923</v>
      </c>
      <c r="N55" s="328">
        <v>20.074000000000002</v>
      </c>
      <c r="O55" s="328">
        <v>-64.816999999999993</v>
      </c>
      <c r="P55" s="328">
        <v>19.824000000000002</v>
      </c>
      <c r="Q55" s="328">
        <v>30.638999999999999</v>
      </c>
      <c r="R55" s="328">
        <v>0.83599999999999997</v>
      </c>
      <c r="S55" s="328">
        <v>-42.405000000000001</v>
      </c>
      <c r="T55" s="328">
        <v>22.704999999999998</v>
      </c>
      <c r="U55" s="328">
        <v>34</v>
      </c>
      <c r="V55" s="328">
        <v>-5.7639999999999976</v>
      </c>
      <c r="W55" s="328">
        <v>-45.921999999999997</v>
      </c>
      <c r="X55" s="328">
        <v>31</v>
      </c>
      <c r="Y55" s="328">
        <f>19-SUM(W55:X55)</f>
        <v>33.921999999999997</v>
      </c>
      <c r="Z55" s="328">
        <v>8.51</v>
      </c>
      <c r="AA55" s="328">
        <f>-73073/1000</f>
        <v>-73.072999999999993</v>
      </c>
      <c r="AB55" s="328">
        <f>-32780/10^3-AA55</f>
        <v>40.292999999999992</v>
      </c>
      <c r="AC55" s="328">
        <v>34</v>
      </c>
      <c r="AD55" s="328">
        <v>20.981000000000002</v>
      </c>
      <c r="AE55" s="328">
        <v>-79</v>
      </c>
      <c r="AF55" s="328">
        <v>32</v>
      </c>
      <c r="AG55" s="327"/>
      <c r="AH55" s="327"/>
    </row>
    <row r="56" spans="2:34">
      <c r="B56" s="329" t="s">
        <v>189</v>
      </c>
      <c r="C56" s="328">
        <v>0</v>
      </c>
      <c r="D56" s="328">
        <v>0</v>
      </c>
      <c r="E56" s="328">
        <v>14.896000000000001</v>
      </c>
      <c r="F56" s="328">
        <v>-14.896000000000001</v>
      </c>
      <c r="G56" s="328">
        <v>0</v>
      </c>
      <c r="H56" s="328">
        <v>0</v>
      </c>
      <c r="I56" s="328">
        <v>9.0359999999999996</v>
      </c>
      <c r="J56" s="328">
        <v>-9.0359999999999996</v>
      </c>
      <c r="K56" s="328">
        <v>0</v>
      </c>
      <c r="L56" s="328">
        <v>0</v>
      </c>
      <c r="M56" s="328">
        <v>0</v>
      </c>
      <c r="N56" s="328">
        <v>0</v>
      </c>
      <c r="O56" s="328">
        <v>0</v>
      </c>
      <c r="P56" s="328">
        <v>0</v>
      </c>
      <c r="Q56" s="328">
        <v>0</v>
      </c>
      <c r="R56" s="328">
        <v>0</v>
      </c>
      <c r="S56" s="328">
        <v>0</v>
      </c>
      <c r="T56" s="328">
        <v>0</v>
      </c>
      <c r="U56" s="328">
        <v>0</v>
      </c>
      <c r="V56" s="328">
        <v>0</v>
      </c>
      <c r="W56" s="328">
        <v>0</v>
      </c>
      <c r="X56" s="328">
        <v>0</v>
      </c>
      <c r="Y56" s="328">
        <v>0</v>
      </c>
      <c r="Z56" s="328">
        <v>0</v>
      </c>
      <c r="AA56" s="328">
        <f>82481/1000</f>
        <v>82.480999999999995</v>
      </c>
      <c r="AB56" s="328">
        <f>71227/10^3-AA56</f>
        <v>-11.253999999999991</v>
      </c>
      <c r="AC56" s="328">
        <v>21</v>
      </c>
      <c r="AD56" s="328">
        <v>-87.665999999999997</v>
      </c>
      <c r="AE56" s="328">
        <v>2</v>
      </c>
      <c r="AF56" s="328">
        <v>13</v>
      </c>
      <c r="AG56" s="327"/>
      <c r="AH56" s="327"/>
    </row>
    <row r="57" spans="2:34">
      <c r="B57" s="329" t="s">
        <v>301</v>
      </c>
      <c r="C57" s="328">
        <v>-7.8390000000000004</v>
      </c>
      <c r="D57" s="328">
        <v>16.626999999999999</v>
      </c>
      <c r="E57" s="328">
        <v>11.127000000000001</v>
      </c>
      <c r="F57" s="328">
        <v>-21.884</v>
      </c>
      <c r="G57" s="328">
        <v>-18.588999999999999</v>
      </c>
      <c r="H57" s="328">
        <v>22.277000000000001</v>
      </c>
      <c r="I57" s="328">
        <v>0.32300000000000001</v>
      </c>
      <c r="J57" s="328">
        <v>-2.8530000000000002</v>
      </c>
      <c r="K57" s="328">
        <v>0.14599999999999999</v>
      </c>
      <c r="L57" s="328">
        <v>2.8220000000000001</v>
      </c>
      <c r="M57" s="328">
        <v>11.013999999999999</v>
      </c>
      <c r="N57" s="328">
        <v>3.681</v>
      </c>
      <c r="O57" s="328">
        <v>-4.5860000000000003</v>
      </c>
      <c r="P57" s="328">
        <v>-17.785</v>
      </c>
      <c r="Q57" s="328">
        <v>114.94199999999999</v>
      </c>
      <c r="R57" s="328">
        <v>-156.90600000000001</v>
      </c>
      <c r="S57" s="328">
        <v>-44.92</v>
      </c>
      <c r="T57" s="328">
        <v>-23.125</v>
      </c>
      <c r="U57" s="328">
        <v>-4</v>
      </c>
      <c r="V57" s="328">
        <v>-144.01999999999998</v>
      </c>
      <c r="W57" s="328">
        <v>-14.57</v>
      </c>
      <c r="X57" s="328">
        <v>-5</v>
      </c>
      <c r="Y57" s="328">
        <f>-11-SUM(W57:X57)</f>
        <v>8.57</v>
      </c>
      <c r="Z57" s="328">
        <v>-2.5590000000000002</v>
      </c>
      <c r="AA57" s="328">
        <f>980/1000</f>
        <v>0.98</v>
      </c>
      <c r="AB57" s="328">
        <f>-5936/10^3-AA57+0.4</f>
        <v>-6.516</v>
      </c>
      <c r="AC57" s="328">
        <v>8</v>
      </c>
      <c r="AD57" s="328">
        <v>-24.017000000000003</v>
      </c>
      <c r="AE57" s="328">
        <v>-11</v>
      </c>
      <c r="AF57" s="328">
        <v>5</v>
      </c>
      <c r="AG57" s="327"/>
      <c r="AH57" s="327"/>
    </row>
    <row r="58" spans="2:34">
      <c r="B58" s="329" t="s">
        <v>302</v>
      </c>
      <c r="C58" s="328">
        <v>0</v>
      </c>
      <c r="D58" s="328">
        <v>0</v>
      </c>
      <c r="E58" s="328">
        <v>-18.599</v>
      </c>
      <c r="F58" s="328">
        <v>-26.077999999999999</v>
      </c>
      <c r="G58" s="328">
        <v>-6.444</v>
      </c>
      <c r="H58" s="328">
        <v>6.444</v>
      </c>
      <c r="I58" s="328">
        <v>-11.909000000000001</v>
      </c>
      <c r="J58" s="328">
        <v>-18.646999999999998</v>
      </c>
      <c r="K58" s="328">
        <v>-11.946</v>
      </c>
      <c r="L58" s="328">
        <v>-5.7880000000000003</v>
      </c>
      <c r="M58" s="328">
        <v>-5.6879999999999997</v>
      </c>
      <c r="N58" s="328">
        <v>-5.859</v>
      </c>
      <c r="O58" s="328">
        <v>-5.5730000000000004</v>
      </c>
      <c r="P58" s="328">
        <v>-9.6460000000000008</v>
      </c>
      <c r="Q58" s="328">
        <v>-5.1239999999999997</v>
      </c>
      <c r="R58" s="328">
        <v>-47.695</v>
      </c>
      <c r="S58" s="328">
        <v>-14.973000000000001</v>
      </c>
      <c r="T58" s="328">
        <v>-11.08</v>
      </c>
      <c r="U58" s="328">
        <v>-11</v>
      </c>
      <c r="V58" s="328">
        <v>-9.4870000000000019</v>
      </c>
      <c r="W58" s="328">
        <v>-4.0119999999999996</v>
      </c>
      <c r="X58" s="328">
        <v>-6</v>
      </c>
      <c r="Y58" s="328">
        <f>-16-SUM(W58:X58)</f>
        <v>-5.9879999999999995</v>
      </c>
      <c r="Z58" s="328">
        <v>-18.247</v>
      </c>
      <c r="AA58" s="328">
        <v>-5.3819999999999997</v>
      </c>
      <c r="AB58" s="328">
        <f>-15300/10^3-AA58</f>
        <v>-9.918000000000001</v>
      </c>
      <c r="AC58" s="328">
        <v>-10</v>
      </c>
      <c r="AD58" s="328">
        <v>-21.401</v>
      </c>
      <c r="AE58" s="328">
        <v>-2</v>
      </c>
      <c r="AF58" s="328">
        <v>-5</v>
      </c>
      <c r="AG58" s="327"/>
      <c r="AH58" s="327"/>
    </row>
    <row r="59" spans="2:34">
      <c r="B59" s="329" t="s">
        <v>191</v>
      </c>
      <c r="C59" s="328">
        <v>-3.1230000000000002</v>
      </c>
      <c r="D59" s="328">
        <v>10.775</v>
      </c>
      <c r="E59" s="328">
        <v>-7.6520000000000001</v>
      </c>
      <c r="F59" s="328">
        <v>0</v>
      </c>
      <c r="G59" s="328">
        <v>2.4380000000000002</v>
      </c>
      <c r="H59" s="328">
        <v>4.7850000000000001</v>
      </c>
      <c r="I59" s="328">
        <v>-7.2229999999999999</v>
      </c>
      <c r="J59" s="328">
        <v>0</v>
      </c>
      <c r="K59" s="328">
        <v>0</v>
      </c>
      <c r="L59" s="328">
        <v>0</v>
      </c>
      <c r="M59" s="328">
        <v>12.864000000000001</v>
      </c>
      <c r="N59" s="328">
        <v>-12.864000000000001</v>
      </c>
      <c r="O59" s="328">
        <v>0</v>
      </c>
      <c r="P59" s="328">
        <v>0</v>
      </c>
      <c r="Q59" s="328">
        <v>67.286000000000001</v>
      </c>
      <c r="R59" s="328">
        <v>-67.286000000000001</v>
      </c>
      <c r="S59" s="328">
        <v>0</v>
      </c>
      <c r="T59" s="328">
        <v>0</v>
      </c>
      <c r="U59" s="328">
        <v>18</v>
      </c>
      <c r="V59" s="328">
        <v>-18</v>
      </c>
      <c r="W59" s="328">
        <v>5.0640000000000001</v>
      </c>
      <c r="X59" s="328">
        <v>2</v>
      </c>
      <c r="Y59" s="328">
        <v>0</v>
      </c>
      <c r="Z59" s="328">
        <v>-48.917999999999999</v>
      </c>
      <c r="AA59" s="328">
        <f>6152/1000</f>
        <v>6.1520000000000001</v>
      </c>
      <c r="AB59" s="328">
        <f>12353/10^3-AA59-0.3</f>
        <v>5.9009999999999998</v>
      </c>
      <c r="AC59" s="328">
        <v>0</v>
      </c>
      <c r="AD59" s="328">
        <v>2.3629999999999995</v>
      </c>
      <c r="AE59" s="328">
        <v>6</v>
      </c>
      <c r="AF59" s="328">
        <v>-6</v>
      </c>
      <c r="AG59" s="327"/>
      <c r="AH59" s="327"/>
    </row>
    <row r="60" spans="2:34">
      <c r="B60" s="329" t="s">
        <v>190</v>
      </c>
      <c r="C60" s="328"/>
      <c r="D60" s="328"/>
      <c r="E60" s="328"/>
      <c r="F60" s="328"/>
      <c r="G60" s="328"/>
      <c r="H60" s="328"/>
      <c r="I60" s="328"/>
      <c r="J60" s="328"/>
      <c r="K60" s="328"/>
      <c r="L60" s="328"/>
      <c r="M60" s="328"/>
      <c r="N60" s="328"/>
      <c r="O60" s="328"/>
      <c r="P60" s="328"/>
      <c r="Q60" s="328"/>
      <c r="R60" s="328"/>
      <c r="S60" s="328"/>
      <c r="T60" s="328"/>
      <c r="U60" s="328"/>
      <c r="V60" s="328"/>
      <c r="W60" s="328">
        <v>0</v>
      </c>
      <c r="X60" s="328">
        <v>0</v>
      </c>
      <c r="Y60" s="328">
        <v>0</v>
      </c>
      <c r="Z60" s="328">
        <v>0</v>
      </c>
      <c r="AA60" s="328">
        <v>0</v>
      </c>
      <c r="AB60" s="328">
        <f>52717/10^3-0.4</f>
        <v>52.317</v>
      </c>
      <c r="AC60" s="328">
        <v>0</v>
      </c>
      <c r="AD60" s="328">
        <v>-52.317</v>
      </c>
      <c r="AE60" s="328">
        <v>0</v>
      </c>
      <c r="AF60" s="328">
        <v>0</v>
      </c>
      <c r="AG60" s="327"/>
      <c r="AH60" s="327"/>
    </row>
    <row r="61" spans="2:34">
      <c r="B61" s="329" t="s">
        <v>173</v>
      </c>
      <c r="C61" s="328">
        <v>-9.7159999999999993</v>
      </c>
      <c r="D61" s="328">
        <v>16.219000000000001</v>
      </c>
      <c r="E61" s="328">
        <v>115.34099999999999</v>
      </c>
      <c r="F61" s="328">
        <v>20.657</v>
      </c>
      <c r="G61" s="328">
        <v>-19.661999999999999</v>
      </c>
      <c r="H61" s="328">
        <v>60.115000000000002</v>
      </c>
      <c r="I61" s="328">
        <v>-103.288</v>
      </c>
      <c r="J61" s="328">
        <v>62.835000000000001</v>
      </c>
      <c r="K61" s="328">
        <v>0</v>
      </c>
      <c r="L61" s="328">
        <v>38.017000000000003</v>
      </c>
      <c r="M61" s="328">
        <v>-38.017000000000003</v>
      </c>
      <c r="N61" s="328">
        <v>0</v>
      </c>
      <c r="O61" s="328">
        <v>0</v>
      </c>
      <c r="P61" s="328">
        <v>0</v>
      </c>
      <c r="Q61" s="328">
        <v>0</v>
      </c>
      <c r="R61" s="328">
        <v>0</v>
      </c>
      <c r="S61" s="328">
        <v>0</v>
      </c>
      <c r="T61" s="328">
        <v>0</v>
      </c>
      <c r="U61" s="328">
        <v>0</v>
      </c>
      <c r="V61" s="328">
        <v>0</v>
      </c>
      <c r="W61" s="328">
        <v>0</v>
      </c>
      <c r="X61" s="328">
        <v>0</v>
      </c>
      <c r="Y61" s="328"/>
      <c r="Z61" s="328"/>
      <c r="AA61" s="328"/>
      <c r="AB61" s="328"/>
      <c r="AC61" s="328">
        <v>0</v>
      </c>
      <c r="AD61" s="328">
        <v>0</v>
      </c>
      <c r="AE61" s="328">
        <v>0</v>
      </c>
      <c r="AF61" s="328">
        <v>0</v>
      </c>
      <c r="AG61" s="327"/>
      <c r="AH61" s="327"/>
    </row>
    <row r="62" spans="2:34">
      <c r="B62" s="329" t="s">
        <v>193</v>
      </c>
      <c r="C62" s="328">
        <v>0</v>
      </c>
      <c r="D62" s="328">
        <v>0</v>
      </c>
      <c r="E62" s="328">
        <v>0</v>
      </c>
      <c r="F62" s="328">
        <v>-250.89599999999999</v>
      </c>
      <c r="G62" s="328">
        <v>0</v>
      </c>
      <c r="H62" s="328">
        <v>0</v>
      </c>
      <c r="I62" s="328">
        <v>0</v>
      </c>
      <c r="J62" s="328">
        <v>-234.63900000000001</v>
      </c>
      <c r="K62" s="328">
        <v>0</v>
      </c>
      <c r="L62" s="328">
        <v>0</v>
      </c>
      <c r="M62" s="328">
        <v>0</v>
      </c>
      <c r="N62" s="328">
        <v>0</v>
      </c>
      <c r="O62" s="328">
        <v>0</v>
      </c>
      <c r="P62" s="328">
        <v>0</v>
      </c>
      <c r="Q62" s="328">
        <v>0</v>
      </c>
      <c r="R62" s="328">
        <v>0</v>
      </c>
      <c r="S62" s="328">
        <v>0</v>
      </c>
      <c r="T62" s="328">
        <v>0</v>
      </c>
      <c r="U62" s="328">
        <v>0</v>
      </c>
      <c r="V62" s="328">
        <v>0</v>
      </c>
      <c r="W62" s="328">
        <v>0</v>
      </c>
      <c r="X62" s="328">
        <v>0</v>
      </c>
      <c r="Y62" s="328"/>
      <c r="Z62" s="328"/>
      <c r="AA62" s="328"/>
      <c r="AB62" s="328"/>
      <c r="AC62" s="328">
        <v>0</v>
      </c>
      <c r="AD62" s="328">
        <v>0</v>
      </c>
      <c r="AE62" s="328">
        <v>0</v>
      </c>
      <c r="AF62" s="328">
        <v>1</v>
      </c>
      <c r="AG62" s="327"/>
      <c r="AH62" s="327"/>
    </row>
    <row r="63" spans="2:34">
      <c r="B63" s="329" t="s">
        <v>358</v>
      </c>
      <c r="C63" s="328"/>
      <c r="D63" s="328"/>
      <c r="E63" s="328"/>
      <c r="F63" s="328"/>
      <c r="G63" s="328"/>
      <c r="H63" s="328"/>
      <c r="I63" s="328"/>
      <c r="J63" s="328"/>
      <c r="K63" s="328"/>
      <c r="L63" s="328"/>
      <c r="M63" s="328"/>
      <c r="N63" s="328"/>
      <c r="O63" s="328"/>
      <c r="P63" s="328"/>
      <c r="Q63" s="328"/>
      <c r="R63" s="328"/>
      <c r="S63" s="328"/>
      <c r="T63" s="328"/>
      <c r="U63" s="328"/>
      <c r="V63" s="328"/>
      <c r="W63" s="328">
        <v>-0.18</v>
      </c>
      <c r="X63" s="328">
        <v>0</v>
      </c>
      <c r="Y63" s="328"/>
      <c r="Z63" s="328"/>
      <c r="AA63" s="328"/>
      <c r="AB63" s="328"/>
      <c r="AC63" s="328">
        <v>0</v>
      </c>
      <c r="AD63" s="328">
        <v>0</v>
      </c>
      <c r="AE63" s="328">
        <v>0</v>
      </c>
      <c r="AF63" s="328">
        <v>0</v>
      </c>
      <c r="AG63" s="327"/>
      <c r="AH63" s="327"/>
    </row>
    <row r="64" spans="2:34">
      <c r="B64" s="329" t="s">
        <v>303</v>
      </c>
      <c r="C64" s="328">
        <v>-37.076000000000001</v>
      </c>
      <c r="D64" s="328">
        <v>-30.800999999999998</v>
      </c>
      <c r="E64" s="328">
        <v>29.437999999999999</v>
      </c>
      <c r="F64" s="328">
        <v>17.739000000000001</v>
      </c>
      <c r="G64" s="328">
        <v>-24.962</v>
      </c>
      <c r="H64" s="328">
        <v>7.6980000000000004</v>
      </c>
      <c r="I64" s="328">
        <v>20.783000000000001</v>
      </c>
      <c r="J64" s="328">
        <v>15.497999999999999</v>
      </c>
      <c r="K64" s="328">
        <v>-5.1059999999999999</v>
      </c>
      <c r="L64" s="328">
        <v>28.209</v>
      </c>
      <c r="M64" s="328">
        <v>-20.984000000000002</v>
      </c>
      <c r="N64" s="328">
        <v>36.963999999999999</v>
      </c>
      <c r="O64" s="328">
        <v>39.804000000000002</v>
      </c>
      <c r="P64" s="328">
        <v>27.77</v>
      </c>
      <c r="Q64" s="328">
        <v>4.0220000000000002</v>
      </c>
      <c r="R64" s="328">
        <v>-26.062999999999999</v>
      </c>
      <c r="S64" s="328">
        <v>50.13</v>
      </c>
      <c r="T64" s="328">
        <v>-16.03</v>
      </c>
      <c r="U64" s="328">
        <v>-40</v>
      </c>
      <c r="V64" s="328">
        <v>86.427999999999997</v>
      </c>
      <c r="W64" s="328">
        <v>-19.495999999999999</v>
      </c>
      <c r="X64" s="328">
        <v>0</v>
      </c>
      <c r="Y64" s="328">
        <f>-165-SUM(W64:X64)-1</f>
        <v>-146.50399999999999</v>
      </c>
      <c r="Z64" s="328">
        <v>-44.419305720000004</v>
      </c>
      <c r="AA64" s="328">
        <f>-40580/1000</f>
        <v>-40.58</v>
      </c>
      <c r="AB64" s="328">
        <f>-113542/10^3-AA64</f>
        <v>-72.962000000000003</v>
      </c>
      <c r="AC64" s="328">
        <v>84</v>
      </c>
      <c r="AD64" s="328">
        <v>134.06799999999998</v>
      </c>
      <c r="AE64" s="328">
        <v>23</v>
      </c>
      <c r="AF64" s="328">
        <v>0</v>
      </c>
      <c r="AG64" s="327"/>
      <c r="AH64" s="327"/>
    </row>
    <row r="65" spans="2:34">
      <c r="B65" s="282"/>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7"/>
      <c r="AH65" s="327"/>
    </row>
    <row r="66" spans="2:34" s="310" customFormat="1" ht="14.5" thickBot="1">
      <c r="B66" s="308" t="s">
        <v>304</v>
      </c>
      <c r="C66" s="333">
        <f t="shared" ref="C66:X66" si="2">SUM(C40:C64)</f>
        <v>147.00300000000001</v>
      </c>
      <c r="D66" s="333">
        <f t="shared" si="2"/>
        <v>249.33000000000004</v>
      </c>
      <c r="E66" s="333">
        <f t="shared" si="2"/>
        <v>227.60500000000008</v>
      </c>
      <c r="F66" s="333">
        <f t="shared" si="2"/>
        <v>-119.11799999999994</v>
      </c>
      <c r="G66" s="333">
        <f t="shared" si="2"/>
        <v>81.717999999999947</v>
      </c>
      <c r="H66" s="333">
        <f t="shared" si="2"/>
        <v>203.58100000000002</v>
      </c>
      <c r="I66" s="333">
        <f t="shared" si="2"/>
        <v>114.10499999999999</v>
      </c>
      <c r="J66" s="333">
        <f t="shared" si="2"/>
        <v>111.65499999999993</v>
      </c>
      <c r="K66" s="333">
        <f t="shared" si="2"/>
        <v>38.284000000000063</v>
      </c>
      <c r="L66" s="333">
        <f t="shared" si="2"/>
        <v>107.88799999999998</v>
      </c>
      <c r="M66" s="333">
        <f t="shared" si="2"/>
        <v>480.97400000000005</v>
      </c>
      <c r="N66" s="333">
        <f t="shared" si="2"/>
        <v>511.16400000000004</v>
      </c>
      <c r="O66" s="333">
        <f t="shared" si="2"/>
        <v>166.21899999999994</v>
      </c>
      <c r="P66" s="333">
        <f t="shared" si="2"/>
        <v>109.75899999999986</v>
      </c>
      <c r="Q66" s="333">
        <f t="shared" si="2"/>
        <v>375.74800000000005</v>
      </c>
      <c r="R66" s="333">
        <f t="shared" si="2"/>
        <v>640.18999999999994</v>
      </c>
      <c r="S66" s="333">
        <f t="shared" si="2"/>
        <v>230.94499999999999</v>
      </c>
      <c r="T66" s="333">
        <f t="shared" si="2"/>
        <v>419.37900000000002</v>
      </c>
      <c r="U66" s="333">
        <f t="shared" si="2"/>
        <v>444</v>
      </c>
      <c r="V66" s="333">
        <f t="shared" si="2"/>
        <v>88.753999999999991</v>
      </c>
      <c r="W66" s="333">
        <f t="shared" si="2"/>
        <v>-228.97599999999997</v>
      </c>
      <c r="X66" s="333">
        <f t="shared" si="2"/>
        <v>-172</v>
      </c>
      <c r="Y66" s="333">
        <f t="shared" ref="Y66:AD66" si="3">SUM(Y40:Y64)</f>
        <v>60.579612918800592</v>
      </c>
      <c r="Z66" s="333">
        <f t="shared" si="3"/>
        <v>557.38390117807489</v>
      </c>
      <c r="AA66" s="333">
        <f t="shared" si="3"/>
        <v>-16.789053510000201</v>
      </c>
      <c r="AB66" s="333">
        <f t="shared" si="3"/>
        <v>191.6768428510245</v>
      </c>
      <c r="AC66" s="333">
        <f t="shared" si="3"/>
        <v>428.13200000000001</v>
      </c>
      <c r="AD66" s="333">
        <f t="shared" si="3"/>
        <v>511.25070407999988</v>
      </c>
      <c r="AE66" s="333">
        <f>SUM(AE40:AE64)</f>
        <v>248</v>
      </c>
      <c r="AF66" s="333">
        <f>SUM(AF40:AF64)</f>
        <v>76</v>
      </c>
      <c r="AG66" s="327"/>
      <c r="AH66" s="327"/>
    </row>
    <row r="67" spans="2:34">
      <c r="B67" s="334" t="s">
        <v>305</v>
      </c>
      <c r="C67" s="324">
        <v>-20.913</v>
      </c>
      <c r="D67" s="324">
        <v>-70.989000000000004</v>
      </c>
      <c r="E67" s="324">
        <v>-29.396999999999998</v>
      </c>
      <c r="F67" s="324">
        <v>-30.077999999999999</v>
      </c>
      <c r="G67" s="324">
        <v>-11.196</v>
      </c>
      <c r="H67" s="324">
        <v>-39.960999999999999</v>
      </c>
      <c r="I67" s="324">
        <v>-10.885999999999999</v>
      </c>
      <c r="J67" s="324">
        <v>-57.957999999999998</v>
      </c>
      <c r="K67" s="324">
        <v>-12.247</v>
      </c>
      <c r="L67" s="324">
        <v>-53.377000000000002</v>
      </c>
      <c r="M67" s="324">
        <v>-12.496</v>
      </c>
      <c r="N67" s="324">
        <v>-41.286000000000001</v>
      </c>
      <c r="O67" s="324">
        <v>-25.451000000000001</v>
      </c>
      <c r="P67" s="324">
        <v>-62.484000000000002</v>
      </c>
      <c r="Q67" s="324">
        <v>-81.088999999999999</v>
      </c>
      <c r="R67" s="324">
        <v>-29.239000000000001</v>
      </c>
      <c r="S67" s="324">
        <v>-51.078000000000003</v>
      </c>
      <c r="T67" s="324">
        <v>-63.331000000000003</v>
      </c>
      <c r="U67" s="324">
        <v>-60</v>
      </c>
      <c r="V67" s="324">
        <v>-75.66</v>
      </c>
      <c r="W67" s="324">
        <v>-44.59</v>
      </c>
      <c r="X67" s="324">
        <v>-88</v>
      </c>
      <c r="Y67" s="324">
        <f>-206-SUM(W67:X67)</f>
        <v>-73.41</v>
      </c>
      <c r="Z67" s="324">
        <v>-39.244999999999997</v>
      </c>
      <c r="AA67" s="324">
        <f>-76265/1000</f>
        <v>-76.265000000000001</v>
      </c>
      <c r="AB67" s="324">
        <f>-197348/10^3-AA67</f>
        <v>-121.08300000000001</v>
      </c>
      <c r="AC67" s="324">
        <v>-114</v>
      </c>
      <c r="AD67" s="328">
        <v>-134.94599999999997</v>
      </c>
      <c r="AE67" s="328">
        <v>-126</v>
      </c>
      <c r="AF67" s="328">
        <v>-94</v>
      </c>
      <c r="AG67" s="327"/>
      <c r="AH67" s="327"/>
    </row>
    <row r="68" spans="2:34">
      <c r="B68" s="329" t="s">
        <v>306</v>
      </c>
      <c r="C68" s="328">
        <v>-23.213000000000001</v>
      </c>
      <c r="D68" s="328">
        <v>-4.6070000000000002</v>
      </c>
      <c r="E68" s="328">
        <v>-4.8070000000000004</v>
      </c>
      <c r="F68" s="328">
        <v>-3.7610000000000001</v>
      </c>
      <c r="G68" s="328">
        <v>0</v>
      </c>
      <c r="H68" s="328">
        <v>-27.058</v>
      </c>
      <c r="I68" s="328">
        <v>-4.1829999999999998</v>
      </c>
      <c r="J68" s="328">
        <v>-2.4369999999999998</v>
      </c>
      <c r="K68" s="328">
        <v>-25.856999999999999</v>
      </c>
      <c r="L68" s="328">
        <v>-5.694</v>
      </c>
      <c r="M68" s="328">
        <v>-5.0279999999999996</v>
      </c>
      <c r="N68" s="328">
        <v>-7.2069999999999999</v>
      </c>
      <c r="O68" s="328">
        <v>-50.445999999999998</v>
      </c>
      <c r="P68" s="328">
        <v>0</v>
      </c>
      <c r="Q68" s="328">
        <v>-96.98</v>
      </c>
      <c r="R68" s="328">
        <v>-19.681999999999999</v>
      </c>
      <c r="S68" s="328">
        <v>-77.283000000000001</v>
      </c>
      <c r="T68" s="328">
        <v>-94.908000000000001</v>
      </c>
      <c r="U68" s="328">
        <v>-72</v>
      </c>
      <c r="V68" s="328">
        <v>-10.695999999999998</v>
      </c>
      <c r="W68" s="328">
        <v>-12.263999999999999</v>
      </c>
      <c r="X68" s="328">
        <v>-8</v>
      </c>
      <c r="Y68" s="328">
        <f>-29-SUM(W68:X68)</f>
        <v>-8.7360000000000007</v>
      </c>
      <c r="Z68" s="324">
        <v>-2.9</v>
      </c>
      <c r="AA68" s="324">
        <v>-2.29</v>
      </c>
      <c r="AB68" s="324">
        <f>-6466/10^3-AA68</f>
        <v>-4.1760000000000002</v>
      </c>
      <c r="AC68" s="324">
        <v>-5</v>
      </c>
      <c r="AD68" s="328">
        <v>-10.869999999999997</v>
      </c>
      <c r="AE68" s="328">
        <v>-12</v>
      </c>
      <c r="AF68" s="328">
        <v>-12</v>
      </c>
      <c r="AG68" s="327"/>
      <c r="AH68" s="327"/>
    </row>
    <row r="69" spans="2:34" s="310" customFormat="1" ht="14.5" thickBot="1">
      <c r="B69" s="335" t="s">
        <v>307</v>
      </c>
      <c r="C69" s="333">
        <f t="shared" ref="C69:AC69" si="4">SUM(C66:C68)</f>
        <v>102.87700000000001</v>
      </c>
      <c r="D69" s="333">
        <f t="shared" si="4"/>
        <v>173.73400000000004</v>
      </c>
      <c r="E69" s="333">
        <f t="shared" si="4"/>
        <v>193.4010000000001</v>
      </c>
      <c r="F69" s="333">
        <f t="shared" si="4"/>
        <v>-152.95699999999994</v>
      </c>
      <c r="G69" s="333">
        <f t="shared" si="4"/>
        <v>70.521999999999949</v>
      </c>
      <c r="H69" s="333">
        <f t="shared" si="4"/>
        <v>136.56200000000001</v>
      </c>
      <c r="I69" s="333">
        <f t="shared" si="4"/>
        <v>99.036000000000001</v>
      </c>
      <c r="J69" s="333">
        <f t="shared" si="4"/>
        <v>51.259999999999934</v>
      </c>
      <c r="K69" s="333">
        <f t="shared" si="4"/>
        <v>0.18000000000006366</v>
      </c>
      <c r="L69" s="333">
        <f t="shared" si="4"/>
        <v>48.816999999999972</v>
      </c>
      <c r="M69" s="333">
        <f t="shared" si="4"/>
        <v>463.45000000000005</v>
      </c>
      <c r="N69" s="333">
        <f t="shared" si="4"/>
        <v>462.67100000000005</v>
      </c>
      <c r="O69" s="333">
        <f t="shared" si="4"/>
        <v>90.321999999999946</v>
      </c>
      <c r="P69" s="333">
        <f t="shared" si="4"/>
        <v>47.274999999999856</v>
      </c>
      <c r="Q69" s="333">
        <f t="shared" si="4"/>
        <v>197.67900000000003</v>
      </c>
      <c r="R69" s="333">
        <f t="shared" si="4"/>
        <v>591.26899999999989</v>
      </c>
      <c r="S69" s="333">
        <f t="shared" si="4"/>
        <v>102.58399999999999</v>
      </c>
      <c r="T69" s="333">
        <f t="shared" si="4"/>
        <v>261.14</v>
      </c>
      <c r="U69" s="333">
        <f t="shared" si="4"/>
        <v>312</v>
      </c>
      <c r="V69" s="333">
        <f t="shared" si="4"/>
        <v>2.3979999999999961</v>
      </c>
      <c r="W69" s="333">
        <f t="shared" si="4"/>
        <v>-285.83</v>
      </c>
      <c r="X69" s="333">
        <f t="shared" si="4"/>
        <v>-268</v>
      </c>
      <c r="Y69" s="333">
        <f t="shared" si="4"/>
        <v>-21.566387081199405</v>
      </c>
      <c r="Z69" s="333">
        <f t="shared" si="4"/>
        <v>515.23890117807491</v>
      </c>
      <c r="AA69" s="333">
        <f t="shared" si="4"/>
        <v>-95.344053510000208</v>
      </c>
      <c r="AB69" s="333">
        <f t="shared" si="4"/>
        <v>66.417842851024488</v>
      </c>
      <c r="AC69" s="333">
        <f t="shared" si="4"/>
        <v>309.13200000000001</v>
      </c>
      <c r="AD69" s="333">
        <f t="shared" ref="AD69:AF69" si="5">SUM(AD66:AD68)</f>
        <v>365.4347040799999</v>
      </c>
      <c r="AE69" s="333">
        <f t="shared" si="5"/>
        <v>110</v>
      </c>
      <c r="AF69" s="333">
        <f t="shared" si="5"/>
        <v>-30</v>
      </c>
      <c r="AG69" s="327"/>
      <c r="AH69" s="327"/>
    </row>
    <row r="70" spans="2:34">
      <c r="B70" s="323"/>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7"/>
      <c r="AH70" s="327"/>
    </row>
    <row r="71" spans="2:34" s="310" customFormat="1">
      <c r="B71" s="312" t="s">
        <v>308</v>
      </c>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7"/>
      <c r="AH71" s="327"/>
    </row>
    <row r="72" spans="2:34">
      <c r="B72" s="329" t="s">
        <v>163</v>
      </c>
      <c r="C72" s="328">
        <v>75.691000000000003</v>
      </c>
      <c r="D72" s="328">
        <v>145.79300000000001</v>
      </c>
      <c r="E72" s="328">
        <v>236.77600000000001</v>
      </c>
      <c r="F72" s="328">
        <v>106.185</v>
      </c>
      <c r="G72" s="328">
        <v>-39.69</v>
      </c>
      <c r="H72" s="328">
        <v>-71.176000000000002</v>
      </c>
      <c r="I72" s="328">
        <v>-41.427999999999997</v>
      </c>
      <c r="J72" s="328">
        <v>223.64099999999999</v>
      </c>
      <c r="K72" s="328">
        <v>32.692999999999998</v>
      </c>
      <c r="L72" s="328">
        <v>40.695</v>
      </c>
      <c r="M72" s="328">
        <v>-172.26499999999999</v>
      </c>
      <c r="N72" s="328">
        <v>-64.236999999999995</v>
      </c>
      <c r="O72" s="328">
        <v>282.70499999999998</v>
      </c>
      <c r="P72" s="328">
        <v>-81.962000000000003</v>
      </c>
      <c r="Q72" s="328">
        <v>-299.11599999999999</v>
      </c>
      <c r="R72" s="328">
        <v>332.89</v>
      </c>
      <c r="S72" s="328">
        <v>-14.355</v>
      </c>
      <c r="T72" s="328">
        <v>56.667999999999999</v>
      </c>
      <c r="U72" s="328">
        <v>-68</v>
      </c>
      <c r="V72" s="328">
        <v>102.34399999999999</v>
      </c>
      <c r="W72" s="328">
        <v>-42.77</v>
      </c>
      <c r="X72" s="328">
        <v>95</v>
      </c>
      <c r="Y72" s="328">
        <f>39-SUM(W72:X72)</f>
        <v>-13.229999999999997</v>
      </c>
      <c r="Z72" s="328">
        <v>32.725999999999999</v>
      </c>
      <c r="AA72" s="328">
        <f>41062/1000</f>
        <v>41.061999999999998</v>
      </c>
      <c r="AB72" s="328">
        <f>53459/10^3-AA72</f>
        <v>12.397000000000006</v>
      </c>
      <c r="AC72" s="328">
        <v>44</v>
      </c>
      <c r="AD72" s="328">
        <v>-117.122</v>
      </c>
      <c r="AE72" s="328">
        <v>0</v>
      </c>
      <c r="AF72" s="328">
        <v>-6</v>
      </c>
      <c r="AG72" s="327"/>
      <c r="AH72" s="327"/>
    </row>
    <row r="73" spans="2:34">
      <c r="B73" s="329" t="s">
        <v>482</v>
      </c>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v>25.925000000000001</v>
      </c>
      <c r="AE73" s="328">
        <v>188</v>
      </c>
      <c r="AF73" s="328">
        <v>110</v>
      </c>
      <c r="AG73" s="327"/>
      <c r="AH73" s="327"/>
    </row>
    <row r="74" spans="2:34">
      <c r="B74" s="329" t="s">
        <v>309</v>
      </c>
      <c r="C74" s="328">
        <v>-25.632999999999999</v>
      </c>
      <c r="D74" s="328">
        <v>-47.393999999999998</v>
      </c>
      <c r="E74" s="328">
        <v>-70.685000000000002</v>
      </c>
      <c r="F74" s="328">
        <v>-98.549000000000007</v>
      </c>
      <c r="G74" s="328">
        <v>-44.856999999999999</v>
      </c>
      <c r="H74" s="328">
        <v>-74.055000000000007</v>
      </c>
      <c r="I74" s="328">
        <v>-76.105999999999995</v>
      </c>
      <c r="J74" s="328">
        <v>-156.44300000000001</v>
      </c>
      <c r="K74" s="328">
        <v>-51.469000000000001</v>
      </c>
      <c r="L74" s="328">
        <v>-62.548000000000002</v>
      </c>
      <c r="M74" s="328">
        <v>-111.006</v>
      </c>
      <c r="N74" s="328">
        <v>-137.22800000000001</v>
      </c>
      <c r="O74" s="328">
        <v>-84.108999999999995</v>
      </c>
      <c r="P74" s="328">
        <v>-106.477</v>
      </c>
      <c r="Q74" s="328">
        <v>-149.685</v>
      </c>
      <c r="R74" s="328">
        <v>-183.30600000000001</v>
      </c>
      <c r="S74" s="328">
        <v>-148.565</v>
      </c>
      <c r="T74" s="328">
        <v>-177.45400000000001</v>
      </c>
      <c r="U74" s="328">
        <v>-289</v>
      </c>
      <c r="V74" s="328">
        <v>-337.40700000000004</v>
      </c>
      <c r="W74" s="328">
        <v>-276.67700000000002</v>
      </c>
      <c r="X74" s="328">
        <v>-281</v>
      </c>
      <c r="Y74" s="328">
        <f>-771-SUM(W74:X74)</f>
        <v>-213.32299999999998</v>
      </c>
      <c r="Z74" s="328">
        <v>-195.643</v>
      </c>
      <c r="AA74" s="328">
        <f>-261546/1000</f>
        <v>-261.54599999999999</v>
      </c>
      <c r="AB74" s="328">
        <f>-430536/10^3-AA74</f>
        <v>-168.99</v>
      </c>
      <c r="AC74" s="328">
        <v>-136</v>
      </c>
      <c r="AD74" s="328">
        <v>-210.81299999999999</v>
      </c>
      <c r="AE74" s="328">
        <v>-181</v>
      </c>
      <c r="AF74" s="328">
        <v>-197</v>
      </c>
      <c r="AG74" s="327"/>
      <c r="AH74" s="327"/>
    </row>
    <row r="75" spans="2:34">
      <c r="B75" s="329" t="s">
        <v>310</v>
      </c>
      <c r="C75" s="328">
        <v>0</v>
      </c>
      <c r="D75" s="328">
        <v>0</v>
      </c>
      <c r="E75" s="328">
        <v>0</v>
      </c>
      <c r="F75" s="328">
        <v>-5.3159999999999998</v>
      </c>
      <c r="G75" s="328">
        <v>0</v>
      </c>
      <c r="H75" s="328">
        <v>0</v>
      </c>
      <c r="I75" s="328">
        <v>0</v>
      </c>
      <c r="J75" s="328">
        <v>0</v>
      </c>
      <c r="K75" s="328">
        <v>0</v>
      </c>
      <c r="L75" s="328">
        <v>0</v>
      </c>
      <c r="M75" s="328">
        <v>0</v>
      </c>
      <c r="N75" s="328">
        <v>0</v>
      </c>
      <c r="O75" s="328">
        <v>0</v>
      </c>
      <c r="P75" s="328">
        <v>0</v>
      </c>
      <c r="Q75" s="328">
        <v>0</v>
      </c>
      <c r="R75" s="328">
        <v>0</v>
      </c>
      <c r="S75" s="328">
        <v>0</v>
      </c>
      <c r="T75" s="328">
        <v>0</v>
      </c>
      <c r="U75" s="328">
        <v>0</v>
      </c>
      <c r="V75" s="328">
        <v>0</v>
      </c>
      <c r="W75" s="328"/>
      <c r="X75" s="328">
        <v>0</v>
      </c>
      <c r="Y75" s="328">
        <v>-35</v>
      </c>
      <c r="Z75" s="328">
        <v>3.722</v>
      </c>
      <c r="AA75" s="328"/>
      <c r="AB75" s="328">
        <f>-9102/10^3</f>
        <v>-9.1020000000000003</v>
      </c>
      <c r="AC75" s="328">
        <v>0</v>
      </c>
      <c r="AD75" s="328">
        <v>0</v>
      </c>
      <c r="AE75" s="328">
        <v>0</v>
      </c>
      <c r="AF75" s="328">
        <v>0</v>
      </c>
      <c r="AG75" s="327"/>
      <c r="AH75" s="327"/>
    </row>
    <row r="76" spans="2:34">
      <c r="B76" s="329" t="s">
        <v>311</v>
      </c>
      <c r="C76" s="328">
        <v>0</v>
      </c>
      <c r="D76" s="328">
        <v>-5.3120000000000003</v>
      </c>
      <c r="E76" s="328">
        <v>-3.0000000000000001E-3</v>
      </c>
      <c r="F76" s="328">
        <v>5.3150000000000004</v>
      </c>
      <c r="G76" s="328">
        <v>0</v>
      </c>
      <c r="H76" s="328">
        <v>0</v>
      </c>
      <c r="I76" s="328">
        <v>0</v>
      </c>
      <c r="J76" s="328">
        <v>0</v>
      </c>
      <c r="K76" s="328">
        <v>0</v>
      </c>
      <c r="L76" s="328">
        <v>0</v>
      </c>
      <c r="M76" s="328">
        <v>0</v>
      </c>
      <c r="N76" s="328">
        <v>0</v>
      </c>
      <c r="O76" s="328">
        <v>0</v>
      </c>
      <c r="P76" s="328">
        <v>0</v>
      </c>
      <c r="Q76" s="328">
        <v>0</v>
      </c>
      <c r="R76" s="328">
        <v>0</v>
      </c>
      <c r="S76" s="328">
        <v>0</v>
      </c>
      <c r="T76" s="328">
        <v>0</v>
      </c>
      <c r="U76" s="328">
        <v>0</v>
      </c>
      <c r="V76" s="328">
        <v>0</v>
      </c>
      <c r="W76" s="328"/>
      <c r="X76" s="328">
        <v>0</v>
      </c>
      <c r="Y76" s="328">
        <v>0</v>
      </c>
      <c r="Z76" s="328">
        <v>0</v>
      </c>
      <c r="AA76" s="328"/>
      <c r="AB76" s="328"/>
      <c r="AC76" s="328">
        <v>0</v>
      </c>
      <c r="AD76" s="328">
        <v>0</v>
      </c>
      <c r="AE76" s="328">
        <v>0</v>
      </c>
      <c r="AF76" s="328">
        <v>0</v>
      </c>
      <c r="AG76" s="327"/>
      <c r="AH76" s="327"/>
    </row>
    <row r="77" spans="2:34">
      <c r="B77" s="329" t="s">
        <v>312</v>
      </c>
      <c r="C77" s="328">
        <v>0.45100000000000001</v>
      </c>
      <c r="D77" s="328">
        <v>1.8640000000000001</v>
      </c>
      <c r="E77" s="328">
        <v>0.184</v>
      </c>
      <c r="F77" s="328">
        <v>5.5190000000000001</v>
      </c>
      <c r="G77" s="328">
        <v>1.0660000000000001</v>
      </c>
      <c r="H77" s="328">
        <v>-1.0660000000000001</v>
      </c>
      <c r="I77" s="328">
        <v>12.867000000000001</v>
      </c>
      <c r="J77" s="328">
        <v>0.251</v>
      </c>
      <c r="K77" s="328">
        <v>0</v>
      </c>
      <c r="L77" s="328">
        <v>0</v>
      </c>
      <c r="M77" s="328">
        <v>0</v>
      </c>
      <c r="N77" s="328">
        <v>7.8650000000000002</v>
      </c>
      <c r="O77" s="328">
        <v>0</v>
      </c>
      <c r="P77" s="328">
        <v>0</v>
      </c>
      <c r="Q77" s="328">
        <v>0.90100000000000002</v>
      </c>
      <c r="R77" s="328">
        <v>-6.819</v>
      </c>
      <c r="S77" s="328">
        <v>0.69</v>
      </c>
      <c r="T77" s="328">
        <v>0.64500000000000002</v>
      </c>
      <c r="U77" s="328">
        <v>0</v>
      </c>
      <c r="V77" s="328">
        <v>-1.335</v>
      </c>
      <c r="W77" s="328">
        <v>1.1890000000000001</v>
      </c>
      <c r="X77" s="328">
        <v>0</v>
      </c>
      <c r="Y77" s="328">
        <f>2-1</f>
        <v>1</v>
      </c>
      <c r="Z77" s="328">
        <v>39.213999999999999</v>
      </c>
      <c r="AA77" s="328">
        <f>13034/1000</f>
        <v>13.034000000000001</v>
      </c>
      <c r="AB77" s="328">
        <f>13034/10^3-AA77</f>
        <v>0</v>
      </c>
      <c r="AC77" s="328">
        <v>12</v>
      </c>
      <c r="AD77" s="328">
        <v>-0.1980000000000004</v>
      </c>
      <c r="AE77" s="328">
        <v>0</v>
      </c>
      <c r="AF77" s="328">
        <v>0</v>
      </c>
      <c r="AG77" s="327"/>
      <c r="AH77" s="327"/>
    </row>
    <row r="78" spans="2:34">
      <c r="B78" s="329" t="s">
        <v>313</v>
      </c>
      <c r="C78" s="328">
        <v>0</v>
      </c>
      <c r="D78" s="328">
        <v>0</v>
      </c>
      <c r="E78" s="328">
        <v>0</v>
      </c>
      <c r="F78" s="328">
        <v>0</v>
      </c>
      <c r="G78" s="328">
        <v>0</v>
      </c>
      <c r="H78" s="328">
        <v>0</v>
      </c>
      <c r="I78" s="328">
        <v>0</v>
      </c>
      <c r="J78" s="328">
        <v>0</v>
      </c>
      <c r="K78" s="328">
        <v>0</v>
      </c>
      <c r="L78" s="328">
        <v>0</v>
      </c>
      <c r="M78" s="328">
        <v>7.6920000000000002</v>
      </c>
      <c r="N78" s="328">
        <v>-7.6920000000000002</v>
      </c>
      <c r="O78" s="328">
        <v>0</v>
      </c>
      <c r="P78" s="328">
        <v>0</v>
      </c>
      <c r="Q78" s="328">
        <v>0</v>
      </c>
      <c r="R78" s="328">
        <v>0</v>
      </c>
      <c r="S78" s="328">
        <v>0</v>
      </c>
      <c r="T78" s="328">
        <v>0</v>
      </c>
      <c r="U78" s="328">
        <v>47</v>
      </c>
      <c r="V78" s="328">
        <v>-47</v>
      </c>
      <c r="W78" s="328"/>
      <c r="X78" s="328">
        <v>49</v>
      </c>
      <c r="Y78" s="328">
        <f>50-X78</f>
        <v>1</v>
      </c>
      <c r="Z78" s="328">
        <v>0</v>
      </c>
      <c r="AA78" s="328">
        <v>0</v>
      </c>
      <c r="AB78" s="328">
        <v>0</v>
      </c>
      <c r="AC78" s="328">
        <v>0</v>
      </c>
      <c r="AD78" s="328">
        <v>238.46299999999999</v>
      </c>
      <c r="AE78" s="328">
        <v>0</v>
      </c>
      <c r="AF78" s="328">
        <v>29</v>
      </c>
      <c r="AG78" s="327"/>
      <c r="AH78" s="327"/>
    </row>
    <row r="79" spans="2:34">
      <c r="B79" s="329" t="s">
        <v>387</v>
      </c>
      <c r="C79" s="328"/>
      <c r="D79" s="328"/>
      <c r="E79" s="328"/>
      <c r="F79" s="328"/>
      <c r="G79" s="328"/>
      <c r="H79" s="328"/>
      <c r="I79" s="328"/>
      <c r="J79" s="328"/>
      <c r="K79" s="328"/>
      <c r="L79" s="328"/>
      <c r="M79" s="328"/>
      <c r="N79" s="328"/>
      <c r="O79" s="328"/>
      <c r="P79" s="328"/>
      <c r="Q79" s="328"/>
      <c r="R79" s="328"/>
      <c r="S79" s="328"/>
      <c r="T79" s="328"/>
      <c r="U79" s="328"/>
      <c r="V79" s="328"/>
      <c r="W79" s="328">
        <v>0</v>
      </c>
      <c r="X79" s="328"/>
      <c r="Y79" s="328">
        <v>0</v>
      </c>
      <c r="Z79" s="328">
        <v>0</v>
      </c>
      <c r="AA79" s="328">
        <v>0</v>
      </c>
      <c r="AB79" s="328">
        <v>0</v>
      </c>
      <c r="AC79" s="328">
        <v>0</v>
      </c>
      <c r="AD79" s="328">
        <v>0</v>
      </c>
      <c r="AE79" s="328">
        <v>0</v>
      </c>
      <c r="AF79" s="328">
        <v>0</v>
      </c>
      <c r="AG79" s="327"/>
      <c r="AH79" s="327"/>
    </row>
    <row r="80" spans="2:34">
      <c r="B80" s="329" t="s">
        <v>193</v>
      </c>
      <c r="C80" s="328">
        <v>0</v>
      </c>
      <c r="D80" s="328">
        <v>0</v>
      </c>
      <c r="E80" s="328">
        <v>0</v>
      </c>
      <c r="F80" s="328">
        <v>0</v>
      </c>
      <c r="G80" s="328">
        <v>0</v>
      </c>
      <c r="H80" s="328">
        <v>0</v>
      </c>
      <c r="I80" s="328">
        <v>-27.260999999999999</v>
      </c>
      <c r="J80" s="328">
        <v>27.260999999999999</v>
      </c>
      <c r="K80" s="328">
        <v>0</v>
      </c>
      <c r="L80" s="328">
        <v>0</v>
      </c>
      <c r="M80" s="328">
        <v>0</v>
      </c>
      <c r="N80" s="328">
        <v>0</v>
      </c>
      <c r="O80" s="328">
        <v>0</v>
      </c>
      <c r="P80" s="328">
        <v>0</v>
      </c>
      <c r="Q80" s="328">
        <v>0</v>
      </c>
      <c r="R80" s="328">
        <v>0</v>
      </c>
      <c r="S80" s="328">
        <v>0</v>
      </c>
      <c r="T80" s="328">
        <v>0</v>
      </c>
      <c r="U80" s="328">
        <v>0</v>
      </c>
      <c r="V80" s="328">
        <v>0</v>
      </c>
      <c r="W80" s="328"/>
      <c r="X80" s="328">
        <v>0</v>
      </c>
      <c r="Y80" s="328">
        <v>0</v>
      </c>
      <c r="Z80" s="328">
        <v>0</v>
      </c>
      <c r="AA80" s="328">
        <v>0</v>
      </c>
      <c r="AB80" s="328">
        <v>0</v>
      </c>
      <c r="AC80" s="328">
        <v>0</v>
      </c>
      <c r="AD80" s="328">
        <v>0</v>
      </c>
      <c r="AE80" s="328">
        <v>-1</v>
      </c>
      <c r="AF80" s="328">
        <v>-1</v>
      </c>
      <c r="AG80" s="327"/>
      <c r="AH80" s="327"/>
    </row>
    <row r="81" spans="2:34">
      <c r="B81" s="329" t="s">
        <v>314</v>
      </c>
      <c r="C81" s="328">
        <v>0</v>
      </c>
      <c r="D81" s="328">
        <v>0</v>
      </c>
      <c r="E81" s="328">
        <v>0</v>
      </c>
      <c r="F81" s="328">
        <v>0</v>
      </c>
      <c r="G81" s="328">
        <v>0</v>
      </c>
      <c r="H81" s="328">
        <v>0</v>
      </c>
      <c r="I81" s="328">
        <v>0</v>
      </c>
      <c r="J81" s="328">
        <v>0</v>
      </c>
      <c r="K81" s="328">
        <v>-224.244</v>
      </c>
      <c r="L81" s="328">
        <v>0</v>
      </c>
      <c r="M81" s="328">
        <v>0</v>
      </c>
      <c r="N81" s="328">
        <v>19.914999999999999</v>
      </c>
      <c r="O81" s="328">
        <v>0</v>
      </c>
      <c r="P81" s="328">
        <v>0</v>
      </c>
      <c r="Q81" s="328">
        <v>0</v>
      </c>
      <c r="R81" s="328">
        <v>-2.5</v>
      </c>
      <c r="S81" s="328">
        <v>0</v>
      </c>
      <c r="T81" s="328">
        <v>0</v>
      </c>
      <c r="U81" s="328">
        <v>0</v>
      </c>
      <c r="V81" s="328">
        <v>0</v>
      </c>
      <c r="W81" s="328"/>
      <c r="X81" s="328">
        <v>0</v>
      </c>
      <c r="Y81" s="328">
        <v>0</v>
      </c>
      <c r="Z81" s="328">
        <v>0</v>
      </c>
      <c r="AA81" s="328">
        <v>0</v>
      </c>
      <c r="AB81" s="328">
        <v>0</v>
      </c>
      <c r="AC81" s="328">
        <v>0</v>
      </c>
      <c r="AD81" s="328">
        <v>0</v>
      </c>
      <c r="AE81" s="328">
        <v>0</v>
      </c>
      <c r="AF81" s="328">
        <v>0</v>
      </c>
      <c r="AG81" s="327"/>
      <c r="AH81" s="327"/>
    </row>
    <row r="82" spans="2:34">
      <c r="B82" s="329" t="s">
        <v>347</v>
      </c>
      <c r="C82" s="328">
        <v>0</v>
      </c>
      <c r="D82" s="328">
        <v>0</v>
      </c>
      <c r="E82" s="328">
        <v>0</v>
      </c>
      <c r="F82" s="328">
        <v>0</v>
      </c>
      <c r="G82" s="328">
        <v>0</v>
      </c>
      <c r="H82" s="328">
        <v>0</v>
      </c>
      <c r="I82" s="328">
        <v>0</v>
      </c>
      <c r="J82" s="328">
        <v>0</v>
      </c>
      <c r="K82" s="328">
        <v>0</v>
      </c>
      <c r="L82" s="328">
        <v>0</v>
      </c>
      <c r="M82" s="328">
        <v>0</v>
      </c>
      <c r="N82" s="328">
        <v>0</v>
      </c>
      <c r="O82" s="328">
        <v>0</v>
      </c>
      <c r="P82" s="328">
        <v>0</v>
      </c>
      <c r="Q82" s="328">
        <v>0</v>
      </c>
      <c r="R82" s="328">
        <v>0</v>
      </c>
      <c r="S82" s="328">
        <v>-128.24600000000001</v>
      </c>
      <c r="T82" s="328">
        <v>0</v>
      </c>
      <c r="U82" s="328">
        <v>0</v>
      </c>
      <c r="V82" s="328">
        <v>2.0000000000095497E-3</v>
      </c>
      <c r="W82" s="328"/>
      <c r="X82" s="328">
        <v>0</v>
      </c>
      <c r="Y82" s="328">
        <v>0</v>
      </c>
      <c r="Z82" s="328">
        <v>0</v>
      </c>
      <c r="AA82" s="328">
        <v>0</v>
      </c>
      <c r="AB82" s="328">
        <v>0</v>
      </c>
      <c r="AC82" s="328">
        <v>0</v>
      </c>
      <c r="AD82" s="328">
        <v>0</v>
      </c>
      <c r="AE82" s="328">
        <v>0</v>
      </c>
      <c r="AF82" s="328">
        <v>0</v>
      </c>
      <c r="AG82" s="327"/>
      <c r="AH82" s="327"/>
    </row>
    <row r="83" spans="2:34">
      <c r="B83" s="329" t="s">
        <v>348</v>
      </c>
      <c r="C83" s="328"/>
      <c r="D83" s="328"/>
      <c r="E83" s="328"/>
      <c r="F83" s="328"/>
      <c r="G83" s="328"/>
      <c r="H83" s="328"/>
      <c r="I83" s="328"/>
      <c r="J83" s="328"/>
      <c r="K83" s="328"/>
      <c r="L83" s="328"/>
      <c r="M83" s="328"/>
      <c r="N83" s="328"/>
      <c r="O83" s="328"/>
      <c r="P83" s="328"/>
      <c r="Q83" s="328"/>
      <c r="R83" s="328"/>
      <c r="S83" s="328"/>
      <c r="T83" s="328"/>
      <c r="U83" s="328"/>
      <c r="V83" s="328">
        <v>-49</v>
      </c>
      <c r="W83" s="328">
        <v>-49</v>
      </c>
      <c r="X83" s="328">
        <v>0</v>
      </c>
      <c r="Y83" s="328">
        <v>0</v>
      </c>
      <c r="Z83" s="328">
        <v>0</v>
      </c>
      <c r="AA83" s="328">
        <v>0</v>
      </c>
      <c r="AB83" s="328">
        <v>0</v>
      </c>
      <c r="AC83" s="328">
        <v>0</v>
      </c>
      <c r="AD83" s="328">
        <v>0</v>
      </c>
      <c r="AE83" s="328">
        <v>0</v>
      </c>
      <c r="AF83" s="328">
        <v>0</v>
      </c>
      <c r="AG83" s="327"/>
      <c r="AH83" s="327"/>
    </row>
    <row r="84" spans="2:34">
      <c r="B84" s="329" t="s">
        <v>354</v>
      </c>
      <c r="C84" s="328"/>
      <c r="D84" s="328"/>
      <c r="E84" s="328"/>
      <c r="F84" s="328"/>
      <c r="G84" s="328"/>
      <c r="H84" s="328"/>
      <c r="I84" s="328"/>
      <c r="J84" s="328"/>
      <c r="K84" s="328"/>
      <c r="L84" s="328"/>
      <c r="M84" s="328"/>
      <c r="N84" s="328"/>
      <c r="O84" s="328"/>
      <c r="P84" s="328"/>
      <c r="Q84" s="328"/>
      <c r="R84" s="328"/>
      <c r="S84" s="328"/>
      <c r="T84" s="328"/>
      <c r="U84" s="328"/>
      <c r="V84" s="328">
        <v>-24.632000000000001</v>
      </c>
      <c r="W84" s="328"/>
      <c r="X84" s="328">
        <v>0</v>
      </c>
      <c r="Y84" s="328">
        <v>0</v>
      </c>
      <c r="Z84" s="328">
        <v>0</v>
      </c>
      <c r="AA84" s="328">
        <v>0</v>
      </c>
      <c r="AB84" s="328">
        <v>0</v>
      </c>
      <c r="AC84" s="328">
        <v>0</v>
      </c>
      <c r="AD84" s="328">
        <v>0</v>
      </c>
      <c r="AE84" s="328">
        <v>0</v>
      </c>
      <c r="AF84" s="328">
        <v>0</v>
      </c>
      <c r="AG84" s="327"/>
      <c r="AH84" s="327"/>
    </row>
    <row r="85" spans="2:34">
      <c r="B85" s="329" t="s">
        <v>349</v>
      </c>
      <c r="C85" s="328"/>
      <c r="D85" s="328"/>
      <c r="E85" s="328"/>
      <c r="F85" s="328"/>
      <c r="G85" s="328"/>
      <c r="H85" s="328"/>
      <c r="I85" s="328"/>
      <c r="J85" s="328"/>
      <c r="K85" s="328"/>
      <c r="L85" s="328"/>
      <c r="M85" s="328"/>
      <c r="N85" s="328"/>
      <c r="O85" s="328"/>
      <c r="P85" s="328"/>
      <c r="Q85" s="328"/>
      <c r="R85" s="328"/>
      <c r="S85" s="328"/>
      <c r="T85" s="328"/>
      <c r="U85" s="328"/>
      <c r="V85" s="328">
        <v>47.5</v>
      </c>
      <c r="W85" s="328"/>
      <c r="X85" s="328">
        <v>0</v>
      </c>
      <c r="Y85" s="328">
        <v>0</v>
      </c>
      <c r="Z85" s="328">
        <v>0</v>
      </c>
      <c r="AA85" s="328">
        <v>0</v>
      </c>
      <c r="AB85" s="328">
        <v>0</v>
      </c>
      <c r="AC85" s="328">
        <v>0</v>
      </c>
      <c r="AD85" s="328">
        <v>0</v>
      </c>
      <c r="AE85" s="328">
        <v>0</v>
      </c>
      <c r="AF85" s="328">
        <v>0</v>
      </c>
      <c r="AG85" s="327"/>
      <c r="AH85" s="327"/>
    </row>
    <row r="86" spans="2:34">
      <c r="B86" s="329" t="s">
        <v>315</v>
      </c>
      <c r="C86" s="328">
        <v>0</v>
      </c>
      <c r="D86" s="328">
        <v>0</v>
      </c>
      <c r="E86" s="328">
        <v>0</v>
      </c>
      <c r="F86" s="328">
        <v>0</v>
      </c>
      <c r="G86" s="328">
        <v>0</v>
      </c>
      <c r="H86" s="328">
        <v>0</v>
      </c>
      <c r="I86" s="328">
        <v>0</v>
      </c>
      <c r="J86" s="328">
        <v>0</v>
      </c>
      <c r="K86" s="328">
        <v>0</v>
      </c>
      <c r="L86" s="328">
        <v>0</v>
      </c>
      <c r="M86" s="328">
        <v>0</v>
      </c>
      <c r="N86" s="328">
        <v>0</v>
      </c>
      <c r="O86" s="328">
        <v>0</v>
      </c>
      <c r="P86" s="328">
        <v>0</v>
      </c>
      <c r="Q86" s="328">
        <v>0</v>
      </c>
      <c r="R86" s="328">
        <v>12.827999999999999</v>
      </c>
      <c r="S86" s="328">
        <v>0</v>
      </c>
      <c r="T86" s="328">
        <v>0</v>
      </c>
      <c r="U86" s="328">
        <v>0</v>
      </c>
      <c r="V86" s="328">
        <v>0</v>
      </c>
      <c r="W86" s="328"/>
      <c r="X86" s="328">
        <v>0</v>
      </c>
      <c r="Y86" s="328">
        <v>0</v>
      </c>
      <c r="Z86" s="328">
        <v>0</v>
      </c>
      <c r="AA86" s="328">
        <v>0</v>
      </c>
      <c r="AB86" s="328">
        <v>0</v>
      </c>
      <c r="AC86" s="328">
        <v>0</v>
      </c>
      <c r="AD86" s="328">
        <v>0</v>
      </c>
      <c r="AE86" s="328">
        <v>0</v>
      </c>
      <c r="AF86" s="328">
        <v>0</v>
      </c>
      <c r="AG86" s="327"/>
      <c r="AH86" s="327"/>
    </row>
    <row r="87" spans="2:34">
      <c r="B87" s="329" t="s">
        <v>359</v>
      </c>
      <c r="C87" s="328"/>
      <c r="D87" s="328"/>
      <c r="E87" s="328"/>
      <c r="F87" s="328"/>
      <c r="G87" s="328"/>
      <c r="H87" s="328"/>
      <c r="I87" s="328"/>
      <c r="J87" s="328"/>
      <c r="K87" s="328"/>
      <c r="L87" s="328"/>
      <c r="M87" s="328"/>
      <c r="N87" s="328"/>
      <c r="O87" s="328"/>
      <c r="P87" s="328"/>
      <c r="Q87" s="328"/>
      <c r="R87" s="328"/>
      <c r="S87" s="328"/>
      <c r="T87" s="328"/>
      <c r="U87" s="328"/>
      <c r="V87" s="328"/>
      <c r="W87" s="328">
        <v>-34.584000000000003</v>
      </c>
      <c r="X87" s="328">
        <v>0</v>
      </c>
      <c r="Y87" s="328">
        <f>-67-SUM(W87:X87)</f>
        <v>-32.415999999999997</v>
      </c>
      <c r="Z87" s="328">
        <v>0</v>
      </c>
      <c r="AA87" s="328">
        <v>0</v>
      </c>
      <c r="AB87" s="328">
        <v>0</v>
      </c>
      <c r="AC87" s="328">
        <v>0</v>
      </c>
      <c r="AD87" s="328">
        <v>0</v>
      </c>
      <c r="AE87" s="328">
        <v>0</v>
      </c>
      <c r="AF87" s="328">
        <v>0</v>
      </c>
      <c r="AG87" s="327"/>
      <c r="AH87" s="327"/>
    </row>
    <row r="88" spans="2:34">
      <c r="B88" s="329" t="s">
        <v>316</v>
      </c>
      <c r="C88" s="328">
        <v>0</v>
      </c>
      <c r="D88" s="328">
        <v>0</v>
      </c>
      <c r="E88" s="328">
        <v>0</v>
      </c>
      <c r="F88" s="328">
        <v>0</v>
      </c>
      <c r="G88" s="328">
        <v>0</v>
      </c>
      <c r="H88" s="328">
        <v>16.734000000000002</v>
      </c>
      <c r="I88" s="328">
        <v>-16.734000000000002</v>
      </c>
      <c r="J88" s="328">
        <v>0</v>
      </c>
      <c r="K88" s="328">
        <v>3.95</v>
      </c>
      <c r="L88" s="328">
        <v>6.1970000000000001</v>
      </c>
      <c r="M88" s="328">
        <v>-10.147</v>
      </c>
      <c r="N88" s="328">
        <v>0</v>
      </c>
      <c r="O88" s="328">
        <v>0</v>
      </c>
      <c r="P88" s="328">
        <v>0</v>
      </c>
      <c r="Q88" s="328">
        <v>0</v>
      </c>
      <c r="R88" s="328">
        <v>0</v>
      </c>
      <c r="S88" s="328">
        <v>0</v>
      </c>
      <c r="T88" s="328">
        <v>0</v>
      </c>
      <c r="U88" s="328">
        <v>0</v>
      </c>
      <c r="V88" s="328">
        <v>0</v>
      </c>
      <c r="W88" s="328"/>
      <c r="X88" s="328">
        <v>0</v>
      </c>
      <c r="Y88" s="328">
        <v>0</v>
      </c>
      <c r="Z88" s="328">
        <v>0</v>
      </c>
      <c r="AA88" s="328">
        <v>0</v>
      </c>
      <c r="AB88" s="328">
        <v>0</v>
      </c>
      <c r="AC88" s="328">
        <v>0</v>
      </c>
      <c r="AD88" s="328">
        <v>0</v>
      </c>
      <c r="AE88" s="328">
        <v>0</v>
      </c>
      <c r="AF88" s="328">
        <v>0</v>
      </c>
      <c r="AG88" s="327"/>
      <c r="AH88" s="327"/>
    </row>
    <row r="89" spans="2:34">
      <c r="B89" s="329" t="s">
        <v>317</v>
      </c>
      <c r="C89" s="328">
        <v>0</v>
      </c>
      <c r="D89" s="328">
        <v>0</v>
      </c>
      <c r="E89" s="328">
        <v>0</v>
      </c>
      <c r="F89" s="328">
        <v>0</v>
      </c>
      <c r="G89" s="328">
        <v>0</v>
      </c>
      <c r="H89" s="328">
        <v>1.4219999999999999</v>
      </c>
      <c r="I89" s="328">
        <v>-1.4219999999999999</v>
      </c>
      <c r="J89" s="328">
        <v>0</v>
      </c>
      <c r="K89" s="328">
        <v>9.8520000000000003</v>
      </c>
      <c r="L89" s="328">
        <v>-9.8520000000000003</v>
      </c>
      <c r="M89" s="328">
        <v>0</v>
      </c>
      <c r="N89" s="328">
        <v>0</v>
      </c>
      <c r="O89" s="328">
        <v>0</v>
      </c>
      <c r="P89" s="328">
        <v>0</v>
      </c>
      <c r="Q89" s="328">
        <v>0</v>
      </c>
      <c r="R89" s="328">
        <v>0</v>
      </c>
      <c r="S89" s="328">
        <v>0</v>
      </c>
      <c r="T89" s="328">
        <v>0.66400000000000003</v>
      </c>
      <c r="U89" s="328">
        <v>0</v>
      </c>
      <c r="V89" s="328">
        <v>45.863999999999997</v>
      </c>
      <c r="W89" s="328"/>
      <c r="X89" s="328">
        <v>39</v>
      </c>
      <c r="Y89" s="328">
        <f>90-SUM(W89:X89)</f>
        <v>51</v>
      </c>
      <c r="Z89" s="328">
        <v>36.204000000000001</v>
      </c>
      <c r="AA89" s="328">
        <v>0</v>
      </c>
      <c r="AB89" s="328">
        <f>57237/10^3</f>
        <v>57.237000000000002</v>
      </c>
      <c r="AC89" s="328">
        <v>41</v>
      </c>
      <c r="AD89" s="328">
        <v>59.483000000000004</v>
      </c>
      <c r="AE89" s="328">
        <v>0</v>
      </c>
      <c r="AF89" s="328">
        <v>0</v>
      </c>
      <c r="AG89" s="327"/>
      <c r="AH89" s="327"/>
    </row>
    <row r="90" spans="2:34">
      <c r="B90" s="329" t="s">
        <v>318</v>
      </c>
      <c r="C90" s="328">
        <v>0</v>
      </c>
      <c r="D90" s="328">
        <v>0</v>
      </c>
      <c r="E90" s="328">
        <v>0</v>
      </c>
      <c r="F90" s="328">
        <v>0</v>
      </c>
      <c r="G90" s="328">
        <v>0</v>
      </c>
      <c r="H90" s="328">
        <v>0</v>
      </c>
      <c r="I90" s="328">
        <v>0</v>
      </c>
      <c r="J90" s="328">
        <v>0</v>
      </c>
      <c r="K90" s="328">
        <v>0</v>
      </c>
      <c r="L90" s="328">
        <v>0</v>
      </c>
      <c r="M90" s="328">
        <v>-22.602</v>
      </c>
      <c r="N90" s="328">
        <v>33.845999999999997</v>
      </c>
      <c r="O90" s="328">
        <v>0</v>
      </c>
      <c r="P90" s="328">
        <v>0</v>
      </c>
      <c r="Q90" s="328">
        <v>0</v>
      </c>
      <c r="R90" s="328">
        <v>0</v>
      </c>
      <c r="S90" s="328">
        <v>0</v>
      </c>
      <c r="T90" s="328">
        <v>0</v>
      </c>
      <c r="U90" s="328">
        <v>0</v>
      </c>
      <c r="V90" s="328">
        <v>0</v>
      </c>
      <c r="W90" s="328"/>
      <c r="X90" s="328">
        <v>0</v>
      </c>
      <c r="Y90" s="328">
        <v>0</v>
      </c>
      <c r="Z90" s="328"/>
      <c r="AA90" s="328"/>
      <c r="AB90" s="328"/>
      <c r="AC90" s="328">
        <v>0</v>
      </c>
      <c r="AD90" s="328">
        <v>0</v>
      </c>
      <c r="AE90" s="328">
        <v>0</v>
      </c>
      <c r="AF90" s="328">
        <v>64</v>
      </c>
      <c r="AG90" s="327"/>
      <c r="AH90" s="327"/>
    </row>
    <row r="91" spans="2:34">
      <c r="B91" s="282"/>
      <c r="C91" s="328"/>
      <c r="D91" s="328"/>
      <c r="E91" s="328"/>
      <c r="F91" s="328"/>
      <c r="G91" s="328"/>
      <c r="H91" s="328"/>
      <c r="I91" s="328"/>
      <c r="J91" s="328"/>
      <c r="K91" s="328" t="s">
        <v>280</v>
      </c>
      <c r="L91" s="328"/>
      <c r="M91" s="328"/>
      <c r="N91" s="328"/>
      <c r="O91" s="328" t="s">
        <v>280</v>
      </c>
      <c r="P91" s="328"/>
      <c r="Q91" s="328"/>
      <c r="R91" s="328"/>
      <c r="S91" s="328"/>
      <c r="T91" s="328"/>
      <c r="U91" s="328"/>
      <c r="V91" s="328"/>
      <c r="W91" s="328"/>
      <c r="X91" s="328"/>
      <c r="Y91" s="328"/>
      <c r="Z91" s="328"/>
      <c r="AA91" s="328"/>
      <c r="AB91" s="328"/>
      <c r="AC91" s="328"/>
      <c r="AD91" s="328"/>
      <c r="AE91" s="328">
        <v>0</v>
      </c>
      <c r="AF91" s="328"/>
      <c r="AG91" s="327"/>
      <c r="AH91" s="327"/>
    </row>
    <row r="92" spans="2:34" s="310" customFormat="1" ht="14.5" thickBot="1">
      <c r="B92" s="308" t="s">
        <v>319</v>
      </c>
      <c r="C92" s="333">
        <f t="shared" ref="C92:AF92" si="6">SUM(C72:C90)</f>
        <v>50.509000000000007</v>
      </c>
      <c r="D92" s="333">
        <f t="shared" si="6"/>
        <v>94.951000000000008</v>
      </c>
      <c r="E92" s="333">
        <f t="shared" si="6"/>
        <v>166.27200000000002</v>
      </c>
      <c r="F92" s="333">
        <f t="shared" si="6"/>
        <v>13.153999999999996</v>
      </c>
      <c r="G92" s="333">
        <f t="shared" si="6"/>
        <v>-83.480999999999995</v>
      </c>
      <c r="H92" s="333">
        <f t="shared" si="6"/>
        <v>-128.14099999999999</v>
      </c>
      <c r="I92" s="333">
        <f t="shared" si="6"/>
        <v>-150.084</v>
      </c>
      <c r="J92" s="333">
        <f t="shared" si="6"/>
        <v>94.70999999999998</v>
      </c>
      <c r="K92" s="333">
        <f t="shared" si="6"/>
        <v>-229.21800000000002</v>
      </c>
      <c r="L92" s="333">
        <f t="shared" si="6"/>
        <v>-25.508000000000003</v>
      </c>
      <c r="M92" s="333">
        <f t="shared" si="6"/>
        <v>-308.32799999999992</v>
      </c>
      <c r="N92" s="333">
        <f t="shared" si="6"/>
        <v>-147.53100000000001</v>
      </c>
      <c r="O92" s="333">
        <f t="shared" si="6"/>
        <v>198.596</v>
      </c>
      <c r="P92" s="333">
        <f t="shared" si="6"/>
        <v>-188.43900000000002</v>
      </c>
      <c r="Q92" s="333">
        <f t="shared" si="6"/>
        <v>-447.9</v>
      </c>
      <c r="R92" s="333">
        <f t="shared" si="6"/>
        <v>153.09299999999999</v>
      </c>
      <c r="S92" s="333">
        <f t="shared" si="6"/>
        <v>-290.476</v>
      </c>
      <c r="T92" s="333">
        <f t="shared" si="6"/>
        <v>-119.477</v>
      </c>
      <c r="U92" s="333">
        <f t="shared" si="6"/>
        <v>-310</v>
      </c>
      <c r="V92" s="333">
        <f t="shared" si="6"/>
        <v>-263.66400000000004</v>
      </c>
      <c r="W92" s="333">
        <f t="shared" si="6"/>
        <v>-401.84199999999998</v>
      </c>
      <c r="X92" s="333">
        <f t="shared" si="6"/>
        <v>-98</v>
      </c>
      <c r="Y92" s="333">
        <f t="shared" si="6"/>
        <v>-240.96899999999999</v>
      </c>
      <c r="Z92" s="333">
        <f t="shared" si="6"/>
        <v>-83.776999999999987</v>
      </c>
      <c r="AA92" s="333">
        <f t="shared" si="6"/>
        <v>-207.45</v>
      </c>
      <c r="AB92" s="333">
        <f t="shared" si="6"/>
        <v>-108.45800000000003</v>
      </c>
      <c r="AC92" s="333">
        <f t="shared" si="6"/>
        <v>-39</v>
      </c>
      <c r="AD92" s="333">
        <f t="shared" si="6"/>
        <v>-4.261999999999972</v>
      </c>
      <c r="AE92" s="333">
        <f t="shared" si="6"/>
        <v>6</v>
      </c>
      <c r="AF92" s="333">
        <f t="shared" si="6"/>
        <v>-1</v>
      </c>
      <c r="AG92" s="327"/>
      <c r="AH92" s="327"/>
    </row>
    <row r="93" spans="2:34">
      <c r="B93" s="323"/>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7"/>
      <c r="AH93" s="327"/>
    </row>
    <row r="94" spans="2:34" s="310" customFormat="1">
      <c r="B94" s="312" t="s">
        <v>320</v>
      </c>
      <c r="C94" s="326"/>
      <c r="D94" s="326"/>
      <c r="E94" s="326"/>
      <c r="F94" s="326"/>
      <c r="G94" s="326"/>
      <c r="H94" s="326"/>
      <c r="I94" s="326"/>
      <c r="J94" s="326"/>
      <c r="K94" s="326"/>
      <c r="L94" s="326"/>
      <c r="M94" s="326"/>
      <c r="N94" s="326"/>
      <c r="O94" s="326"/>
      <c r="P94" s="326"/>
      <c r="Q94" s="326"/>
      <c r="R94" s="326"/>
      <c r="S94" s="326"/>
      <c r="T94" s="326"/>
      <c r="U94" s="326"/>
      <c r="V94" s="326"/>
      <c r="W94" s="326"/>
      <c r="X94" s="326">
        <v>0</v>
      </c>
      <c r="Y94" s="326"/>
      <c r="Z94" s="326"/>
      <c r="AA94" s="326"/>
      <c r="AB94" s="326"/>
      <c r="AC94" s="326"/>
      <c r="AD94" s="326"/>
      <c r="AE94" s="326"/>
      <c r="AF94" s="326"/>
      <c r="AG94" s="327"/>
      <c r="AH94" s="327"/>
    </row>
    <row r="95" spans="2:34">
      <c r="B95" s="329" t="s">
        <v>321</v>
      </c>
      <c r="C95" s="328">
        <v>0</v>
      </c>
      <c r="D95" s="328">
        <v>8.8710000000000004</v>
      </c>
      <c r="E95" s="328">
        <v>26.08</v>
      </c>
      <c r="F95" s="328">
        <v>-4.9000000000000002E-2</v>
      </c>
      <c r="G95" s="328">
        <v>0</v>
      </c>
      <c r="H95" s="328">
        <v>1084.8800000000001</v>
      </c>
      <c r="I95" s="328">
        <v>90</v>
      </c>
      <c r="J95" s="328">
        <v>0.28799999999999998</v>
      </c>
      <c r="K95" s="328">
        <v>250</v>
      </c>
      <c r="L95" s="328">
        <v>33</v>
      </c>
      <c r="M95" s="328">
        <v>250</v>
      </c>
      <c r="N95" s="328">
        <v>0</v>
      </c>
      <c r="O95" s="328">
        <v>0</v>
      </c>
      <c r="P95" s="328">
        <v>0</v>
      </c>
      <c r="Q95" s="328">
        <v>0</v>
      </c>
      <c r="R95" s="328">
        <v>308.928</v>
      </c>
      <c r="S95" s="328">
        <v>0</v>
      </c>
      <c r="T95" s="328">
        <v>0</v>
      </c>
      <c r="U95" s="328">
        <v>499</v>
      </c>
      <c r="V95" s="328">
        <v>35.971000000000004</v>
      </c>
      <c r="W95" s="328">
        <v>736.66399999999999</v>
      </c>
      <c r="X95" s="328">
        <v>500</v>
      </c>
      <c r="Y95" s="328">
        <f>1732-SUM(W95:X95)</f>
        <v>495.33600000000001</v>
      </c>
      <c r="Z95" s="328">
        <v>32.918999999999997</v>
      </c>
      <c r="AA95" s="328"/>
      <c r="AB95" s="328">
        <f>498045/10^3</f>
        <v>498.04500000000002</v>
      </c>
      <c r="AC95" s="328">
        <v>0</v>
      </c>
      <c r="AD95" s="328">
        <v>25.90100000000001</v>
      </c>
      <c r="AE95" s="328">
        <v>9</v>
      </c>
      <c r="AF95" s="328">
        <v>33</v>
      </c>
      <c r="AG95" s="327"/>
      <c r="AH95" s="327"/>
    </row>
    <row r="96" spans="2:34">
      <c r="B96" s="329" t="s">
        <v>322</v>
      </c>
      <c r="C96" s="328">
        <v>0</v>
      </c>
      <c r="D96" s="328">
        <v>0</v>
      </c>
      <c r="E96" s="328">
        <v>0</v>
      </c>
      <c r="F96" s="328">
        <v>0</v>
      </c>
      <c r="G96" s="328">
        <v>0</v>
      </c>
      <c r="H96" s="328">
        <v>0</v>
      </c>
      <c r="I96" s="328">
        <v>0</v>
      </c>
      <c r="J96" s="328">
        <v>0</v>
      </c>
      <c r="K96" s="328">
        <v>0</v>
      </c>
      <c r="L96" s="328">
        <v>0</v>
      </c>
      <c r="M96" s="328">
        <v>0</v>
      </c>
      <c r="N96" s="328">
        <v>0</v>
      </c>
      <c r="O96" s="328">
        <v>0</v>
      </c>
      <c r="P96" s="328">
        <v>0</v>
      </c>
      <c r="Q96" s="328">
        <v>700</v>
      </c>
      <c r="R96" s="328">
        <v>0</v>
      </c>
      <c r="S96" s="328">
        <v>0</v>
      </c>
      <c r="T96" s="328">
        <v>0</v>
      </c>
      <c r="U96" s="328">
        <v>0</v>
      </c>
      <c r="V96" s="328">
        <v>0</v>
      </c>
      <c r="W96" s="328"/>
      <c r="X96" s="328">
        <v>0</v>
      </c>
      <c r="Y96" s="328">
        <v>0</v>
      </c>
      <c r="Z96" s="328">
        <v>0</v>
      </c>
      <c r="AA96" s="328"/>
      <c r="AB96" s="328"/>
      <c r="AC96" s="328">
        <v>0</v>
      </c>
      <c r="AD96" s="328">
        <v>0</v>
      </c>
      <c r="AE96" s="328">
        <v>0</v>
      </c>
      <c r="AF96" s="328">
        <v>0</v>
      </c>
      <c r="AG96" s="327"/>
      <c r="AH96" s="327"/>
    </row>
    <row r="97" spans="2:34">
      <c r="B97" s="329" t="s">
        <v>350</v>
      </c>
      <c r="C97" s="328"/>
      <c r="D97" s="328"/>
      <c r="E97" s="328"/>
      <c r="F97" s="328"/>
      <c r="G97" s="328"/>
      <c r="H97" s="328"/>
      <c r="I97" s="328"/>
      <c r="J97" s="328"/>
      <c r="K97" s="328"/>
      <c r="L97" s="328"/>
      <c r="M97" s="328"/>
      <c r="N97" s="328"/>
      <c r="O97" s="328"/>
      <c r="P97" s="328"/>
      <c r="Q97" s="328"/>
      <c r="R97" s="328"/>
      <c r="S97" s="328"/>
      <c r="T97" s="328"/>
      <c r="U97" s="328"/>
      <c r="V97" s="328">
        <v>16.420999999999999</v>
      </c>
      <c r="W97" s="328"/>
      <c r="X97" s="328">
        <v>0</v>
      </c>
      <c r="Y97" s="328">
        <v>0</v>
      </c>
      <c r="Z97" s="328">
        <v>0</v>
      </c>
      <c r="AA97" s="328"/>
      <c r="AB97" s="328"/>
      <c r="AC97" s="328">
        <v>0</v>
      </c>
      <c r="AD97" s="328">
        <v>0</v>
      </c>
      <c r="AE97" s="328">
        <v>0</v>
      </c>
      <c r="AF97" s="328">
        <v>0</v>
      </c>
      <c r="AG97" s="327"/>
      <c r="AH97" s="327"/>
    </row>
    <row r="98" spans="2:34">
      <c r="B98" s="329" t="s">
        <v>323</v>
      </c>
      <c r="C98" s="328">
        <v>0</v>
      </c>
      <c r="D98" s="328">
        <v>0</v>
      </c>
      <c r="E98" s="328">
        <v>0</v>
      </c>
      <c r="F98" s="328">
        <v>0</v>
      </c>
      <c r="G98" s="328">
        <v>0</v>
      </c>
      <c r="H98" s="328">
        <v>0</v>
      </c>
      <c r="I98" s="328">
        <v>0</v>
      </c>
      <c r="J98" s="328">
        <v>0</v>
      </c>
      <c r="K98" s="328">
        <v>0</v>
      </c>
      <c r="L98" s="328">
        <v>0</v>
      </c>
      <c r="M98" s="328">
        <v>0</v>
      </c>
      <c r="N98" s="328">
        <v>0</v>
      </c>
      <c r="O98" s="328">
        <v>0</v>
      </c>
      <c r="P98" s="328">
        <v>0</v>
      </c>
      <c r="Q98" s="328">
        <v>-42.87</v>
      </c>
      <c r="R98" s="328">
        <v>-1.28</v>
      </c>
      <c r="S98" s="328">
        <v>-5.1999999999999998E-2</v>
      </c>
      <c r="T98" s="328">
        <v>-0.21</v>
      </c>
      <c r="U98" s="328">
        <v>0</v>
      </c>
      <c r="V98" s="328">
        <v>0</v>
      </c>
      <c r="W98" s="328">
        <v>0</v>
      </c>
      <c r="X98" s="328">
        <v>0</v>
      </c>
      <c r="Y98" s="328">
        <v>0</v>
      </c>
      <c r="Z98" s="328">
        <v>0</v>
      </c>
      <c r="AA98" s="328"/>
      <c r="AB98" s="328"/>
      <c r="AC98" s="328">
        <v>0</v>
      </c>
      <c r="AD98" s="328">
        <v>0</v>
      </c>
      <c r="AE98" s="328">
        <v>0</v>
      </c>
      <c r="AF98" s="328">
        <v>0</v>
      </c>
      <c r="AG98" s="327"/>
      <c r="AH98" s="327"/>
    </row>
    <row r="99" spans="2:34">
      <c r="B99" s="329" t="s">
        <v>324</v>
      </c>
      <c r="C99" s="328">
        <v>0</v>
      </c>
      <c r="D99" s="328">
        <v>-205.983</v>
      </c>
      <c r="E99" s="328">
        <v>0</v>
      </c>
      <c r="F99" s="328">
        <v>0</v>
      </c>
      <c r="G99" s="328">
        <v>0</v>
      </c>
      <c r="H99" s="328">
        <v>0</v>
      </c>
      <c r="I99" s="328">
        <v>0</v>
      </c>
      <c r="J99" s="328">
        <v>0</v>
      </c>
      <c r="K99" s="328">
        <v>0</v>
      </c>
      <c r="L99" s="328">
        <v>-14</v>
      </c>
      <c r="M99" s="328">
        <v>0</v>
      </c>
      <c r="N99" s="328">
        <v>-23.510999999999999</v>
      </c>
      <c r="O99" s="328">
        <v>-380.5</v>
      </c>
      <c r="P99" s="328">
        <v>-37.195</v>
      </c>
      <c r="Q99" s="328">
        <v>10.673</v>
      </c>
      <c r="R99" s="328">
        <v>0</v>
      </c>
      <c r="S99" s="328">
        <v>0</v>
      </c>
      <c r="T99" s="328">
        <v>0</v>
      </c>
      <c r="U99" s="328">
        <v>0</v>
      </c>
      <c r="V99" s="328">
        <v>0</v>
      </c>
      <c r="W99" s="328"/>
      <c r="X99" s="328">
        <v>0</v>
      </c>
      <c r="Y99" s="328">
        <v>0</v>
      </c>
      <c r="Z99" s="328">
        <v>0</v>
      </c>
      <c r="AA99" s="328"/>
      <c r="AB99" s="328"/>
      <c r="AC99" s="328">
        <v>0</v>
      </c>
      <c r="AD99" s="328">
        <v>0</v>
      </c>
      <c r="AE99" s="328">
        <v>0</v>
      </c>
      <c r="AF99" s="328">
        <v>0</v>
      </c>
      <c r="AG99" s="327"/>
      <c r="AH99" s="327"/>
    </row>
    <row r="100" spans="2:34">
      <c r="B100" s="329" t="s">
        <v>325</v>
      </c>
      <c r="C100" s="328">
        <v>0</v>
      </c>
      <c r="D100" s="328">
        <v>0</v>
      </c>
      <c r="E100" s="328">
        <v>0</v>
      </c>
      <c r="F100" s="328">
        <v>0</v>
      </c>
      <c r="G100" s="328">
        <v>0</v>
      </c>
      <c r="H100" s="328">
        <v>-8.4</v>
      </c>
      <c r="I100" s="328">
        <v>8.4</v>
      </c>
      <c r="J100" s="328">
        <v>0</v>
      </c>
      <c r="K100" s="328">
        <v>0</v>
      </c>
      <c r="L100" s="328">
        <v>0</v>
      </c>
      <c r="M100" s="328">
        <v>0</v>
      </c>
      <c r="N100" s="328">
        <v>0</v>
      </c>
      <c r="O100" s="328">
        <v>0</v>
      </c>
      <c r="P100" s="328">
        <v>0</v>
      </c>
      <c r="Q100" s="328">
        <v>0</v>
      </c>
      <c r="R100" s="328">
        <v>0</v>
      </c>
      <c r="S100" s="328">
        <v>0</v>
      </c>
      <c r="T100" s="328">
        <v>0</v>
      </c>
      <c r="U100" s="328">
        <v>0</v>
      </c>
      <c r="V100" s="328">
        <v>0</v>
      </c>
      <c r="W100" s="328"/>
      <c r="X100" s="328">
        <v>0</v>
      </c>
      <c r="Y100" s="328">
        <v>0</v>
      </c>
      <c r="Z100" s="328">
        <v>0</v>
      </c>
      <c r="AA100" s="328"/>
      <c r="AB100" s="328"/>
      <c r="AC100" s="328">
        <v>0</v>
      </c>
      <c r="AD100" s="328">
        <v>0</v>
      </c>
      <c r="AE100" s="328">
        <v>0</v>
      </c>
      <c r="AF100" s="328">
        <v>0</v>
      </c>
      <c r="AG100" s="327"/>
      <c r="AH100" s="327"/>
    </row>
    <row r="101" spans="2:34">
      <c r="B101" s="329" t="s">
        <v>273</v>
      </c>
      <c r="C101" s="328">
        <v>0</v>
      </c>
      <c r="D101" s="328">
        <v>-12.763999999999999</v>
      </c>
      <c r="E101" s="328">
        <v>4.7E-2</v>
      </c>
      <c r="F101" s="328">
        <v>8.2000000000000003E-2</v>
      </c>
      <c r="G101" s="328">
        <v>0</v>
      </c>
      <c r="H101" s="328">
        <v>0</v>
      </c>
      <c r="I101" s="328">
        <v>-1.149</v>
      </c>
      <c r="J101" s="328">
        <v>-54.066000000000003</v>
      </c>
      <c r="K101" s="328">
        <v>0</v>
      </c>
      <c r="L101" s="328">
        <v>-21.419</v>
      </c>
      <c r="M101" s="328">
        <v>21.419</v>
      </c>
      <c r="N101" s="328">
        <v>0</v>
      </c>
      <c r="O101" s="328">
        <v>0</v>
      </c>
      <c r="P101" s="328">
        <v>-33.158999999999999</v>
      </c>
      <c r="Q101" s="328">
        <v>21.768000000000001</v>
      </c>
      <c r="R101" s="328">
        <v>0</v>
      </c>
      <c r="S101" s="328">
        <v>0</v>
      </c>
      <c r="T101" s="328">
        <v>-217.24100000000001</v>
      </c>
      <c r="U101" s="328">
        <v>0</v>
      </c>
      <c r="V101" s="328">
        <v>-106.84899999999996</v>
      </c>
      <c r="W101" s="328"/>
      <c r="X101" s="328">
        <v>0</v>
      </c>
      <c r="Y101" s="328">
        <v>0</v>
      </c>
      <c r="Z101" s="328">
        <v>-82.845694279999989</v>
      </c>
      <c r="AA101" s="328"/>
      <c r="AB101" s="328"/>
      <c r="AC101" s="328">
        <v>-59</v>
      </c>
      <c r="AD101" s="328">
        <v>-70.814999999999998</v>
      </c>
      <c r="AE101" s="328">
        <v>0</v>
      </c>
      <c r="AF101" s="328">
        <v>-11</v>
      </c>
      <c r="AG101" s="327"/>
      <c r="AH101" s="327"/>
    </row>
    <row r="102" spans="2:34">
      <c r="B102" s="329" t="s">
        <v>173</v>
      </c>
      <c r="C102" s="328">
        <v>0</v>
      </c>
      <c r="D102" s="328">
        <v>0</v>
      </c>
      <c r="E102" s="328">
        <v>-113.76900000000001</v>
      </c>
      <c r="F102" s="328">
        <v>-34.103999999999999</v>
      </c>
      <c r="G102" s="328">
        <v>0</v>
      </c>
      <c r="H102" s="328">
        <v>0</v>
      </c>
      <c r="I102" s="328">
        <v>118.282</v>
      </c>
      <c r="J102" s="328">
        <v>-118.27200000000001</v>
      </c>
      <c r="K102" s="328">
        <v>0</v>
      </c>
      <c r="L102" s="328">
        <v>-29.975999999999999</v>
      </c>
      <c r="M102" s="328">
        <v>-47.094000000000001</v>
      </c>
      <c r="N102" s="328">
        <v>79.138000000000005</v>
      </c>
      <c r="O102" s="328">
        <v>4.7480000000000002</v>
      </c>
      <c r="P102" s="328">
        <v>1.7450000000000001</v>
      </c>
      <c r="Q102" s="328">
        <v>2.113</v>
      </c>
      <c r="R102" s="328">
        <v>7.42</v>
      </c>
      <c r="S102" s="328">
        <v>2.145</v>
      </c>
      <c r="T102" s="328">
        <v>3.64</v>
      </c>
      <c r="U102" s="328">
        <v>-1</v>
      </c>
      <c r="V102" s="328">
        <v>-0.69399999999999995</v>
      </c>
      <c r="W102" s="328">
        <v>1.619</v>
      </c>
      <c r="X102" s="328">
        <v>22</v>
      </c>
      <c r="Y102" s="328">
        <f>35-SUM(W102:X102)</f>
        <v>11.381</v>
      </c>
      <c r="Z102" s="328">
        <v>9.4580000000000002</v>
      </c>
      <c r="AA102" s="328">
        <f>19002/1000</f>
        <v>19.001999999999999</v>
      </c>
      <c r="AB102" s="328">
        <f>80376/10^3-AA102</f>
        <v>61.374000000000009</v>
      </c>
      <c r="AC102" s="328">
        <v>-18</v>
      </c>
      <c r="AD102" s="328">
        <v>153.37100000000001</v>
      </c>
      <c r="AE102" s="328">
        <v>-35</v>
      </c>
      <c r="AF102" s="328">
        <v>-29</v>
      </c>
      <c r="AG102" s="327"/>
      <c r="AH102" s="327"/>
    </row>
    <row r="103" spans="2:34">
      <c r="B103" s="329" t="s">
        <v>326</v>
      </c>
      <c r="C103" s="328">
        <v>-45.844000000000001</v>
      </c>
      <c r="D103" s="328">
        <v>-31.87</v>
      </c>
      <c r="E103" s="328">
        <v>-109.986</v>
      </c>
      <c r="F103" s="328">
        <v>-29.940999999999999</v>
      </c>
      <c r="G103" s="328">
        <v>-20.9</v>
      </c>
      <c r="H103" s="328">
        <v>-1028.2190000000001</v>
      </c>
      <c r="I103" s="328">
        <v>-51.475000000000001</v>
      </c>
      <c r="J103" s="328">
        <v>-21.082000000000001</v>
      </c>
      <c r="K103" s="328">
        <v>-21.158000000000001</v>
      </c>
      <c r="L103" s="328">
        <v>-10.835000000000001</v>
      </c>
      <c r="M103" s="328">
        <v>-89.010999999999996</v>
      </c>
      <c r="N103" s="328">
        <v>-187.685</v>
      </c>
      <c r="O103" s="328">
        <v>-26.893999999999998</v>
      </c>
      <c r="P103" s="328">
        <v>-5.1070000000000002</v>
      </c>
      <c r="Q103" s="328">
        <v>-33.692999999999998</v>
      </c>
      <c r="R103" s="328">
        <v>-289.04700000000003</v>
      </c>
      <c r="S103" s="328">
        <v>-4.8109999999999999</v>
      </c>
      <c r="T103" s="328">
        <v>-61.133000000000003</v>
      </c>
      <c r="U103" s="328">
        <v>-441</v>
      </c>
      <c r="V103" s="328">
        <v>-4.5910000000000082</v>
      </c>
      <c r="W103" s="328">
        <v>-4.8109999999999999</v>
      </c>
      <c r="X103" s="328">
        <v>-5</v>
      </c>
      <c r="Y103" s="328">
        <f>-294-SUM(W103:X103)</f>
        <v>-284.18900000000002</v>
      </c>
      <c r="Z103" s="328">
        <v>-5.3449999999999998</v>
      </c>
      <c r="AA103" s="328">
        <v>-6.4089999999999998</v>
      </c>
      <c r="AB103" s="328">
        <f>-12331/10^3-AA103</f>
        <v>-5.9219999999999997</v>
      </c>
      <c r="AC103" s="328">
        <v>-476</v>
      </c>
      <c r="AD103" s="328">
        <v>-578.10700000000008</v>
      </c>
      <c r="AE103" s="328">
        <v>-513</v>
      </c>
      <c r="AF103" s="328">
        <v>-7</v>
      </c>
      <c r="AG103" s="327"/>
      <c r="AH103" s="327"/>
    </row>
    <row r="104" spans="2:34">
      <c r="B104" s="329" t="s">
        <v>327</v>
      </c>
      <c r="C104" s="328">
        <v>0</v>
      </c>
      <c r="D104" s="328">
        <v>0</v>
      </c>
      <c r="E104" s="328">
        <v>0</v>
      </c>
      <c r="F104" s="328">
        <v>0</v>
      </c>
      <c r="G104" s="328">
        <v>-3.2280000000000002</v>
      </c>
      <c r="H104" s="328">
        <v>3.2280000000000002</v>
      </c>
      <c r="I104" s="328">
        <v>-13.792</v>
      </c>
      <c r="J104" s="328">
        <v>-1.7849999999999999</v>
      </c>
      <c r="K104" s="328">
        <v>-3.1080000000000001</v>
      </c>
      <c r="L104" s="328">
        <v>-1.8939999999999999</v>
      </c>
      <c r="M104" s="328">
        <v>-4.4749999999999996</v>
      </c>
      <c r="N104" s="328">
        <v>-8.6440000000000001</v>
      </c>
      <c r="O104" s="328">
        <v>-4.0860000000000003</v>
      </c>
      <c r="P104" s="328">
        <v>-4.4569999999999999</v>
      </c>
      <c r="Q104" s="328">
        <v>-16.751999999999999</v>
      </c>
      <c r="R104" s="328">
        <v>-7.6289999999999996</v>
      </c>
      <c r="S104" s="328">
        <v>-7.3150000000000004</v>
      </c>
      <c r="T104" s="328">
        <v>-7.5679999999999996</v>
      </c>
      <c r="U104" s="328">
        <v>-8</v>
      </c>
      <c r="V104" s="328">
        <v>-7.1189999999999998</v>
      </c>
      <c r="W104" s="328">
        <v>-8.718</v>
      </c>
      <c r="X104" s="328">
        <v>-5</v>
      </c>
      <c r="Y104" s="328">
        <f>-22-SUM(W104:X104)</f>
        <v>-8.282</v>
      </c>
      <c r="Z104" s="328">
        <v>-13.356999999999999</v>
      </c>
      <c r="AA104" s="328">
        <v>-8.1470000000000002</v>
      </c>
      <c r="AB104" s="328">
        <f>-12918/10^3-AA104</f>
        <v>-4.770999999999999</v>
      </c>
      <c r="AC104" s="328">
        <v>-14</v>
      </c>
      <c r="AD104" s="328">
        <v>-33.566000000000003</v>
      </c>
      <c r="AE104" s="328">
        <v>-22</v>
      </c>
      <c r="AF104" s="328">
        <v>-20</v>
      </c>
      <c r="AG104" s="327"/>
      <c r="AH104" s="327"/>
    </row>
    <row r="105" spans="2:34">
      <c r="B105" s="329" t="s">
        <v>472</v>
      </c>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f>20871/1000</f>
        <v>20.870999999999999</v>
      </c>
      <c r="AB105" s="328">
        <f>20871/10^3-AA105</f>
        <v>0</v>
      </c>
      <c r="AC105" s="328">
        <v>0</v>
      </c>
      <c r="AD105" s="328">
        <v>0</v>
      </c>
      <c r="AE105" s="328">
        <v>0</v>
      </c>
      <c r="AF105" s="328">
        <v>0</v>
      </c>
      <c r="AG105" s="327"/>
      <c r="AH105" s="327"/>
    </row>
    <row r="106" spans="2:34">
      <c r="B106" s="329" t="s">
        <v>193</v>
      </c>
      <c r="C106" s="328">
        <v>-79.858000000000004</v>
      </c>
      <c r="D106" s="328">
        <v>-30.635000000000002</v>
      </c>
      <c r="E106" s="328">
        <v>-178.154</v>
      </c>
      <c r="F106" s="328">
        <v>288.64699999999999</v>
      </c>
      <c r="G106" s="328">
        <v>-3.0179999999999998</v>
      </c>
      <c r="H106" s="328">
        <v>-76.891000000000005</v>
      </c>
      <c r="I106" s="328">
        <v>-71.224999999999994</v>
      </c>
      <c r="J106" s="328">
        <v>151.13399999999999</v>
      </c>
      <c r="K106" s="328">
        <v>0</v>
      </c>
      <c r="L106" s="328">
        <v>0</v>
      </c>
      <c r="M106" s="328">
        <v>0</v>
      </c>
      <c r="N106" s="328">
        <v>0</v>
      </c>
      <c r="O106" s="328">
        <v>0</v>
      </c>
      <c r="P106" s="328">
        <v>0</v>
      </c>
      <c r="Q106" s="328">
        <v>0</v>
      </c>
      <c r="R106" s="328">
        <v>0</v>
      </c>
      <c r="S106" s="328">
        <v>0</v>
      </c>
      <c r="T106" s="328">
        <v>0</v>
      </c>
      <c r="U106" s="328">
        <v>0</v>
      </c>
      <c r="V106" s="328">
        <v>0</v>
      </c>
      <c r="W106" s="328"/>
      <c r="X106" s="328">
        <v>0</v>
      </c>
      <c r="Y106" s="328">
        <v>0</v>
      </c>
      <c r="Z106" s="328">
        <v>0</v>
      </c>
      <c r="AA106" s="328">
        <v>0</v>
      </c>
      <c r="AB106" s="328">
        <v>0</v>
      </c>
      <c r="AC106" s="328">
        <v>0</v>
      </c>
      <c r="AD106" s="328">
        <v>0</v>
      </c>
      <c r="AE106" s="328">
        <v>0</v>
      </c>
      <c r="AF106" s="328">
        <v>0</v>
      </c>
      <c r="AG106" s="327"/>
      <c r="AH106" s="327"/>
    </row>
    <row r="107" spans="2:34">
      <c r="B107" s="282"/>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v>0</v>
      </c>
      <c r="AG107" s="327"/>
      <c r="AH107" s="327"/>
    </row>
    <row r="108" spans="2:34" s="310" customFormat="1" ht="14.5" thickBot="1">
      <c r="B108" s="308" t="s">
        <v>328</v>
      </c>
      <c r="C108" s="333">
        <f t="shared" ref="C108:AF108" si="7">SUM(C95:C106)</f>
        <v>-125.702</v>
      </c>
      <c r="D108" s="333">
        <f t="shared" si="7"/>
        <v>-272.38100000000003</v>
      </c>
      <c r="E108" s="333">
        <f t="shared" si="7"/>
        <v>-375.78200000000004</v>
      </c>
      <c r="F108" s="333">
        <f t="shared" si="7"/>
        <v>224.63499999999999</v>
      </c>
      <c r="G108" s="333">
        <f t="shared" si="7"/>
        <v>-27.146000000000001</v>
      </c>
      <c r="H108" s="333">
        <f t="shared" si="7"/>
        <v>-25.402000000000037</v>
      </c>
      <c r="I108" s="333">
        <f t="shared" si="7"/>
        <v>79.041000000000025</v>
      </c>
      <c r="J108" s="333">
        <f t="shared" si="7"/>
        <v>-43.783000000000015</v>
      </c>
      <c r="K108" s="333">
        <f t="shared" si="7"/>
        <v>225.73399999999998</v>
      </c>
      <c r="L108" s="333">
        <f t="shared" si="7"/>
        <v>-45.123999999999995</v>
      </c>
      <c r="M108" s="333">
        <f t="shared" si="7"/>
        <v>130.839</v>
      </c>
      <c r="N108" s="333">
        <f t="shared" si="7"/>
        <v>-140.702</v>
      </c>
      <c r="O108" s="333">
        <f t="shared" si="7"/>
        <v>-406.73200000000003</v>
      </c>
      <c r="P108" s="333">
        <f t="shared" si="7"/>
        <v>-78.172999999999988</v>
      </c>
      <c r="Q108" s="333">
        <f t="shared" si="7"/>
        <v>641.23900000000015</v>
      </c>
      <c r="R108" s="333">
        <f t="shared" si="7"/>
        <v>18.392000000000017</v>
      </c>
      <c r="S108" s="333">
        <f t="shared" si="7"/>
        <v>-10.033000000000001</v>
      </c>
      <c r="T108" s="333">
        <f t="shared" si="7"/>
        <v>-282.512</v>
      </c>
      <c r="U108" s="333">
        <f t="shared" si="7"/>
        <v>49</v>
      </c>
      <c r="V108" s="333">
        <f t="shared" si="7"/>
        <v>-66.860999999999962</v>
      </c>
      <c r="W108" s="333">
        <f t="shared" si="7"/>
        <v>724.75400000000002</v>
      </c>
      <c r="X108" s="333">
        <f t="shared" si="7"/>
        <v>512</v>
      </c>
      <c r="Y108" s="333">
        <f t="shared" si="7"/>
        <v>214.24599999999995</v>
      </c>
      <c r="Z108" s="333">
        <f t="shared" si="7"/>
        <v>-59.170694279999992</v>
      </c>
      <c r="AA108" s="333">
        <f t="shared" si="7"/>
        <v>25.317</v>
      </c>
      <c r="AB108" s="333">
        <f t="shared" si="7"/>
        <v>548.726</v>
      </c>
      <c r="AC108" s="333">
        <f t="shared" si="7"/>
        <v>-567</v>
      </c>
      <c r="AD108" s="333">
        <f t="shared" si="7"/>
        <v>-503.21600000000012</v>
      </c>
      <c r="AE108" s="333">
        <f t="shared" si="7"/>
        <v>-561</v>
      </c>
      <c r="AF108" s="333">
        <f t="shared" si="7"/>
        <v>-34</v>
      </c>
      <c r="AG108" s="327"/>
      <c r="AH108" s="327"/>
    </row>
    <row r="109" spans="2:34">
      <c r="B109" s="323"/>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v>0</v>
      </c>
      <c r="Y109" s="324"/>
      <c r="Z109" s="324"/>
      <c r="AA109" s="324"/>
      <c r="AB109" s="324"/>
      <c r="AC109" s="324"/>
      <c r="AD109" s="324"/>
      <c r="AE109" s="324"/>
      <c r="AF109" s="324"/>
      <c r="AG109" s="327"/>
      <c r="AH109" s="327"/>
    </row>
    <row r="110" spans="2:34">
      <c r="B110" s="282" t="s">
        <v>329</v>
      </c>
      <c r="C110" s="328">
        <v>27.683999999999997</v>
      </c>
      <c r="D110" s="328">
        <v>1.6149999999999523</v>
      </c>
      <c r="E110" s="328">
        <v>-16.108999999999867</v>
      </c>
      <c r="F110" s="328">
        <v>84.767000000000053</v>
      </c>
      <c r="G110" s="328">
        <v>-40.105000000000047</v>
      </c>
      <c r="H110" s="328">
        <v>-16.981000000000023</v>
      </c>
      <c r="I110" s="328">
        <v>27.993000000000045</v>
      </c>
      <c r="J110" s="328">
        <v>102.60299999999992</v>
      </c>
      <c r="K110" s="328">
        <v>3.5329999999999977</v>
      </c>
      <c r="L110" s="328">
        <v>-21.814999999999984</v>
      </c>
      <c r="M110" s="328">
        <v>285.96100000000007</v>
      </c>
      <c r="N110" s="328">
        <v>174.43800000000007</v>
      </c>
      <c r="O110" s="328">
        <v>-117.81400000000008</v>
      </c>
      <c r="P110" s="328">
        <v>-219.3370000000001</v>
      </c>
      <c r="Q110" s="328">
        <v>391.01800000000026</v>
      </c>
      <c r="R110" s="328">
        <v>762.75400000000002</v>
      </c>
      <c r="S110" s="328">
        <f>SUM(S108,S92,S69)</f>
        <v>-197.92500000000001</v>
      </c>
      <c r="T110" s="328">
        <f>SUM(T108,T92,T69)</f>
        <v>-140.84900000000005</v>
      </c>
      <c r="U110" s="328">
        <v>51</v>
      </c>
      <c r="V110" s="328">
        <v>-328.12699999999978</v>
      </c>
      <c r="W110" s="328">
        <v>37</v>
      </c>
      <c r="X110" s="328">
        <v>142</v>
      </c>
      <c r="Y110" s="328">
        <v>-90.943999999999917</v>
      </c>
      <c r="Z110" s="328">
        <v>413.67700000000013</v>
      </c>
      <c r="AA110" s="328">
        <v>-277.33699999999999</v>
      </c>
      <c r="AB110" s="328">
        <v>507.40199999999999</v>
      </c>
      <c r="AC110" s="328">
        <v>-297</v>
      </c>
      <c r="AD110" s="328">
        <v>-141.03500000000008</v>
      </c>
      <c r="AE110" s="328">
        <v>-43</v>
      </c>
      <c r="AF110" s="328">
        <v>-8</v>
      </c>
      <c r="AG110" s="327"/>
      <c r="AH110" s="327"/>
    </row>
    <row r="111" spans="2:34">
      <c r="B111" s="282" t="s">
        <v>351</v>
      </c>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v>0</v>
      </c>
      <c r="Y111" s="328"/>
      <c r="Z111" s="328"/>
      <c r="AA111" s="328"/>
      <c r="AB111" s="328"/>
      <c r="AC111" s="328"/>
      <c r="AD111" s="328"/>
      <c r="AE111" s="328">
        <v>-489</v>
      </c>
      <c r="AF111" s="328">
        <v>-73</v>
      </c>
      <c r="AG111" s="327"/>
      <c r="AH111" s="327"/>
    </row>
    <row r="112" spans="2:34">
      <c r="B112" s="282" t="s">
        <v>330</v>
      </c>
      <c r="C112" s="328">
        <v>0</v>
      </c>
      <c r="D112" s="328">
        <v>0</v>
      </c>
      <c r="E112" s="328">
        <v>0</v>
      </c>
      <c r="F112" s="328">
        <v>0</v>
      </c>
      <c r="G112" s="328">
        <v>0</v>
      </c>
      <c r="H112" s="328">
        <v>0</v>
      </c>
      <c r="I112" s="328">
        <v>0</v>
      </c>
      <c r="J112" s="328">
        <v>0</v>
      </c>
      <c r="K112" s="328">
        <v>6.8369999999999997</v>
      </c>
      <c r="L112" s="328">
        <v>0</v>
      </c>
      <c r="M112" s="328">
        <v>0</v>
      </c>
      <c r="N112" s="328">
        <v>0</v>
      </c>
      <c r="O112" s="328">
        <v>0</v>
      </c>
      <c r="P112" s="328">
        <v>0</v>
      </c>
      <c r="Q112" s="328">
        <v>0</v>
      </c>
      <c r="R112" s="328">
        <v>0</v>
      </c>
      <c r="S112" s="328">
        <v>11.589</v>
      </c>
      <c r="T112" s="328">
        <v>4.0579999999999998</v>
      </c>
      <c r="U112" s="328">
        <v>0</v>
      </c>
      <c r="V112" s="328">
        <v>0</v>
      </c>
      <c r="W112" s="328">
        <v>0</v>
      </c>
      <c r="X112" s="328">
        <v>0</v>
      </c>
      <c r="Y112" s="328">
        <v>0</v>
      </c>
      <c r="Z112" s="328">
        <v>0</v>
      </c>
      <c r="AA112" s="328"/>
      <c r="AB112" s="328"/>
      <c r="AC112" s="328"/>
      <c r="AD112" s="328"/>
      <c r="AE112" s="328"/>
      <c r="AF112" s="328"/>
      <c r="AG112" s="327"/>
      <c r="AH112" s="327"/>
    </row>
    <row r="113" spans="2:33">
      <c r="B113" s="282"/>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8"/>
      <c r="AG113" s="327"/>
    </row>
    <row r="114" spans="2:33">
      <c r="B114" s="282" t="s">
        <v>331</v>
      </c>
      <c r="C114" s="336">
        <v>18.537999999999997</v>
      </c>
      <c r="D114" s="336">
        <v>46.537999999999997</v>
      </c>
      <c r="E114" s="336">
        <v>48.152999999999999</v>
      </c>
      <c r="F114" s="336">
        <v>32.043999999999997</v>
      </c>
      <c r="G114" s="336">
        <v>116.81100000000001</v>
      </c>
      <c r="H114" s="336">
        <v>76.706000000000003</v>
      </c>
      <c r="I114" s="336">
        <v>59.725000000000001</v>
      </c>
      <c r="J114" s="336">
        <v>87.718000000000004</v>
      </c>
      <c r="K114" s="336">
        <v>190.321</v>
      </c>
      <c r="L114" s="336">
        <v>193.85400000000001</v>
      </c>
      <c r="M114" s="336">
        <v>172.03899999999999</v>
      </c>
      <c r="N114" s="336">
        <v>458</v>
      </c>
      <c r="O114" s="336">
        <v>632.43799999999999</v>
      </c>
      <c r="P114" s="336">
        <v>514.62400000000002</v>
      </c>
      <c r="Q114" s="336">
        <v>296</v>
      </c>
      <c r="R114" s="336">
        <v>686</v>
      </c>
      <c r="S114" s="336">
        <v>1449.345</v>
      </c>
      <c r="T114" s="336">
        <v>1263.009</v>
      </c>
      <c r="U114" s="336">
        <f>S115</f>
        <v>1263.009</v>
      </c>
      <c r="V114" s="336">
        <f>R115</f>
        <v>1449.345</v>
      </c>
      <c r="W114" s="336">
        <v>849.08199999999999</v>
      </c>
      <c r="X114" s="336">
        <v>886</v>
      </c>
      <c r="Y114" s="336">
        <f>X115</f>
        <v>1028</v>
      </c>
      <c r="Z114" s="336">
        <f>Y115</f>
        <v>937</v>
      </c>
      <c r="AA114" s="336">
        <f>Z115</f>
        <v>1350.229</v>
      </c>
      <c r="AB114" s="336">
        <f>AA115</f>
        <v>1072.8920000000001</v>
      </c>
      <c r="AC114" s="336">
        <v>1580.2940000000001</v>
      </c>
      <c r="AD114" s="336">
        <v>1284</v>
      </c>
      <c r="AE114" s="336">
        <v>1142</v>
      </c>
      <c r="AF114" s="336">
        <v>653</v>
      </c>
      <c r="AG114" s="327"/>
    </row>
    <row r="115" spans="2:33">
      <c r="B115" s="282" t="s">
        <v>332</v>
      </c>
      <c r="C115" s="336">
        <v>46.537999999999997</v>
      </c>
      <c r="D115" s="336">
        <v>48.152999999999999</v>
      </c>
      <c r="E115" s="336">
        <v>32.043999999999997</v>
      </c>
      <c r="F115" s="336">
        <v>116.81100000000001</v>
      </c>
      <c r="G115" s="336">
        <v>76.706000000000003</v>
      </c>
      <c r="H115" s="336">
        <v>59.725000000000001</v>
      </c>
      <c r="I115" s="336">
        <v>87.718000000000004</v>
      </c>
      <c r="J115" s="336">
        <v>190.321</v>
      </c>
      <c r="K115" s="336">
        <v>193.85400000000001</v>
      </c>
      <c r="L115" s="336">
        <v>172.03899999999999</v>
      </c>
      <c r="M115" s="336">
        <v>458</v>
      </c>
      <c r="N115" s="336">
        <v>632.43799999999999</v>
      </c>
      <c r="O115" s="336">
        <v>514.62400000000002</v>
      </c>
      <c r="P115" s="336">
        <v>296</v>
      </c>
      <c r="Q115" s="336">
        <v>686</v>
      </c>
      <c r="R115" s="336">
        <v>1449.345</v>
      </c>
      <c r="S115" s="336">
        <v>1263.009</v>
      </c>
      <c r="T115" s="336">
        <v>1126</v>
      </c>
      <c r="U115" s="336">
        <v>1177</v>
      </c>
      <c r="V115" s="336">
        <f>849082/1000</f>
        <v>849.08199999999999</v>
      </c>
      <c r="W115" s="336">
        <v>886.06299999999999</v>
      </c>
      <c r="X115" s="336">
        <v>1028</v>
      </c>
      <c r="Y115" s="336">
        <f>'9 - Demonstrativos Financeiros'!Y42</f>
        <v>937</v>
      </c>
      <c r="Z115" s="336">
        <f>'9 - Demonstrativos Financeiros'!Z42</f>
        <v>1350.229</v>
      </c>
      <c r="AA115" s="336">
        <f>'9 - Demonstrativos Financeiros'!AA42</f>
        <v>1072.8920000000001</v>
      </c>
      <c r="AB115" s="336">
        <f>'9 - Demonstrativos Financeiros'!AB42</f>
        <v>1580.2940000000001</v>
      </c>
      <c r="AC115" s="336">
        <v>1284</v>
      </c>
      <c r="AD115" s="336">
        <v>1141.9649999999999</v>
      </c>
      <c r="AE115" s="336">
        <v>653</v>
      </c>
      <c r="AF115" s="336">
        <v>580</v>
      </c>
      <c r="AG115" s="327"/>
    </row>
    <row r="116" spans="2:33">
      <c r="S116" s="337"/>
      <c r="T116" s="337"/>
      <c r="U116" s="337"/>
      <c r="V116" s="337"/>
      <c r="W116" s="337"/>
      <c r="X116" s="337"/>
      <c r="Y116" s="337"/>
      <c r="Z116" s="337"/>
      <c r="AA116" s="337"/>
      <c r="AB116" s="337"/>
      <c r="AC116" s="337"/>
      <c r="AD116" s="337"/>
      <c r="AE116" s="337"/>
      <c r="AF116" s="337"/>
      <c r="AG116" s="337"/>
    </row>
    <row r="117" spans="2:33">
      <c r="S117" s="337"/>
      <c r="Y117" s="337"/>
      <c r="Z117" s="337"/>
      <c r="AA117" s="337"/>
      <c r="AB117" s="337"/>
      <c r="AC117" s="337"/>
      <c r="AD117" s="337"/>
      <c r="AE117" s="337"/>
      <c r="AF117" s="337"/>
    </row>
    <row r="119" spans="2:33">
      <c r="R119" s="337"/>
      <c r="S119" s="337"/>
      <c r="T119" s="337"/>
      <c r="U119" s="337"/>
      <c r="AD119" s="337"/>
      <c r="AE119" s="337"/>
      <c r="AF119" s="337"/>
    </row>
    <row r="120" spans="2:33">
      <c r="G120" s="337"/>
      <c r="J120" s="337"/>
    </row>
  </sheetData>
  <phoneticPr fontId="98" type="noConversion"/>
  <pageMargins left="0.511811024" right="0.511811024" top="0.78740157499999996" bottom="0.78740157499999996" header="0.31496062000000002" footer="0.31496062000000002"/>
  <pageSetup paperSize="9" orientation="portrait" r:id="rId1"/>
  <ignoredErrors>
    <ignoredError sqref="Y29:Y3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8802D61BBECF4995C6758F40F56FC7" ma:contentTypeVersion="16" ma:contentTypeDescription="Crie um novo documento." ma:contentTypeScope="" ma:versionID="0b95e6931553f4c71ed4108aeae0096c">
  <xsd:schema xmlns:xsd="http://www.w3.org/2001/XMLSchema" xmlns:xs="http://www.w3.org/2001/XMLSchema" xmlns:p="http://schemas.microsoft.com/office/2006/metadata/properties" xmlns:ns2="94b803e3-f83d-4918-a1c7-8e980dad5177" xmlns:ns3="76f07393-c221-4977-b1e0-abf988eb7d1a" targetNamespace="http://schemas.microsoft.com/office/2006/metadata/properties" ma:root="true" ma:fieldsID="c02a6e36e680a81195af63cd00b96842" ns2:_="" ns3:_="">
    <xsd:import namespace="94b803e3-f83d-4918-a1c7-8e980dad5177"/>
    <xsd:import namespace="76f07393-c221-4977-b1e0-abf988eb7d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Data_x002f_Hora"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803e3-f83d-4918-a1c7-8e980dad5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3a177a3f-a282-46a4-a36e-c8c89ca2b67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Data_x002f_Hora" ma:index="22" nillable="true" ma:displayName="Data/Hora" ma:format="DateOnly" ma:internalName="Data_x002f_Hora">
      <xsd:simpleType>
        <xsd:restriction base="dms:DateTim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f07393-c221-4977-b1e0-abf988eb7d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79877da-7f12-4c65-bf90-96bb298df4ae}" ma:internalName="TaxCatchAll" ma:showField="CatchAllData" ma:web="76f07393-c221-4977-b1e0-abf988eb7d1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a_x002f_Hora xmlns="94b803e3-f83d-4918-a1c7-8e980dad5177" xsi:nil="true"/>
    <TaxCatchAll xmlns="76f07393-c221-4977-b1e0-abf988eb7d1a" xsi:nil="true"/>
    <lcf76f155ced4ddcb4097134ff3c332f xmlns="94b803e3-f83d-4918-a1c7-8e980dad517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A59DD-898E-4B65-8F80-EEC20FAA7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803e3-f83d-4918-a1c7-8e980dad5177"/>
    <ds:schemaRef ds:uri="76f07393-c221-4977-b1e0-abf988eb7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FA92D2-0A72-41B8-8E6D-A8EA6B0FFADF}">
  <ds:schemaRefs>
    <ds:schemaRef ds:uri="http://schemas.microsoft.com/office/infopath/2007/PartnerControls"/>
    <ds:schemaRef ds:uri="http://schemas.microsoft.com/office/2006/documentManagement/types"/>
    <ds:schemaRef ds:uri="http://purl.org/dc/dcmitype/"/>
    <ds:schemaRef ds:uri="94b803e3-f83d-4918-a1c7-8e980dad5177"/>
    <ds:schemaRef ds:uri="http://purl.org/dc/elements/1.1/"/>
    <ds:schemaRef ds:uri="http://schemas.openxmlformats.org/package/2006/metadata/core-properties"/>
    <ds:schemaRef ds:uri="76f07393-c221-4977-b1e0-abf988eb7d1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375C51F-D0F8-43CF-9E23-046C026D3FB4}">
  <ds:schemaRefs>
    <ds:schemaRef ds:uri="http://schemas.microsoft.com/sharepoint/v3/contenttype/forms"/>
  </ds:schemaRefs>
</ds:datastoreItem>
</file>

<file path=docMetadata/LabelInfo.xml><?xml version="1.0" encoding="utf-8"?>
<clbl:labelList xmlns:clbl="http://schemas.microsoft.com/office/2020/mipLabelMetadata">
  <clbl:label id="{49158df8-04df-4db2-a1ae-ee3949ca3984}" enabled="0" method="" siteId="{49158df8-04df-4db2-a1ae-ee3949ca398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Capa</vt:lpstr>
      <vt:lpstr>1 - Premissas</vt:lpstr>
      <vt:lpstr>2 - Processo Produtivo</vt:lpstr>
      <vt:lpstr>3 - ESG</vt:lpstr>
      <vt:lpstr>4 - Capacidades e Utilização</vt:lpstr>
      <vt:lpstr>5 - Energia</vt:lpstr>
      <vt:lpstr>6 - DRE e Balanço Energia</vt:lpstr>
      <vt:lpstr>7 - Volume de Vendas Final</vt:lpstr>
      <vt:lpstr>8 - Dívida </vt:lpstr>
      <vt:lpstr>9 - Demonstrativos Financeiros</vt:lpstr>
      <vt:lpstr>10 - Resultados por negócio</vt:lpstr>
      <vt:lpstr>11 - Composição Custos</vt:lpstr>
      <vt:lpstr>12 - CAPEX</vt:lpstr>
      <vt:lpstr>13 - Ciclo Financeiro</vt:lpstr>
      <vt:lpstr>14 - FCL</vt:lpstr>
      <vt:lpstr>15 - DFC</vt:lpstr>
      <vt:lpstr>'1 - Premissas'!Area_de_impressao</vt:lpstr>
      <vt:lpstr>'10 - Resultados por negócio'!Area_de_impressao</vt:lpstr>
      <vt:lpstr>'11 - Composição Custos'!Area_de_impressao</vt:lpstr>
      <vt:lpstr>'12 - CAPEX'!Area_de_impressao</vt:lpstr>
      <vt:lpstr>'2 - Processo Produtivo'!Area_de_impressao</vt:lpstr>
      <vt:lpstr>'4 - Capacidades e Utilização'!Area_de_impressao</vt:lpstr>
      <vt:lpstr>'5 - Energia'!Area_de_impressao</vt:lpstr>
      <vt:lpstr>'7 - Volume de Vendas Final'!Area_de_impressao</vt:lpstr>
      <vt:lpstr>'8 - Dívida '!Area_de_impressao</vt:lpstr>
      <vt:lpstr>'9 - Demonstrativos Financeiros'!Area_de_impressao</vt:lpstr>
      <vt:lpstr>Capa!Area_de_impressao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Deserrie Santuriao De Araujo</cp:lastModifiedBy>
  <cp:revision/>
  <dcterms:created xsi:type="dcterms:W3CDTF">2011-05-20T17:14:49Z</dcterms:created>
  <dcterms:modified xsi:type="dcterms:W3CDTF">2025-08-25T14:02:52Z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0x010100ED8802D61BBECF4995C6758F40F56FC7</vt:lpwstr>
  </property>
  <property fmtid="{D5CDD505-2E9C-101B-9397-08002B2CF9AE}" pid="3" name="MediaServiceImageTags">
    <vt:lpwstr/>
  </property>
  <property fmtid="{D5CDD505-2E9C-101B-9397-08002B2CF9AE}" pid="4" name="{A44787D4-0540-4523-9961-78E4036D8C6D}">
    <vt:lpwstr>{4D75AD63-B7ED-4904-BA9B-857B8BE3CA04}</vt:lpwstr>
  </property>
</Properties>
</file>