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EstaPasta_de_trabalho"/>
  <mc:AlternateContent xmlns:mc="http://schemas.openxmlformats.org/markup-compatibility/2006">
    <mc:Choice Requires="x15">
      <x15ac:absPath xmlns:x15ac="http://schemas.microsoft.com/office/spreadsheetml/2010/11/ac" url="https://votorantimindustrial.sharepoint.com/sites/cba_relacoes_investidores/Documentos Compartilhados/Divulgação de Resultados/2022/2T22/Planilha de Resultados/"/>
    </mc:Choice>
  </mc:AlternateContent>
  <xr:revisionPtr revIDLastSave="104" documentId="13_ncr:1_{7035E1AA-4909-411E-9D93-BE7BC708354A}" xr6:coauthVersionLast="47" xr6:coauthVersionMax="47" xr10:uidLastSave="{BB46BC07-A786-4B07-86A6-BF4473B85DC3}"/>
  <bookViews>
    <workbookView xWindow="-110" yWindow="-110" windowWidth="19420" windowHeight="10420" tabRatio="778" xr2:uid="{00000000-000D-0000-FFFF-FFFF00000000}"/>
  </bookViews>
  <sheets>
    <sheet name="Capa" sheetId="1" r:id="rId1"/>
    <sheet name="1 - Premissas" sheetId="15" r:id="rId2"/>
    <sheet name="2 - Processo Produtivo" sheetId="23" r:id="rId3"/>
    <sheet name="3 - Energia" sheetId="41" r:id="rId4"/>
    <sheet name="4 - Volume de Vendas Final" sheetId="35" r:id="rId5"/>
    <sheet name="5 - Dívida " sheetId="30" r:id="rId6"/>
    <sheet name="6 - Demonstrativos Financeiros" sheetId="31" r:id="rId7"/>
    <sheet name="7 - Resultados por negócio" sheetId="32" r:id="rId8"/>
    <sheet name="8 - Custos" sheetId="21" r:id="rId9"/>
    <sheet name="9 - Composição Custos" sheetId="40" r:id="rId10"/>
    <sheet name="10 - CAPEX" sheetId="39" r:id="rId11"/>
    <sheet name="11 - Ciclo Financeiro" sheetId="42" r:id="rId12"/>
    <sheet name="12 - FCL" sheetId="43" r:id="rId13"/>
  </sheets>
  <externalReferences>
    <externalReference r:id="rId14"/>
    <externalReference r:id="rId15"/>
  </externalReferences>
  <definedNames>
    <definedName name="_xlnm.Print_Area" localSheetId="1">'1 - Premissas'!$A$1:$Q$27</definedName>
    <definedName name="_xlnm.Print_Area" localSheetId="10">'10 - CAPEX'!$B$1:$C$11</definedName>
    <definedName name="_xlnm.Print_Area" localSheetId="2">'2 - Processo Produtivo'!$A$1:$M$49</definedName>
    <definedName name="_xlnm.Print_Area" localSheetId="3">'3 - Energia'!$A$1:$K$13</definedName>
    <definedName name="_xlnm.Print_Area" localSheetId="4">'4 - Volume de Vendas Final'!$A$1:$B$8</definedName>
    <definedName name="_xlnm.Print_Area" localSheetId="5">'5 - Dívida '!$A$1:$D$37</definedName>
    <definedName name="_xlnm.Print_Area" localSheetId="6">'6 - Demonstrativos Financeiros'!$A$1:$B$101</definedName>
    <definedName name="_xlnm.Print_Area" localSheetId="7">'7 - Resultados por negócio'!$A$1:$B$43</definedName>
    <definedName name="_xlnm.Print_Area" localSheetId="8">'8 - Custos'!$B$1:$C$25</definedName>
    <definedName name="_xlnm.Print_Area" localSheetId="9">'9 - Composição Custos'!$A$1:$B$7</definedName>
    <definedName name="_xlnm.Print_Area" localSheetId="0">Capa!$A$1:$M$31</definedName>
    <definedName name="CIQWBGuid" hidden="1">"e7643438-fe4f-4a09-99e9-b54bb182bd71"</definedName>
    <definedName name="CIQWBInfo" hidden="1">"{ ""CIQVersion"":""9.45.614.5792"" }"</definedName>
    <definedName name="Dados_BPC">OFFSET('[1]Base BPC'!$A$1:$AA$1,0,0,COUNTA('[1]Base BPC'!$A:$A))</definedName>
    <definedName name="Empresas">#REF!</definedName>
    <definedName name="exposição">OFFSET('[2]Fechamento de Lastro'!$M$47,1,0,COUNTIF('[2]Fechamento de Lastro'!$M$48:$M$66,"&lt;&gt;0"))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"08/27/2021 17:48:57"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istaun">#REF!</definedName>
    <definedName name="Mes">'[1]Acompanhamento Financeiro'!$C$7</definedName>
    <definedName name="Meses">[1]Aux!$B$2:$B$13</definedName>
    <definedName name="Periodo_Mes">[1]Aux!$C$17</definedName>
    <definedName name="Periodos">[1]Aux!$F$2:$F$13</definedName>
    <definedName name="PLD">OFFSET('[2]Fechamento de Lastro'!$N$47,1,0,COUNTIF('[2]Fechamento de Lastro'!$N$48:$N$66,"&lt;&gt;0"))</definedName>
    <definedName name="SEMANA">OFFSET('[2]Fechamento de Lastro'!$I$47,1,0,COUNTIF('[2]Fechamento de Lastro'!$N$48:$N$66,"&lt;&gt;0"),2)</definedName>
    <definedName name="Unidades">#REF!</definedName>
    <definedName name="Versao_Mes">[1]Aux!$C$16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Z9" i="32" l="1"/>
  <c r="X7" i="31"/>
  <c r="Y7" i="31"/>
  <c r="Z7" i="31"/>
  <c r="AA7" i="31"/>
  <c r="X8" i="31"/>
  <c r="Y8" i="31"/>
  <c r="Z8" i="31"/>
  <c r="AA8" i="31"/>
  <c r="X9" i="31"/>
  <c r="X10" i="31" s="1"/>
  <c r="Y9" i="31"/>
  <c r="Y10" i="31" s="1"/>
  <c r="Z9" i="31"/>
  <c r="Z10" i="31" s="1"/>
  <c r="AA9" i="31"/>
  <c r="X11" i="31"/>
  <c r="Y11" i="31"/>
  <c r="Z11" i="31"/>
  <c r="AA11" i="31"/>
  <c r="X12" i="31"/>
  <c r="Y12" i="31"/>
  <c r="Z12" i="31"/>
  <c r="AA12" i="31"/>
  <c r="X13" i="31"/>
  <c r="Y13" i="31"/>
  <c r="Z13" i="31"/>
  <c r="AA13" i="31"/>
  <c r="X14" i="31"/>
  <c r="Y14" i="31"/>
  <c r="Z14" i="31"/>
  <c r="AA14" i="31"/>
  <c r="X15" i="31"/>
  <c r="Y15" i="31"/>
  <c r="Z15" i="31"/>
  <c r="AA15" i="31"/>
  <c r="X16" i="31"/>
  <c r="Y16" i="31"/>
  <c r="Z16" i="31"/>
  <c r="AA16" i="31"/>
  <c r="X17" i="31"/>
  <c r="Y17" i="31"/>
  <c r="Z17" i="31"/>
  <c r="AA17" i="31"/>
  <c r="X18" i="31"/>
  <c r="Y18" i="31"/>
  <c r="Z18" i="31"/>
  <c r="AA18" i="31"/>
  <c r="X19" i="31"/>
  <c r="Y19" i="31"/>
  <c r="Z19" i="31"/>
  <c r="AA19" i="31"/>
  <c r="X20" i="31"/>
  <c r="Y20" i="31"/>
  <c r="Z20" i="31"/>
  <c r="AA20" i="31"/>
  <c r="X21" i="31"/>
  <c r="Y21" i="31"/>
  <c r="Z21" i="31"/>
  <c r="AA21" i="31"/>
  <c r="X22" i="31"/>
  <c r="Y22" i="31"/>
  <c r="Z22" i="31"/>
  <c r="AA22" i="31"/>
  <c r="X23" i="31"/>
  <c r="Y23" i="31"/>
  <c r="Z23" i="31"/>
  <c r="AA23" i="31"/>
  <c r="X24" i="31"/>
  <c r="Y24" i="31"/>
  <c r="Z24" i="31"/>
  <c r="AA24" i="31"/>
  <c r="X25" i="31"/>
  <c r="Y25" i="31"/>
  <c r="Z25" i="31"/>
  <c r="AA25" i="31"/>
  <c r="X26" i="31"/>
  <c r="Y26" i="31"/>
  <c r="Z26" i="31"/>
  <c r="AA26" i="31"/>
  <c r="X27" i="31"/>
  <c r="Y27" i="31"/>
  <c r="Z27" i="31"/>
  <c r="AA27" i="31"/>
  <c r="X28" i="31"/>
  <c r="Y28" i="31"/>
  <c r="Z28" i="31"/>
  <c r="AA28" i="31"/>
  <c r="X29" i="31"/>
  <c r="Y29" i="31"/>
  <c r="Z29" i="31"/>
  <c r="AA29" i="31"/>
  <c r="X30" i="31"/>
  <c r="Y30" i="31"/>
  <c r="Z30" i="31"/>
  <c r="AA30" i="31"/>
  <c r="X31" i="31"/>
  <c r="Y31" i="31"/>
  <c r="Z31" i="31"/>
  <c r="X32" i="31"/>
  <c r="Y32" i="31"/>
  <c r="Z32" i="31"/>
  <c r="X33" i="31"/>
  <c r="X34" i="31" s="1"/>
  <c r="Y33" i="31"/>
  <c r="Y34" i="31" s="1"/>
  <c r="W7" i="31"/>
  <c r="W8" i="31"/>
  <c r="W9" i="31"/>
  <c r="W10" i="31" s="1"/>
  <c r="W11" i="31"/>
  <c r="W12" i="31"/>
  <c r="W13" i="31"/>
  <c r="W14" i="31"/>
  <c r="W15" i="31"/>
  <c r="W16" i="31"/>
  <c r="W17" i="31"/>
  <c r="W19" i="31"/>
  <c r="W20" i="31"/>
  <c r="W21" i="31"/>
  <c r="W22" i="31"/>
  <c r="W24" i="31"/>
  <c r="W25" i="31"/>
  <c r="W26" i="31"/>
  <c r="W28" i="31"/>
  <c r="W29" i="31"/>
  <c r="W30" i="31"/>
  <c r="W31" i="31"/>
  <c r="W32" i="31"/>
  <c r="W33" i="31"/>
  <c r="W34" i="31" s="1"/>
  <c r="AA7" i="39"/>
  <c r="D8" i="43"/>
  <c r="D16" i="43" s="1"/>
  <c r="C8" i="43"/>
  <c r="C16" i="43" s="1"/>
  <c r="L34" i="40"/>
  <c r="T96" i="31"/>
  <c r="AA10" i="31" l="1"/>
  <c r="C14" i="42"/>
  <c r="C13" i="42"/>
  <c r="P13" i="42"/>
  <c r="O13" i="42"/>
  <c r="N13" i="42"/>
  <c r="N11" i="42"/>
  <c r="N10" i="42"/>
  <c r="N9" i="42"/>
  <c r="N8" i="42"/>
  <c r="M13" i="42"/>
  <c r="M11" i="42"/>
  <c r="M10" i="42"/>
  <c r="M9" i="42"/>
  <c r="M8" i="42"/>
  <c r="L13" i="42"/>
  <c r="L11" i="42"/>
  <c r="L10" i="42"/>
  <c r="L9" i="42"/>
  <c r="L8" i="42"/>
  <c r="K13" i="42"/>
  <c r="K11" i="42"/>
  <c r="K10" i="42"/>
  <c r="K9" i="42"/>
  <c r="K8" i="42"/>
  <c r="J13" i="42"/>
  <c r="J11" i="42"/>
  <c r="J10" i="42"/>
  <c r="J9" i="42"/>
  <c r="J8" i="42"/>
  <c r="I13" i="42"/>
  <c r="I11" i="42"/>
  <c r="I10" i="42"/>
  <c r="I9" i="42"/>
  <c r="I8" i="42"/>
  <c r="H13" i="42"/>
  <c r="H11" i="42"/>
  <c r="H10" i="42"/>
  <c r="H9" i="42"/>
  <c r="H8" i="42"/>
  <c r="G13" i="42"/>
  <c r="G11" i="42"/>
  <c r="G10" i="42"/>
  <c r="G9" i="42"/>
  <c r="G8" i="42"/>
  <c r="F13" i="42"/>
  <c r="F11" i="42"/>
  <c r="F10" i="42"/>
  <c r="F9" i="42"/>
  <c r="F8" i="42"/>
  <c r="E13" i="42"/>
  <c r="E11" i="42"/>
  <c r="E10" i="42"/>
  <c r="E9" i="42"/>
  <c r="E8" i="42"/>
  <c r="D13" i="42"/>
  <c r="D11" i="42"/>
  <c r="D10" i="42"/>
  <c r="D9" i="42"/>
  <c r="D8" i="42"/>
  <c r="C11" i="42"/>
  <c r="C10" i="42"/>
  <c r="C9" i="42"/>
  <c r="C8" i="42"/>
  <c r="N14" i="42"/>
  <c r="M14" i="42"/>
  <c r="L14" i="42"/>
  <c r="K14" i="42"/>
  <c r="J14" i="42"/>
  <c r="I14" i="42"/>
  <c r="H14" i="42"/>
  <c r="G14" i="42"/>
  <c r="F14" i="42"/>
  <c r="E14" i="42"/>
  <c r="D14" i="42"/>
  <c r="T13" i="42"/>
  <c r="T11" i="42"/>
  <c r="T10" i="42"/>
  <c r="T9" i="42"/>
  <c r="T8" i="42"/>
  <c r="S11" i="42"/>
  <c r="S10" i="42"/>
  <c r="S9" i="42"/>
  <c r="S8" i="42"/>
  <c r="R13" i="42"/>
  <c r="R11" i="42"/>
  <c r="R10" i="42"/>
  <c r="R9" i="42"/>
  <c r="R8" i="42"/>
  <c r="Q13" i="42"/>
  <c r="Q11" i="42"/>
  <c r="Q10" i="42"/>
  <c r="Q9" i="42"/>
  <c r="Q8" i="42"/>
  <c r="P11" i="42"/>
  <c r="P10" i="42"/>
  <c r="P9" i="42"/>
  <c r="P8" i="42"/>
  <c r="T14" i="42"/>
  <c r="S14" i="42"/>
  <c r="R14" i="42"/>
  <c r="Q14" i="42"/>
  <c r="P14" i="42"/>
  <c r="O14" i="42"/>
  <c r="O11" i="42"/>
  <c r="O10" i="42"/>
  <c r="O9" i="42"/>
  <c r="O8" i="42"/>
  <c r="T101" i="31"/>
  <c r="T100" i="31"/>
  <c r="C12" i="42" l="1"/>
  <c r="C15" i="42" s="1"/>
  <c r="H12" i="42"/>
  <c r="H15" i="42" s="1"/>
  <c r="O12" i="42"/>
  <c r="O15" i="42" s="1"/>
  <c r="P12" i="42"/>
  <c r="P15" i="42" s="1"/>
  <c r="J12" i="42"/>
  <c r="J15" i="42" s="1"/>
  <c r="G12" i="42"/>
  <c r="G15" i="42" s="1"/>
  <c r="L12" i="42"/>
  <c r="L15" i="42" s="1"/>
  <c r="D12" i="42"/>
  <c r="D15" i="42" s="1"/>
  <c r="K12" i="42"/>
  <c r="K15" i="42" s="1"/>
  <c r="T12" i="42"/>
  <c r="T15" i="42" s="1"/>
  <c r="R12" i="42"/>
  <c r="R15" i="42" s="1"/>
  <c r="F12" i="42"/>
  <c r="F15" i="42" s="1"/>
  <c r="I12" i="42"/>
  <c r="I15" i="42" s="1"/>
  <c r="Q12" i="42"/>
  <c r="Q15" i="42" s="1"/>
  <c r="E12" i="42"/>
  <c r="E15" i="42" s="1"/>
  <c r="N12" i="42"/>
  <c r="N15" i="42" s="1"/>
  <c r="S12" i="42"/>
  <c r="M12" i="42"/>
  <c r="M15" i="42" s="1"/>
  <c r="AA24" i="32" l="1"/>
  <c r="AA23" i="32"/>
  <c r="AA22" i="32"/>
  <c r="AA21" i="32"/>
  <c r="AA20" i="32"/>
  <c r="AA19" i="32"/>
  <c r="AA41" i="32"/>
  <c r="AA40" i="32"/>
  <c r="AA39" i="32"/>
  <c r="AA38" i="32"/>
  <c r="AA34" i="32"/>
  <c r="AA33" i="32"/>
  <c r="AA32" i="32"/>
  <c r="AA31" i="32"/>
  <c r="AA27" i="32"/>
  <c r="AA26" i="32"/>
  <c r="AA25" i="32"/>
  <c r="AA10" i="32"/>
  <c r="T8" i="21" l="1"/>
  <c r="AA9" i="39"/>
  <c r="AA8" i="39"/>
  <c r="S10" i="39"/>
  <c r="K38" i="40"/>
  <c r="K36" i="40"/>
  <c r="K28" i="40"/>
  <c r="K21" i="40"/>
  <c r="K15" i="40"/>
  <c r="K8" i="40"/>
  <c r="S41" i="32"/>
  <c r="S40" i="32"/>
  <c r="S39" i="32"/>
  <c r="S38" i="32"/>
  <c r="S34" i="32"/>
  <c r="S33" i="32"/>
  <c r="S32" i="32"/>
  <c r="S31" i="32"/>
  <c r="S9" i="32" s="1"/>
  <c r="S27" i="32"/>
  <c r="S26" i="32"/>
  <c r="S25" i="32"/>
  <c r="S18" i="32"/>
  <c r="S10" i="32"/>
  <c r="T49" i="31"/>
  <c r="T17" i="30"/>
  <c r="T16" i="30"/>
  <c r="T15" i="30"/>
  <c r="T14" i="30"/>
  <c r="T10" i="30"/>
  <c r="T8" i="30"/>
  <c r="S17" i="30"/>
  <c r="S16" i="30"/>
  <c r="S15" i="30"/>
  <c r="S14" i="30"/>
  <c r="S10" i="30"/>
  <c r="S8" i="30"/>
  <c r="S12" i="30" l="1"/>
  <c r="T12" i="30"/>
  <c r="S91" i="31" l="1"/>
  <c r="S81" i="31"/>
  <c r="S66" i="31"/>
  <c r="S49" i="31"/>
  <c r="S39" i="31"/>
  <c r="S32" i="31"/>
  <c r="AA32" i="31" s="1"/>
  <c r="S31" i="31"/>
  <c r="AA31" i="31" s="1"/>
  <c r="S21" i="35"/>
  <c r="S17" i="35"/>
  <c r="S13" i="35"/>
  <c r="S10" i="35"/>
  <c r="W7" i="39"/>
  <c r="X7" i="39"/>
  <c r="Y7" i="39"/>
  <c r="Z7" i="39"/>
  <c r="W8" i="39"/>
  <c r="X8" i="39"/>
  <c r="Y8" i="39"/>
  <c r="Z8" i="39"/>
  <c r="W9" i="39"/>
  <c r="X9" i="39"/>
  <c r="Y9" i="39"/>
  <c r="Z9" i="39"/>
  <c r="C10" i="39"/>
  <c r="D10" i="39"/>
  <c r="E10" i="39"/>
  <c r="F10" i="39"/>
  <c r="G10" i="39"/>
  <c r="X10" i="39" s="1"/>
  <c r="H10" i="39"/>
  <c r="I10" i="39"/>
  <c r="J10" i="39"/>
  <c r="K10" i="39"/>
  <c r="L10" i="39"/>
  <c r="M10" i="39"/>
  <c r="N10" i="39"/>
  <c r="Y10" i="39" s="1"/>
  <c r="O10" i="39"/>
  <c r="P10" i="39"/>
  <c r="Q10" i="39"/>
  <c r="R10" i="39"/>
  <c r="Z10" i="39" s="1"/>
  <c r="T10" i="39"/>
  <c r="AA10" i="39" s="1"/>
  <c r="C8" i="40"/>
  <c r="D8" i="40"/>
  <c r="E8" i="40"/>
  <c r="F8" i="40"/>
  <c r="G8" i="40"/>
  <c r="H8" i="40"/>
  <c r="I8" i="40"/>
  <c r="J8" i="40"/>
  <c r="L8" i="40"/>
  <c r="C15" i="40"/>
  <c r="D15" i="40"/>
  <c r="E15" i="40"/>
  <c r="F15" i="40"/>
  <c r="G15" i="40"/>
  <c r="H15" i="40"/>
  <c r="I15" i="40"/>
  <c r="J15" i="40"/>
  <c r="L15" i="40"/>
  <c r="C21" i="40"/>
  <c r="D21" i="40"/>
  <c r="E21" i="40"/>
  <c r="F21" i="40"/>
  <c r="G21" i="40"/>
  <c r="H21" i="40"/>
  <c r="I21" i="40"/>
  <c r="J21" i="40"/>
  <c r="L21" i="40"/>
  <c r="C28" i="40"/>
  <c r="D28" i="40"/>
  <c r="E28" i="40"/>
  <c r="F28" i="40"/>
  <c r="G28" i="40"/>
  <c r="H28" i="40"/>
  <c r="I28" i="40"/>
  <c r="J28" i="40"/>
  <c r="L28" i="40"/>
  <c r="C38" i="40"/>
  <c r="C36" i="40" s="1"/>
  <c r="D38" i="40"/>
  <c r="D36" i="40" s="1"/>
  <c r="E38" i="40"/>
  <c r="E36" i="40" s="1"/>
  <c r="F38" i="40"/>
  <c r="F36" i="40" s="1"/>
  <c r="G38" i="40"/>
  <c r="G36" i="40" s="1"/>
  <c r="H38" i="40"/>
  <c r="H36" i="40" s="1"/>
  <c r="I38" i="40"/>
  <c r="I36" i="40"/>
  <c r="J38" i="40"/>
  <c r="J36" i="40" s="1"/>
  <c r="L38" i="40"/>
  <c r="L36" i="40" s="1"/>
  <c r="Q8" i="21"/>
  <c r="C9" i="32"/>
  <c r="D9" i="32"/>
  <c r="E9" i="32"/>
  <c r="F9" i="32"/>
  <c r="G9" i="32"/>
  <c r="H9" i="32"/>
  <c r="I9" i="32"/>
  <c r="J9" i="32"/>
  <c r="K9" i="32"/>
  <c r="L9" i="32"/>
  <c r="Y9" i="32" s="1"/>
  <c r="M9" i="32"/>
  <c r="N9" i="32"/>
  <c r="O9" i="32"/>
  <c r="P9" i="32"/>
  <c r="Q9" i="32"/>
  <c r="T18" i="32"/>
  <c r="AA18" i="32" s="1"/>
  <c r="W9" i="32"/>
  <c r="C11" i="32"/>
  <c r="C10" i="32" s="1"/>
  <c r="D11" i="32"/>
  <c r="D10" i="32" s="1"/>
  <c r="E11" i="32"/>
  <c r="F11" i="32"/>
  <c r="F10" i="32" s="1"/>
  <c r="G11" i="32"/>
  <c r="H11" i="32"/>
  <c r="H10" i="32" s="1"/>
  <c r="I11" i="32"/>
  <c r="J11" i="32"/>
  <c r="J10" i="32" s="1"/>
  <c r="K11" i="32"/>
  <c r="K10" i="32" s="1"/>
  <c r="L11" i="32"/>
  <c r="L10" i="32" s="1"/>
  <c r="M11" i="32"/>
  <c r="N11" i="32"/>
  <c r="N10" i="32" s="1"/>
  <c r="O11" i="32"/>
  <c r="P11" i="32"/>
  <c r="P10" i="32" s="1"/>
  <c r="Q11" i="32"/>
  <c r="R11" i="32"/>
  <c r="T11" i="32"/>
  <c r="C13" i="32"/>
  <c r="D13" i="32"/>
  <c r="E13" i="32"/>
  <c r="F13" i="32"/>
  <c r="G13" i="32"/>
  <c r="H13" i="32"/>
  <c r="I13" i="32"/>
  <c r="J13" i="32"/>
  <c r="K13" i="32"/>
  <c r="L13" i="32"/>
  <c r="M13" i="32"/>
  <c r="N13" i="32"/>
  <c r="O13" i="32"/>
  <c r="P13" i="32"/>
  <c r="C14" i="32"/>
  <c r="D14" i="32"/>
  <c r="E14" i="32"/>
  <c r="F14" i="32"/>
  <c r="G14" i="32"/>
  <c r="H14" i="32"/>
  <c r="I14" i="32"/>
  <c r="J14" i="32"/>
  <c r="K14" i="32"/>
  <c r="L14" i="32"/>
  <c r="M14" i="32"/>
  <c r="N14" i="32"/>
  <c r="O14" i="32"/>
  <c r="P14" i="32"/>
  <c r="Q14" i="32"/>
  <c r="R14" i="32"/>
  <c r="R18" i="32"/>
  <c r="Z18" i="32" s="1"/>
  <c r="W18" i="32"/>
  <c r="X18" i="32"/>
  <c r="Y18" i="32"/>
  <c r="W19" i="32"/>
  <c r="X19" i="32"/>
  <c r="Y19" i="32"/>
  <c r="Z19" i="32"/>
  <c r="W20" i="32"/>
  <c r="X20" i="32"/>
  <c r="Y20" i="32"/>
  <c r="Z20" i="32"/>
  <c r="W21" i="32"/>
  <c r="X21" i="32"/>
  <c r="Y21" i="32"/>
  <c r="Z21" i="32"/>
  <c r="W22" i="32"/>
  <c r="X22" i="32"/>
  <c r="Y22" i="32"/>
  <c r="Z22" i="32"/>
  <c r="W23" i="32"/>
  <c r="X23" i="32"/>
  <c r="Y23" i="32"/>
  <c r="Z23" i="32"/>
  <c r="O24" i="32"/>
  <c r="Z24" i="32" s="1"/>
  <c r="W24" i="32"/>
  <c r="X24" i="32"/>
  <c r="Y24" i="32"/>
  <c r="W25" i="32"/>
  <c r="X25" i="32"/>
  <c r="Y25" i="32"/>
  <c r="Z25" i="32"/>
  <c r="Q26" i="32"/>
  <c r="W26" i="32"/>
  <c r="X26" i="32"/>
  <c r="Y26" i="32"/>
  <c r="Z26" i="32"/>
  <c r="W27" i="32"/>
  <c r="X27" i="32"/>
  <c r="Y27" i="32"/>
  <c r="Z27" i="32"/>
  <c r="W31" i="32"/>
  <c r="X31" i="32"/>
  <c r="Y31" i="32"/>
  <c r="Z31" i="32"/>
  <c r="W32" i="32"/>
  <c r="X32" i="32"/>
  <c r="Y32" i="32"/>
  <c r="Z32" i="32"/>
  <c r="W33" i="32"/>
  <c r="X33" i="32"/>
  <c r="Y33" i="32"/>
  <c r="Z33" i="32"/>
  <c r="W34" i="32"/>
  <c r="X34" i="32"/>
  <c r="Y34" i="32"/>
  <c r="Z34" i="32"/>
  <c r="W38" i="32"/>
  <c r="X38" i="32"/>
  <c r="Y38" i="32"/>
  <c r="Z38" i="32"/>
  <c r="W39" i="32"/>
  <c r="X39" i="32"/>
  <c r="Y39" i="32"/>
  <c r="Z39" i="32"/>
  <c r="W40" i="32"/>
  <c r="X40" i="32"/>
  <c r="Y40" i="32"/>
  <c r="Z40" i="32"/>
  <c r="W41" i="32"/>
  <c r="X41" i="32"/>
  <c r="Y41" i="32"/>
  <c r="Z41" i="32"/>
  <c r="C12" i="32"/>
  <c r="D12" i="32"/>
  <c r="E12" i="32"/>
  <c r="F12" i="32"/>
  <c r="H12" i="32"/>
  <c r="I12" i="32"/>
  <c r="J12" i="32"/>
  <c r="K12" i="32"/>
  <c r="L12" i="32"/>
  <c r="M12" i="32"/>
  <c r="N12" i="32"/>
  <c r="P12" i="32"/>
  <c r="Q12" i="32"/>
  <c r="R12" i="32"/>
  <c r="T14" i="32"/>
  <c r="C34" i="31"/>
  <c r="D34" i="31"/>
  <c r="E34" i="31"/>
  <c r="F34" i="31"/>
  <c r="G34" i="31"/>
  <c r="H34" i="31"/>
  <c r="I34" i="31"/>
  <c r="J34" i="31"/>
  <c r="K34" i="31"/>
  <c r="L34" i="31"/>
  <c r="M34" i="31"/>
  <c r="N34" i="31"/>
  <c r="O34" i="31"/>
  <c r="P34" i="31"/>
  <c r="C39" i="31"/>
  <c r="D39" i="31"/>
  <c r="E39" i="31"/>
  <c r="F39" i="31"/>
  <c r="G39" i="31"/>
  <c r="H39" i="31"/>
  <c r="I39" i="31"/>
  <c r="J39" i="31"/>
  <c r="K39" i="31"/>
  <c r="L39" i="31"/>
  <c r="M39" i="31"/>
  <c r="N39" i="31"/>
  <c r="O39" i="31"/>
  <c r="P39" i="31"/>
  <c r="Q39" i="31"/>
  <c r="R39" i="31"/>
  <c r="T39" i="31"/>
  <c r="C49" i="31"/>
  <c r="D49" i="31"/>
  <c r="E49" i="31"/>
  <c r="F49" i="31"/>
  <c r="G49" i="31"/>
  <c r="G63" i="31" s="1"/>
  <c r="G99" i="31" s="1"/>
  <c r="H49" i="31"/>
  <c r="I49" i="31"/>
  <c r="J49" i="31"/>
  <c r="K49" i="31"/>
  <c r="L49" i="31"/>
  <c r="M49" i="31"/>
  <c r="N49" i="31"/>
  <c r="O49" i="31"/>
  <c r="O63" i="31" s="1"/>
  <c r="O99" i="31" s="1"/>
  <c r="P49" i="31"/>
  <c r="Q49" i="31"/>
  <c r="R49" i="31"/>
  <c r="C66" i="31"/>
  <c r="D66" i="31"/>
  <c r="E66" i="31"/>
  <c r="F66" i="31"/>
  <c r="G66" i="31"/>
  <c r="H66" i="31"/>
  <c r="I66" i="31"/>
  <c r="J66" i="31"/>
  <c r="K66" i="31"/>
  <c r="L66" i="31"/>
  <c r="M66" i="31"/>
  <c r="N66" i="31"/>
  <c r="O66" i="31"/>
  <c r="P66" i="31"/>
  <c r="Q66" i="31"/>
  <c r="R66" i="31"/>
  <c r="T66" i="31"/>
  <c r="C81" i="31"/>
  <c r="D81" i="31"/>
  <c r="E81" i="31"/>
  <c r="F81" i="31"/>
  <c r="G81" i="31"/>
  <c r="H81" i="31"/>
  <c r="I81" i="31"/>
  <c r="J81" i="31"/>
  <c r="K81" i="31"/>
  <c r="L81" i="31"/>
  <c r="M81" i="31"/>
  <c r="N81" i="31"/>
  <c r="O81" i="31"/>
  <c r="P81" i="31"/>
  <c r="Q81" i="31"/>
  <c r="R81" i="31"/>
  <c r="T81" i="31"/>
  <c r="C96" i="31"/>
  <c r="C91" i="31" s="1"/>
  <c r="D96" i="31"/>
  <c r="D91" i="31" s="1"/>
  <c r="E96" i="31"/>
  <c r="E91" i="31" s="1"/>
  <c r="F96" i="31"/>
  <c r="F91" i="31" s="1"/>
  <c r="G96" i="31"/>
  <c r="G91" i="31" s="1"/>
  <c r="H96" i="31"/>
  <c r="H91" i="31" s="1"/>
  <c r="I96" i="31"/>
  <c r="I91" i="31" s="1"/>
  <c r="J96" i="31"/>
  <c r="J91" i="31" s="1"/>
  <c r="K96" i="31"/>
  <c r="K91" i="31" s="1"/>
  <c r="L96" i="31"/>
  <c r="L91" i="31" s="1"/>
  <c r="M96" i="31"/>
  <c r="M91" i="31" s="1"/>
  <c r="N96" i="31"/>
  <c r="N91" i="31" s="1"/>
  <c r="O96" i="31"/>
  <c r="O91" i="31" s="1"/>
  <c r="P96" i="31"/>
  <c r="P91" i="31" s="1"/>
  <c r="Q96" i="31"/>
  <c r="Q91" i="31" s="1"/>
  <c r="R91" i="31"/>
  <c r="T91" i="31"/>
  <c r="C8" i="30"/>
  <c r="D8" i="30"/>
  <c r="E8" i="30"/>
  <c r="F8" i="30"/>
  <c r="G8" i="30"/>
  <c r="H8" i="30"/>
  <c r="I8" i="30"/>
  <c r="J8" i="30"/>
  <c r="K8" i="30"/>
  <c r="L8" i="30"/>
  <c r="M8" i="30"/>
  <c r="N8" i="30"/>
  <c r="O8" i="30"/>
  <c r="P8" i="30"/>
  <c r="Q8" i="30"/>
  <c r="R8" i="30"/>
  <c r="C10" i="30"/>
  <c r="C12" i="30" s="1"/>
  <c r="D10" i="30"/>
  <c r="E10" i="30"/>
  <c r="F10" i="30"/>
  <c r="F12" i="30" s="1"/>
  <c r="G10" i="30"/>
  <c r="H10" i="30"/>
  <c r="I10" i="30"/>
  <c r="J10" i="30"/>
  <c r="K10" i="30"/>
  <c r="L10" i="30"/>
  <c r="M10" i="30"/>
  <c r="N10" i="30"/>
  <c r="O10" i="30"/>
  <c r="P10" i="30"/>
  <c r="Q10" i="30"/>
  <c r="R10" i="30"/>
  <c r="C14" i="30"/>
  <c r="D14" i="30"/>
  <c r="E14" i="30"/>
  <c r="F14" i="30"/>
  <c r="G14" i="30"/>
  <c r="H14" i="30"/>
  <c r="I14" i="30"/>
  <c r="J14" i="30"/>
  <c r="K14" i="30"/>
  <c r="L14" i="30"/>
  <c r="M14" i="30"/>
  <c r="N14" i="30"/>
  <c r="O14" i="30"/>
  <c r="P14" i="30"/>
  <c r="Q14" i="30"/>
  <c r="R14" i="30"/>
  <c r="C15" i="30"/>
  <c r="D15" i="30"/>
  <c r="E15" i="30"/>
  <c r="F15" i="30"/>
  <c r="G15" i="30"/>
  <c r="H15" i="30"/>
  <c r="I15" i="30"/>
  <c r="J15" i="30"/>
  <c r="K15" i="30"/>
  <c r="L15" i="30"/>
  <c r="M15" i="30"/>
  <c r="N15" i="30"/>
  <c r="O15" i="30"/>
  <c r="P15" i="30"/>
  <c r="Q15" i="30"/>
  <c r="R15" i="30"/>
  <c r="C16" i="30"/>
  <c r="D16" i="30"/>
  <c r="E16" i="30"/>
  <c r="F16" i="30"/>
  <c r="G16" i="30"/>
  <c r="H16" i="30"/>
  <c r="I16" i="30"/>
  <c r="J16" i="30"/>
  <c r="K16" i="30"/>
  <c r="L16" i="30"/>
  <c r="M16" i="30"/>
  <c r="N16" i="30"/>
  <c r="O16" i="30"/>
  <c r="P16" i="30"/>
  <c r="Q16" i="30"/>
  <c r="R16" i="30"/>
  <c r="C17" i="30"/>
  <c r="D17" i="30"/>
  <c r="E17" i="30"/>
  <c r="F17" i="30"/>
  <c r="G17" i="30"/>
  <c r="H17" i="30"/>
  <c r="I17" i="30"/>
  <c r="J17" i="30"/>
  <c r="K17" i="30"/>
  <c r="L17" i="30"/>
  <c r="M17" i="30"/>
  <c r="N17" i="30"/>
  <c r="O17" i="30"/>
  <c r="P17" i="30"/>
  <c r="Q17" i="30"/>
  <c r="R17" i="30"/>
  <c r="Q35" i="30"/>
  <c r="C10" i="35"/>
  <c r="C9" i="35" s="1"/>
  <c r="C13" i="35"/>
  <c r="C17" i="35"/>
  <c r="D10" i="35"/>
  <c r="D13" i="35"/>
  <c r="D9" i="35" s="1"/>
  <c r="D17" i="35"/>
  <c r="E10" i="35"/>
  <c r="E13" i="35"/>
  <c r="E9" i="35" s="1"/>
  <c r="E17" i="35"/>
  <c r="F10" i="35"/>
  <c r="F13" i="35"/>
  <c r="F17" i="35"/>
  <c r="G10" i="35"/>
  <c r="G13" i="35"/>
  <c r="G17" i="35"/>
  <c r="H10" i="35"/>
  <c r="H13" i="35"/>
  <c r="H17" i="35"/>
  <c r="I10" i="35"/>
  <c r="I13" i="35"/>
  <c r="I17" i="35"/>
  <c r="J10" i="35"/>
  <c r="J13" i="35"/>
  <c r="J17" i="35"/>
  <c r="K10" i="35"/>
  <c r="K13" i="35"/>
  <c r="K17" i="35"/>
  <c r="L10" i="35"/>
  <c r="L13" i="35"/>
  <c r="L17" i="35"/>
  <c r="M10" i="35"/>
  <c r="M13" i="35"/>
  <c r="M17" i="35"/>
  <c r="N10" i="35"/>
  <c r="N13" i="35"/>
  <c r="N17" i="35"/>
  <c r="O10" i="35"/>
  <c r="O13" i="35"/>
  <c r="O17" i="35"/>
  <c r="P10" i="35"/>
  <c r="P13" i="35"/>
  <c r="P17" i="35"/>
  <c r="Q10" i="35"/>
  <c r="Q9" i="35" s="1"/>
  <c r="Q13" i="35"/>
  <c r="Q17" i="35"/>
  <c r="R9" i="35"/>
  <c r="T10" i="35"/>
  <c r="T13" i="35"/>
  <c r="T17" i="35"/>
  <c r="C21" i="35"/>
  <c r="D21" i="35"/>
  <c r="E21" i="35"/>
  <c r="F21" i="35"/>
  <c r="G21" i="35"/>
  <c r="H21" i="35"/>
  <c r="I21" i="35"/>
  <c r="J21" i="35"/>
  <c r="K21" i="35"/>
  <c r="L21" i="35"/>
  <c r="M21" i="35"/>
  <c r="N21" i="35"/>
  <c r="O21" i="35"/>
  <c r="P21" i="35"/>
  <c r="Q21" i="35"/>
  <c r="T21" i="35"/>
  <c r="E29" i="41"/>
  <c r="D38" i="41"/>
  <c r="D40" i="41" s="1"/>
  <c r="D41" i="41" s="1"/>
  <c r="D39" i="41"/>
  <c r="N9" i="35" l="1"/>
  <c r="K9" i="35"/>
  <c r="G9" i="35"/>
  <c r="Y22" i="35"/>
  <c r="Y21" i="35"/>
  <c r="Y23" i="35"/>
  <c r="Y24" i="35"/>
  <c r="W21" i="35"/>
  <c r="W22" i="35"/>
  <c r="W24" i="35"/>
  <c r="W23" i="35"/>
  <c r="O9" i="35"/>
  <c r="AD23" i="35"/>
  <c r="AD22" i="35"/>
  <c r="AD24" i="35"/>
  <c r="AD21" i="35"/>
  <c r="AA22" i="35"/>
  <c r="AC23" i="35"/>
  <c r="AC24" i="35"/>
  <c r="AA21" i="35"/>
  <c r="AC22" i="35"/>
  <c r="AA23" i="35"/>
  <c r="AA24" i="35"/>
  <c r="AC21" i="35"/>
  <c r="I9" i="35"/>
  <c r="Z22" i="35"/>
  <c r="Z23" i="35"/>
  <c r="Z24" i="35"/>
  <c r="Z21" i="35"/>
  <c r="X24" i="35"/>
  <c r="X22" i="35"/>
  <c r="X21" i="35"/>
  <c r="X23" i="35"/>
  <c r="M9" i="35"/>
  <c r="W18" i="31"/>
  <c r="K63" i="31"/>
  <c r="K99" i="31" s="1"/>
  <c r="L63" i="31"/>
  <c r="L99" i="31" s="1"/>
  <c r="Q33" i="31"/>
  <c r="W14" i="32"/>
  <c r="D63" i="31"/>
  <c r="D99" i="31" s="1"/>
  <c r="R63" i="31"/>
  <c r="R99" i="31" s="1"/>
  <c r="C63" i="31"/>
  <c r="C99" i="31" s="1"/>
  <c r="G12" i="30"/>
  <c r="P63" i="31"/>
  <c r="P99" i="31" s="1"/>
  <c r="H63" i="31"/>
  <c r="H99" i="31" s="1"/>
  <c r="N63" i="31"/>
  <c r="N99" i="31" s="1"/>
  <c r="Q98" i="31"/>
  <c r="R33" i="31"/>
  <c r="M63" i="31"/>
  <c r="M99" i="31" s="1"/>
  <c r="E63" i="31"/>
  <c r="E99" i="31" s="1"/>
  <c r="S63" i="31"/>
  <c r="J12" i="30"/>
  <c r="I63" i="31"/>
  <c r="I99" i="31" s="1"/>
  <c r="O12" i="30"/>
  <c r="Q63" i="31"/>
  <c r="S14" i="32"/>
  <c r="AA14" i="32" s="1"/>
  <c r="F63" i="31"/>
  <c r="F99" i="31" s="1"/>
  <c r="R12" i="30"/>
  <c r="R19" i="30" s="1"/>
  <c r="J63" i="31"/>
  <c r="J99" i="31" s="1"/>
  <c r="S98" i="31"/>
  <c r="J9" i="35"/>
  <c r="L9" i="35"/>
  <c r="P9" i="35"/>
  <c r="Z15" i="35" s="1"/>
  <c r="F9" i="35"/>
  <c r="W14" i="35" s="1"/>
  <c r="H9" i="35"/>
  <c r="X16" i="35" s="1"/>
  <c r="S9" i="35"/>
  <c r="T63" i="31"/>
  <c r="T12" i="32"/>
  <c r="T98" i="31"/>
  <c r="W10" i="39"/>
  <c r="X13" i="32"/>
  <c r="Q10" i="32"/>
  <c r="I10" i="32"/>
  <c r="G10" i="32"/>
  <c r="O10" i="32"/>
  <c r="M10" i="32"/>
  <c r="Y10" i="32" s="1"/>
  <c r="E10" i="32"/>
  <c r="W10" i="32" s="1"/>
  <c r="T9" i="32"/>
  <c r="AA9" i="32" s="1"/>
  <c r="X9" i="32"/>
  <c r="L12" i="30"/>
  <c r="D12" i="30"/>
  <c r="Y14" i="32"/>
  <c r="W13" i="32"/>
  <c r="S19" i="30"/>
  <c r="N12" i="30"/>
  <c r="K12" i="30"/>
  <c r="Z11" i="32"/>
  <c r="Z14" i="32"/>
  <c r="X14" i="32"/>
  <c r="Y13" i="32"/>
  <c r="M12" i="30"/>
  <c r="E12" i="30"/>
  <c r="T19" i="30"/>
  <c r="Q12" i="30"/>
  <c r="Q19" i="30" s="1"/>
  <c r="I12" i="30"/>
  <c r="P12" i="30"/>
  <c r="H12" i="30"/>
  <c r="X19" i="35"/>
  <c r="T9" i="35"/>
  <c r="Y12" i="32"/>
  <c r="W12" i="32"/>
  <c r="X14" i="35"/>
  <c r="Y11" i="32"/>
  <c r="X17" i="35"/>
  <c r="X11" i="32"/>
  <c r="O12" i="32"/>
  <c r="Z12" i="32" s="1"/>
  <c r="G12" i="32"/>
  <c r="X12" i="32" s="1"/>
  <c r="W11" i="32"/>
  <c r="Y10" i="35"/>
  <c r="X18" i="35"/>
  <c r="X10" i="35"/>
  <c r="X13" i="35"/>
  <c r="E8" i="43" l="1"/>
  <c r="E16" i="43" s="1"/>
  <c r="Z33" i="31"/>
  <c r="Z34" i="31" s="1"/>
  <c r="Z11" i="35"/>
  <c r="W10" i="35"/>
  <c r="W16" i="35"/>
  <c r="Z10" i="35"/>
  <c r="Y16" i="35"/>
  <c r="Z19" i="35"/>
  <c r="Y18" i="35"/>
  <c r="W17" i="35"/>
  <c r="Y17" i="35"/>
  <c r="Y11" i="35"/>
  <c r="Y14" i="35"/>
  <c r="Z18" i="35"/>
  <c r="Y13" i="35"/>
  <c r="Z13" i="35"/>
  <c r="W19" i="35"/>
  <c r="W15" i="35"/>
  <c r="Y12" i="35"/>
  <c r="Y15" i="35"/>
  <c r="Y19" i="35"/>
  <c r="Z16" i="35"/>
  <c r="W27" i="31"/>
  <c r="W23" i="31"/>
  <c r="Q99" i="31"/>
  <c r="X10" i="32"/>
  <c r="S99" i="31"/>
  <c r="F8" i="43"/>
  <c r="F16" i="43" s="1"/>
  <c r="R34" i="31"/>
  <c r="R13" i="32"/>
  <c r="Q34" i="31"/>
  <c r="Q13" i="32"/>
  <c r="Z10" i="32"/>
  <c r="AA15" i="35"/>
  <c r="AA14" i="35"/>
  <c r="AA13" i="35"/>
  <c r="AA12" i="35"/>
  <c r="AA19" i="35"/>
  <c r="AA18" i="35"/>
  <c r="AA17" i="35"/>
  <c r="AA11" i="35"/>
  <c r="AA16" i="35"/>
  <c r="AA10" i="35"/>
  <c r="X11" i="35"/>
  <c r="W12" i="35"/>
  <c r="W13" i="35"/>
  <c r="W11" i="35"/>
  <c r="Z17" i="35"/>
  <c r="W18" i="35"/>
  <c r="X15" i="35"/>
  <c r="X12" i="35"/>
  <c r="Z12" i="35"/>
  <c r="Z14" i="35"/>
  <c r="AC15" i="35"/>
  <c r="AC14" i="35"/>
  <c r="AC12" i="35"/>
  <c r="AC19" i="35"/>
  <c r="AC11" i="35"/>
  <c r="AC18" i="35"/>
  <c r="AC16" i="35"/>
  <c r="AC13" i="35"/>
  <c r="AC17" i="35"/>
  <c r="AC10" i="35"/>
  <c r="AD15" i="35"/>
  <c r="AD14" i="35"/>
  <c r="AD13" i="35"/>
  <c r="AD12" i="35"/>
  <c r="AD19" i="35"/>
  <c r="AD11" i="35"/>
  <c r="AD18" i="35"/>
  <c r="AD17" i="35"/>
  <c r="AD16" i="35"/>
  <c r="AD10" i="35"/>
  <c r="T99" i="31"/>
  <c r="Z13" i="32" l="1"/>
  <c r="T33" i="31" l="1"/>
  <c r="H8" i="43" s="1"/>
  <c r="H16" i="43" s="1"/>
  <c r="T34" i="31" l="1"/>
  <c r="T13" i="32"/>
  <c r="S13" i="42" l="1"/>
  <c r="S15" i="42" s="1"/>
  <c r="S11" i="32"/>
  <c r="AA11" i="32" s="1"/>
  <c r="S12" i="32" l="1"/>
  <c r="AA12" i="32" s="1"/>
  <c r="S33" i="31" l="1"/>
  <c r="AA33" i="31" s="1"/>
  <c r="AA34" i="31" s="1"/>
  <c r="G8" i="43" l="1"/>
  <c r="G16" i="43" s="1"/>
  <c r="S13" i="32"/>
  <c r="AA13" i="32" s="1"/>
  <c r="S34" i="31"/>
</calcChain>
</file>

<file path=xl/sharedStrings.xml><?xml version="1.0" encoding="utf-8"?>
<sst xmlns="http://schemas.openxmlformats.org/spreadsheetml/2006/main" count="619" uniqueCount="319">
  <si>
    <t>Menu</t>
  </si>
  <si>
    <t>1.  Premissas</t>
  </si>
  <si>
    <t>2.  Processo Produtivo</t>
  </si>
  <si>
    <t>3.  Energia</t>
  </si>
  <si>
    <t>4.  Volume de Vendas</t>
  </si>
  <si>
    <t>5.  Dívida</t>
  </si>
  <si>
    <t>6.  Demonstrativos Financeiros</t>
  </si>
  <si>
    <t>7.  Resultados por negócio</t>
  </si>
  <si>
    <t xml:space="preserve">8.  Custos </t>
  </si>
  <si>
    <t>9.  Composição Custos</t>
  </si>
  <si>
    <t>10. CAPEX</t>
  </si>
  <si>
    <t>11. Ciclo financeiro</t>
  </si>
  <si>
    <t>12. Fluxo de caixa livre</t>
  </si>
  <si>
    <t>Premissas da Planilha de Fundamentos</t>
  </si>
  <si>
    <r>
      <t xml:space="preserve">  </t>
    </r>
    <r>
      <rPr>
        <b/>
        <sz val="10"/>
        <color indexed="63"/>
        <rFont val="Votorantim Sans Black"/>
      </rPr>
      <t>Dados a partir do 1T18</t>
    </r>
  </si>
  <si>
    <r>
      <t xml:space="preserve">  Atualização: </t>
    </r>
    <r>
      <rPr>
        <sz val="12"/>
        <color indexed="63"/>
        <rFont val="Votorantim Sans Black"/>
      </rPr>
      <t>trimestral</t>
    </r>
  </si>
  <si>
    <r>
      <t xml:space="preserve">  Padrão contábil:</t>
    </r>
    <r>
      <rPr>
        <sz val="12"/>
        <color indexed="63"/>
        <rFont val="Votorantim Sans Black"/>
      </rPr>
      <t xml:space="preserve"> IFRS</t>
    </r>
  </si>
  <si>
    <r>
      <t xml:space="preserve">  Unidades de volume:</t>
    </r>
    <r>
      <rPr>
        <sz val="12"/>
        <color indexed="63"/>
        <rFont val="Votorantim Sans Black"/>
      </rPr>
      <t xml:space="preserve"> Toneladas </t>
    </r>
  </si>
  <si>
    <r>
      <t xml:space="preserve">  Moeda funcional: </t>
    </r>
    <r>
      <rPr>
        <sz val="12"/>
        <color indexed="63"/>
        <rFont val="Votorantim Sans Black"/>
      </rPr>
      <t>R$</t>
    </r>
  </si>
  <si>
    <t>Operações por Segmento:</t>
  </si>
  <si>
    <t xml:space="preserve">        </t>
  </si>
  <si>
    <t>Diagrama da Cadeia Produtiva:</t>
  </si>
  <si>
    <r>
      <t>1.</t>
    </r>
    <r>
      <rPr>
        <b/>
        <sz val="7"/>
        <color indexed="18"/>
        <rFont val="Times New Roman"/>
        <family val="1"/>
      </rPr>
      <t xml:space="preserve">     </t>
    </r>
    <r>
      <rPr>
        <b/>
        <sz val="10"/>
        <color indexed="18"/>
        <rFont val="Tahoma"/>
        <family val="2"/>
      </rPr>
      <t>Mineração</t>
    </r>
  </si>
  <si>
    <t xml:space="preserve">A primeira etapa do processo é a extração da bauxita. Segundo o anuário da Associação Brasileira do Alumínio (“ABAL”) de 2019, em termos de reservas totais de bauxita, o Brasil é quarto maior player mundial, com reservas totais de 2.600 milhões de toneladas métricas, o que representa aproximadamente 8,7% das reservas globais. O maior player é a Guiné com aproximadamente 24,7% (7.400 milhões de toneladas), seguida da Austrália com aproximadamente 20% (6.000 milhões de toneladas), Vietnã com 12,3% (3.700 milhões de toneladas). </t>
  </si>
  <si>
    <r>
      <t>2.</t>
    </r>
    <r>
      <rPr>
        <b/>
        <sz val="7"/>
        <color indexed="18"/>
        <rFont val="Times New Roman"/>
        <family val="1"/>
      </rPr>
      <t xml:space="preserve">     </t>
    </r>
    <r>
      <rPr>
        <b/>
        <sz val="10"/>
        <color indexed="18"/>
        <rFont val="Tahoma"/>
        <family val="2"/>
      </rPr>
      <t>Refinaria de Alumina</t>
    </r>
  </si>
  <si>
    <t>Na refinaria, a primeira etapa de produção é a extração do óxido de alumínio (alumina) da bauxita. Isso ocorre por meio de reações químicas com soluções alcalinas associadas a altas pressões e temperaturas, percorrendo assim as etapas de decantação, filtragem, precipitação e calcinação para se transformar em alumina, conforme o processo Bayer. 
Esse processo requer uso de energia, pois é necessário atingir altas temperaturas tanto na mistura inicial da bauxita com soda caustica, até o fim do processo.</t>
  </si>
  <si>
    <r>
      <t>3.</t>
    </r>
    <r>
      <rPr>
        <b/>
        <sz val="7"/>
        <color indexed="18"/>
        <rFont val="Times New Roman"/>
        <family val="1"/>
      </rPr>
      <t xml:space="preserve">     </t>
    </r>
    <r>
      <rPr>
        <b/>
        <sz val="10"/>
        <color indexed="18"/>
        <rFont val="Tahoma"/>
        <family val="2"/>
      </rPr>
      <t>Salas Fornos ("</t>
    </r>
    <r>
      <rPr>
        <b/>
        <i/>
        <sz val="10"/>
        <color indexed="18"/>
        <rFont val="Tahoma"/>
        <family val="2"/>
      </rPr>
      <t>Smelting</t>
    </r>
    <r>
      <rPr>
        <b/>
        <sz val="10"/>
        <color indexed="18"/>
        <rFont val="Tahoma"/>
        <family val="2"/>
      </rPr>
      <t>")</t>
    </r>
  </si>
  <si>
    <t>A alumina é levada aos fornos, onde se adiciona pasta anódica, composta por piche e coque, e é transformada em alumínio líquido, que posteriormente é transportado até as áreas da fundição.
Nesta etapa, a energia é utilizada novamente para gerar grandes temperaturas nos fornos, contudo, o processo é diferente. No processo de Hall-Héroult, o alumínio metálico é produzido, em escala comercial, por meio de eletrólise da alumina obtida pelo processo de Bayer. O processo eletroquímico utilizado na obtenção desse metal consiste na eletrólise da alumina dissolvida em criolita fundida a cerca de 1.010°C, com baixas concentrações de aditivos não decompostos. Por isso, esta é a fase que consome grandes quantidades de energia.</t>
  </si>
  <si>
    <r>
      <t>4.</t>
    </r>
    <r>
      <rPr>
        <b/>
        <sz val="7"/>
        <color indexed="18"/>
        <rFont val="Times New Roman"/>
        <family val="1"/>
      </rPr>
      <t xml:space="preserve">     </t>
    </r>
    <r>
      <rPr>
        <b/>
        <sz val="10"/>
        <color indexed="18"/>
        <rFont val="Tahoma"/>
        <family val="2"/>
      </rPr>
      <t>Fundição</t>
    </r>
  </si>
  <si>
    <t xml:space="preserve">O alumínio líquido abastece os fornos da fundição, nos quais são também adicionadas anteligas e sucatas. Em seguida, o produto é moldado em formato de lingotes, tarugos, placas, rolos caster ou vergalhões. O processo requer altas temperaturas nos fornos e, por consequência o consumo de energia também é relevante. Assim, o alumínio primário é originado nas fábricas. </t>
  </si>
  <si>
    <r>
      <t>5.</t>
    </r>
    <r>
      <rPr>
        <b/>
        <sz val="7"/>
        <color indexed="18"/>
        <rFont val="Times New Roman"/>
        <family val="1"/>
      </rPr>
      <t xml:space="preserve">     </t>
    </r>
    <r>
      <rPr>
        <b/>
        <sz val="10"/>
        <color indexed="18"/>
        <rFont val="Tahoma"/>
        <family val="2"/>
      </rPr>
      <t>Transformação Plástica</t>
    </r>
  </si>
  <si>
    <t>Nessa etapa, para aumentar o valor agregado dos produtos, o alumínio primário é modificado para alumínio transformado por meio de laminação e extrusão, resultando em produtos como folhas, chapas, extrudados, entre outros.</t>
  </si>
  <si>
    <r>
      <t>6.</t>
    </r>
    <r>
      <rPr>
        <b/>
        <sz val="7"/>
        <color indexed="18"/>
        <rFont val="Times New Roman"/>
        <family val="1"/>
      </rPr>
      <t xml:space="preserve">     </t>
    </r>
    <r>
      <rPr>
        <b/>
        <sz val="10"/>
        <color indexed="18"/>
        <rFont val="Tahoma"/>
        <family val="2"/>
      </rPr>
      <t>Reciclagem</t>
    </r>
  </si>
  <si>
    <t xml:space="preserve">Outro fator importante na cadeia do alumínio é a reciclagem, que está diretamente relacionada à energia gasta para a produção do alumínio a partir de bauxita. Por meio da reciclagem é possível economizar até 95% da energia necessária para produzir o alumínio primário, quando comparada com a energia utilizada para produção desde a bauxita. O metal coletado é limpo, triturado e derretido em fornos enquanto é misturado com novo alumínio. Dessa forma, economiza-se a energia utilizada nos processos de mineração, refino e smelting. Somente é necessária que se obtenha a energia para a nova fundição do material reciclado que será vendido como alumínio primário ou transformado. Além disso, como consequência do menor consumo de energia, as emissões de gás carbônico na produção de alumínio reciclado estão abaixo de 1 tonelada de gás carbônico por tonelada (“tCO2/t”) de alumínio, sendo que a média global de emissões de gás carbônico para produção de alumínio primário é de 12 tCO2/t de alumínio. </t>
  </si>
  <si>
    <t xml:space="preserve">Para conhecer um pouco mais sobre o processo de produção assista ao vídeo:  </t>
  </si>
  <si>
    <t>Acesse aqui</t>
  </si>
  <si>
    <t>Geração de energia</t>
  </si>
  <si>
    <t xml:space="preserve">A Companhia possui 21 usinas hidrelétricas com capacidade instalada para geração de 1,4 GW de energia, capaz de atender a praticamente a totalidade do requerimento de energia elétrica para a sua produção de alumínio. A Companhia possui usinas conectadas ao Sistema Integrado Nacional (SIN) e ativos ligados diretamente à unidade de Alumínio, garantindo suprimento e custo competitivo do insumo, além da isenção de alguns encargos, que são aplicados a quem não é autoprodutor. </t>
  </si>
  <si>
    <t>Usina</t>
  </si>
  <si>
    <t>UF</t>
  </si>
  <si>
    <t>Participação CBA</t>
  </si>
  <si>
    <t>Capacidade Total (MW)</t>
  </si>
  <si>
    <t>Garantia física (MWm)³</t>
  </si>
  <si>
    <t>Operação</t>
  </si>
  <si>
    <t>Complexo/ Consórcio</t>
  </si>
  <si>
    <t>Estrutura Societária</t>
  </si>
  <si>
    <t>Vigência da Concessão</t>
  </si>
  <si>
    <t>UHE Alecrim </t>
  </si>
  <si>
    <t>SP</t>
  </si>
  <si>
    <t>Direto à fábrica</t>
  </si>
  <si>
    <t>Juquiá</t>
  </si>
  <si>
    <t>CBA</t>
  </si>
  <si>
    <t>jun-16¹</t>
  </si>
  <si>
    <t>UHE Barra </t>
  </si>
  <si>
    <t>UHE Fumaça </t>
  </si>
  <si>
    <t>UHE França </t>
  </si>
  <si>
    <t>UHE Porto Raso </t>
  </si>
  <si>
    <t>UHE Serraria </t>
  </si>
  <si>
    <t>UHE Salto do Iporanga </t>
  </si>
  <si>
    <t>nov-21²</t>
  </si>
  <si>
    <t>UHE Itupararanga </t>
  </si>
  <si>
    <t>Sorocaba</t>
  </si>
  <si>
    <t>UHE Jurupará </t>
  </si>
  <si>
    <t>CGH Santa Helena </t>
  </si>
  <si>
    <t>Prazo Indeterminado</t>
  </si>
  <si>
    <t>CGH Votorantim </t>
  </si>
  <si>
    <t>UHE Sobragi </t>
  </si>
  <si>
    <t>MG</t>
  </si>
  <si>
    <t>SIN</t>
  </si>
  <si>
    <t>Juiz de Fora</t>
  </si>
  <si>
    <t>UHE Piraju </t>
  </si>
  <si>
    <t>Parapanema</t>
  </si>
  <si>
    <t>UHE Ourinhos </t>
  </si>
  <si>
    <t>UHE Rio Verdinho </t>
  </si>
  <si>
    <t>GO</t>
  </si>
  <si>
    <t>Rio Verdinho</t>
  </si>
  <si>
    <t>UHE Salto Pilão </t>
  </si>
  <si>
    <t>SC</t>
  </si>
  <si>
    <t>Salto Pilão</t>
  </si>
  <si>
    <t>UHE Canoas I </t>
  </si>
  <si>
    <t>Canoas</t>
  </si>
  <si>
    <t>UHE Canoas II </t>
  </si>
  <si>
    <t>UHE Machadinho </t>
  </si>
  <si>
    <t>Machadinho</t>
  </si>
  <si>
    <t>CBA Machadinho</t>
  </si>
  <si>
    <t>UHE Campos Novos </t>
  </si>
  <si>
    <t>Enercan</t>
  </si>
  <si>
    <t>CBA Energia</t>
  </si>
  <si>
    <t>UHE Barra Grande </t>
  </si>
  <si>
    <t>RS</t>
  </si>
  <si>
    <t>Baesa</t>
  </si>
  <si>
    <t>Total</t>
  </si>
  <si>
    <r>
      <rPr>
        <b/>
        <sz val="10"/>
        <rFont val="Votorantim Sans Black"/>
      </rPr>
      <t>¹</t>
    </r>
    <r>
      <rPr>
        <sz val="10"/>
        <rFont val="Votorantim Sans Black"/>
      </rPr>
      <t xml:space="preserve"> O Ministério de Minas e Energia solicitou esclarecimentos à ANEEL relativos à conexão da usina ao SIN. Aguardando a manifestação da ANEEL para o MME.</t>
    </r>
  </si>
  <si>
    <r>
      <rPr>
        <b/>
        <sz val="10"/>
        <rFont val="Votorantim Sans Black"/>
      </rPr>
      <t>²</t>
    </r>
    <r>
      <rPr>
        <sz val="10"/>
        <rFont val="Votorantim Sans Black"/>
      </rPr>
      <t xml:space="preserve"> O processo de prorrogação aguarda decisão pelo Ministério de Minas e Energia. </t>
    </r>
  </si>
  <si>
    <t>³ Referente à participação da CBA</t>
  </si>
  <si>
    <t xml:space="preserve">23% das usinas estão interligadas diretamente nas operações em Alumínio: </t>
  </si>
  <si>
    <t>Capacidade total (MW) - Complexo Sorocaba</t>
  </si>
  <si>
    <t>Capacidade total (MW) - Complexo Juquiá</t>
  </si>
  <si>
    <r>
      <t>Nota</t>
    </r>
    <r>
      <rPr>
        <i/>
        <sz val="10"/>
        <color rgb="FF242424"/>
        <rFont val="Votorantim Sans Black"/>
      </rPr>
      <t>: o parque de usinas ainda conta com outras 5 UHEs operadas por consórcios, como: Machadinho, CAN I&amp;II, Salto Pilão, Baesa, Enercan.</t>
    </r>
  </si>
  <si>
    <t>GLOSSÁRIO</t>
  </si>
  <si>
    <t>UHE - Usina Hidrelétrica</t>
  </si>
  <si>
    <t>CGH - Central de Geração Hidrelétrica</t>
  </si>
  <si>
    <t>SIN - Sistema Integrado Nacional</t>
  </si>
  <si>
    <t>Mil toneladas</t>
  </si>
  <si>
    <t>1T18</t>
  </si>
  <si>
    <t>2T18</t>
  </si>
  <si>
    <t>3T18</t>
  </si>
  <si>
    <t>4T18</t>
  </si>
  <si>
    <t>1T19</t>
  </si>
  <si>
    <t>2T19</t>
  </si>
  <si>
    <t>3T19</t>
  </si>
  <si>
    <t>4T19</t>
  </si>
  <si>
    <t>1T20</t>
  </si>
  <si>
    <t>2T20</t>
  </si>
  <si>
    <t>3T20</t>
  </si>
  <si>
    <t>4T20</t>
  </si>
  <si>
    <t>1T21</t>
  </si>
  <si>
    <t>2T21</t>
  </si>
  <si>
    <t>3T21</t>
  </si>
  <si>
    <t>4T21</t>
  </si>
  <si>
    <t>1T22</t>
  </si>
  <si>
    <t>2T22</t>
  </si>
  <si>
    <t>Primários</t>
  </si>
  <si>
    <t>Lingote¹</t>
  </si>
  <si>
    <t>VAP²</t>
  </si>
  <si>
    <t>Transformados</t>
  </si>
  <si>
    <t>Chapas</t>
  </si>
  <si>
    <t xml:space="preserve">Extrudados </t>
  </si>
  <si>
    <t>Folhas</t>
  </si>
  <si>
    <t>Reciclagem</t>
  </si>
  <si>
    <t>Serviços</t>
  </si>
  <si>
    <t>Vendas</t>
  </si>
  <si>
    <t>Outros</t>
  </si>
  <si>
    <t xml:space="preserve">Lingote³ </t>
  </si>
  <si>
    <t>Alumina</t>
  </si>
  <si>
    <t>Diversos</t>
  </si>
  <si>
    <t>¹ Lingote de alumínio e alumínio líquido</t>
  </si>
  <si>
    <t>² Ligas de alumínio, tarugo e vergalhão</t>
  </si>
  <si>
    <t>³ Trading de lingote</t>
  </si>
  <si>
    <t>R$ milhões</t>
  </si>
  <si>
    <t>CURTO PRAZO</t>
  </si>
  <si>
    <t>LONGO PRAZO</t>
  </si>
  <si>
    <t>DÍVIDA BRUTA</t>
  </si>
  <si>
    <t>CAIXA E EQUIVALENTES</t>
  </si>
  <si>
    <t>INSTRUMENTOS FINANCEIROS DERIVATIVOS</t>
  </si>
  <si>
    <t>ARRENDAMENTOS</t>
  </si>
  <si>
    <t>APLIC. FINANCEIRAS</t>
  </si>
  <si>
    <t>DÍVIDA LÍQUIDA</t>
  </si>
  <si>
    <t>DÍVIDA BRUTA POR MOEDA</t>
  </si>
  <si>
    <t>Real</t>
  </si>
  <si>
    <t>Dólar Norte-Americano</t>
  </si>
  <si>
    <t xml:space="preserve">DÍVIDA BRUTA - VENCIMENTO </t>
  </si>
  <si>
    <t>2027 E APÓS</t>
  </si>
  <si>
    <t>ÍNDICE DE ALAVANCAGEM FINANCEIRA            (Dívida Líquida/EBITDA Ajustado)</t>
  </si>
  <si>
    <t>DEMONSTRAÇÃO DE RESULTADO (R$ Milhões)</t>
  </si>
  <si>
    <t>Receita líquida dos produtos vendidos e dos serviços prestados</t>
  </si>
  <si>
    <t>Custo dos produtos vendidos e dos serviços prestados</t>
  </si>
  <si>
    <t>Lucro bruto</t>
  </si>
  <si>
    <t>Margem Bruta</t>
  </si>
  <si>
    <t>Receitas (despesas) operacionais</t>
  </si>
  <si>
    <t xml:space="preserve">Com vendas </t>
  </si>
  <si>
    <t>Gerais e administrativas</t>
  </si>
  <si>
    <t>Outras receitas (despesas) operacionais, líquidas</t>
  </si>
  <si>
    <t>Lucro operacional antes das participações societárias e do resultado financeiro</t>
  </si>
  <si>
    <t>Resultado de participações societárias</t>
  </si>
  <si>
    <t xml:space="preserve">Equivalência patrimonial </t>
  </si>
  <si>
    <t xml:space="preserve">Resultado financeiro líquido </t>
  </si>
  <si>
    <t>Receitas financeiras</t>
  </si>
  <si>
    <t>Despesas financeiras</t>
  </si>
  <si>
    <t>Resultado dos intrumentos financeiros derivativos</t>
  </si>
  <si>
    <t>Variações cambiais, líquidas</t>
  </si>
  <si>
    <t>Lucro (prejuízo) antes do imposto de renda e da contribuição social</t>
  </si>
  <si>
    <t xml:space="preserve">Imposto de renda e contribuição social </t>
  </si>
  <si>
    <t>Correntes</t>
  </si>
  <si>
    <t>Diferidos</t>
  </si>
  <si>
    <t>Lucro (prejuízo) líquido do período</t>
  </si>
  <si>
    <t>Participação dos controladores</t>
  </si>
  <si>
    <t>Participação dos não-controladores</t>
  </si>
  <si>
    <t xml:space="preserve">Depreciação &amp; amortização </t>
  </si>
  <si>
    <t>Itens excepcionais</t>
  </si>
  <si>
    <t>EBITDA Ajustado</t>
  </si>
  <si>
    <t>MARGEM EBITDA ajustada</t>
  </si>
  <si>
    <t>BALANÇO PATRIMONIAL (R$ Milhões)</t>
  </si>
  <si>
    <t>ATIVO CIRCULANTE</t>
  </si>
  <si>
    <t>Caixa e equivalentes de caixa</t>
  </si>
  <si>
    <t>Aplicações financeiras</t>
  </si>
  <si>
    <t xml:space="preserve">Instrumentos financeiros derivativos </t>
  </si>
  <si>
    <t>Contas a receber de clientes</t>
  </si>
  <si>
    <t>Estoques</t>
  </si>
  <si>
    <t>Tributos a recuperar</t>
  </si>
  <si>
    <t>Dividendos a receber</t>
  </si>
  <si>
    <t>Instrumentos financeiros - compromisso firme</t>
  </si>
  <si>
    <t>Outros ativos</t>
  </si>
  <si>
    <t>NÃO CIRCULANTE</t>
  </si>
  <si>
    <t>Realizável a longo prazo</t>
  </si>
  <si>
    <t>Instrumentos financeiros derivativos</t>
  </si>
  <si>
    <t>Imposto de renda e contribuição social diferidos</t>
  </si>
  <si>
    <t xml:space="preserve">Partes relacionadas </t>
  </si>
  <si>
    <t>Depósitos judiciais</t>
  </si>
  <si>
    <t>Investimentos</t>
  </si>
  <si>
    <t>Imobilizado</t>
  </si>
  <si>
    <t>Intangível</t>
  </si>
  <si>
    <t>Direito de uso</t>
  </si>
  <si>
    <t>TOTAL DO ATIVO</t>
  </si>
  <si>
    <t>PASSIVO CIRCULANTE</t>
  </si>
  <si>
    <t>Empréstimos e financiamentos</t>
  </si>
  <si>
    <t>Arrendamentos</t>
  </si>
  <si>
    <t>Risco sacado a pagar</t>
  </si>
  <si>
    <t>Fornecedores</t>
  </si>
  <si>
    <t>Salários e encargos sociais</t>
  </si>
  <si>
    <t>Tributos a recolher</t>
  </si>
  <si>
    <t>Adiantamento de clientes</t>
  </si>
  <si>
    <t>Dividendos a pagar</t>
  </si>
  <si>
    <t>Uso do bem público - UBP</t>
  </si>
  <si>
    <t>Contratos futuros de energia</t>
  </si>
  <si>
    <t>Partes relacionadas</t>
  </si>
  <si>
    <t>Provisões</t>
  </si>
  <si>
    <t>Outros passivos</t>
  </si>
  <si>
    <t xml:space="preserve">Empréstimos e financiamentos </t>
  </si>
  <si>
    <t>PATRIMÔNIO LÍQUIDO</t>
  </si>
  <si>
    <t>Capital social</t>
  </si>
  <si>
    <t>Reserva de Lucros</t>
  </si>
  <si>
    <t>Lucro (prejuízos) acumulados</t>
  </si>
  <si>
    <t>Ajustes de avaliação patrimonial</t>
  </si>
  <si>
    <t>Patrimônio líquido atribuído aos acionistas controladores</t>
  </si>
  <si>
    <t>Participação dos acionistas não controladores</t>
  </si>
  <si>
    <t>TOTAL DO PASSIVO E PATRIMONIO LÍQUIDO</t>
  </si>
  <si>
    <t>Câmbio médio</t>
  </si>
  <si>
    <t>Câmbio final</t>
  </si>
  <si>
    <t>LME Médio (US$)</t>
  </si>
  <si>
    <t xml:space="preserve"> R$ milhões </t>
  </si>
  <si>
    <t>Consolidado</t>
  </si>
  <si>
    <t>Receita Líquida - Sem eliminações</t>
  </si>
  <si>
    <t>(-) Eliminações</t>
  </si>
  <si>
    <t>Receita Líquida</t>
  </si>
  <si>
    <t>Lucro Bruto</t>
  </si>
  <si>
    <t>DEPRECIAÇÃO</t>
  </si>
  <si>
    <t>Alumínio</t>
  </si>
  <si>
    <t>Hedge</t>
  </si>
  <si>
    <t>Lucro (Prejuízo) Bruto</t>
  </si>
  <si>
    <t>Energia</t>
  </si>
  <si>
    <t>Níquel</t>
  </si>
  <si>
    <t>% dos custos</t>
  </si>
  <si>
    <t>Pessoal</t>
  </si>
  <si>
    <t>Manutenção</t>
  </si>
  <si>
    <t>Depreciação</t>
  </si>
  <si>
    <t>Matérias-primas</t>
  </si>
  <si>
    <t>Legenda</t>
  </si>
  <si>
    <t>Despesas com salários e benefícios a empregados</t>
  </si>
  <si>
    <t>Custo com manutenção, conservação e serviços na operação</t>
  </si>
  <si>
    <t>Depreciação, amortização e exaustão</t>
  </si>
  <si>
    <t>Matérias-primas, insumos e materiais de consumo, incluindo custo com energia</t>
  </si>
  <si>
    <t>Outras despesas e serviços gerais</t>
  </si>
  <si>
    <t>R$/t</t>
  </si>
  <si>
    <t>Alumínio líquido</t>
  </si>
  <si>
    <t>Pasta anódica</t>
  </si>
  <si>
    <t>Energia elétrica</t>
  </si>
  <si>
    <t>Outros custos variáveis</t>
  </si>
  <si>
    <t>Custos fixos</t>
  </si>
  <si>
    <t>Adição de metal</t>
  </si>
  <si>
    <t>Custo de transformação variável</t>
  </si>
  <si>
    <t>Custo de transformação fixo</t>
  </si>
  <si>
    <t>Volume produzido (mil toneladas)</t>
  </si>
  <si>
    <t>Lingote</t>
  </si>
  <si>
    <t>Alumínio Líquido</t>
  </si>
  <si>
    <t>Alumina:</t>
  </si>
  <si>
    <t>Pasta anódica:</t>
  </si>
  <si>
    <t>Piche e coque e demais custos fixos e variáveis</t>
  </si>
  <si>
    <t>Energia Elétrica:</t>
  </si>
  <si>
    <t xml:space="preserve">Custos de energia consumida sobre a operação e geração das usinas </t>
  </si>
  <si>
    <t>Depreciação:</t>
  </si>
  <si>
    <t>Depreciação dos imobilizados e intangíveis relativos às usinas, minerações, alumina e salas fornos</t>
  </si>
  <si>
    <t>Custos Fixos:</t>
  </si>
  <si>
    <t>Despesas com pessoal e despesas gerais de fabricação</t>
  </si>
  <si>
    <t>Outros custos variáveis:</t>
  </si>
  <si>
    <t xml:space="preserve">Despesas com energia elétrica auxiliar e outras matérias-primas </t>
  </si>
  <si>
    <t>Alumínio líquido:</t>
  </si>
  <si>
    <t>Custo do alumínio líquido para produção de 1 tonelada de primários, inferior ao custo da tonelada de alumínio líquido produzido dado que é necessário menos que 1 tonelada de alumínio líquido para produção de 1 tonelada de primários</t>
  </si>
  <si>
    <t>Adição de metal:</t>
  </si>
  <si>
    <t>Sucata advindo da cadeia de produção e metal comprado de terceiros</t>
  </si>
  <si>
    <t>Depreciação dos imobilizados e intangíveis da fase da fundição, além da depreciação proporcional ao alumínio líquido consumido.</t>
  </si>
  <si>
    <t>Custo de Transformação Fixo:</t>
  </si>
  <si>
    <t>Despesas com pessoal, serviços, manutenção e demais custos fixos</t>
  </si>
  <si>
    <t>Custo de Transformação Variável:</t>
  </si>
  <si>
    <t>Despesas de combustível, energia elétrica, fretes, gás, materiais de embalagens, materiais auxiliares e demais custos variáveis</t>
  </si>
  <si>
    <t>Custo do alumínio para produção de 1 tonelada de transformados, inferior ao custo da tonelada de alumínio líquido produzido dado que é necessário menos que 1 tonelada de alumínio líquido para produção de 1 tonelada de transformados</t>
  </si>
  <si>
    <t>Depreciação dos imobilizados e intangíveis da fase da transformação plástica, além da depreciação proporcional ao alumínio líquido consumido na fase do caster e placa.</t>
  </si>
  <si>
    <t>Despesas com pessoal, serviços, material e manutenção e demais custos fixos</t>
  </si>
  <si>
    <t>Reciclagem:</t>
  </si>
  <si>
    <t>Custo total do produto vendido de tarugo e do serviço prestado na transformação de sucata de terceiro</t>
  </si>
  <si>
    <t>CPV Trading de Lingote:</t>
  </si>
  <si>
    <t>Custo total do produto vendido de lingote importado</t>
  </si>
  <si>
    <t>CPV Outros:</t>
  </si>
  <si>
    <r>
      <t xml:space="preserve">Custo total do </t>
    </r>
    <r>
      <rPr>
        <i/>
        <sz val="11"/>
        <color theme="1"/>
        <rFont val="Votorantim Sans Black"/>
      </rPr>
      <t>trading</t>
    </r>
    <r>
      <rPr>
        <sz val="11"/>
        <color theme="1"/>
        <rFont val="Votorantim Sans Black"/>
      </rPr>
      <t xml:space="preserve"> de alumina (</t>
    </r>
    <r>
      <rPr>
        <i/>
        <sz val="11"/>
        <color theme="1"/>
        <rFont val="Votorantim Sans Black"/>
      </rPr>
      <t xml:space="preserve">take </t>
    </r>
    <r>
      <rPr>
        <sz val="11"/>
        <color theme="1"/>
        <rFont val="Votorantim Sans Black"/>
      </rPr>
      <t>Alunorte) e venda de sucata, borra, óxido, hidrato</t>
    </r>
  </si>
  <si>
    <t>CAPEX</t>
  </si>
  <si>
    <t>Expansão &amp; Modernização</t>
  </si>
  <si>
    <t>Reforma de fornos</t>
  </si>
  <si>
    <t>TOTAL</t>
  </si>
  <si>
    <t>Ciclo Financeiro</t>
  </si>
  <si>
    <t>Clientes</t>
  </si>
  <si>
    <t>Risco Sacado</t>
  </si>
  <si>
    <t>DCG - Capital de Giro</t>
  </si>
  <si>
    <t>Número de dias do Trimestre</t>
  </si>
  <si>
    <t>Dias de Capital de Giro</t>
  </si>
  <si>
    <t>FCL</t>
  </si>
  <si>
    <t>Capital de giro</t>
  </si>
  <si>
    <t>IR/CS</t>
  </si>
  <si>
    <t>CAPEX¹</t>
  </si>
  <si>
    <t>Financeiro²</t>
  </si>
  <si>
    <t>Dividendos pagos</t>
  </si>
  <si>
    <t>Oferta pública de ações</t>
  </si>
  <si>
    <t>FCF</t>
  </si>
  <si>
    <t>¹ Capex regime competência</t>
  </si>
  <si>
    <t>(-) Eliminações¹</t>
  </si>
  <si>
    <t>¹ Eliminações das vendas de energia para o negócio de alumínio, também consideradas no CPV</t>
  </si>
  <si>
    <t>Matérias-primas de consumo na produção da Alumina, incluindo bauxita, soda, gás e demais custos fixos e variáveis</t>
  </si>
  <si>
    <t>² Juros de aplicação, dívida e hedge</t>
  </si>
  <si>
    <t>Investimentos³</t>
  </si>
  <si>
    <t>³ Aquisição e venda de ativos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</si>
</sst>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_(* #,##0_);_(* \(#,##0\);_(* &quot;-&quot;??_);_(@_)"/>
    <numFmt numFmtId="166" formatCode="[$-416]mmmm\-yy;@"/>
    <numFmt numFmtId="167" formatCode="_-* #,##0.00\ _€_-;\-* #,##0.00\ _€_-;_-* &quot;-&quot;??\ _€_-;_-@_-"/>
    <numFmt numFmtId="168" formatCode="_-* #,##0_-;\-* #,##0_-;_-* &quot;-&quot;??_-;_-@_-"/>
    <numFmt numFmtId="169" formatCode="0.0"/>
    <numFmt numFmtId="170" formatCode="[$-416]mmm\-yy;@"/>
    <numFmt numFmtId="171" formatCode="0.0%"/>
  </numFmts>
  <fonts count="74">
    <font>
      <sz val="10"/>
      <name val="Arial"/>
    </font>
    <font>
      <sz val="10"/>
      <name val="Arial"/>
      <family val="2"/>
    </font>
    <font>
      <sz val="8"/>
      <name val="Arial"/>
      <family val="2"/>
    </font>
    <font>
      <u/>
      <sz val="10"/>
      <color indexed="52"/>
      <name val="Arial"/>
      <family val="2"/>
    </font>
    <font>
      <b/>
      <sz val="11"/>
      <color indexed="8"/>
      <name val="Calibri"/>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sz val="10"/>
      <name val="Arial"/>
      <family val="2"/>
    </font>
    <font>
      <b/>
      <sz val="10"/>
      <name val="Votorantim Sans Black"/>
    </font>
    <font>
      <b/>
      <sz val="11"/>
      <color indexed="12"/>
      <name val="Votorantim Sans Black"/>
    </font>
    <font>
      <sz val="10"/>
      <name val="Votorantim Sans Black"/>
    </font>
    <font>
      <u/>
      <sz val="12"/>
      <color indexed="18"/>
      <name val="Votorantim Sans Black"/>
    </font>
    <font>
      <sz val="12"/>
      <name val="Votorantim Sans Black"/>
    </font>
    <font>
      <sz val="12"/>
      <color indexed="18"/>
      <name val="Votorantim Sans Black"/>
    </font>
    <font>
      <sz val="10"/>
      <color indexed="18"/>
      <name val="Votorantim Sans Black"/>
    </font>
    <font>
      <b/>
      <sz val="12"/>
      <color indexed="18"/>
      <name val="Votorantim Sans Black"/>
    </font>
    <font>
      <sz val="9"/>
      <color indexed="18"/>
      <name val="Votorantim Sans Black"/>
    </font>
    <font>
      <sz val="9"/>
      <name val="Votorantim Sans Black"/>
    </font>
    <font>
      <b/>
      <sz val="10"/>
      <color indexed="18"/>
      <name val="Votorantim Sans Black"/>
    </font>
    <font>
      <b/>
      <sz val="11"/>
      <color indexed="18"/>
      <name val="Votorantim Sans Black"/>
    </font>
    <font>
      <b/>
      <u/>
      <sz val="12"/>
      <color indexed="52"/>
      <name val="Votorantim Sans Black"/>
    </font>
    <font>
      <sz val="10"/>
      <color indexed="10"/>
      <name val="Votorantim Sans Black"/>
    </font>
    <font>
      <u/>
      <sz val="10"/>
      <color indexed="52"/>
      <name val="Votorantim Sans Black"/>
    </font>
    <font>
      <sz val="11"/>
      <name val="Votorantim Sans Black"/>
    </font>
    <font>
      <b/>
      <sz val="10"/>
      <color indexed="44"/>
      <name val="Votorantim Sans Black"/>
    </font>
    <font>
      <i/>
      <sz val="10"/>
      <name val="Votorantim Sans Black"/>
    </font>
    <font>
      <b/>
      <sz val="11"/>
      <name val="Votorantim Sans Black"/>
    </font>
    <font>
      <i/>
      <sz val="11"/>
      <name val="Votorantim Sans Black"/>
    </font>
    <font>
      <b/>
      <i/>
      <sz val="11"/>
      <name val="Votorantim Sans Black"/>
    </font>
    <font>
      <sz val="12"/>
      <color indexed="63"/>
      <name val="Votorantim Sans Black"/>
    </font>
    <font>
      <sz val="11"/>
      <name val="Arial"/>
      <family val="2"/>
    </font>
    <font>
      <b/>
      <sz val="11"/>
      <name val="Arial"/>
      <family val="2"/>
    </font>
    <font>
      <b/>
      <sz val="10"/>
      <color indexed="63"/>
      <name val="Votorantim Sans Black"/>
    </font>
    <font>
      <b/>
      <sz val="7"/>
      <color indexed="18"/>
      <name val="Times New Roman"/>
      <family val="1"/>
    </font>
    <font>
      <b/>
      <sz val="10"/>
      <color indexed="18"/>
      <name val="Tahoma"/>
      <family val="2"/>
    </font>
    <font>
      <b/>
      <i/>
      <sz val="10"/>
      <color indexed="18"/>
      <name val="Tahoma"/>
      <family val="2"/>
    </font>
    <font>
      <sz val="11"/>
      <color theme="1"/>
      <name val="Calibri"/>
      <family val="2"/>
      <scheme val="minor"/>
    </font>
    <font>
      <sz val="12"/>
      <color rgb="FF002060"/>
      <name val="Barlow"/>
    </font>
    <font>
      <sz val="10"/>
      <color rgb="FF002060"/>
      <name val="Barlow"/>
    </font>
    <font>
      <sz val="11"/>
      <color rgb="FF002060"/>
      <name val="Barlow"/>
    </font>
    <font>
      <b/>
      <sz val="11"/>
      <color rgb="FF5600EB"/>
      <name val="Votorantim Sans Black"/>
    </font>
    <font>
      <sz val="12"/>
      <color rgb="FF5600EB"/>
      <name val="Votorantim Sans Black"/>
    </font>
    <font>
      <b/>
      <sz val="14"/>
      <color rgb="FF5600EB"/>
      <name val="Votorantim Sans Black"/>
    </font>
    <font>
      <sz val="10"/>
      <color rgb="FF002060"/>
      <name val="Votorantim Sans Black"/>
    </font>
    <font>
      <sz val="10"/>
      <color theme="4" tint="-0.249977111117893"/>
      <name val="Votorantim Sans Black"/>
    </font>
    <font>
      <b/>
      <sz val="8"/>
      <color theme="4" tint="-0.249977111117893"/>
      <name val="Votorantim Sans Black"/>
    </font>
    <font>
      <sz val="11"/>
      <color rgb="FF002060"/>
      <name val="Votorantim Sans Black"/>
    </font>
    <font>
      <b/>
      <sz val="11"/>
      <color rgb="FF002060"/>
      <name val="Votorantim Sans Black"/>
    </font>
    <font>
      <b/>
      <sz val="11"/>
      <color theme="0"/>
      <name val="Votorantim Sans Black"/>
    </font>
    <font>
      <b/>
      <sz val="11"/>
      <color theme="1"/>
      <name val="Votorantim Sans Black"/>
    </font>
    <font>
      <sz val="10"/>
      <color theme="1"/>
      <name val="Votorantim Sans Black"/>
    </font>
    <font>
      <sz val="11"/>
      <color theme="1"/>
      <name val="Votorantim Sans Black"/>
    </font>
    <font>
      <b/>
      <sz val="10"/>
      <color theme="1"/>
      <name val="Votorantim Sans Black"/>
    </font>
    <font>
      <b/>
      <u/>
      <sz val="12"/>
      <color theme="1"/>
      <name val="Votorantim Sans Black"/>
    </font>
    <font>
      <u/>
      <sz val="12"/>
      <color theme="1"/>
      <name val="Votorantim Sans Black"/>
    </font>
    <font>
      <sz val="12"/>
      <color theme="1"/>
      <name val="Votorantim Sans Black"/>
    </font>
    <font>
      <b/>
      <sz val="12"/>
      <color theme="1"/>
      <name val="Votorantim Sans Black"/>
    </font>
    <font>
      <b/>
      <sz val="9"/>
      <color theme="1"/>
      <name val="Votorantim Sans Black"/>
    </font>
    <font>
      <sz val="9"/>
      <color theme="1"/>
      <name val="Votorantim Sans Black"/>
    </font>
    <font>
      <i/>
      <sz val="11"/>
      <color rgb="FF002060"/>
      <name val="Votorantim Sans Black"/>
    </font>
    <font>
      <b/>
      <sz val="12"/>
      <color rgb="FF000080"/>
      <name val="Votorantim Sans Black"/>
    </font>
    <font>
      <b/>
      <u/>
      <sz val="12"/>
      <color rgb="FF000080"/>
      <name val="Votorantim Sans Black"/>
    </font>
    <font>
      <i/>
      <sz val="10"/>
      <color rgb="FF002060"/>
      <name val="Votorantim Sans Black"/>
    </font>
    <font>
      <sz val="10"/>
      <name val="Arial"/>
      <family val="2"/>
    </font>
    <font>
      <b/>
      <sz val="9"/>
      <name val="Votorantim Sans Black"/>
    </font>
    <font>
      <sz val="9"/>
      <color theme="1"/>
      <name val="Calibri"/>
      <family val="2"/>
      <scheme val="minor"/>
    </font>
    <font>
      <i/>
      <sz val="11"/>
      <color theme="1"/>
      <name val="Votorantim Sans Black"/>
    </font>
    <font>
      <sz val="11"/>
      <color theme="4"/>
      <name val="Votorantim Sans Black"/>
    </font>
    <font>
      <i/>
      <sz val="10"/>
      <color rgb="FF242424"/>
      <name val="Votorantim Sans Black"/>
    </font>
  </fonts>
  <fills count="6">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00599C"/>
        <bgColor indexed="64"/>
      </patternFill>
    </fill>
  </fills>
  <borders count="16">
    <border>
      <left/>
      <right/>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23"/>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style="thick">
        <color indexed="23"/>
      </bottom>
      <diagonal/>
    </border>
    <border>
      <left style="thin">
        <color indexed="64"/>
      </left>
      <right/>
      <top/>
      <bottom/>
      <diagonal/>
    </border>
    <border>
      <left/>
      <right/>
      <top style="thick">
        <color indexed="23"/>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s>
  <cellStyleXfs count="23">
    <xf numFmtId="0" fontId="0" fillId="0" borderId="0"/>
    <xf numFmtId="0" fontId="6" fillId="0" borderId="0"/>
    <xf numFmtId="0" fontId="6" fillId="0" borderId="0"/>
    <xf numFmtId="0" fontId="3"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5" fillId="0" borderId="0"/>
    <xf numFmtId="0" fontId="41" fillId="0" borderId="0"/>
    <xf numFmtId="0" fontId="6" fillId="2" borderId="1" applyNumberFormat="0" applyFont="0" applyAlignment="0" applyProtection="0"/>
    <xf numFmtId="9" fontId="1" fillId="0" borderId="0" applyFont="0" applyFill="0" applyBorder="0" applyAlignment="0" applyProtection="0"/>
    <xf numFmtId="9"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4" fillId="0" borderId="2" applyNumberFormat="0" applyFill="0" applyAlignment="0" applyProtection="0"/>
    <xf numFmtId="164" fontId="1" fillId="0" borderId="0" applyFont="0" applyFill="0" applyBorder="0" applyAlignment="0" applyProtection="0"/>
    <xf numFmtId="164" fontId="6" fillId="0" borderId="0" applyFont="0" applyFill="0" applyBorder="0" applyAlignment="0" applyProtection="0"/>
    <xf numFmtId="164" fontId="12"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8" fillId="0" borderId="0" applyFont="0" applyFill="0" applyBorder="0" applyAlignment="0" applyProtection="0"/>
    <xf numFmtId="9" fontId="68" fillId="0" borderId="0" applyFont="0" applyFill="0" applyBorder="0" applyAlignment="0" applyProtection="0"/>
    <xf numFmtId="0" fontId="1" fillId="0" borderId="0"/>
  </cellStyleXfs>
  <cellXfs count="291">
    <xf numFmtId="0" fontId="0" fillId="0" borderId="0" xfId="0"/>
    <xf numFmtId="0" fontId="8" fillId="3" borderId="0" xfId="0" applyFont="1" applyFill="1"/>
    <xf numFmtId="0" fontId="9" fillId="0" borderId="0" xfId="0" applyFont="1"/>
    <xf numFmtId="0" fontId="10" fillId="3" borderId="0" xfId="0" applyFont="1" applyFill="1"/>
    <xf numFmtId="0" fontId="10" fillId="0" borderId="0" xfId="0" applyFont="1"/>
    <xf numFmtId="166" fontId="11" fillId="3" borderId="0" xfId="0" applyNumberFormat="1" applyFont="1" applyFill="1" applyAlignment="1">
      <alignment horizontal="right"/>
    </xf>
    <xf numFmtId="0" fontId="42" fillId="3" borderId="0" xfId="0" applyFont="1" applyFill="1"/>
    <xf numFmtId="0" fontId="42" fillId="3" borderId="0" xfId="3" applyFont="1" applyFill="1" applyAlignment="1" applyProtection="1"/>
    <xf numFmtId="0" fontId="43" fillId="3" borderId="0" xfId="0" applyFont="1" applyFill="1"/>
    <xf numFmtId="0" fontId="43" fillId="4" borderId="0" xfId="0" applyFont="1" applyFill="1"/>
    <xf numFmtId="0" fontId="43" fillId="0" borderId="0" xfId="0" applyFont="1"/>
    <xf numFmtId="0" fontId="42" fillId="4" borderId="0" xfId="0" applyFont="1" applyFill="1"/>
    <xf numFmtId="0" fontId="42" fillId="0" borderId="0" xfId="0" applyFont="1"/>
    <xf numFmtId="0" fontId="44" fillId="3" borderId="0" xfId="3" applyFont="1" applyFill="1" applyAlignment="1" applyProtection="1">
      <alignment vertical="center"/>
    </xf>
    <xf numFmtId="0" fontId="13" fillId="3" borderId="0" xfId="0" applyFont="1" applyFill="1"/>
    <xf numFmtId="0" fontId="45" fillId="3" borderId="0" xfId="3" applyFont="1" applyFill="1" applyAlignment="1" applyProtection="1">
      <alignment vertical="center"/>
    </xf>
    <xf numFmtId="0" fontId="46" fillId="3" borderId="0" xfId="0" applyFont="1" applyFill="1"/>
    <xf numFmtId="0" fontId="46" fillId="3" borderId="0" xfId="0" applyFont="1" applyFill="1" applyAlignment="1">
      <alignment horizontal="center"/>
    </xf>
    <xf numFmtId="0" fontId="47"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20" fillId="0" borderId="0" xfId="0" applyFont="1"/>
    <xf numFmtId="14" fontId="17" fillId="0" borderId="0" xfId="0" applyNumberFormat="1" applyFont="1"/>
    <xf numFmtId="0" fontId="21" fillId="0" borderId="0" xfId="0" applyFont="1"/>
    <xf numFmtId="0" fontId="22" fillId="0" borderId="0" xfId="0" applyFont="1"/>
    <xf numFmtId="165" fontId="21" fillId="0" borderId="0" xfId="0" applyNumberFormat="1" applyFont="1"/>
    <xf numFmtId="0" fontId="19" fillId="0" borderId="0" xfId="0" applyFont="1"/>
    <xf numFmtId="0" fontId="21" fillId="0" borderId="0" xfId="0" applyFont="1" applyAlignment="1">
      <alignment horizontal="left"/>
    </xf>
    <xf numFmtId="0" fontId="19" fillId="0" borderId="0" xfId="0" applyFont="1" applyAlignment="1">
      <alignment vertical="center"/>
    </xf>
    <xf numFmtId="165" fontId="21" fillId="0" borderId="0" xfId="0" applyNumberFormat="1" applyFont="1" applyAlignment="1">
      <alignment vertical="center"/>
    </xf>
    <xf numFmtId="165" fontId="19" fillId="3" borderId="0" xfId="0" applyNumberFormat="1" applyFont="1" applyFill="1"/>
    <xf numFmtId="0" fontId="23" fillId="0" borderId="0" xfId="0" applyFont="1"/>
    <xf numFmtId="0" fontId="19" fillId="4" borderId="0" xfId="0" applyFont="1" applyFill="1"/>
    <xf numFmtId="0" fontId="48" fillId="0" borderId="0" xfId="0" applyFont="1"/>
    <xf numFmtId="14" fontId="15" fillId="0" borderId="0" xfId="0" applyNumberFormat="1" applyFont="1"/>
    <xf numFmtId="0" fontId="25" fillId="0" borderId="0" xfId="3" applyFont="1" applyAlignment="1" applyProtection="1"/>
    <xf numFmtId="0" fontId="26" fillId="0" borderId="0" xfId="0" applyFont="1"/>
    <xf numFmtId="0" fontId="27" fillId="0" borderId="0" xfId="3" applyFont="1" applyAlignment="1" applyProtection="1"/>
    <xf numFmtId="0" fontId="28" fillId="4" borderId="0" xfId="0" applyFont="1" applyFill="1"/>
    <xf numFmtId="0" fontId="49" fillId="0" borderId="0" xfId="0" applyFont="1"/>
    <xf numFmtId="0" fontId="15" fillId="3" borderId="0" xfId="0" applyFont="1" applyFill="1"/>
    <xf numFmtId="0" fontId="50" fillId="0" borderId="0" xfId="0" applyFont="1"/>
    <xf numFmtId="0" fontId="29" fillId="3" borderId="0" xfId="0" applyFont="1" applyFill="1"/>
    <xf numFmtId="0" fontId="14" fillId="3" borderId="0" xfId="0" applyFont="1" applyFill="1"/>
    <xf numFmtId="0" fontId="15" fillId="3" borderId="0" xfId="0" applyFont="1" applyFill="1" applyAlignment="1">
      <alignment vertical="center"/>
    </xf>
    <xf numFmtId="0" fontId="28" fillId="3" borderId="0" xfId="0" applyFont="1" applyFill="1" applyAlignment="1">
      <alignment vertical="center"/>
    </xf>
    <xf numFmtId="0" fontId="24" fillId="3" borderId="0" xfId="0" applyFont="1" applyFill="1" applyAlignment="1">
      <alignment horizontal="left" vertical="center"/>
    </xf>
    <xf numFmtId="0" fontId="13" fillId="3" borderId="0" xfId="0" applyFont="1" applyFill="1" applyAlignment="1">
      <alignment vertical="center"/>
    </xf>
    <xf numFmtId="165" fontId="13" fillId="3" borderId="0" xfId="0" applyNumberFormat="1" applyFont="1" applyFill="1" applyAlignment="1">
      <alignment vertical="center"/>
    </xf>
    <xf numFmtId="0" fontId="15" fillId="0" borderId="0" xfId="0" applyFont="1" applyAlignment="1">
      <alignment vertical="center"/>
    </xf>
    <xf numFmtId="0" fontId="51" fillId="3" borderId="0" xfId="0" applyFont="1" applyFill="1" applyAlignment="1">
      <alignment vertical="center"/>
    </xf>
    <xf numFmtId="165" fontId="28" fillId="3" borderId="0" xfId="0" applyNumberFormat="1" applyFont="1" applyFill="1"/>
    <xf numFmtId="0" fontId="24" fillId="3" borderId="0" xfId="0" applyFont="1" applyFill="1" applyAlignment="1">
      <alignment horizontal="right" vertical="center"/>
    </xf>
    <xf numFmtId="0" fontId="52" fillId="3" borderId="0" xfId="0" applyFont="1" applyFill="1" applyAlignment="1">
      <alignment vertical="center"/>
    </xf>
    <xf numFmtId="165" fontId="52" fillId="3" borderId="0" xfId="0" applyNumberFormat="1" applyFont="1" applyFill="1" applyAlignment="1">
      <alignment vertical="center"/>
    </xf>
    <xf numFmtId="0" fontId="32" fillId="3" borderId="0" xfId="0" applyFont="1" applyFill="1"/>
    <xf numFmtId="0" fontId="33" fillId="3" borderId="0" xfId="0" applyFont="1" applyFill="1"/>
    <xf numFmtId="0" fontId="23" fillId="3" borderId="0" xfId="0" applyFont="1" applyFill="1"/>
    <xf numFmtId="0" fontId="53" fillId="5" borderId="3" xfId="0" applyFont="1" applyFill="1" applyBorder="1" applyAlignment="1">
      <alignment horizontal="left" vertical="center"/>
    </xf>
    <xf numFmtId="0" fontId="53" fillId="5" borderId="3" xfId="0" applyFont="1" applyFill="1" applyBorder="1" applyAlignment="1">
      <alignment horizontal="center" vertical="center" wrapText="1"/>
    </xf>
    <xf numFmtId="0" fontId="54" fillId="3" borderId="0" xfId="0" applyFont="1" applyFill="1" applyAlignment="1">
      <alignment horizontal="left" vertical="center"/>
    </xf>
    <xf numFmtId="0" fontId="54" fillId="4" borderId="0" xfId="0" applyFont="1" applyFill="1" applyAlignment="1">
      <alignment horizontal="center" vertical="center" wrapText="1"/>
    </xf>
    <xf numFmtId="0" fontId="54" fillId="3" borderId="0" xfId="0" applyFont="1" applyFill="1" applyAlignment="1">
      <alignment vertical="center"/>
    </xf>
    <xf numFmtId="165" fontId="56" fillId="0" borderId="0" xfId="13" applyNumberFormat="1" applyFont="1" applyFill="1" applyBorder="1"/>
    <xf numFmtId="0" fontId="54" fillId="0" borderId="4" xfId="0" applyFont="1" applyBorder="1"/>
    <xf numFmtId="165" fontId="54" fillId="0" borderId="4" xfId="13" applyNumberFormat="1" applyFont="1" applyFill="1" applyBorder="1"/>
    <xf numFmtId="165" fontId="56" fillId="0" borderId="5" xfId="13" applyNumberFormat="1" applyFont="1" applyFill="1" applyBorder="1"/>
    <xf numFmtId="165" fontId="56" fillId="0" borderId="6" xfId="13" applyNumberFormat="1" applyFont="1" applyFill="1" applyBorder="1"/>
    <xf numFmtId="0" fontId="13" fillId="3" borderId="0" xfId="0" applyFont="1" applyFill="1" applyAlignment="1">
      <alignment horizontal="left" vertical="center"/>
    </xf>
    <xf numFmtId="0" fontId="31" fillId="0" borderId="3" xfId="0" applyFont="1" applyBorder="1" applyAlignment="1">
      <alignment horizontal="left" vertical="center"/>
    </xf>
    <xf numFmtId="0" fontId="31" fillId="0" borderId="0" xfId="0" applyFont="1"/>
    <xf numFmtId="0" fontId="28" fillId="0" borderId="0" xfId="0" applyFont="1"/>
    <xf numFmtId="0" fontId="31" fillId="0" borderId="4" xfId="0" applyFont="1" applyBorder="1"/>
    <xf numFmtId="0" fontId="28" fillId="0" borderId="5" xfId="0" applyFont="1" applyBorder="1"/>
    <xf numFmtId="0" fontId="28" fillId="0" borderId="7" xfId="0" applyFont="1" applyBorder="1"/>
    <xf numFmtId="0" fontId="53" fillId="5" borderId="3" xfId="0" applyFont="1" applyFill="1" applyBorder="1"/>
    <xf numFmtId="0" fontId="53" fillId="5" borderId="3" xfId="0" applyFont="1" applyFill="1" applyBorder="1" applyAlignment="1">
      <alignment horizontal="right"/>
    </xf>
    <xf numFmtId="0" fontId="53" fillId="5" borderId="3" xfId="0" applyFont="1" applyFill="1" applyBorder="1" applyAlignment="1">
      <alignment horizontal="right" vertical="center" wrapText="1"/>
    </xf>
    <xf numFmtId="0" fontId="58" fillId="0" borderId="0" xfId="0" applyFont="1" applyAlignment="1">
      <alignment horizontal="left"/>
    </xf>
    <xf numFmtId="0" fontId="59" fillId="0" borderId="0" xfId="0" applyFont="1"/>
    <xf numFmtId="0" fontId="60" fillId="0" borderId="0" xfId="0" applyFont="1"/>
    <xf numFmtId="0" fontId="61" fillId="0" borderId="0" xfId="0" applyFont="1"/>
    <xf numFmtId="0" fontId="62" fillId="0" borderId="0" xfId="0" applyFont="1"/>
    <xf numFmtId="0" fontId="63" fillId="0" borderId="0" xfId="0" applyFont="1"/>
    <xf numFmtId="165" fontId="63" fillId="0" borderId="0" xfId="0" applyNumberFormat="1" applyFont="1"/>
    <xf numFmtId="0" fontId="55" fillId="0" borderId="0" xfId="0" applyFont="1"/>
    <xf numFmtId="0" fontId="58" fillId="0" borderId="0" xfId="0" applyFont="1"/>
    <xf numFmtId="0" fontId="56" fillId="0" borderId="5" xfId="0" applyFont="1" applyBorder="1" applyAlignment="1">
      <alignment horizontal="left" indent="2"/>
    </xf>
    <xf numFmtId="0" fontId="56" fillId="0" borderId="6" xfId="0" applyFont="1" applyBorder="1" applyAlignment="1">
      <alignment horizontal="left" indent="2"/>
    </xf>
    <xf numFmtId="0" fontId="56" fillId="0" borderId="0" xfId="0" applyFont="1" applyAlignment="1">
      <alignment horizontal="left" indent="2"/>
    </xf>
    <xf numFmtId="0" fontId="54" fillId="0" borderId="9" xfId="0" applyFont="1" applyBorder="1"/>
    <xf numFmtId="165" fontId="54" fillId="0" borderId="9" xfId="13" applyNumberFormat="1" applyFont="1" applyFill="1" applyBorder="1"/>
    <xf numFmtId="0" fontId="64" fillId="3" borderId="0" xfId="0" applyFont="1" applyFill="1" applyAlignment="1">
      <alignment vertical="center"/>
    </xf>
    <xf numFmtId="0" fontId="35" fillId="0" borderId="5" xfId="0" applyFont="1" applyBorder="1" applyAlignment="1">
      <alignment horizontal="left" indent="2"/>
    </xf>
    <xf numFmtId="0" fontId="35" fillId="0" borderId="7" xfId="0" applyFont="1" applyBorder="1" applyAlignment="1">
      <alignment horizontal="left" indent="2"/>
    </xf>
    <xf numFmtId="0" fontId="35" fillId="0" borderId="6" xfId="0" applyFont="1" applyBorder="1" applyAlignment="1">
      <alignment horizontal="left" indent="2"/>
    </xf>
    <xf numFmtId="0" fontId="36" fillId="0" borderId="4" xfId="0" applyFont="1" applyBorder="1" applyAlignment="1">
      <alignment horizontal="left"/>
    </xf>
    <xf numFmtId="0" fontId="36" fillId="0" borderId="9" xfId="0" applyFont="1" applyBorder="1" applyAlignment="1">
      <alignment horizontal="left"/>
    </xf>
    <xf numFmtId="0" fontId="35" fillId="0" borderId="0" xfId="0" applyFont="1" applyAlignment="1">
      <alignment horizontal="left" indent="2"/>
    </xf>
    <xf numFmtId="0" fontId="28" fillId="0" borderId="0" xfId="0" applyFont="1" applyAlignment="1">
      <alignment horizontal="left" indent="2"/>
    </xf>
    <xf numFmtId="0" fontId="28" fillId="0" borderId="7" xfId="0" applyFont="1" applyBorder="1" applyAlignment="1">
      <alignment horizontal="left" indent="2"/>
    </xf>
    <xf numFmtId="0" fontId="52" fillId="3" borderId="0" xfId="0" applyFont="1" applyFill="1" applyAlignment="1">
      <alignment horizontal="left" vertical="center"/>
    </xf>
    <xf numFmtId="0" fontId="65" fillId="0" borderId="0" xfId="0" applyFont="1"/>
    <xf numFmtId="0" fontId="15" fillId="0" borderId="0" xfId="0" applyFont="1" applyAlignment="1">
      <alignment wrapText="1"/>
    </xf>
    <xf numFmtId="0" fontId="66" fillId="0" borderId="0" xfId="3" applyFont="1" applyAlignment="1" applyProtection="1"/>
    <xf numFmtId="9" fontId="28" fillId="0" borderId="0" xfId="8" applyFont="1" applyFill="1"/>
    <xf numFmtId="9" fontId="28" fillId="0" borderId="5" xfId="8" applyFont="1" applyFill="1" applyBorder="1"/>
    <xf numFmtId="9" fontId="28" fillId="0" borderId="7" xfId="8" applyFont="1" applyFill="1" applyBorder="1"/>
    <xf numFmtId="9" fontId="31" fillId="0" borderId="4" xfId="8" applyFont="1" applyFill="1" applyBorder="1" applyAlignment="1">
      <alignment horizontal="right"/>
    </xf>
    <xf numFmtId="0" fontId="32" fillId="4" borderId="0" xfId="0" applyFont="1" applyFill="1"/>
    <xf numFmtId="165" fontId="28" fillId="4" borderId="0" xfId="0" applyNumberFormat="1" applyFont="1" applyFill="1"/>
    <xf numFmtId="37" fontId="13" fillId="0" borderId="0" xfId="0" applyNumberFormat="1" applyFont="1"/>
    <xf numFmtId="9" fontId="31" fillId="0" borderId="0" xfId="9" applyFont="1" applyFill="1" applyBorder="1" applyAlignment="1">
      <alignment horizontal="right"/>
    </xf>
    <xf numFmtId="9" fontId="31" fillId="0" borderId="4" xfId="9" applyFont="1" applyFill="1" applyBorder="1" applyAlignment="1">
      <alignment horizontal="right"/>
    </xf>
    <xf numFmtId="0" fontId="54" fillId="0" borderId="4" xfId="0" applyFont="1" applyBorder="1" applyAlignment="1">
      <alignment vertical="center"/>
    </xf>
    <xf numFmtId="0" fontId="54" fillId="0" borderId="0" xfId="0" applyFont="1" applyAlignment="1">
      <alignment vertical="center"/>
    </xf>
    <xf numFmtId="0" fontId="56" fillId="0" borderId="0" xfId="0" applyFont="1" applyAlignment="1">
      <alignment vertical="center"/>
    </xf>
    <xf numFmtId="0" fontId="56" fillId="0" borderId="4" xfId="0" applyFont="1" applyBorder="1" applyAlignment="1">
      <alignment vertical="center"/>
    </xf>
    <xf numFmtId="0" fontId="54" fillId="0" borderId="9" xfId="0" applyFont="1" applyBorder="1" applyAlignment="1">
      <alignment vertical="center"/>
    </xf>
    <xf numFmtId="0" fontId="54" fillId="0" borderId="8" xfId="0" applyFont="1" applyBorder="1" applyAlignment="1">
      <alignment horizontal="left" vertical="center"/>
    </xf>
    <xf numFmtId="0" fontId="56" fillId="0" borderId="10" xfId="0" applyFont="1" applyBorder="1" applyAlignment="1">
      <alignment vertical="center"/>
    </xf>
    <xf numFmtId="0" fontId="56" fillId="0" borderId="8" xfId="0" applyFont="1" applyBorder="1" applyAlignment="1">
      <alignment vertical="center"/>
    </xf>
    <xf numFmtId="0" fontId="57" fillId="0" borderId="4" xfId="0" applyFont="1" applyBorder="1" applyAlignment="1">
      <alignment vertical="center"/>
    </xf>
    <xf numFmtId="0" fontId="56" fillId="0" borderId="7" xfId="0" applyFont="1" applyBorder="1" applyAlignment="1">
      <alignment horizontal="left" vertical="center"/>
    </xf>
    <xf numFmtId="0" fontId="56" fillId="0" borderId="0" xfId="20" applyNumberFormat="1" applyFont="1" applyFill="1" applyAlignment="1">
      <alignment horizontal="left" vertical="center"/>
    </xf>
    <xf numFmtId="0" fontId="56" fillId="0" borderId="0" xfId="0" applyFont="1" applyAlignment="1">
      <alignment horizontal="left" vertical="center"/>
    </xf>
    <xf numFmtId="0" fontId="56" fillId="0" borderId="5" xfId="0" applyFont="1" applyBorder="1" applyAlignment="1">
      <alignment horizontal="left" vertical="center"/>
    </xf>
    <xf numFmtId="0" fontId="54" fillId="0" borderId="4" xfId="0" applyFont="1" applyBorder="1" applyAlignment="1">
      <alignment horizontal="center" vertical="center" wrapText="1"/>
    </xf>
    <xf numFmtId="0" fontId="31" fillId="0" borderId="4" xfId="0" applyFont="1" applyBorder="1" applyAlignment="1">
      <alignment vertical="center"/>
    </xf>
    <xf numFmtId="0" fontId="28" fillId="0" borderId="0" xfId="0" applyFont="1" applyAlignment="1">
      <alignment horizontal="left" vertical="center"/>
    </xf>
    <xf numFmtId="165" fontId="28" fillId="0" borderId="0" xfId="20" applyNumberFormat="1" applyFont="1" applyFill="1" applyBorder="1" applyAlignment="1">
      <alignment vertical="center"/>
    </xf>
    <xf numFmtId="0" fontId="32" fillId="0" borderId="0" xfId="0" applyFont="1" applyAlignment="1">
      <alignment horizontal="left" vertical="center"/>
    </xf>
    <xf numFmtId="0" fontId="31" fillId="0" borderId="8" xfId="0" applyFont="1" applyBorder="1" applyAlignment="1">
      <alignment vertical="center"/>
    </xf>
    <xf numFmtId="0" fontId="28" fillId="0" borderId="0" xfId="0" applyFont="1" applyAlignment="1">
      <alignment horizontal="left" vertical="center" indent="2"/>
    </xf>
    <xf numFmtId="0" fontId="51" fillId="0" borderId="0" xfId="0" applyFont="1" applyAlignment="1">
      <alignment vertical="center"/>
    </xf>
    <xf numFmtId="0" fontId="28" fillId="0" borderId="7" xfId="0" applyFont="1" applyBorder="1" applyAlignment="1">
      <alignment horizontal="left" vertical="center" indent="2"/>
    </xf>
    <xf numFmtId="165" fontId="28" fillId="0" borderId="7" xfId="20" applyNumberFormat="1" applyFont="1" applyFill="1" applyBorder="1" applyAlignment="1">
      <alignment horizontal="center" vertical="center"/>
    </xf>
    <xf numFmtId="0" fontId="28" fillId="0" borderId="0" xfId="0" applyFont="1" applyAlignment="1">
      <alignment vertical="center"/>
    </xf>
    <xf numFmtId="0" fontId="31" fillId="0" borderId="0" xfId="0" applyFont="1" applyAlignment="1">
      <alignment horizontal="left" vertical="center"/>
    </xf>
    <xf numFmtId="0" fontId="28" fillId="0" borderId="10" xfId="0" applyFont="1" applyBorder="1" applyAlignment="1">
      <alignment horizontal="left" vertical="center"/>
    </xf>
    <xf numFmtId="0" fontId="28" fillId="0" borderId="6" xfId="0" applyFont="1" applyBorder="1" applyAlignment="1">
      <alignment vertical="center"/>
    </xf>
    <xf numFmtId="3" fontId="28" fillId="0" borderId="0" xfId="0" applyNumberFormat="1" applyFont="1" applyAlignment="1">
      <alignment vertical="center"/>
    </xf>
    <xf numFmtId="0" fontId="31" fillId="0" borderId="0" xfId="0" applyFont="1" applyAlignment="1">
      <alignment vertical="center"/>
    </xf>
    <xf numFmtId="0" fontId="31" fillId="0" borderId="0" xfId="0" applyFont="1" applyAlignment="1">
      <alignment horizontal="center" vertical="center"/>
    </xf>
    <xf numFmtId="0" fontId="31" fillId="0" borderId="4" xfId="0" applyFont="1" applyBorder="1" applyAlignment="1">
      <alignment horizontal="left" vertical="center"/>
    </xf>
    <xf numFmtId="0" fontId="28" fillId="0" borderId="7" xfId="0" applyFont="1" applyBorder="1" applyAlignment="1">
      <alignment horizontal="left" vertical="center"/>
    </xf>
    <xf numFmtId="0" fontId="28" fillId="0" borderId="7" xfId="0" applyFont="1" applyBorder="1" applyAlignment="1">
      <alignment vertical="center"/>
    </xf>
    <xf numFmtId="165" fontId="28" fillId="0" borderId="7" xfId="20" applyNumberFormat="1" applyFont="1" applyFill="1" applyBorder="1" applyAlignment="1">
      <alignment vertical="center"/>
    </xf>
    <xf numFmtId="165" fontId="28" fillId="0" borderId="0" xfId="20" quotePrefix="1" applyNumberFormat="1" applyFont="1" applyFill="1" applyBorder="1" applyAlignment="1">
      <alignment vertical="center"/>
    </xf>
    <xf numFmtId="0" fontId="32" fillId="0" borderId="0" xfId="0" applyFont="1" applyAlignment="1">
      <alignment vertical="center"/>
    </xf>
    <xf numFmtId="164" fontId="32" fillId="0" borderId="0" xfId="20" applyFont="1" applyFill="1" applyBorder="1" applyAlignment="1">
      <alignment vertical="center"/>
    </xf>
    <xf numFmtId="164" fontId="32" fillId="0" borderId="0" xfId="20" applyFont="1" applyFill="1" applyBorder="1" applyAlignment="1">
      <alignment horizontal="right" vertical="center"/>
    </xf>
    <xf numFmtId="0" fontId="64" fillId="0" borderId="0" xfId="0" applyFont="1" applyAlignment="1">
      <alignment vertical="center"/>
    </xf>
    <xf numFmtId="0" fontId="31" fillId="0" borderId="4" xfId="0" applyFont="1" applyBorder="1" applyAlignment="1">
      <alignment horizontal="right" vertical="center"/>
    </xf>
    <xf numFmtId="165" fontId="31" fillId="0" borderId="0" xfId="20" applyNumberFormat="1" applyFont="1" applyFill="1" applyAlignment="1">
      <alignment vertical="center"/>
    </xf>
    <xf numFmtId="165" fontId="31" fillId="0" borderId="7" xfId="20" applyNumberFormat="1" applyFont="1" applyFill="1" applyBorder="1" applyAlignment="1">
      <alignment vertical="center"/>
    </xf>
    <xf numFmtId="165" fontId="31" fillId="0" borderId="0" xfId="20" applyNumberFormat="1" applyFont="1" applyFill="1" applyAlignment="1">
      <alignment horizontal="right" vertical="center"/>
    </xf>
    <xf numFmtId="37" fontId="31" fillId="0" borderId="4" xfId="0" applyNumberFormat="1" applyFont="1" applyBorder="1" applyAlignment="1">
      <alignment horizontal="right"/>
    </xf>
    <xf numFmtId="165" fontId="28" fillId="0" borderId="0" xfId="20" applyNumberFormat="1" applyFont="1" applyFill="1" applyAlignment="1">
      <alignment horizontal="center" vertical="center"/>
    </xf>
    <xf numFmtId="165" fontId="28" fillId="0" borderId="0" xfId="20" applyNumberFormat="1" applyFont="1" applyFill="1" applyAlignment="1">
      <alignment vertical="center"/>
    </xf>
    <xf numFmtId="165" fontId="28" fillId="0" borderId="0" xfId="20" applyNumberFormat="1" applyFont="1" applyFill="1" applyAlignment="1">
      <alignment horizontal="right" vertical="center"/>
    </xf>
    <xf numFmtId="37" fontId="28" fillId="0" borderId="0" xfId="0" applyNumberFormat="1" applyFont="1" applyAlignment="1">
      <alignment horizontal="right"/>
    </xf>
    <xf numFmtId="0" fontId="28" fillId="0" borderId="4" xfId="0" applyFont="1" applyBorder="1" applyAlignment="1">
      <alignment horizontal="right" vertical="center"/>
    </xf>
    <xf numFmtId="0" fontId="30" fillId="0" borderId="0" xfId="0" applyFont="1" applyAlignment="1">
      <alignment vertical="center"/>
    </xf>
    <xf numFmtId="0" fontId="67" fillId="0" borderId="0" xfId="0" applyFont="1" applyAlignment="1">
      <alignment vertical="center"/>
    </xf>
    <xf numFmtId="165" fontId="56" fillId="0" borderId="0" xfId="20" applyNumberFormat="1" applyFont="1" applyFill="1" applyAlignment="1">
      <alignment vertical="center"/>
    </xf>
    <xf numFmtId="165" fontId="56" fillId="0" borderId="4" xfId="20" applyNumberFormat="1" applyFont="1" applyFill="1" applyBorder="1" applyAlignment="1">
      <alignment vertical="center"/>
    </xf>
    <xf numFmtId="165" fontId="54" fillId="0" borderId="4" xfId="20" applyNumberFormat="1" applyFont="1" applyFill="1" applyBorder="1" applyAlignment="1">
      <alignment vertical="center"/>
    </xf>
    <xf numFmtId="165" fontId="54" fillId="0" borderId="9" xfId="20" applyNumberFormat="1" applyFont="1" applyFill="1" applyBorder="1" applyAlignment="1">
      <alignment vertical="center"/>
    </xf>
    <xf numFmtId="0" fontId="54" fillId="0" borderId="8" xfId="0" applyFont="1" applyBorder="1" applyAlignment="1">
      <alignment vertical="center"/>
    </xf>
    <xf numFmtId="165" fontId="56" fillId="0" borderId="10" xfId="20" applyNumberFormat="1" applyFont="1" applyFill="1" applyBorder="1" applyAlignment="1">
      <alignment vertical="center"/>
    </xf>
    <xf numFmtId="165" fontId="56" fillId="0" borderId="8" xfId="20" applyNumberFormat="1" applyFont="1" applyFill="1" applyBorder="1" applyAlignment="1">
      <alignment vertical="center"/>
    </xf>
    <xf numFmtId="165" fontId="56" fillId="0" borderId="8" xfId="20" applyNumberFormat="1" applyFont="1" applyFill="1" applyBorder="1" applyAlignment="1">
      <alignment horizontal="center" vertical="center"/>
    </xf>
    <xf numFmtId="0" fontId="55" fillId="0" borderId="0" xfId="0" applyFont="1" applyAlignment="1">
      <alignment vertical="center"/>
    </xf>
    <xf numFmtId="165" fontId="54" fillId="0" borderId="0" xfId="20" applyNumberFormat="1" applyFont="1" applyFill="1" applyAlignment="1">
      <alignment vertical="center"/>
    </xf>
    <xf numFmtId="0" fontId="55" fillId="0" borderId="4" xfId="0" applyFont="1" applyBorder="1" applyAlignment="1">
      <alignment vertical="center"/>
    </xf>
    <xf numFmtId="165" fontId="56" fillId="0" borderId="7" xfId="20" applyNumberFormat="1" applyFont="1" applyFill="1" applyBorder="1" applyAlignment="1">
      <alignment vertical="center"/>
    </xf>
    <xf numFmtId="164" fontId="55" fillId="0" borderId="7" xfId="20" applyFont="1" applyFill="1" applyBorder="1" applyAlignment="1">
      <alignment vertical="center"/>
    </xf>
    <xf numFmtId="0" fontId="55" fillId="0" borderId="5" xfId="0" applyFont="1" applyBorder="1" applyAlignment="1">
      <alignment vertical="center"/>
    </xf>
    <xf numFmtId="165" fontId="56" fillId="0" borderId="5" xfId="20" applyNumberFormat="1" applyFont="1" applyFill="1" applyBorder="1" applyAlignment="1">
      <alignment vertical="center"/>
    </xf>
    <xf numFmtId="164" fontId="54" fillId="0" borderId="4" xfId="20" applyFont="1" applyFill="1" applyBorder="1" applyAlignment="1">
      <alignment vertical="center"/>
    </xf>
    <xf numFmtId="165" fontId="31" fillId="0" borderId="4" xfId="20" applyNumberFormat="1" applyFont="1" applyFill="1" applyBorder="1" applyAlignment="1">
      <alignment vertical="center"/>
    </xf>
    <xf numFmtId="165" fontId="31" fillId="0" borderId="4" xfId="20" applyNumberFormat="1" applyFont="1" applyFill="1" applyBorder="1" applyAlignment="1">
      <alignment horizontal="right" vertical="center"/>
    </xf>
    <xf numFmtId="9" fontId="32" fillId="0" borderId="0" xfId="21" applyFont="1" applyFill="1" applyBorder="1" applyAlignment="1">
      <alignment vertical="center"/>
    </xf>
    <xf numFmtId="165" fontId="31" fillId="0" borderId="8" xfId="20" applyNumberFormat="1" applyFont="1" applyFill="1" applyBorder="1" applyAlignment="1">
      <alignment vertical="center"/>
    </xf>
    <xf numFmtId="165" fontId="28" fillId="0" borderId="0" xfId="20" applyNumberFormat="1" applyFont="1" applyFill="1" applyBorder="1" applyAlignment="1">
      <alignment horizontal="center" vertical="center"/>
    </xf>
    <xf numFmtId="165" fontId="31" fillId="0" borderId="0" xfId="20" applyNumberFormat="1" applyFont="1" applyFill="1" applyBorder="1" applyAlignment="1">
      <alignment horizontal="center" vertical="center"/>
    </xf>
    <xf numFmtId="165" fontId="28" fillId="0" borderId="5" xfId="20" applyNumberFormat="1" applyFont="1" applyFill="1" applyBorder="1" applyAlignment="1">
      <alignment horizontal="center" vertical="center"/>
    </xf>
    <xf numFmtId="165" fontId="28" fillId="0" borderId="6" xfId="20" applyNumberFormat="1" applyFont="1" applyFill="1" applyBorder="1" applyAlignment="1">
      <alignment horizontal="center" vertical="center"/>
    </xf>
    <xf numFmtId="165" fontId="31" fillId="0" borderId="4" xfId="20" applyNumberFormat="1" applyFont="1" applyFill="1" applyBorder="1" applyAlignment="1">
      <alignment horizontal="center" vertical="center"/>
    </xf>
    <xf numFmtId="165" fontId="31" fillId="0" borderId="9" xfId="20" applyNumberFormat="1" applyFont="1" applyFill="1" applyBorder="1" applyAlignment="1">
      <alignment horizontal="center" vertical="center"/>
    </xf>
    <xf numFmtId="165" fontId="28" fillId="0" borderId="10" xfId="20" applyNumberFormat="1" applyFont="1" applyFill="1" applyBorder="1" applyAlignment="1">
      <alignment horizontal="center" vertical="center"/>
    </xf>
    <xf numFmtId="165" fontId="28" fillId="0" borderId="6" xfId="20" applyNumberFormat="1" applyFont="1" applyFill="1" applyBorder="1" applyAlignment="1">
      <alignment vertical="center"/>
    </xf>
    <xf numFmtId="165" fontId="31" fillId="0" borderId="4" xfId="0" applyNumberFormat="1" applyFont="1" applyBorder="1" applyAlignment="1">
      <alignment horizontal="right" vertical="center"/>
    </xf>
    <xf numFmtId="165" fontId="28" fillId="0" borderId="0" xfId="0" applyNumberFormat="1" applyFont="1" applyAlignment="1">
      <alignment vertical="center"/>
    </xf>
    <xf numFmtId="3" fontId="28" fillId="0" borderId="7" xfId="0" applyNumberFormat="1" applyFont="1" applyBorder="1" applyAlignment="1">
      <alignment vertical="center"/>
    </xf>
    <xf numFmtId="165" fontId="28" fillId="0" borderId="7" xfId="0" applyNumberFormat="1" applyFont="1" applyBorder="1" applyAlignment="1">
      <alignment vertical="center"/>
    </xf>
    <xf numFmtId="168" fontId="28" fillId="0" borderId="7" xfId="20" applyNumberFormat="1" applyFont="1" applyFill="1" applyBorder="1" applyAlignment="1">
      <alignment vertical="center"/>
    </xf>
    <xf numFmtId="164" fontId="28" fillId="0" borderId="7" xfId="20" applyFont="1" applyFill="1" applyBorder="1" applyAlignment="1">
      <alignment vertical="center"/>
    </xf>
    <xf numFmtId="3" fontId="31" fillId="0" borderId="0" xfId="0" applyNumberFormat="1" applyFont="1" applyAlignment="1">
      <alignment horizontal="right" vertical="center"/>
    </xf>
    <xf numFmtId="3" fontId="28" fillId="0" borderId="7" xfId="0" applyNumberFormat="1" applyFont="1" applyBorder="1" applyAlignment="1">
      <alignment horizontal="right" vertical="center"/>
    </xf>
    <xf numFmtId="3" fontId="28" fillId="0" borderId="6" xfId="0" applyNumberFormat="1" applyFont="1" applyBorder="1" applyAlignment="1">
      <alignment vertical="center"/>
    </xf>
    <xf numFmtId="165" fontId="31" fillId="0" borderId="0" xfId="20" applyNumberFormat="1" applyFont="1" applyFill="1" applyBorder="1" applyAlignment="1">
      <alignment vertical="center"/>
    </xf>
    <xf numFmtId="168" fontId="28" fillId="0" borderId="0" xfId="20" applyNumberFormat="1" applyFont="1" applyFill="1" applyBorder="1" applyAlignment="1">
      <alignment vertical="center"/>
    </xf>
    <xf numFmtId="165" fontId="15" fillId="3" borderId="0" xfId="0" applyNumberFormat="1" applyFont="1" applyFill="1"/>
    <xf numFmtId="0" fontId="13" fillId="0" borderId="0" xfId="0" applyFont="1" applyAlignment="1">
      <alignment horizontal="center"/>
    </xf>
    <xf numFmtId="165" fontId="28" fillId="0" borderId="7" xfId="20" applyNumberFormat="1" applyFont="1" applyFill="1" applyBorder="1" applyAlignment="1">
      <alignment horizontal="right" vertical="center"/>
    </xf>
    <xf numFmtId="165" fontId="55" fillId="0" borderId="0" xfId="0" applyNumberFormat="1" applyFont="1" applyAlignment="1">
      <alignment vertical="center"/>
    </xf>
    <xf numFmtId="0" fontId="52" fillId="0" borderId="0" xfId="0" applyFont="1" applyAlignment="1">
      <alignment vertical="center"/>
    </xf>
    <xf numFmtId="165" fontId="28" fillId="0" borderId="0" xfId="13" applyNumberFormat="1" applyFont="1" applyFill="1" applyBorder="1" applyAlignment="1">
      <alignment horizontal="center" vertical="center"/>
    </xf>
    <xf numFmtId="165" fontId="64" fillId="0" borderId="0" xfId="20" applyNumberFormat="1" applyFont="1" applyFill="1" applyBorder="1" applyAlignment="1">
      <alignment vertical="center"/>
    </xf>
    <xf numFmtId="0" fontId="28" fillId="0" borderId="7" xfId="0" applyFont="1" applyBorder="1" applyAlignment="1">
      <alignment horizontal="left" indent="1"/>
    </xf>
    <xf numFmtId="0" fontId="28" fillId="0" borderId="0" xfId="0" applyFont="1" applyAlignment="1">
      <alignment horizontal="left" indent="1"/>
    </xf>
    <xf numFmtId="165" fontId="31" fillId="0" borderId="0" xfId="20" applyNumberFormat="1" applyFont="1" applyFill="1" applyAlignment="1">
      <alignment horizontal="center" vertical="center"/>
    </xf>
    <xf numFmtId="165" fontId="13" fillId="3" borderId="0" xfId="13" applyNumberFormat="1" applyFont="1" applyFill="1"/>
    <xf numFmtId="165" fontId="31" fillId="0" borderId="4" xfId="9" applyNumberFormat="1" applyFont="1" applyFill="1" applyBorder="1" applyAlignment="1">
      <alignment horizontal="right"/>
    </xf>
    <xf numFmtId="165" fontId="56" fillId="0" borderId="5" xfId="13" applyNumberFormat="1" applyFont="1" applyFill="1" applyBorder="1" applyAlignment="1">
      <alignment horizontal="left" indent="2"/>
    </xf>
    <xf numFmtId="0" fontId="56" fillId="0" borderId="7" xfId="0" applyFont="1" applyBorder="1" applyAlignment="1">
      <alignment horizontal="left" indent="2"/>
    </xf>
    <xf numFmtId="165" fontId="56" fillId="0" borderId="7" xfId="13" applyNumberFormat="1" applyFont="1" applyFill="1" applyBorder="1"/>
    <xf numFmtId="0" fontId="63" fillId="0" borderId="0" xfId="0" applyFont="1" applyAlignment="1">
      <alignment horizontal="left" indent="2"/>
    </xf>
    <xf numFmtId="165" fontId="69" fillId="3" borderId="0" xfId="13" applyNumberFormat="1" applyFont="1" applyFill="1"/>
    <xf numFmtId="165" fontId="15" fillId="3" borderId="0" xfId="0" applyNumberFormat="1" applyFont="1" applyFill="1" applyAlignment="1">
      <alignment vertical="center"/>
    </xf>
    <xf numFmtId="165" fontId="15" fillId="0" borderId="0" xfId="0" applyNumberFormat="1" applyFont="1"/>
    <xf numFmtId="0" fontId="70" fillId="4" borderId="0" xfId="0" applyFont="1" applyFill="1"/>
    <xf numFmtId="0" fontId="63" fillId="4" borderId="0" xfId="0" applyFont="1" applyFill="1"/>
    <xf numFmtId="0" fontId="54" fillId="4" borderId="0" xfId="0" applyFont="1" applyFill="1"/>
    <xf numFmtId="0" fontId="56" fillId="0" borderId="0" xfId="0" applyFont="1"/>
    <xf numFmtId="0" fontId="56" fillId="4" borderId="0" xfId="0" applyFont="1" applyFill="1"/>
    <xf numFmtId="0" fontId="56" fillId="4" borderId="0" xfId="0" applyFont="1" applyFill="1" applyAlignment="1">
      <alignment horizontal="justify"/>
    </xf>
    <xf numFmtId="0" fontId="15" fillId="0" borderId="0" xfId="0" applyFont="1" applyAlignment="1">
      <alignment horizontal="left" wrapText="1"/>
    </xf>
    <xf numFmtId="0" fontId="1" fillId="0" borderId="0" xfId="0" applyFont="1" applyAlignment="1">
      <alignment horizontal="left" vertical="center" wrapText="1"/>
    </xf>
    <xf numFmtId="0" fontId="53" fillId="5" borderId="11" xfId="0" applyFont="1" applyFill="1" applyBorder="1" applyAlignment="1">
      <alignment horizontal="left" vertical="center"/>
    </xf>
    <xf numFmtId="0" fontId="53" fillId="5" borderId="11" xfId="0" applyFont="1" applyFill="1" applyBorder="1" applyAlignment="1">
      <alignment horizontal="center" vertical="center"/>
    </xf>
    <xf numFmtId="0" fontId="53" fillId="5" borderId="11" xfId="0" applyFont="1" applyFill="1" applyBorder="1" applyAlignment="1">
      <alignment horizontal="center" vertical="center" wrapText="1"/>
    </xf>
    <xf numFmtId="0" fontId="56" fillId="0" borderId="12" xfId="0" applyFont="1" applyBorder="1" applyAlignment="1">
      <alignment horizontal="left" vertical="center"/>
    </xf>
    <xf numFmtId="0" fontId="56" fillId="0" borderId="0" xfId="0" applyFont="1" applyAlignment="1">
      <alignment horizontal="center" vertical="center"/>
    </xf>
    <xf numFmtId="9" fontId="72" fillId="0" borderId="13" xfId="0" applyNumberFormat="1" applyFont="1" applyBorder="1" applyAlignment="1">
      <alignment horizontal="center" vertical="center"/>
    </xf>
    <xf numFmtId="169" fontId="28" fillId="0" borderId="7" xfId="0" applyNumberFormat="1" applyFont="1" applyBorder="1" applyAlignment="1">
      <alignment horizontal="center" vertical="center"/>
    </xf>
    <xf numFmtId="170" fontId="28" fillId="0" borderId="7" xfId="0" applyNumberFormat="1" applyFont="1" applyBorder="1" applyAlignment="1">
      <alignment horizontal="center" vertical="center"/>
    </xf>
    <xf numFmtId="0" fontId="56" fillId="0" borderId="14" xfId="0" applyFont="1" applyBorder="1" applyAlignment="1">
      <alignment horizontal="left" vertical="center"/>
    </xf>
    <xf numFmtId="0" fontId="56" fillId="0" borderId="7" xfId="0" applyFont="1" applyBorder="1" applyAlignment="1">
      <alignment horizontal="center" vertical="center"/>
    </xf>
    <xf numFmtId="9" fontId="72" fillId="0" borderId="7" xfId="0" applyNumberFormat="1" applyFont="1" applyBorder="1" applyAlignment="1">
      <alignment horizontal="center" vertical="center"/>
    </xf>
    <xf numFmtId="171" fontId="56" fillId="0" borderId="7" xfId="0" applyNumberFormat="1" applyFont="1" applyBorder="1" applyAlignment="1">
      <alignment horizontal="center" vertical="center"/>
    </xf>
    <xf numFmtId="169" fontId="53" fillId="5" borderId="11" xfId="0" applyNumberFormat="1" applyFont="1" applyFill="1" applyBorder="1" applyAlignment="1">
      <alignment horizontal="center" vertical="center"/>
    </xf>
    <xf numFmtId="0" fontId="15" fillId="0" borderId="0" xfId="0" applyFont="1" applyAlignment="1">
      <alignment vertical="top" wrapText="1"/>
    </xf>
    <xf numFmtId="169" fontId="15" fillId="0" borderId="0" xfId="0" applyNumberFormat="1" applyFont="1" applyAlignment="1">
      <alignment horizontal="center"/>
    </xf>
    <xf numFmtId="0" fontId="13" fillId="0" borderId="0" xfId="0" applyFont="1" applyAlignment="1">
      <alignment horizontal="right"/>
    </xf>
    <xf numFmtId="169" fontId="13" fillId="0" borderId="6" xfId="0" applyNumberFormat="1" applyFont="1" applyBorder="1" applyAlignment="1">
      <alignment horizontal="center"/>
    </xf>
    <xf numFmtId="9" fontId="15" fillId="0" borderId="0" xfId="8" applyFont="1" applyAlignment="1">
      <alignment horizontal="center"/>
    </xf>
    <xf numFmtId="0" fontId="30" fillId="0" borderId="0" xfId="0" applyFont="1"/>
    <xf numFmtId="9" fontId="15" fillId="3" borderId="0" xfId="8" applyFont="1" applyFill="1"/>
    <xf numFmtId="9" fontId="54" fillId="0" borderId="4" xfId="8" applyFont="1" applyFill="1" applyBorder="1"/>
    <xf numFmtId="9" fontId="54" fillId="0" borderId="9" xfId="8" applyFont="1" applyFill="1" applyBorder="1"/>
    <xf numFmtId="9" fontId="56" fillId="0" borderId="0" xfId="8" applyFont="1" applyFill="1" applyBorder="1"/>
    <xf numFmtId="9" fontId="56" fillId="0" borderId="5" xfId="8" applyFont="1" applyFill="1" applyBorder="1"/>
    <xf numFmtId="9" fontId="56" fillId="0" borderId="6" xfId="8" applyFont="1" applyFill="1" applyBorder="1"/>
    <xf numFmtId="9" fontId="56" fillId="0" borderId="15" xfId="8" applyFont="1" applyFill="1" applyBorder="1"/>
    <xf numFmtId="0" fontId="53" fillId="0" borderId="0" xfId="0" applyFont="1" applyAlignment="1">
      <alignment horizontal="right"/>
    </xf>
    <xf numFmtId="165" fontId="31" fillId="0" borderId="0" xfId="0" applyNumberFormat="1" applyFont="1" applyAlignment="1">
      <alignment horizontal="right" vertical="center"/>
    </xf>
    <xf numFmtId="164" fontId="28" fillId="0" borderId="0" xfId="20" applyFont="1" applyFill="1" applyBorder="1" applyAlignment="1">
      <alignment vertical="center"/>
    </xf>
    <xf numFmtId="165" fontId="31" fillId="0" borderId="0" xfId="20" applyNumberFormat="1" applyFont="1" applyFill="1" applyBorder="1" applyAlignment="1">
      <alignment horizontal="right" vertical="center"/>
    </xf>
    <xf numFmtId="3" fontId="28" fillId="0" borderId="0" xfId="0" applyNumberFormat="1" applyFont="1" applyAlignment="1">
      <alignment horizontal="right" vertical="center"/>
    </xf>
    <xf numFmtId="0" fontId="28" fillId="4" borderId="5" xfId="0" applyFont="1" applyFill="1" applyBorder="1"/>
    <xf numFmtId="165" fontId="51" fillId="3" borderId="0" xfId="0" applyNumberFormat="1" applyFont="1" applyFill="1" applyAlignment="1">
      <alignment vertical="center"/>
    </xf>
    <xf numFmtId="164" fontId="15" fillId="3" borderId="0" xfId="13" applyFont="1" applyFill="1" applyAlignment="1">
      <alignment vertical="center"/>
    </xf>
    <xf numFmtId="165" fontId="15" fillId="3" borderId="0" xfId="13" applyNumberFormat="1" applyFont="1" applyFill="1"/>
    <xf numFmtId="0" fontId="31" fillId="0" borderId="8" xfId="0" applyFont="1" applyBorder="1"/>
    <xf numFmtId="0" fontId="28" fillId="0" borderId="4" xfId="0" applyFont="1" applyBorder="1"/>
    <xf numFmtId="165" fontId="28" fillId="0" borderId="4" xfId="20" applyNumberFormat="1" applyFont="1" applyFill="1" applyBorder="1" applyAlignment="1">
      <alignment vertical="center"/>
    </xf>
    <xf numFmtId="0" fontId="31" fillId="0" borderId="7" xfId="0" applyFont="1" applyBorder="1"/>
    <xf numFmtId="1" fontId="54" fillId="0" borderId="8" xfId="0" applyNumberFormat="1" applyFont="1" applyBorder="1"/>
    <xf numFmtId="0" fontId="28" fillId="0" borderId="8" xfId="0" applyFont="1" applyBorder="1"/>
    <xf numFmtId="9" fontId="28" fillId="4" borderId="0" xfId="0" applyNumberFormat="1" applyFont="1" applyFill="1"/>
    <xf numFmtId="9" fontId="52" fillId="3" borderId="0" xfId="0" applyNumberFormat="1" applyFont="1" applyFill="1" applyAlignment="1">
      <alignment vertical="center"/>
    </xf>
    <xf numFmtId="9" fontId="54" fillId="0" borderId="0" xfId="8" applyFont="1" applyFill="1" applyBorder="1"/>
    <xf numFmtId="0" fontId="15" fillId="3" borderId="0" xfId="0" applyFont="1" applyFill="1" applyBorder="1"/>
    <xf numFmtId="0" fontId="15" fillId="0" borderId="0" xfId="0" applyFont="1" applyAlignment="1">
      <alignment horizontal="left" vertical="top" wrapText="1"/>
    </xf>
    <xf numFmtId="0" fontId="15" fillId="0" borderId="0" xfId="0" applyFont="1" applyAlignment="1">
      <alignment horizontal="right"/>
    </xf>
    <xf numFmtId="0" fontId="15" fillId="0" borderId="0" xfId="0" applyFont="1" applyAlignment="1">
      <alignment horizontal="left" wrapText="1"/>
    </xf>
    <xf numFmtId="0" fontId="1" fillId="0" borderId="0" xfId="0" applyFont="1" applyAlignment="1">
      <alignment horizontal="left" vertical="center" wrapText="1"/>
    </xf>
    <xf numFmtId="0" fontId="13" fillId="0" borderId="0" xfId="0" applyFont="1" applyAlignment="1">
      <alignment horizontal="center"/>
    </xf>
    <xf numFmtId="0" fontId="56" fillId="0" borderId="0" xfId="0" applyFont="1" applyAlignment="1">
      <alignment horizontal="justify" vertical="top"/>
    </xf>
    <xf numFmtId="9" fontId="54" fillId="4" borderId="6" xfId="8" applyFont="1" applyFill="1" applyBorder="1"/>
    <xf numFmtId="0" fontId="13" fillId="4" borderId="0" xfId="0" applyFont="1" applyFill="1"/>
    <xf numFmtId="0" fontId="15" fillId="4" borderId="0" xfId="0" applyFont="1" applyFill="1"/>
    <xf numFmtId="9" fontId="56" fillId="4" borderId="6" xfId="8" applyFont="1" applyFill="1" applyBorder="1"/>
    <xf numFmtId="9" fontId="54" fillId="4" borderId="4" xfId="8" applyFont="1" applyFill="1" applyBorder="1"/>
    <xf numFmtId="0" fontId="28" fillId="4" borderId="7" xfId="0" applyFont="1" applyFill="1" applyBorder="1"/>
    <xf numFmtId="165" fontId="13" fillId="4" borderId="0" xfId="13" applyNumberFormat="1" applyFont="1" applyFill="1"/>
  </cellXfs>
  <cellStyles count="23">
    <cellStyle name="%" xfId="1" xr:uid="{00000000-0005-0000-0000-000000000000}"/>
    <cellStyle name="% 2 3" xfId="2" xr:uid="{00000000-0005-0000-0000-000001000000}"/>
    <cellStyle name="Hiperlink" xfId="3" builtinId="8"/>
    <cellStyle name="Hiperlink 2" xfId="4" xr:uid="{00000000-0005-0000-0000-000003000000}"/>
    <cellStyle name="Normal" xfId="0" builtinId="0"/>
    <cellStyle name="Normal 10" xfId="5" xr:uid="{00000000-0005-0000-0000-000005000000}"/>
    <cellStyle name="Normal 10 3" xfId="22" xr:uid="{935A28A4-43F2-48C4-A2FA-13FA1443803D}"/>
    <cellStyle name="Normal 2" xfId="6" xr:uid="{00000000-0005-0000-0000-000006000000}"/>
    <cellStyle name="Nota 2" xfId="7" xr:uid="{00000000-0005-0000-0000-000007000000}"/>
    <cellStyle name="Porcentagem" xfId="8" builtinId="5"/>
    <cellStyle name="Porcentagem 2" xfId="9" xr:uid="{00000000-0005-0000-0000-000009000000}"/>
    <cellStyle name="Porcentagem 3" xfId="21" xr:uid="{13D241A6-BB80-4379-960A-5D02A6F55036}"/>
    <cellStyle name="Separador de milhares 3" xfId="10" xr:uid="{00000000-0005-0000-0000-00000A000000}"/>
    <cellStyle name="Separador de milhares 3 2" xfId="11" xr:uid="{00000000-0005-0000-0000-00000B000000}"/>
    <cellStyle name="Total" xfId="12" builtinId="25" customBuiltin="1"/>
    <cellStyle name="Vírgula" xfId="13" builtinId="3"/>
    <cellStyle name="Vírgula 2" xfId="14" xr:uid="{00000000-0005-0000-0000-00000E000000}"/>
    <cellStyle name="Vírgula 2 2" xfId="15" xr:uid="{00000000-0005-0000-0000-00000F000000}"/>
    <cellStyle name="Vírgula 2 2 2" xfId="16" xr:uid="{00000000-0005-0000-0000-000010000000}"/>
    <cellStyle name="Vírgula 2 3" xfId="17" xr:uid="{00000000-0005-0000-0000-000011000000}"/>
    <cellStyle name="Vírgula 3" xfId="18" xr:uid="{00000000-0005-0000-0000-000012000000}"/>
    <cellStyle name="Vírgula 3 2" xfId="19" xr:uid="{00000000-0005-0000-0000-000013000000}"/>
    <cellStyle name="Vírgula 4" xfId="20" xr:uid="{9339FDD7-DAFD-4582-9838-8281684F5EF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2.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png"/><Relationship Id="rId1" Type="http://schemas.openxmlformats.org/officeDocument/2006/relationships/hyperlink" Target="#Capa!A1"/></Relationships>
</file>

<file path=xl/drawings/_rels/drawing4.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4.emf"/><Relationship Id="rId16" Type="http://schemas.openxmlformats.org/officeDocument/2006/relationships/image" Target="../media/image19.png"/><Relationship Id="rId1" Type="http://schemas.openxmlformats.org/officeDocument/2006/relationships/hyperlink" Target="#Capa!A1"/><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jpe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7.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drawing1.xml><?xml version="1.0" encoding="utf-8"?>
<xdr:wsDr xmlns:xdr="http://schemas.openxmlformats.org/drawingml/2006/spreadsheetDrawing" xmlns:a="http://schemas.openxmlformats.org/drawingml/2006/main">
  <xdr:twoCellAnchor>
    <xdr:from>
      <xdr:col>9</xdr:col>
      <xdr:colOff>866775</xdr:colOff>
      <xdr:row>0</xdr:row>
      <xdr:rowOff>133350</xdr:rowOff>
    </xdr:from>
    <xdr:to>
      <xdr:col>10</xdr:col>
      <xdr:colOff>238125</xdr:colOff>
      <xdr:row>2</xdr:row>
      <xdr:rowOff>123825</xdr:rowOff>
    </xdr:to>
    <xdr:sp macro="" textlink="">
      <xdr:nvSpPr>
        <xdr:cNvPr id="279712" name="Rectangle 22">
          <a:extLst>
            <a:ext uri="{FF2B5EF4-FFF2-40B4-BE49-F238E27FC236}">
              <a16:creationId xmlns:a16="http://schemas.microsoft.com/office/drawing/2014/main" id="{9389E315-77A9-496C-80FA-364319747BD7}"/>
            </a:ext>
          </a:extLst>
        </xdr:cNvPr>
        <xdr:cNvSpPr>
          <a:spLocks noChangeArrowheads="1"/>
        </xdr:cNvSpPr>
      </xdr:nvSpPr>
      <xdr:spPr bwMode="auto">
        <a:xfrm>
          <a:off x="5972175" y="133350"/>
          <a:ext cx="1438275" cy="371475"/>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123825</xdr:colOff>
      <xdr:row>4</xdr:row>
      <xdr:rowOff>114300</xdr:rowOff>
    </xdr:from>
    <xdr:to>
      <xdr:col>8</xdr:col>
      <xdr:colOff>161925</xdr:colOff>
      <xdr:row>5</xdr:row>
      <xdr:rowOff>0</xdr:rowOff>
    </xdr:to>
    <xdr:sp macro="" textlink="">
      <xdr:nvSpPr>
        <xdr:cNvPr id="279713" name="Rectangle 32">
          <a:extLst>
            <a:ext uri="{FF2B5EF4-FFF2-40B4-BE49-F238E27FC236}">
              <a16:creationId xmlns:a16="http://schemas.microsoft.com/office/drawing/2014/main" id="{B2A7B293-A77B-413C-97D3-97F3B037EA81}"/>
            </a:ext>
          </a:extLst>
        </xdr:cNvPr>
        <xdr:cNvSpPr>
          <a:spLocks noChangeArrowheads="1"/>
        </xdr:cNvSpPr>
      </xdr:nvSpPr>
      <xdr:spPr bwMode="auto">
        <a:xfrm>
          <a:off x="4400550" y="876300"/>
          <a:ext cx="409575" cy="76200"/>
        </a:xfrm>
        <a:prstGeom prst="rect">
          <a:avLst/>
        </a:prstGeom>
        <a:solidFill>
          <a:srgbClr val="FFFFFF"/>
        </a:solidFill>
        <a:ln w="9525" algn="ctr">
          <a:solidFill>
            <a:srgbClr val="FFFFFF"/>
          </a:solidFill>
          <a:miter lim="800000"/>
          <a:headEnd/>
          <a:tailEnd/>
        </a:ln>
      </xdr:spPr>
    </xdr:sp>
    <xdr:clientData/>
  </xdr:twoCellAnchor>
  <xdr:twoCellAnchor>
    <xdr:from>
      <xdr:col>8</xdr:col>
      <xdr:colOff>276225</xdr:colOff>
      <xdr:row>4</xdr:row>
      <xdr:rowOff>85725</xdr:rowOff>
    </xdr:from>
    <xdr:to>
      <xdr:col>9</xdr:col>
      <xdr:colOff>523875</xdr:colOff>
      <xdr:row>5</xdr:row>
      <xdr:rowOff>0</xdr:rowOff>
    </xdr:to>
    <xdr:sp macro="" textlink="">
      <xdr:nvSpPr>
        <xdr:cNvPr id="279714" name="Rectangle 33">
          <a:extLst>
            <a:ext uri="{FF2B5EF4-FFF2-40B4-BE49-F238E27FC236}">
              <a16:creationId xmlns:a16="http://schemas.microsoft.com/office/drawing/2014/main" id="{891FFBD4-D166-42DC-8562-FCE953A07E52}"/>
            </a:ext>
          </a:extLst>
        </xdr:cNvPr>
        <xdr:cNvSpPr>
          <a:spLocks noChangeArrowheads="1"/>
        </xdr:cNvSpPr>
      </xdr:nvSpPr>
      <xdr:spPr bwMode="auto">
        <a:xfrm>
          <a:off x="4924425" y="847725"/>
          <a:ext cx="704850" cy="104775"/>
        </a:xfrm>
        <a:prstGeom prst="rect">
          <a:avLst/>
        </a:prstGeom>
        <a:solidFill>
          <a:srgbClr val="FFFFFF"/>
        </a:solidFill>
        <a:ln w="9525" algn="ctr">
          <a:solidFill>
            <a:srgbClr val="FFFFFF"/>
          </a:solidFill>
          <a:miter lim="800000"/>
          <a:headEnd/>
          <a:tailEnd/>
        </a:ln>
      </xdr:spPr>
    </xdr:sp>
    <xdr:clientData/>
  </xdr:twoCellAnchor>
  <xdr:oneCellAnchor>
    <xdr:from>
      <xdr:col>9</xdr:col>
      <xdr:colOff>406109</xdr:colOff>
      <xdr:row>12</xdr:row>
      <xdr:rowOff>91573</xdr:rowOff>
    </xdr:from>
    <xdr:ext cx="184731" cy="937629"/>
    <xdr:sp macro="" textlink="">
      <xdr:nvSpPr>
        <xdr:cNvPr id="5" name="Retângulo 4">
          <a:extLst>
            <a:ext uri="{FF2B5EF4-FFF2-40B4-BE49-F238E27FC236}">
              <a16:creationId xmlns:a16="http://schemas.microsoft.com/office/drawing/2014/main" id="{96BF82BA-AE97-493F-897E-7DEBF39FA6E6}"/>
            </a:ext>
          </a:extLst>
        </xdr:cNvPr>
        <xdr:cNvSpPr/>
      </xdr:nvSpPr>
      <xdr:spPr>
        <a:xfrm>
          <a:off x="5511509" y="2377573"/>
          <a:ext cx="184731" cy="937629"/>
        </a:xfrm>
        <a:prstGeom prst="rect">
          <a:avLst/>
        </a:prstGeom>
        <a:noFill/>
      </xdr:spPr>
      <xdr:txBody>
        <a:bodyPr wrap="none" lIns="91440" tIns="45720" rIns="91440" bIns="45720">
          <a:spAutoFit/>
        </a:bodyPr>
        <a:lstStyle/>
        <a:p>
          <a:pPr algn="ctr"/>
          <a:endParaRPr lang="pt-BR" sz="54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endParaRPr>
        </a:p>
      </xdr:txBody>
    </xdr:sp>
    <xdr:clientData/>
  </xdr:oneCellAnchor>
  <xdr:twoCellAnchor>
    <xdr:from>
      <xdr:col>0</xdr:col>
      <xdr:colOff>25400</xdr:colOff>
      <xdr:row>20</xdr:row>
      <xdr:rowOff>22226</xdr:rowOff>
    </xdr:from>
    <xdr:to>
      <xdr:col>12</xdr:col>
      <xdr:colOff>53975</xdr:colOff>
      <xdr:row>22</xdr:row>
      <xdr:rowOff>133486</xdr:rowOff>
    </xdr:to>
    <xdr:sp macro="" textlink="">
      <xdr:nvSpPr>
        <xdr:cNvPr id="9" name="CaixaDeTexto 8">
          <a:extLst>
            <a:ext uri="{FF2B5EF4-FFF2-40B4-BE49-F238E27FC236}">
              <a16:creationId xmlns:a16="http://schemas.microsoft.com/office/drawing/2014/main" id="{9A1828D4-1B68-42D3-9EBC-4781C8940251}"/>
            </a:ext>
          </a:extLst>
        </xdr:cNvPr>
        <xdr:cNvSpPr txBox="1"/>
      </xdr:nvSpPr>
      <xdr:spPr>
        <a:xfrm>
          <a:off x="25400" y="4079876"/>
          <a:ext cx="8839200" cy="428760"/>
        </a:xfrm>
        <a:prstGeom prst="rect">
          <a:avLst/>
        </a:prstGeom>
        <a:noFill/>
        <a:ln w="1270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lang="pt-BR" sz="1000" b="0" i="0" u="none" strike="noStrike">
              <a:solidFill>
                <a:srgbClr val="002060"/>
              </a:solidFill>
              <a:effectLst/>
              <a:latin typeface="Barlow"/>
              <a:ea typeface="+mn-ea"/>
              <a:cs typeface="Arial" panose="020B0604020202020204" pitchFamily="34" charset="0"/>
            </a:rPr>
            <a:t>Esta</a:t>
          </a:r>
          <a:r>
            <a:rPr lang="pt-BR" sz="1000" b="0" i="0" u="none" strike="noStrike" baseline="0">
              <a:solidFill>
                <a:srgbClr val="002060"/>
              </a:solidFill>
              <a:effectLst/>
              <a:latin typeface="Barlow"/>
              <a:ea typeface="+mn-ea"/>
              <a:cs typeface="Arial" panose="020B0604020202020204" pitchFamily="34" charset="0"/>
            </a:rPr>
            <a:t> planilha </a:t>
          </a:r>
          <a:r>
            <a:rPr lang="pt-BR" sz="1000" b="0" i="0" u="none" strike="noStrike">
              <a:solidFill>
                <a:srgbClr val="002060"/>
              </a:solidFill>
              <a:effectLst/>
              <a:latin typeface="Barlow"/>
              <a:ea typeface="+mn-ea"/>
              <a:cs typeface="Arial" panose="020B0604020202020204" pitchFamily="34" charset="0"/>
            </a:rPr>
            <a:t>é baseado em dados históricos e públicos. Não visa dar </a:t>
          </a:r>
          <a:r>
            <a:rPr lang="pt-BR" sz="1000" b="0" i="1" u="none" strike="noStrike">
              <a:solidFill>
                <a:srgbClr val="002060"/>
              </a:solidFill>
              <a:effectLst/>
              <a:latin typeface="Barlow"/>
              <a:ea typeface="+mn-ea"/>
              <a:cs typeface="Arial" panose="020B0604020202020204" pitchFamily="34" charset="0"/>
            </a:rPr>
            <a:t>guidance (estimativas ou projeções)</a:t>
          </a:r>
          <a:r>
            <a:rPr lang="pt-BR" sz="1000" b="0" i="0" u="none" strike="noStrike">
              <a:solidFill>
                <a:srgbClr val="002060"/>
              </a:solidFill>
              <a:effectLst/>
              <a:latin typeface="Barlow"/>
              <a:ea typeface="+mn-ea"/>
              <a:cs typeface="Arial" panose="020B0604020202020204" pitchFamily="34" charset="0"/>
            </a:rPr>
            <a:t> de eventos futuros.</a:t>
          </a:r>
          <a:r>
            <a:rPr lang="pt-BR" sz="1000" b="0" i="0" u="none" strike="noStrike" baseline="0">
              <a:solidFill>
                <a:srgbClr val="002060"/>
              </a:solidFill>
              <a:effectLst/>
              <a:latin typeface="Barlow"/>
              <a:ea typeface="+mn-ea"/>
              <a:cs typeface="Arial" panose="020B0604020202020204" pitchFamily="34" charset="0"/>
            </a:rPr>
            <a:t> Vale ressaltar</a:t>
          </a:r>
          <a:r>
            <a:rPr lang="pt-BR" sz="1000" b="0" i="0" u="none" strike="noStrike">
              <a:solidFill>
                <a:srgbClr val="002060"/>
              </a:solidFill>
              <a:effectLst/>
              <a:latin typeface="Barlow"/>
              <a:ea typeface="+mn-ea"/>
              <a:cs typeface="Arial" panose="020B0604020202020204" pitchFamily="34" charset="0"/>
            </a:rPr>
            <a:t> que dados passados não são base para garantia de futuro desempenho, pois envolvem riscos e incertezas. </a:t>
          </a:r>
          <a:endParaRPr lang="pt-BR" sz="1200">
            <a:solidFill>
              <a:srgbClr val="184C8C"/>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12</xdr:col>
      <xdr:colOff>38100</xdr:colOff>
      <xdr:row>13</xdr:row>
      <xdr:rowOff>142875</xdr:rowOff>
    </xdr:to>
    <xdr:pic>
      <xdr:nvPicPr>
        <xdr:cNvPr id="279717" name="Imagem 12">
          <a:extLst>
            <a:ext uri="{FF2B5EF4-FFF2-40B4-BE49-F238E27FC236}">
              <a16:creationId xmlns:a16="http://schemas.microsoft.com/office/drawing/2014/main" id="{86B6A4C4-645C-4838-83F3-F2FD0A3DE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3511" b="22173"/>
        <a:stretch>
          <a:fillRect/>
        </a:stretch>
      </xdr:blipFill>
      <xdr:spPr bwMode="auto">
        <a:xfrm>
          <a:off x="0" y="0"/>
          <a:ext cx="84296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180975</xdr:rowOff>
    </xdr:from>
    <xdr:to>
      <xdr:col>9</xdr:col>
      <xdr:colOff>838200</xdr:colOff>
      <xdr:row>17</xdr:row>
      <xdr:rowOff>57150</xdr:rowOff>
    </xdr:to>
    <xdr:pic>
      <xdr:nvPicPr>
        <xdr:cNvPr id="279718" name="Imagem 13">
          <a:extLst>
            <a:ext uri="{FF2B5EF4-FFF2-40B4-BE49-F238E27FC236}">
              <a16:creationId xmlns:a16="http://schemas.microsoft.com/office/drawing/2014/main" id="{5F389AE2-2B46-46B6-B013-E12A06F42F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704975"/>
          <a:ext cx="59436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508000</xdr:colOff>
      <xdr:row>10</xdr:row>
      <xdr:rowOff>63500</xdr:rowOff>
    </xdr:from>
    <xdr:to>
      <xdr:col>5</xdr:col>
      <xdr:colOff>416024</xdr:colOff>
      <xdr:row>16</xdr:row>
      <xdr:rowOff>82722</xdr:rowOff>
    </xdr:to>
    <xdr:sp macro="" textlink="">
      <xdr:nvSpPr>
        <xdr:cNvPr id="16" name="TextBox 1">
          <a:extLst>
            <a:ext uri="{FF2B5EF4-FFF2-40B4-BE49-F238E27FC236}">
              <a16:creationId xmlns:a16="http://schemas.microsoft.com/office/drawing/2014/main" id="{69CD1995-575D-485C-84E5-C803F5EFC2D1}"/>
            </a:ext>
          </a:extLst>
        </xdr:cNvPr>
        <xdr:cNvSpPr txBox="1"/>
      </xdr:nvSpPr>
      <xdr:spPr>
        <a:xfrm>
          <a:off x="508000" y="1968500"/>
          <a:ext cx="3051274" cy="1162222"/>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r>
            <a:rPr kumimoji="0" lang="pt-BR" sz="2400" b="1"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rPr>
            <a:t>PLANILHA DE FUNDAMENTOS</a:t>
          </a:r>
        </a:p>
        <a:p>
          <a:pPr marL="0" marR="0" lvl="0" indent="0" defTabSz="685800" rtl="0" eaLnBrk="1" fontAlgn="auto" latinLnBrk="0" hangingPunct="1">
            <a:lnSpc>
              <a:spcPct val="100000"/>
            </a:lnSpc>
            <a:spcBef>
              <a:spcPts val="0"/>
            </a:spcBef>
            <a:spcAft>
              <a:spcPts val="0"/>
            </a:spcAft>
            <a:buClrTx/>
            <a:buSzTx/>
            <a:buFontTx/>
            <a:buNone/>
            <a:tabLst/>
            <a:defRPr/>
          </a:pPr>
          <a:endParaRPr kumimoji="0" lang="pt-BR" sz="2400" b="0"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endParaRPr>
        </a:p>
      </xdr:txBody>
    </xdr:sp>
    <xdr:clientData/>
  </xdr:twoCellAnchor>
  <xdr:twoCellAnchor>
    <xdr:from>
      <xdr:col>2</xdr:col>
      <xdr:colOff>378961</xdr:colOff>
      <xdr:row>15</xdr:row>
      <xdr:rowOff>30820</xdr:rowOff>
    </xdr:from>
    <xdr:to>
      <xdr:col>4</xdr:col>
      <xdr:colOff>54983</xdr:colOff>
      <xdr:row>17</xdr:row>
      <xdr:rowOff>22583</xdr:rowOff>
    </xdr:to>
    <xdr:sp macro="" textlink="">
      <xdr:nvSpPr>
        <xdr:cNvPr id="17" name="TextBox 1">
          <a:extLst>
            <a:ext uri="{FF2B5EF4-FFF2-40B4-BE49-F238E27FC236}">
              <a16:creationId xmlns:a16="http://schemas.microsoft.com/office/drawing/2014/main" id="{C085B569-8009-4F0E-873C-BD4F2B30AB15}"/>
            </a:ext>
          </a:extLst>
        </xdr:cNvPr>
        <xdr:cNvSpPr txBox="1"/>
      </xdr:nvSpPr>
      <xdr:spPr>
        <a:xfrm>
          <a:off x="1598161" y="3031195"/>
          <a:ext cx="895222" cy="46801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lang="pt-BR" sz="2400" b="1">
              <a:solidFill>
                <a:srgbClr val="0FD8ED"/>
              </a:solidFill>
              <a:latin typeface="Votorantim Sans" panose="02010503030202050203" pitchFamily="2" charset="0"/>
              <a:ea typeface="Futura" panose="02020800000000000000" pitchFamily="18" charset="0"/>
              <a:cs typeface="Futura" panose="02020800000000000000" pitchFamily="18" charset="0"/>
            </a:rPr>
            <a:t>2T22</a:t>
          </a:r>
        </a:p>
      </xdr:txBody>
    </xdr:sp>
    <xdr:clientData/>
  </xdr:twoCellAnchor>
  <xdr:twoCellAnchor editAs="oneCell">
    <xdr:from>
      <xdr:col>9</xdr:col>
      <xdr:colOff>1638299</xdr:colOff>
      <xdr:row>13</xdr:row>
      <xdr:rowOff>66675</xdr:rowOff>
    </xdr:from>
    <xdr:to>
      <xdr:col>12</xdr:col>
      <xdr:colOff>57149</xdr:colOff>
      <xdr:row>16</xdr:row>
      <xdr:rowOff>92238</xdr:rowOff>
    </xdr:to>
    <xdr:pic>
      <xdr:nvPicPr>
        <xdr:cNvPr id="279721" name="Imagem 17">
          <a:extLst>
            <a:ext uri="{FF2B5EF4-FFF2-40B4-BE49-F238E27FC236}">
              <a16:creationId xmlns:a16="http://schemas.microsoft.com/office/drawing/2014/main" id="{33E8D715-50F1-40F3-BAA8-E91B92DACE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43699" y="2590800"/>
          <a:ext cx="1704975" cy="873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9524</xdr:colOff>
      <xdr:row>0</xdr:row>
      <xdr:rowOff>0</xdr:rowOff>
    </xdr:from>
    <xdr:to>
      <xdr:col>12</xdr:col>
      <xdr:colOff>9525</xdr:colOff>
      <xdr:row>3</xdr:row>
      <xdr:rowOff>247650</xdr:rowOff>
    </xdr:to>
    <xdr:sp macro="" textlink="">
      <xdr:nvSpPr>
        <xdr:cNvPr id="2" name="Retângulo 6">
          <a:extLst>
            <a:ext uri="{FF2B5EF4-FFF2-40B4-BE49-F238E27FC236}">
              <a16:creationId xmlns:a16="http://schemas.microsoft.com/office/drawing/2014/main" id="{8C87F553-1F26-44AA-BC21-D7B44EF86FB5}"/>
            </a:ext>
          </a:extLst>
        </xdr:cNvPr>
        <xdr:cNvSpPr>
          <a:spLocks noChangeArrowheads="1"/>
        </xdr:cNvSpPr>
      </xdr:nvSpPr>
      <xdr:spPr bwMode="auto">
        <a:xfrm>
          <a:off x="9524" y="0"/>
          <a:ext cx="8086726"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897507" cy="296620"/>
    <xdr:sp macro="" textlink="">
      <xdr:nvSpPr>
        <xdr:cNvPr id="3" name="Text Box 2">
          <a:extLst>
            <a:ext uri="{FF2B5EF4-FFF2-40B4-BE49-F238E27FC236}">
              <a16:creationId xmlns:a16="http://schemas.microsoft.com/office/drawing/2014/main" id="{2F2C1DAA-DAF5-440B-A80E-F74AC92AADCD}"/>
            </a:ext>
          </a:extLst>
        </xdr:cNvPr>
        <xdr:cNvSpPr txBox="1">
          <a:spLocks noChangeArrowheads="1"/>
        </xdr:cNvSpPr>
      </xdr:nvSpPr>
      <xdr:spPr bwMode="auto">
        <a:xfrm>
          <a:off x="142450" y="443076"/>
          <a:ext cx="1897507"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9. Composição Custos</a:t>
          </a:r>
        </a:p>
      </xdr:txBody>
    </xdr:sp>
    <xdr:clientData/>
  </xdr:oneCellAnchor>
  <xdr:twoCellAnchor editAs="oneCell">
    <xdr:from>
      <xdr:col>1</xdr:col>
      <xdr:colOff>9525</xdr:colOff>
      <xdr:row>0</xdr:row>
      <xdr:rowOff>0</xdr:rowOff>
    </xdr:from>
    <xdr:to>
      <xdr:col>1</xdr:col>
      <xdr:colOff>1328209</xdr:colOff>
      <xdr:row>2</xdr:row>
      <xdr:rowOff>114300</xdr:rowOff>
    </xdr:to>
    <xdr:pic>
      <xdr:nvPicPr>
        <xdr:cNvPr id="4" name="Picture 2">
          <a:extLst>
            <a:ext uri="{FF2B5EF4-FFF2-40B4-BE49-F238E27FC236}">
              <a16:creationId xmlns:a16="http://schemas.microsoft.com/office/drawing/2014/main" id="{0323A1DF-BC2C-406E-B927-39DAA1128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209550</xdr:colOff>
      <xdr:row>0</xdr:row>
      <xdr:rowOff>95250</xdr:rowOff>
    </xdr:from>
    <xdr:to>
      <xdr:col>13</xdr:col>
      <xdr:colOff>352425</xdr:colOff>
      <xdr:row>3</xdr:row>
      <xdr:rowOff>228600</xdr:rowOff>
    </xdr:to>
    <xdr:grpSp>
      <xdr:nvGrpSpPr>
        <xdr:cNvPr id="5" name="Agrupar 6">
          <a:hlinkClick xmlns:r="http://schemas.openxmlformats.org/officeDocument/2006/relationships" r:id="rId2"/>
          <a:extLst>
            <a:ext uri="{FF2B5EF4-FFF2-40B4-BE49-F238E27FC236}">
              <a16:creationId xmlns:a16="http://schemas.microsoft.com/office/drawing/2014/main" id="{369634A5-872D-45A4-9938-208F2C4275EA}"/>
            </a:ext>
          </a:extLst>
        </xdr:cNvPr>
        <xdr:cNvGrpSpPr>
          <a:grpSpLocks/>
        </xdr:cNvGrpSpPr>
      </xdr:nvGrpSpPr>
      <xdr:grpSpPr bwMode="auto">
        <a:xfrm>
          <a:off x="9275939" y="95250"/>
          <a:ext cx="784930" cy="620183"/>
          <a:chOff x="11133666" y="131229"/>
          <a:chExt cx="928738" cy="609603"/>
        </a:xfrm>
      </xdr:grpSpPr>
      <xdr:sp macro="" textlink="">
        <xdr:nvSpPr>
          <xdr:cNvPr id="6" name="Seta: Curva para Cima 5" descr="Menu">
            <a:extLst>
              <a:ext uri="{FF2B5EF4-FFF2-40B4-BE49-F238E27FC236}">
                <a16:creationId xmlns:a16="http://schemas.microsoft.com/office/drawing/2014/main" id="{37D99DAF-34A4-409B-A471-0679231296C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7" name="CaixaDeTexto 6">
            <a:extLst>
              <a:ext uri="{FF2B5EF4-FFF2-40B4-BE49-F238E27FC236}">
                <a16:creationId xmlns:a16="http://schemas.microsoft.com/office/drawing/2014/main" id="{97B8985B-189A-47DA-A397-3F77FFE1F118}"/>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20</xdr:col>
      <xdr:colOff>9525</xdr:colOff>
      <xdr:row>3</xdr:row>
      <xdr:rowOff>247650</xdr:rowOff>
    </xdr:to>
    <xdr:sp macro="" textlink="">
      <xdr:nvSpPr>
        <xdr:cNvPr id="2" name="Retângulo 6">
          <a:extLst>
            <a:ext uri="{FF2B5EF4-FFF2-40B4-BE49-F238E27FC236}">
              <a16:creationId xmlns:a16="http://schemas.microsoft.com/office/drawing/2014/main" id="{FAA44902-EEE9-4F6E-B0B6-4B08E6EEAD00}"/>
            </a:ext>
          </a:extLst>
        </xdr:cNvPr>
        <xdr:cNvSpPr>
          <a:spLocks noChangeArrowheads="1"/>
        </xdr:cNvSpPr>
      </xdr:nvSpPr>
      <xdr:spPr bwMode="auto">
        <a:xfrm>
          <a:off x="0" y="0"/>
          <a:ext cx="114395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E95B7453-9167-4020-A02A-83D37DCF038E}"/>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10. CAPEX</a:t>
          </a:r>
        </a:p>
        <a:p>
          <a:pPr algn="l" rtl="0">
            <a:defRPr sz="1000"/>
          </a:pPr>
          <a:r>
            <a:rPr lang="en-US" sz="1600" b="1" i="0" u="none" strike="noStrike" baseline="0">
              <a:solidFill>
                <a:schemeClr val="bg1"/>
              </a:solidFill>
              <a:latin typeface="Votorantim Sans Black" panose="02010A03030202050203"/>
            </a:rPr>
            <a:t> </a:t>
          </a:r>
        </a:p>
      </xdr:txBody>
    </xdr:sp>
    <xdr:clientData/>
  </xdr:oneCellAnchor>
  <xdr:twoCellAnchor>
    <xdr:from>
      <xdr:col>20</xdr:col>
      <xdr:colOff>123825</xdr:colOff>
      <xdr:row>0</xdr:row>
      <xdr:rowOff>38100</xdr:rowOff>
    </xdr:from>
    <xdr:to>
      <xdr:col>21</xdr:col>
      <xdr:colOff>295275</xdr:colOff>
      <xdr:row>3</xdr:row>
      <xdr:rowOff>161925</xdr:rowOff>
    </xdr:to>
    <xdr:grpSp>
      <xdr:nvGrpSpPr>
        <xdr:cNvPr id="4" name="Agrupar 6">
          <a:hlinkClick xmlns:r="http://schemas.openxmlformats.org/officeDocument/2006/relationships" r:id="rId1"/>
          <a:extLst>
            <a:ext uri="{FF2B5EF4-FFF2-40B4-BE49-F238E27FC236}">
              <a16:creationId xmlns:a16="http://schemas.microsoft.com/office/drawing/2014/main" id="{9EEB53F7-AD6B-4705-B97F-5E73B44A19B5}"/>
            </a:ext>
          </a:extLst>
        </xdr:cNvPr>
        <xdr:cNvGrpSpPr>
          <a:grpSpLocks/>
        </xdr:cNvGrpSpPr>
      </xdr:nvGrpSpPr>
      <xdr:grpSpPr bwMode="auto">
        <a:xfrm>
          <a:off x="14721769" y="38100"/>
          <a:ext cx="813506" cy="617714"/>
          <a:chOff x="11133666" y="131229"/>
          <a:chExt cx="928738" cy="609603"/>
        </a:xfrm>
      </xdr:grpSpPr>
      <xdr:sp macro="" textlink="">
        <xdr:nvSpPr>
          <xdr:cNvPr id="5" name="Seta: Curva para Cima 4" descr="Menu">
            <a:extLst>
              <a:ext uri="{FF2B5EF4-FFF2-40B4-BE49-F238E27FC236}">
                <a16:creationId xmlns:a16="http://schemas.microsoft.com/office/drawing/2014/main" id="{D35A91DA-9070-4ED2-A87A-9F060B2AEB6C}"/>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AFE4C588-05ED-4275-B6F0-9E1799224CC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1276350</xdr:colOff>
      <xdr:row>2</xdr:row>
      <xdr:rowOff>114300</xdr:rowOff>
    </xdr:to>
    <xdr:pic>
      <xdr:nvPicPr>
        <xdr:cNvPr id="7" name="Picture 2">
          <a:extLst>
            <a:ext uri="{FF2B5EF4-FFF2-40B4-BE49-F238E27FC236}">
              <a16:creationId xmlns:a16="http://schemas.microsoft.com/office/drawing/2014/main" id="{A56BAF10-79EB-48DF-8237-3E99E519FEC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20</xdr:col>
      <xdr:colOff>9525</xdr:colOff>
      <xdr:row>3</xdr:row>
      <xdr:rowOff>247650</xdr:rowOff>
    </xdr:to>
    <xdr:sp macro="" textlink="">
      <xdr:nvSpPr>
        <xdr:cNvPr id="2" name="Retângulo 6">
          <a:extLst>
            <a:ext uri="{FF2B5EF4-FFF2-40B4-BE49-F238E27FC236}">
              <a16:creationId xmlns:a16="http://schemas.microsoft.com/office/drawing/2014/main" id="{684CC2EF-7CB8-4D08-B88C-4DBA3858D5F9}"/>
            </a:ext>
          </a:extLst>
        </xdr:cNvPr>
        <xdr:cNvSpPr>
          <a:spLocks noChangeArrowheads="1"/>
        </xdr:cNvSpPr>
      </xdr:nvSpPr>
      <xdr:spPr bwMode="auto">
        <a:xfrm>
          <a:off x="0" y="0"/>
          <a:ext cx="61817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EE85C609-DCE6-43C0-A54C-7F885402611D}"/>
            </a:ext>
          </a:extLst>
        </xdr:cNvPr>
        <xdr:cNvSpPr txBox="1">
          <a:spLocks noChangeArrowheads="1"/>
        </xdr:cNvSpPr>
      </xdr:nvSpPr>
      <xdr:spPr bwMode="auto">
        <a:xfrm>
          <a:off x="628650"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11.  Ciclo Financeiro</a:t>
          </a:r>
        </a:p>
      </xdr:txBody>
    </xdr:sp>
    <xdr:clientData/>
  </xdr:oneCellAnchor>
  <xdr:twoCellAnchor>
    <xdr:from>
      <xdr:col>20</xdr:col>
      <xdr:colOff>123825</xdr:colOff>
      <xdr:row>0</xdr:row>
      <xdr:rowOff>38100</xdr:rowOff>
    </xdr:from>
    <xdr:to>
      <xdr:col>21</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A00E2339-FB26-4969-B858-900392E0B557}"/>
            </a:ext>
          </a:extLst>
        </xdr:cNvPr>
        <xdr:cNvGrpSpPr>
          <a:grpSpLocks/>
        </xdr:cNvGrpSpPr>
      </xdr:nvGrpSpPr>
      <xdr:grpSpPr bwMode="auto">
        <a:xfrm>
          <a:off x="13853936" y="38100"/>
          <a:ext cx="778228" cy="709789"/>
          <a:chOff x="11133666" y="131229"/>
          <a:chExt cx="928738" cy="609603"/>
        </a:xfrm>
      </xdr:grpSpPr>
      <xdr:sp macro="" textlink="">
        <xdr:nvSpPr>
          <xdr:cNvPr id="5" name="Seta: Curva para Cima 4" descr="Menu">
            <a:extLst>
              <a:ext uri="{FF2B5EF4-FFF2-40B4-BE49-F238E27FC236}">
                <a16:creationId xmlns:a16="http://schemas.microsoft.com/office/drawing/2014/main" id="{D283B550-B5CC-1312-5104-37F557C6AE3A}"/>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F695AF3-AA40-BBEF-C80E-B00A8CE468BF}"/>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1276350</xdr:colOff>
      <xdr:row>2</xdr:row>
      <xdr:rowOff>123825</xdr:rowOff>
    </xdr:to>
    <xdr:pic>
      <xdr:nvPicPr>
        <xdr:cNvPr id="7" name="Picture 2">
          <a:extLst>
            <a:ext uri="{FF2B5EF4-FFF2-40B4-BE49-F238E27FC236}">
              <a16:creationId xmlns:a16="http://schemas.microsoft.com/office/drawing/2014/main" id="{510083BC-3440-4F26-BF4E-017D4781F3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9525</xdr:colOff>
      <xdr:row>3</xdr:row>
      <xdr:rowOff>247650</xdr:rowOff>
    </xdr:to>
    <xdr:sp macro="" textlink="">
      <xdr:nvSpPr>
        <xdr:cNvPr id="2" name="Retângulo 6">
          <a:extLst>
            <a:ext uri="{FF2B5EF4-FFF2-40B4-BE49-F238E27FC236}">
              <a16:creationId xmlns:a16="http://schemas.microsoft.com/office/drawing/2014/main" id="{2A81DF41-942E-4106-A5DA-6D25E8C69BFE}"/>
            </a:ext>
          </a:extLst>
        </xdr:cNvPr>
        <xdr:cNvSpPr>
          <a:spLocks noChangeArrowheads="1"/>
        </xdr:cNvSpPr>
      </xdr:nvSpPr>
      <xdr:spPr bwMode="auto">
        <a:xfrm>
          <a:off x="0" y="0"/>
          <a:ext cx="642937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256AF374-5B56-4620-B576-2C3D2DB54B8A}"/>
            </a:ext>
          </a:extLst>
        </xdr:cNvPr>
        <xdr:cNvSpPr txBox="1">
          <a:spLocks noChangeArrowheads="1"/>
        </xdr:cNvSpPr>
      </xdr:nvSpPr>
      <xdr:spPr bwMode="auto">
        <a:xfrm>
          <a:off x="628650"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12.  FCL</a:t>
          </a:r>
        </a:p>
      </xdr:txBody>
    </xdr:sp>
    <xdr:clientData/>
  </xdr:oneCellAnchor>
  <xdr:twoCellAnchor>
    <xdr:from>
      <xdr:col>8</xdr:col>
      <xdr:colOff>123825</xdr:colOff>
      <xdr:row>0</xdr:row>
      <xdr:rowOff>38100</xdr:rowOff>
    </xdr:from>
    <xdr:to>
      <xdr:col>9</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6E21B5E2-036C-4E0E-AF9B-3E97116D251D}"/>
            </a:ext>
          </a:extLst>
        </xdr:cNvPr>
        <xdr:cNvGrpSpPr>
          <a:grpSpLocks/>
        </xdr:cNvGrpSpPr>
      </xdr:nvGrpSpPr>
      <xdr:grpSpPr bwMode="auto">
        <a:xfrm>
          <a:off x="5563658" y="38100"/>
          <a:ext cx="778228" cy="709789"/>
          <a:chOff x="11133666" y="131229"/>
          <a:chExt cx="928738" cy="609603"/>
        </a:xfrm>
      </xdr:grpSpPr>
      <xdr:sp macro="" textlink="">
        <xdr:nvSpPr>
          <xdr:cNvPr id="5" name="Seta: Curva para Cima 4" descr="Menu">
            <a:extLst>
              <a:ext uri="{FF2B5EF4-FFF2-40B4-BE49-F238E27FC236}">
                <a16:creationId xmlns:a16="http://schemas.microsoft.com/office/drawing/2014/main" id="{5E9EE87C-4611-62C7-3404-C58A218B1C1C}"/>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20298A9-1301-A044-B2F3-8CBA24514A83}"/>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FE6F7820-0FCE-48CA-9279-DEEC3959CD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9125" y="9525"/>
          <a:ext cx="12668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600075</xdr:colOff>
      <xdr:row>3</xdr:row>
      <xdr:rowOff>228600</xdr:rowOff>
    </xdr:to>
    <xdr:sp macro="" textlink="">
      <xdr:nvSpPr>
        <xdr:cNvPr id="280764" name="Retângulo 6">
          <a:extLst>
            <a:ext uri="{FF2B5EF4-FFF2-40B4-BE49-F238E27FC236}">
              <a16:creationId xmlns:a16="http://schemas.microsoft.com/office/drawing/2014/main" id="{5F1F29A5-EC9D-4318-BFE6-C36FC3B09001}"/>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1674</xdr:colOff>
      <xdr:row>14</xdr:row>
      <xdr:rowOff>44768</xdr:rowOff>
    </xdr:from>
    <xdr:to>
      <xdr:col>2</xdr:col>
      <xdr:colOff>236585</xdr:colOff>
      <xdr:row>17</xdr:row>
      <xdr:rowOff>54622</xdr:rowOff>
    </xdr:to>
    <xdr:sp macro="" textlink="">
      <xdr:nvSpPr>
        <xdr:cNvPr id="7" name="CaixaDeTexto 6">
          <a:extLst>
            <a:ext uri="{FF2B5EF4-FFF2-40B4-BE49-F238E27FC236}">
              <a16:creationId xmlns:a16="http://schemas.microsoft.com/office/drawing/2014/main" id="{93CC4942-8473-42EB-84D8-CC8E3D73122C}"/>
            </a:ext>
          </a:extLst>
        </xdr:cNvPr>
        <xdr:cNvSpPr txBox="1"/>
      </xdr:nvSpPr>
      <xdr:spPr>
        <a:xfrm>
          <a:off x="213360" y="3695224"/>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Primários</a:t>
          </a:r>
        </a:p>
        <a:p>
          <a:pPr algn="ctr">
            <a:lnSpc>
              <a:spcPts val="1800"/>
            </a:lnSpc>
          </a:pPr>
          <a:endParaRPr lang="pt-BR" sz="1600" b="1">
            <a:solidFill>
              <a:schemeClr val="bg1"/>
            </a:solidFill>
            <a:latin typeface="Barlow"/>
            <a:cs typeface="Arial" panose="020B0604020202020204" pitchFamily="34" charset="0"/>
          </a:endParaRPr>
        </a:p>
      </xdr:txBody>
    </xdr:sp>
    <xdr:clientData/>
  </xdr:twoCellAnchor>
  <xdr:twoCellAnchor>
    <xdr:from>
      <xdr:col>2</xdr:col>
      <xdr:colOff>323849</xdr:colOff>
      <xdr:row>14</xdr:row>
      <xdr:rowOff>35244</xdr:rowOff>
    </xdr:from>
    <xdr:to>
      <xdr:col>11</xdr:col>
      <xdr:colOff>546677</xdr:colOff>
      <xdr:row>17</xdr:row>
      <xdr:rowOff>35235</xdr:rowOff>
    </xdr:to>
    <xdr:sp macro="" textlink="">
      <xdr:nvSpPr>
        <xdr:cNvPr id="8" name="CaixaDeTexto 7">
          <a:extLst>
            <a:ext uri="{FF2B5EF4-FFF2-40B4-BE49-F238E27FC236}">
              <a16:creationId xmlns:a16="http://schemas.microsoft.com/office/drawing/2014/main" id="{14D7E0FD-1524-4614-8495-05600274374E}"/>
            </a:ext>
          </a:extLst>
        </xdr:cNvPr>
        <xdr:cNvSpPr txBox="1"/>
      </xdr:nvSpPr>
      <xdr:spPr>
        <a:xfrm>
          <a:off x="2097808" y="3631653"/>
          <a:ext cx="6151419" cy="502218"/>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ysClr val="windowText" lastClr="000000"/>
              </a:solidFill>
              <a:latin typeface="Votorantim Sans Black" panose="02010A03030202050203"/>
            </a:rPr>
            <a:t>Inclui lingote e VAP</a:t>
          </a:r>
        </a:p>
      </xdr:txBody>
    </xdr:sp>
    <xdr:clientData/>
  </xdr:twoCellAnchor>
  <xdr:twoCellAnchor>
    <xdr:from>
      <xdr:col>1</xdr:col>
      <xdr:colOff>1673</xdr:colOff>
      <xdr:row>17</xdr:row>
      <xdr:rowOff>107632</xdr:rowOff>
    </xdr:from>
    <xdr:to>
      <xdr:col>2</xdr:col>
      <xdr:colOff>236584</xdr:colOff>
      <xdr:row>20</xdr:row>
      <xdr:rowOff>78749</xdr:rowOff>
    </xdr:to>
    <xdr:sp macro="" textlink="">
      <xdr:nvSpPr>
        <xdr:cNvPr id="20" name="CaixaDeTexto 19">
          <a:extLst>
            <a:ext uri="{FF2B5EF4-FFF2-40B4-BE49-F238E27FC236}">
              <a16:creationId xmlns:a16="http://schemas.microsoft.com/office/drawing/2014/main" id="{F1534CE3-44BF-4026-A24A-33510A878249}"/>
            </a:ext>
          </a:extLst>
        </xdr:cNvPr>
        <xdr:cNvSpPr txBox="1"/>
      </xdr:nvSpPr>
      <xdr:spPr>
        <a:xfrm>
          <a:off x="213359" y="4246721"/>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Transformados</a:t>
          </a:r>
        </a:p>
      </xdr:txBody>
    </xdr:sp>
    <xdr:clientData/>
  </xdr:twoCellAnchor>
  <xdr:twoCellAnchor>
    <xdr:from>
      <xdr:col>2</xdr:col>
      <xdr:colOff>323849</xdr:colOff>
      <xdr:row>17</xdr:row>
      <xdr:rowOff>87630</xdr:rowOff>
    </xdr:from>
    <xdr:to>
      <xdr:col>11</xdr:col>
      <xdr:colOff>546677</xdr:colOff>
      <xdr:row>20</xdr:row>
      <xdr:rowOff>79206</xdr:rowOff>
    </xdr:to>
    <xdr:sp macro="" textlink="">
      <xdr:nvSpPr>
        <xdr:cNvPr id="21" name="CaixaDeTexto 20">
          <a:extLst>
            <a:ext uri="{FF2B5EF4-FFF2-40B4-BE49-F238E27FC236}">
              <a16:creationId xmlns:a16="http://schemas.microsoft.com/office/drawing/2014/main" id="{A81B7FA0-F5CD-49E0-8355-5E2942AAB0C4}"/>
            </a:ext>
          </a:extLst>
        </xdr:cNvPr>
        <xdr:cNvSpPr txBox="1"/>
      </xdr:nvSpPr>
      <xdr:spPr>
        <a:xfrm>
          <a:off x="2097808" y="4186266"/>
          <a:ext cx="6151419" cy="511122"/>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latin typeface="Votorantim Sans Black" panose="02010A03030202050203"/>
              <a:ea typeface="+mn-ea"/>
              <a:cs typeface="+mn-cs"/>
            </a:rPr>
            <a:t>Inclui folhas, chapas e extrudados</a:t>
          </a:r>
        </a:p>
        <a:p>
          <a:pPr marL="0" marR="0" lvl="0" indent="0" defTabSz="914400" eaLnBrk="1" fontAlgn="auto" latinLnBrk="0" hangingPunct="1">
            <a:lnSpc>
              <a:spcPct val="100000"/>
            </a:lnSpc>
            <a:spcBef>
              <a:spcPts val="0"/>
            </a:spcBef>
            <a:spcAft>
              <a:spcPts val="0"/>
            </a:spcAft>
            <a:buClrTx/>
            <a:buSzTx/>
            <a:buFontTx/>
            <a:buNone/>
            <a:tabLst/>
            <a:defRPr/>
          </a:pPr>
          <a:endParaRPr lang="pt-BR">
            <a:effectLst/>
          </a:endParaRPr>
        </a:p>
        <a:p>
          <a:endParaRPr lang="pt-BR" sz="1100">
            <a:solidFill>
              <a:srgbClr val="002060"/>
            </a:solidFill>
            <a:latin typeface="Barlow"/>
          </a:endParaRPr>
        </a:p>
      </xdr:txBody>
    </xdr:sp>
    <xdr:clientData/>
  </xdr:twoCellAnchor>
  <xdr:twoCellAnchor>
    <xdr:from>
      <xdr:col>1</xdr:col>
      <xdr:colOff>1673</xdr:colOff>
      <xdr:row>21</xdr:row>
      <xdr:rowOff>19685</xdr:rowOff>
    </xdr:from>
    <xdr:to>
      <xdr:col>2</xdr:col>
      <xdr:colOff>236584</xdr:colOff>
      <xdr:row>23</xdr:row>
      <xdr:rowOff>95345</xdr:rowOff>
    </xdr:to>
    <xdr:sp macro="" textlink="">
      <xdr:nvSpPr>
        <xdr:cNvPr id="22" name="CaixaDeTexto 21">
          <a:extLst>
            <a:ext uri="{FF2B5EF4-FFF2-40B4-BE49-F238E27FC236}">
              <a16:creationId xmlns:a16="http://schemas.microsoft.com/office/drawing/2014/main" id="{C38B3629-6073-4978-BB55-3F590A19B4C8}"/>
            </a:ext>
          </a:extLst>
        </xdr:cNvPr>
        <xdr:cNvSpPr txBox="1"/>
      </xdr:nvSpPr>
      <xdr:spPr>
        <a:xfrm>
          <a:off x="213359" y="4813935"/>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Reciclagem</a:t>
          </a:r>
        </a:p>
      </xdr:txBody>
    </xdr:sp>
    <xdr:clientData/>
  </xdr:twoCellAnchor>
  <xdr:twoCellAnchor>
    <xdr:from>
      <xdr:col>2</xdr:col>
      <xdr:colOff>323849</xdr:colOff>
      <xdr:row>20</xdr:row>
      <xdr:rowOff>149540</xdr:rowOff>
    </xdr:from>
    <xdr:to>
      <xdr:col>11</xdr:col>
      <xdr:colOff>546677</xdr:colOff>
      <xdr:row>23</xdr:row>
      <xdr:rowOff>84109</xdr:rowOff>
    </xdr:to>
    <xdr:sp macro="" textlink="">
      <xdr:nvSpPr>
        <xdr:cNvPr id="23" name="CaixaDeTexto 22">
          <a:extLst>
            <a:ext uri="{FF2B5EF4-FFF2-40B4-BE49-F238E27FC236}">
              <a16:creationId xmlns:a16="http://schemas.microsoft.com/office/drawing/2014/main" id="{5F938F06-9B51-4D29-A3A6-BC51AFB54FD3}"/>
            </a:ext>
          </a:extLst>
        </xdr:cNvPr>
        <xdr:cNvSpPr txBox="1"/>
      </xdr:nvSpPr>
      <xdr:spPr>
        <a:xfrm>
          <a:off x="2097808" y="4767722"/>
          <a:ext cx="6151419" cy="488751"/>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Inclui vendas e serviços</a:t>
          </a:r>
          <a:endParaRPr lang="pt-BR">
            <a:effectLst/>
            <a:latin typeface="Votorantim Sans Black" panose="02010A03030202050203"/>
          </a:endParaRPr>
        </a:p>
        <a:p>
          <a:endParaRPr lang="pt-BR" sz="1100">
            <a:solidFill>
              <a:srgbClr val="002060"/>
            </a:solidFill>
            <a:latin typeface="Barlow"/>
            <a:ea typeface="+mn-ea"/>
            <a:cs typeface="+mn-cs"/>
          </a:endParaRPr>
        </a:p>
      </xdr:txBody>
    </xdr:sp>
    <xdr:clientData/>
  </xdr:twoCellAnchor>
  <xdr:twoCellAnchor>
    <xdr:from>
      <xdr:col>1</xdr:col>
      <xdr:colOff>1674</xdr:colOff>
      <xdr:row>24</xdr:row>
      <xdr:rowOff>17144</xdr:rowOff>
    </xdr:from>
    <xdr:to>
      <xdr:col>2</xdr:col>
      <xdr:colOff>236585</xdr:colOff>
      <xdr:row>26</xdr:row>
      <xdr:rowOff>152824</xdr:rowOff>
    </xdr:to>
    <xdr:sp macro="" textlink="">
      <xdr:nvSpPr>
        <xdr:cNvPr id="24" name="CaixaDeTexto 23">
          <a:extLst>
            <a:ext uri="{FF2B5EF4-FFF2-40B4-BE49-F238E27FC236}">
              <a16:creationId xmlns:a16="http://schemas.microsoft.com/office/drawing/2014/main" id="{F0191FBC-45DC-46C7-83EA-6C56BEA24F17}"/>
            </a:ext>
          </a:extLst>
        </xdr:cNvPr>
        <xdr:cNvSpPr txBox="1"/>
      </xdr:nvSpPr>
      <xdr:spPr>
        <a:xfrm>
          <a:off x="213360" y="5379243"/>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Outros</a:t>
          </a:r>
          <a:endParaRPr lang="pt-BR" sz="1200" b="1">
            <a:solidFill>
              <a:schemeClr val="bg1"/>
            </a:solidFill>
            <a:latin typeface="Votorantim Sans Black" panose="02010A03030202050203"/>
            <a:cs typeface="Arial" panose="020B0604020202020204" pitchFamily="34" charset="0"/>
          </a:endParaRPr>
        </a:p>
      </xdr:txBody>
    </xdr:sp>
    <xdr:clientData/>
  </xdr:twoCellAnchor>
  <xdr:twoCellAnchor>
    <xdr:from>
      <xdr:col>2</xdr:col>
      <xdr:colOff>323849</xdr:colOff>
      <xdr:row>24</xdr:row>
      <xdr:rowOff>0</xdr:rowOff>
    </xdr:from>
    <xdr:to>
      <xdr:col>11</xdr:col>
      <xdr:colOff>535132</xdr:colOff>
      <xdr:row>26</xdr:row>
      <xdr:rowOff>186637</xdr:rowOff>
    </xdr:to>
    <xdr:sp macro="" textlink="">
      <xdr:nvSpPr>
        <xdr:cNvPr id="25" name="CaixaDeTexto 24">
          <a:extLst>
            <a:ext uri="{FF2B5EF4-FFF2-40B4-BE49-F238E27FC236}">
              <a16:creationId xmlns:a16="http://schemas.microsoft.com/office/drawing/2014/main" id="{2003D3AA-98B1-4E08-AB29-08FBDFA061C3}"/>
            </a:ext>
          </a:extLst>
        </xdr:cNvPr>
        <xdr:cNvSpPr txBox="1"/>
      </xdr:nvSpPr>
      <xdr:spPr>
        <a:xfrm>
          <a:off x="2097808" y="5334000"/>
          <a:ext cx="6139874" cy="509910"/>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Inclui </a:t>
          </a:r>
          <a:r>
            <a:rPr lang="pt-BR" sz="1100" i="1">
              <a:solidFill>
                <a:schemeClr val="dk1"/>
              </a:solidFill>
              <a:effectLst/>
              <a:latin typeface="Votorantim Sans Black" panose="02010A03030202050203"/>
              <a:ea typeface="+mn-ea"/>
              <a:cs typeface="+mn-cs"/>
            </a:rPr>
            <a:t>trading</a:t>
          </a:r>
          <a:r>
            <a:rPr lang="pt-BR" sz="1100">
              <a:solidFill>
                <a:schemeClr val="dk1"/>
              </a:solidFill>
              <a:effectLst/>
              <a:latin typeface="Votorantim Sans Black" panose="02010A03030202050203"/>
              <a:ea typeface="+mn-ea"/>
              <a:cs typeface="+mn-cs"/>
            </a:rPr>
            <a:t> de lingote, alumina e outros</a:t>
          </a:r>
          <a:endParaRPr lang="pt-BR">
            <a:effectLst/>
            <a:latin typeface="Votorantim Sans Black" panose="02010A03030202050203"/>
          </a:endParaRPr>
        </a:p>
        <a:p>
          <a:endParaRPr lang="pt-BR" sz="1100">
            <a:solidFill>
              <a:srgbClr val="002060"/>
            </a:solidFill>
            <a:latin typeface="Barlow"/>
          </a:endParaRPr>
        </a:p>
      </xdr:txBody>
    </xdr:sp>
    <xdr:clientData/>
  </xdr:twoCellAnchor>
  <xdr:oneCellAnchor>
    <xdr:from>
      <xdr:col>1</xdr:col>
      <xdr:colOff>23091</xdr:colOff>
      <xdr:row>2</xdr:row>
      <xdr:rowOff>75148</xdr:rowOff>
    </xdr:from>
    <xdr:ext cx="2591784" cy="329858"/>
    <xdr:sp macro="" textlink="">
      <xdr:nvSpPr>
        <xdr:cNvPr id="18434" name="Text Box 2">
          <a:extLst>
            <a:ext uri="{FF2B5EF4-FFF2-40B4-BE49-F238E27FC236}">
              <a16:creationId xmlns:a16="http://schemas.microsoft.com/office/drawing/2014/main" id="{7FC7CA38-79A4-42D4-B8F4-CE1AE80B5409}"/>
            </a:ext>
          </a:extLst>
        </xdr:cNvPr>
        <xdr:cNvSpPr txBox="1">
          <a:spLocks noChangeArrowheads="1"/>
        </xdr:cNvSpPr>
      </xdr:nvSpPr>
      <xdr:spPr bwMode="auto">
        <a:xfrm>
          <a:off x="173182" y="388896"/>
          <a:ext cx="2593490" cy="339283"/>
        </a:xfrm>
        <a:prstGeom prst="rect">
          <a:avLst/>
        </a:prstGeom>
        <a:noFill/>
        <a:ln w="9525">
          <a:noFill/>
          <a:miter lim="800000"/>
          <a:headEnd/>
          <a:tailEnd/>
        </a:ln>
      </xdr:spPr>
      <xdr:txBody>
        <a:bodyPr wrap="square" lIns="45720" tIns="45720" rIns="0" bIns="0" anchor="t" upright="1">
          <a:noAutofit/>
        </a:bodyPr>
        <a:lstStyle/>
        <a:p>
          <a:pPr algn="l" rtl="0">
            <a:defRPr sz="1000"/>
          </a:pPr>
          <a:r>
            <a:rPr lang="en-US" sz="1600" b="1" i="0" u="none" strike="noStrike" baseline="0">
              <a:solidFill>
                <a:schemeClr val="bg1"/>
              </a:solidFill>
              <a:latin typeface="Votorantim Sans Black" panose="02010A03030202050203"/>
            </a:rPr>
            <a:t>1. Premissas</a:t>
          </a:r>
        </a:p>
      </xdr:txBody>
    </xdr:sp>
    <xdr:clientData/>
  </xdr:oneCellAnchor>
  <xdr:twoCellAnchor editAs="oneCell">
    <xdr:from>
      <xdr:col>1</xdr:col>
      <xdr:colOff>9525</xdr:colOff>
      <xdr:row>0</xdr:row>
      <xdr:rowOff>38100</xdr:rowOff>
    </xdr:from>
    <xdr:to>
      <xdr:col>1</xdr:col>
      <xdr:colOff>1276350</xdr:colOff>
      <xdr:row>2</xdr:row>
      <xdr:rowOff>152400</xdr:rowOff>
    </xdr:to>
    <xdr:pic>
      <xdr:nvPicPr>
        <xdr:cNvPr id="280774" name="Picture 2">
          <a:extLst>
            <a:ext uri="{FF2B5EF4-FFF2-40B4-BE49-F238E27FC236}">
              <a16:creationId xmlns:a16="http://schemas.microsoft.com/office/drawing/2014/main" id="{004C7FB0-7E5D-4B4B-B0EB-6F7EAC5C0D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733425</xdr:colOff>
      <xdr:row>0</xdr:row>
      <xdr:rowOff>57150</xdr:rowOff>
    </xdr:from>
    <xdr:to>
      <xdr:col>13</xdr:col>
      <xdr:colOff>161925</xdr:colOff>
      <xdr:row>3</xdr:row>
      <xdr:rowOff>180975</xdr:rowOff>
    </xdr:to>
    <xdr:grpSp>
      <xdr:nvGrpSpPr>
        <xdr:cNvPr id="280775" name="Agrupar 11">
          <a:hlinkClick xmlns:r="http://schemas.openxmlformats.org/officeDocument/2006/relationships" r:id="rId2"/>
          <a:extLst>
            <a:ext uri="{FF2B5EF4-FFF2-40B4-BE49-F238E27FC236}">
              <a16:creationId xmlns:a16="http://schemas.microsoft.com/office/drawing/2014/main" id="{7A6E227C-2A6D-4D27-A434-07E354B07EB7}"/>
            </a:ext>
          </a:extLst>
        </xdr:cNvPr>
        <xdr:cNvGrpSpPr>
          <a:grpSpLocks/>
        </xdr:cNvGrpSpPr>
      </xdr:nvGrpSpPr>
      <xdr:grpSpPr bwMode="auto">
        <a:xfrm>
          <a:off x="8423275" y="57150"/>
          <a:ext cx="946150" cy="600075"/>
          <a:chOff x="11133666" y="131229"/>
          <a:chExt cx="928738" cy="609603"/>
        </a:xfrm>
      </xdr:grpSpPr>
      <xdr:sp macro="" textlink="">
        <xdr:nvSpPr>
          <xdr:cNvPr id="14" name="Seta: Curva para Cima 13" descr="Menu">
            <a:extLst>
              <a:ext uri="{FF2B5EF4-FFF2-40B4-BE49-F238E27FC236}">
                <a16:creationId xmlns:a16="http://schemas.microsoft.com/office/drawing/2014/main" id="{BAFEE8B7-5DB3-412E-8B36-EFA332BE1C2B}"/>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5" name="CaixaDeTexto 14">
            <a:extLst>
              <a:ext uri="{FF2B5EF4-FFF2-40B4-BE49-F238E27FC236}">
                <a16:creationId xmlns:a16="http://schemas.microsoft.com/office/drawing/2014/main" id="{78D287DC-4C09-40D1-BF0F-42CD52416658}"/>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76200</xdr:colOff>
      <xdr:row>5</xdr:row>
      <xdr:rowOff>28575</xdr:rowOff>
    </xdr:from>
    <xdr:to>
      <xdr:col>9</xdr:col>
      <xdr:colOff>323850</xdr:colOff>
      <xdr:row>30</xdr:row>
      <xdr:rowOff>114300</xdr:rowOff>
    </xdr:to>
    <xdr:sp macro="" textlink="">
      <xdr:nvSpPr>
        <xdr:cNvPr id="281748" name="Retângulo 2">
          <a:extLst>
            <a:ext uri="{FF2B5EF4-FFF2-40B4-BE49-F238E27FC236}">
              <a16:creationId xmlns:a16="http://schemas.microsoft.com/office/drawing/2014/main" id="{C893EA89-8CE6-43C7-838F-A693064F3A9E}"/>
            </a:ext>
          </a:extLst>
        </xdr:cNvPr>
        <xdr:cNvSpPr>
          <a:spLocks noChangeArrowheads="1"/>
        </xdr:cNvSpPr>
      </xdr:nvSpPr>
      <xdr:spPr bwMode="auto">
        <a:xfrm>
          <a:off x="752475" y="1447800"/>
          <a:ext cx="7096125" cy="4124325"/>
        </a:xfrm>
        <a:prstGeom prst="rect">
          <a:avLst/>
        </a:prstGeom>
        <a:solidFill>
          <a:srgbClr val="FFFFFF"/>
        </a:solidFill>
        <a:ln w="19050" algn="ctr">
          <a:solidFill>
            <a:srgbClr val="00599C"/>
          </a:solidFill>
          <a:prstDash val="sysDot"/>
          <a:round/>
          <a:headEnd/>
          <a:tailEnd/>
        </a:ln>
      </xdr:spPr>
    </xdr:sp>
    <xdr:clientData/>
  </xdr:twoCellAnchor>
  <xdr:oneCellAnchor>
    <xdr:from>
      <xdr:col>2</xdr:col>
      <xdr:colOff>113030</xdr:colOff>
      <xdr:row>17</xdr:row>
      <xdr:rowOff>0</xdr:rowOff>
    </xdr:from>
    <xdr:ext cx="211945" cy="448955"/>
    <xdr:sp macro="" textlink="">
      <xdr:nvSpPr>
        <xdr:cNvPr id="23553" name="Rectangle 12">
          <a:extLst>
            <a:ext uri="{FF2B5EF4-FFF2-40B4-BE49-F238E27FC236}">
              <a16:creationId xmlns:a16="http://schemas.microsoft.com/office/drawing/2014/main" id="{BF7C0005-4A65-43EA-890C-67A2537F52C3}"/>
            </a:ext>
          </a:extLst>
        </xdr:cNvPr>
        <xdr:cNvSpPr>
          <a:spLocks noChangeArrowheads="1"/>
        </xdr:cNvSpPr>
      </xdr:nvSpPr>
      <xdr:spPr bwMode="auto">
        <a:xfrm>
          <a:off x="2465015" y="331304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2</xdr:col>
      <xdr:colOff>113030</xdr:colOff>
      <xdr:row>17</xdr:row>
      <xdr:rowOff>0</xdr:rowOff>
    </xdr:from>
    <xdr:ext cx="211945" cy="448955"/>
    <xdr:sp macro="" textlink="">
      <xdr:nvSpPr>
        <xdr:cNvPr id="23554" name="Rectangle 13">
          <a:extLst>
            <a:ext uri="{FF2B5EF4-FFF2-40B4-BE49-F238E27FC236}">
              <a16:creationId xmlns:a16="http://schemas.microsoft.com/office/drawing/2014/main" id="{CAA4A5FA-5A72-4D5A-B80F-97F9FE9C18B4}"/>
            </a:ext>
          </a:extLst>
        </xdr:cNvPr>
        <xdr:cNvSpPr>
          <a:spLocks noChangeArrowheads="1"/>
        </xdr:cNvSpPr>
      </xdr:nvSpPr>
      <xdr:spPr bwMode="auto">
        <a:xfrm>
          <a:off x="2465015" y="331304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0</xdr:col>
      <xdr:colOff>0</xdr:colOff>
      <xdr:row>0</xdr:row>
      <xdr:rowOff>0</xdr:rowOff>
    </xdr:from>
    <xdr:to>
      <xdr:col>10</xdr:col>
      <xdr:colOff>9525</xdr:colOff>
      <xdr:row>2</xdr:row>
      <xdr:rowOff>390525</xdr:rowOff>
    </xdr:to>
    <xdr:sp macro="" textlink="">
      <xdr:nvSpPr>
        <xdr:cNvPr id="281751" name="Retângulo 6">
          <a:extLst>
            <a:ext uri="{FF2B5EF4-FFF2-40B4-BE49-F238E27FC236}">
              <a16:creationId xmlns:a16="http://schemas.microsoft.com/office/drawing/2014/main" id="{1C678AB7-2BD0-49C3-9681-974FEDD7FA67}"/>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13426</xdr:colOff>
      <xdr:row>2</xdr:row>
      <xdr:rowOff>55880</xdr:rowOff>
    </xdr:from>
    <xdr:ext cx="2225441" cy="306188"/>
    <xdr:sp macro="" textlink="">
      <xdr:nvSpPr>
        <xdr:cNvPr id="23601" name="Text Box 49">
          <a:extLst>
            <a:ext uri="{FF2B5EF4-FFF2-40B4-BE49-F238E27FC236}">
              <a16:creationId xmlns:a16="http://schemas.microsoft.com/office/drawing/2014/main" id="{5FF11F86-5046-4CDF-BDE7-CAFE9EF58DE0}"/>
            </a:ext>
          </a:extLst>
        </xdr:cNvPr>
        <xdr:cNvSpPr txBox="1">
          <a:spLocks noChangeArrowheads="1"/>
        </xdr:cNvSpPr>
      </xdr:nvSpPr>
      <xdr:spPr bwMode="auto">
        <a:xfrm>
          <a:off x="13426" y="373380"/>
          <a:ext cx="189487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2. Processo Produtivo</a:t>
          </a:r>
        </a:p>
      </xdr:txBody>
    </xdr:sp>
    <xdr:clientData/>
  </xdr:oneCellAnchor>
  <xdr:twoCellAnchor>
    <xdr:from>
      <xdr:col>10</xdr:col>
      <xdr:colOff>142875</xdr:colOff>
      <xdr:row>0</xdr:row>
      <xdr:rowOff>19050</xdr:rowOff>
    </xdr:from>
    <xdr:to>
      <xdr:col>11</xdr:col>
      <xdr:colOff>409575</xdr:colOff>
      <xdr:row>2</xdr:row>
      <xdr:rowOff>314325</xdr:rowOff>
    </xdr:to>
    <xdr:grpSp>
      <xdr:nvGrpSpPr>
        <xdr:cNvPr id="281753" name="Agrupar 11">
          <a:hlinkClick xmlns:r="http://schemas.openxmlformats.org/officeDocument/2006/relationships" r:id="rId1"/>
          <a:extLst>
            <a:ext uri="{FF2B5EF4-FFF2-40B4-BE49-F238E27FC236}">
              <a16:creationId xmlns:a16="http://schemas.microsoft.com/office/drawing/2014/main" id="{56834CA7-3A1C-4414-8819-D30BA807F5D0}"/>
            </a:ext>
          </a:extLst>
        </xdr:cNvPr>
        <xdr:cNvGrpSpPr>
          <a:grpSpLocks/>
        </xdr:cNvGrpSpPr>
      </xdr:nvGrpSpPr>
      <xdr:grpSpPr bwMode="auto">
        <a:xfrm>
          <a:off x="8435975" y="19050"/>
          <a:ext cx="908050" cy="612775"/>
          <a:chOff x="11133666" y="131229"/>
          <a:chExt cx="928738" cy="609603"/>
        </a:xfrm>
      </xdr:grpSpPr>
      <xdr:sp macro="" textlink="">
        <xdr:nvSpPr>
          <xdr:cNvPr id="13" name="Seta: Curva para Cima 12" descr="Menu">
            <a:extLst>
              <a:ext uri="{FF2B5EF4-FFF2-40B4-BE49-F238E27FC236}">
                <a16:creationId xmlns:a16="http://schemas.microsoft.com/office/drawing/2014/main" id="{4ECFDD4C-8BD0-45B3-9764-E7D0EA3C7C52}"/>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4" name="CaixaDeTexto 13">
            <a:extLst>
              <a:ext uri="{FF2B5EF4-FFF2-40B4-BE49-F238E27FC236}">
                <a16:creationId xmlns:a16="http://schemas.microsoft.com/office/drawing/2014/main" id="{E1FABC57-727C-4EB8-BF08-0F8FD243B8B3}"/>
              </a:ext>
            </a:extLst>
          </xdr:cNvPr>
          <xdr:cNvSpPr txBox="1"/>
        </xdr:nvSpPr>
        <xdr:spPr>
          <a:xfrm rot="600355">
            <a:off x="11214426"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123825</xdr:colOff>
      <xdr:row>5</xdr:row>
      <xdr:rowOff>66675</xdr:rowOff>
    </xdr:from>
    <xdr:to>
      <xdr:col>9</xdr:col>
      <xdr:colOff>285750</xdr:colOff>
      <xdr:row>30</xdr:row>
      <xdr:rowOff>95250</xdr:rowOff>
    </xdr:to>
    <xdr:pic>
      <xdr:nvPicPr>
        <xdr:cNvPr id="281754" name="Picture 1">
          <a:extLst>
            <a:ext uri="{FF2B5EF4-FFF2-40B4-BE49-F238E27FC236}">
              <a16:creationId xmlns:a16="http://schemas.microsoft.com/office/drawing/2014/main" id="{B438C614-907E-43F1-94EC-CC2B29597F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1485900"/>
          <a:ext cx="7010400" cy="406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590550</xdr:colOff>
      <xdr:row>2</xdr:row>
      <xdr:rowOff>114300</xdr:rowOff>
    </xdr:to>
    <xdr:pic>
      <xdr:nvPicPr>
        <xdr:cNvPr id="281755" name="Picture 2">
          <a:extLst>
            <a:ext uri="{FF2B5EF4-FFF2-40B4-BE49-F238E27FC236}">
              <a16:creationId xmlns:a16="http://schemas.microsoft.com/office/drawing/2014/main" id="{620E72B1-3DC0-4C10-A1D2-D2B2492E88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xdr:colOff>
      <xdr:row>0</xdr:row>
      <xdr:rowOff>19050</xdr:rowOff>
    </xdr:from>
    <xdr:to>
      <xdr:col>9</xdr:col>
      <xdr:colOff>85725</xdr:colOff>
      <xdr:row>2</xdr:row>
      <xdr:rowOff>409575</xdr:rowOff>
    </xdr:to>
    <xdr:sp macro="" textlink="">
      <xdr:nvSpPr>
        <xdr:cNvPr id="2" name="Retângulo 6">
          <a:extLst>
            <a:ext uri="{FF2B5EF4-FFF2-40B4-BE49-F238E27FC236}">
              <a16:creationId xmlns:a16="http://schemas.microsoft.com/office/drawing/2014/main" id="{E268FA45-CEC3-465E-921A-7F192BB46D84}"/>
            </a:ext>
          </a:extLst>
        </xdr:cNvPr>
        <xdr:cNvSpPr>
          <a:spLocks noChangeArrowheads="1"/>
        </xdr:cNvSpPr>
      </xdr:nvSpPr>
      <xdr:spPr bwMode="auto">
        <a:xfrm>
          <a:off x="12700" y="19050"/>
          <a:ext cx="1184592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13426</xdr:colOff>
      <xdr:row>2</xdr:row>
      <xdr:rowOff>55880</xdr:rowOff>
    </xdr:from>
    <xdr:ext cx="886781" cy="296620"/>
    <xdr:sp macro="" textlink="">
      <xdr:nvSpPr>
        <xdr:cNvPr id="3" name="Text Box 49">
          <a:extLst>
            <a:ext uri="{FF2B5EF4-FFF2-40B4-BE49-F238E27FC236}">
              <a16:creationId xmlns:a16="http://schemas.microsoft.com/office/drawing/2014/main" id="{507DFE73-0C49-44EE-AF09-1FA62E523092}"/>
            </a:ext>
          </a:extLst>
        </xdr:cNvPr>
        <xdr:cNvSpPr txBox="1">
          <a:spLocks noChangeArrowheads="1"/>
        </xdr:cNvSpPr>
      </xdr:nvSpPr>
      <xdr:spPr bwMode="auto">
        <a:xfrm>
          <a:off x="13426" y="379730"/>
          <a:ext cx="886781"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3. Energia</a:t>
          </a:r>
        </a:p>
      </xdr:txBody>
    </xdr:sp>
    <xdr:clientData/>
  </xdr:oneCellAnchor>
  <xdr:twoCellAnchor>
    <xdr:from>
      <xdr:col>9</xdr:col>
      <xdr:colOff>95249</xdr:colOff>
      <xdr:row>0</xdr:row>
      <xdr:rowOff>19050</xdr:rowOff>
    </xdr:from>
    <xdr:to>
      <xdr:col>11</xdr:col>
      <xdr:colOff>257171</xdr:colOff>
      <xdr:row>2</xdr:row>
      <xdr:rowOff>314325</xdr:rowOff>
    </xdr:to>
    <xdr:grpSp>
      <xdr:nvGrpSpPr>
        <xdr:cNvPr id="4" name="Agrupar 11">
          <a:hlinkClick xmlns:r="http://schemas.openxmlformats.org/officeDocument/2006/relationships" r:id="rId1"/>
          <a:extLst>
            <a:ext uri="{FF2B5EF4-FFF2-40B4-BE49-F238E27FC236}">
              <a16:creationId xmlns:a16="http://schemas.microsoft.com/office/drawing/2014/main" id="{BC084B50-CEE5-47BF-8F2D-5CCCA58B1955}"/>
            </a:ext>
          </a:extLst>
        </xdr:cNvPr>
        <xdr:cNvGrpSpPr>
          <a:grpSpLocks/>
        </xdr:cNvGrpSpPr>
      </xdr:nvGrpSpPr>
      <xdr:grpSpPr bwMode="auto">
        <a:xfrm>
          <a:off x="12442471" y="19050"/>
          <a:ext cx="1446033" cy="619831"/>
          <a:chOff x="11133666" y="131229"/>
          <a:chExt cx="928736" cy="609603"/>
        </a:xfrm>
      </xdr:grpSpPr>
      <xdr:sp macro="" textlink="">
        <xdr:nvSpPr>
          <xdr:cNvPr id="5" name="Seta: Curva para Cima 4" descr="Menu">
            <a:extLst>
              <a:ext uri="{FF2B5EF4-FFF2-40B4-BE49-F238E27FC236}">
                <a16:creationId xmlns:a16="http://schemas.microsoft.com/office/drawing/2014/main" id="{84024F6C-BD89-4F24-B91B-293174B6ED98}"/>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E93C4055-BF23-4E74-8F71-C7367D048511}"/>
              </a:ext>
            </a:extLst>
          </xdr:cNvPr>
          <xdr:cNvSpPr txBox="1"/>
        </xdr:nvSpPr>
        <xdr:spPr>
          <a:xfrm rot="600355">
            <a:off x="11214424"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0</xdr:col>
      <xdr:colOff>0</xdr:colOff>
      <xdr:row>0</xdr:row>
      <xdr:rowOff>0</xdr:rowOff>
    </xdr:from>
    <xdr:to>
      <xdr:col>0</xdr:col>
      <xdr:colOff>1263650</xdr:colOff>
      <xdr:row>2</xdr:row>
      <xdr:rowOff>114300</xdr:rowOff>
    </xdr:to>
    <xdr:pic>
      <xdr:nvPicPr>
        <xdr:cNvPr id="7" name="Picture 2">
          <a:extLst>
            <a:ext uri="{FF2B5EF4-FFF2-40B4-BE49-F238E27FC236}">
              <a16:creationId xmlns:a16="http://schemas.microsoft.com/office/drawing/2014/main" id="{30B9C367-6D53-45CB-8C8E-D565DB093DF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636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328613</xdr:colOff>
      <xdr:row>61</xdr:row>
      <xdr:rowOff>93663</xdr:rowOff>
    </xdr:from>
    <xdr:to>
      <xdr:col>6</xdr:col>
      <xdr:colOff>25401</xdr:colOff>
      <xdr:row>64</xdr:row>
      <xdr:rowOff>144463</xdr:rowOff>
    </xdr:to>
    <xdr:pic>
      <xdr:nvPicPr>
        <xdr:cNvPr id="8" name="Imagem 7">
          <a:extLst>
            <a:ext uri="{FF2B5EF4-FFF2-40B4-BE49-F238E27FC236}">
              <a16:creationId xmlns:a16="http://schemas.microsoft.com/office/drawing/2014/main" id="{7B5A61EB-F1E3-499C-8DB8-ABB3B34DE9D1}"/>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43588" y="10780713"/>
          <a:ext cx="811213" cy="53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881063</xdr:colOff>
      <xdr:row>61</xdr:row>
      <xdr:rowOff>96838</xdr:rowOff>
    </xdr:from>
    <xdr:to>
      <xdr:col>4</xdr:col>
      <xdr:colOff>579438</xdr:colOff>
      <xdr:row>65</xdr:row>
      <xdr:rowOff>0</xdr:rowOff>
    </xdr:to>
    <xdr:pic>
      <xdr:nvPicPr>
        <xdr:cNvPr id="9" name="Imagem 8">
          <a:extLst>
            <a:ext uri="{FF2B5EF4-FFF2-40B4-BE49-F238E27FC236}">
              <a16:creationId xmlns:a16="http://schemas.microsoft.com/office/drawing/2014/main" id="{12D9FFE4-2D1D-48C0-BF2D-75DA68195B1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167188" y="10783888"/>
          <a:ext cx="812800" cy="550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873811</xdr:colOff>
      <xdr:row>56</xdr:row>
      <xdr:rowOff>160338</xdr:rowOff>
    </xdr:from>
    <xdr:to>
      <xdr:col>4</xdr:col>
      <xdr:colOff>565836</xdr:colOff>
      <xdr:row>60</xdr:row>
      <xdr:rowOff>53975</xdr:rowOff>
    </xdr:to>
    <xdr:pic>
      <xdr:nvPicPr>
        <xdr:cNvPr id="10" name="Imagem 9">
          <a:extLst>
            <a:ext uri="{FF2B5EF4-FFF2-40B4-BE49-F238E27FC236}">
              <a16:creationId xmlns:a16="http://schemas.microsoft.com/office/drawing/2014/main" id="{108ABBF8-36DB-4E48-8A86-50C38F4C7169}"/>
            </a:ext>
          </a:extLst>
        </xdr:cNvPr>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159936" y="10037763"/>
          <a:ext cx="806450" cy="541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457201</xdr:colOff>
      <xdr:row>55</xdr:row>
      <xdr:rowOff>87313</xdr:rowOff>
    </xdr:from>
    <xdr:to>
      <xdr:col>1</xdr:col>
      <xdr:colOff>465138</xdr:colOff>
      <xdr:row>55</xdr:row>
      <xdr:rowOff>87313</xdr:rowOff>
    </xdr:to>
    <xdr:sp macro="" textlink="">
      <xdr:nvSpPr>
        <xdr:cNvPr id="11" name="Rectangle 81">
          <a:extLst>
            <a:ext uri="{FF2B5EF4-FFF2-40B4-BE49-F238E27FC236}">
              <a16:creationId xmlns:a16="http://schemas.microsoft.com/office/drawing/2014/main" id="{5BF6A551-6E3E-4C01-BC9D-4FAB66E31B3D}"/>
            </a:ext>
          </a:extLst>
        </xdr:cNvPr>
        <xdr:cNvSpPr>
          <a:spLocks noChangeAspect="1" noChangeArrowheads="1"/>
        </xdr:cNvSpPr>
      </xdr:nvSpPr>
      <xdr:spPr bwMode="gray">
        <a:xfrm>
          <a:off x="1990726" y="9802813"/>
          <a:ext cx="7937"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0</xdr:colOff>
      <xdr:row>42</xdr:row>
      <xdr:rowOff>146050</xdr:rowOff>
    </xdr:from>
    <xdr:to>
      <xdr:col>1</xdr:col>
      <xdr:colOff>263526</xdr:colOff>
      <xdr:row>51</xdr:row>
      <xdr:rowOff>36513</xdr:rowOff>
    </xdr:to>
    <xdr:sp macro="" textlink="">
      <xdr:nvSpPr>
        <xdr:cNvPr id="12" name="Freeform 82">
          <a:extLst>
            <a:ext uri="{FF2B5EF4-FFF2-40B4-BE49-F238E27FC236}">
              <a16:creationId xmlns:a16="http://schemas.microsoft.com/office/drawing/2014/main" id="{E43C99F6-7E6D-4030-BBE1-7B1F0DE6A2B2}"/>
            </a:ext>
          </a:extLst>
        </xdr:cNvPr>
        <xdr:cNvSpPr>
          <a:spLocks noChangeAspect="1"/>
        </xdr:cNvSpPr>
      </xdr:nvSpPr>
      <xdr:spPr bwMode="gray">
        <a:xfrm>
          <a:off x="0" y="7756525"/>
          <a:ext cx="1797051" cy="1347788"/>
        </a:xfrm>
        <a:custGeom>
          <a:avLst/>
          <a:gdLst>
            <a:gd name="T0" fmla="*/ 1186 w 267"/>
            <a:gd name="T1" fmla="*/ 210 h 214"/>
            <a:gd name="T2" fmla="*/ 1152 w 267"/>
            <a:gd name="T3" fmla="*/ 278 h 214"/>
            <a:gd name="T4" fmla="*/ 1078 w 267"/>
            <a:gd name="T5" fmla="*/ 255 h 214"/>
            <a:gd name="T6" fmla="*/ 1038 w 267"/>
            <a:gd name="T7" fmla="*/ 318 h 214"/>
            <a:gd name="T8" fmla="*/ 987 w 267"/>
            <a:gd name="T9" fmla="*/ 244 h 214"/>
            <a:gd name="T10" fmla="*/ 976 w 267"/>
            <a:gd name="T11" fmla="*/ 125 h 214"/>
            <a:gd name="T12" fmla="*/ 931 w 267"/>
            <a:gd name="T13" fmla="*/ 45 h 214"/>
            <a:gd name="T14" fmla="*/ 868 w 267"/>
            <a:gd name="T15" fmla="*/ 23 h 214"/>
            <a:gd name="T16" fmla="*/ 789 w 267"/>
            <a:gd name="T17" fmla="*/ 91 h 214"/>
            <a:gd name="T18" fmla="*/ 709 w 267"/>
            <a:gd name="T19" fmla="*/ 153 h 214"/>
            <a:gd name="T20" fmla="*/ 601 w 267"/>
            <a:gd name="T21" fmla="*/ 114 h 214"/>
            <a:gd name="T22" fmla="*/ 562 w 267"/>
            <a:gd name="T23" fmla="*/ 68 h 214"/>
            <a:gd name="T24" fmla="*/ 511 w 267"/>
            <a:gd name="T25" fmla="*/ 57 h 214"/>
            <a:gd name="T26" fmla="*/ 443 w 267"/>
            <a:gd name="T27" fmla="*/ 68 h 214"/>
            <a:gd name="T28" fmla="*/ 386 w 267"/>
            <a:gd name="T29" fmla="*/ 57 h 214"/>
            <a:gd name="T30" fmla="*/ 323 w 267"/>
            <a:gd name="T31" fmla="*/ 108 h 214"/>
            <a:gd name="T32" fmla="*/ 386 w 267"/>
            <a:gd name="T33" fmla="*/ 136 h 214"/>
            <a:gd name="T34" fmla="*/ 312 w 267"/>
            <a:gd name="T35" fmla="*/ 199 h 214"/>
            <a:gd name="T36" fmla="*/ 357 w 267"/>
            <a:gd name="T37" fmla="*/ 318 h 214"/>
            <a:gd name="T38" fmla="*/ 340 w 267"/>
            <a:gd name="T39" fmla="*/ 539 h 214"/>
            <a:gd name="T40" fmla="*/ 278 w 267"/>
            <a:gd name="T41" fmla="*/ 608 h 214"/>
            <a:gd name="T42" fmla="*/ 159 w 267"/>
            <a:gd name="T43" fmla="*/ 636 h 214"/>
            <a:gd name="T44" fmla="*/ 91 w 267"/>
            <a:gd name="T45" fmla="*/ 704 h 214"/>
            <a:gd name="T46" fmla="*/ 51 w 267"/>
            <a:gd name="T47" fmla="*/ 835 h 214"/>
            <a:gd name="T48" fmla="*/ 0 w 267"/>
            <a:gd name="T49" fmla="*/ 897 h 214"/>
            <a:gd name="T50" fmla="*/ 57 w 267"/>
            <a:gd name="T51" fmla="*/ 999 h 214"/>
            <a:gd name="T52" fmla="*/ 91 w 267"/>
            <a:gd name="T53" fmla="*/ 1096 h 214"/>
            <a:gd name="T54" fmla="*/ 159 w 267"/>
            <a:gd name="T55" fmla="*/ 1118 h 214"/>
            <a:gd name="T56" fmla="*/ 284 w 267"/>
            <a:gd name="T57" fmla="*/ 1084 h 214"/>
            <a:gd name="T58" fmla="*/ 306 w 267"/>
            <a:gd name="T59" fmla="*/ 1164 h 214"/>
            <a:gd name="T60" fmla="*/ 431 w 267"/>
            <a:gd name="T61" fmla="*/ 1204 h 214"/>
            <a:gd name="T62" fmla="*/ 522 w 267"/>
            <a:gd name="T63" fmla="*/ 1181 h 214"/>
            <a:gd name="T64" fmla="*/ 590 w 267"/>
            <a:gd name="T65" fmla="*/ 1158 h 214"/>
            <a:gd name="T66" fmla="*/ 658 w 267"/>
            <a:gd name="T67" fmla="*/ 1062 h 214"/>
            <a:gd name="T68" fmla="*/ 732 w 267"/>
            <a:gd name="T69" fmla="*/ 1073 h 214"/>
            <a:gd name="T70" fmla="*/ 783 w 267"/>
            <a:gd name="T71" fmla="*/ 1045 h 214"/>
            <a:gd name="T72" fmla="*/ 834 w 267"/>
            <a:gd name="T73" fmla="*/ 1016 h 214"/>
            <a:gd name="T74" fmla="*/ 885 w 267"/>
            <a:gd name="T75" fmla="*/ 942 h 214"/>
            <a:gd name="T76" fmla="*/ 959 w 267"/>
            <a:gd name="T77" fmla="*/ 942 h 214"/>
            <a:gd name="T78" fmla="*/ 1027 w 267"/>
            <a:gd name="T79" fmla="*/ 977 h 214"/>
            <a:gd name="T80" fmla="*/ 1197 w 267"/>
            <a:gd name="T81" fmla="*/ 977 h 214"/>
            <a:gd name="T82" fmla="*/ 1294 w 267"/>
            <a:gd name="T83" fmla="*/ 988 h 214"/>
            <a:gd name="T84" fmla="*/ 1345 w 267"/>
            <a:gd name="T85" fmla="*/ 942 h 214"/>
            <a:gd name="T86" fmla="*/ 1356 w 267"/>
            <a:gd name="T87" fmla="*/ 789 h 214"/>
            <a:gd name="T88" fmla="*/ 1458 w 267"/>
            <a:gd name="T89" fmla="*/ 375 h 214"/>
            <a:gd name="T90" fmla="*/ 1407 w 267"/>
            <a:gd name="T91" fmla="*/ 329 h 214"/>
            <a:gd name="T92" fmla="*/ 1328 w 267"/>
            <a:gd name="T93" fmla="*/ 301 h 214"/>
            <a:gd name="T94" fmla="*/ 1294 w 267"/>
            <a:gd name="T95" fmla="*/ 210 h 21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267" h="214">
              <a:moveTo>
                <a:pt x="227" y="31"/>
              </a:moveTo>
              <a:lnTo>
                <a:pt x="214" y="31"/>
              </a:lnTo>
              <a:lnTo>
                <a:pt x="211" y="32"/>
              </a:lnTo>
              <a:lnTo>
                <a:pt x="209" y="37"/>
              </a:lnTo>
              <a:lnTo>
                <a:pt x="208" y="41"/>
              </a:lnTo>
              <a:lnTo>
                <a:pt x="205" y="43"/>
              </a:lnTo>
              <a:lnTo>
                <a:pt x="206" y="48"/>
              </a:lnTo>
              <a:lnTo>
                <a:pt x="203" y="49"/>
              </a:lnTo>
              <a:lnTo>
                <a:pt x="200" y="49"/>
              </a:lnTo>
              <a:lnTo>
                <a:pt x="197" y="45"/>
              </a:lnTo>
              <a:lnTo>
                <a:pt x="193" y="45"/>
              </a:lnTo>
              <a:lnTo>
                <a:pt x="190" y="45"/>
              </a:lnTo>
              <a:lnTo>
                <a:pt x="187" y="48"/>
              </a:lnTo>
              <a:lnTo>
                <a:pt x="186" y="51"/>
              </a:lnTo>
              <a:lnTo>
                <a:pt x="184" y="56"/>
              </a:lnTo>
              <a:lnTo>
                <a:pt x="183" y="56"/>
              </a:lnTo>
              <a:lnTo>
                <a:pt x="180" y="53"/>
              </a:lnTo>
              <a:lnTo>
                <a:pt x="177" y="51"/>
              </a:lnTo>
              <a:lnTo>
                <a:pt x="174" y="48"/>
              </a:lnTo>
              <a:lnTo>
                <a:pt x="174" y="43"/>
              </a:lnTo>
              <a:lnTo>
                <a:pt x="175" y="39"/>
              </a:lnTo>
              <a:lnTo>
                <a:pt x="174" y="35"/>
              </a:lnTo>
              <a:lnTo>
                <a:pt x="174" y="27"/>
              </a:lnTo>
              <a:lnTo>
                <a:pt x="172" y="22"/>
              </a:lnTo>
              <a:lnTo>
                <a:pt x="169" y="20"/>
              </a:lnTo>
              <a:lnTo>
                <a:pt x="165" y="16"/>
              </a:lnTo>
              <a:lnTo>
                <a:pt x="165" y="12"/>
              </a:lnTo>
              <a:lnTo>
                <a:pt x="164" y="8"/>
              </a:lnTo>
              <a:lnTo>
                <a:pt x="162" y="4"/>
              </a:lnTo>
              <a:lnTo>
                <a:pt x="162" y="0"/>
              </a:lnTo>
              <a:lnTo>
                <a:pt x="159" y="0"/>
              </a:lnTo>
              <a:lnTo>
                <a:pt x="153" y="4"/>
              </a:lnTo>
              <a:lnTo>
                <a:pt x="147" y="4"/>
              </a:lnTo>
              <a:lnTo>
                <a:pt x="144" y="12"/>
              </a:lnTo>
              <a:lnTo>
                <a:pt x="142" y="16"/>
              </a:lnTo>
              <a:lnTo>
                <a:pt x="139" y="16"/>
              </a:lnTo>
              <a:lnTo>
                <a:pt x="136" y="19"/>
              </a:lnTo>
              <a:lnTo>
                <a:pt x="133" y="19"/>
              </a:lnTo>
              <a:lnTo>
                <a:pt x="131" y="22"/>
              </a:lnTo>
              <a:lnTo>
                <a:pt x="125" y="27"/>
              </a:lnTo>
              <a:lnTo>
                <a:pt x="122" y="24"/>
              </a:lnTo>
              <a:lnTo>
                <a:pt x="112" y="24"/>
              </a:lnTo>
              <a:lnTo>
                <a:pt x="110" y="22"/>
              </a:lnTo>
              <a:lnTo>
                <a:pt x="106" y="20"/>
              </a:lnTo>
              <a:lnTo>
                <a:pt x="104" y="20"/>
              </a:lnTo>
              <a:lnTo>
                <a:pt x="100" y="20"/>
              </a:lnTo>
              <a:lnTo>
                <a:pt x="99" y="16"/>
              </a:lnTo>
              <a:lnTo>
                <a:pt x="99" y="12"/>
              </a:lnTo>
              <a:lnTo>
                <a:pt x="99" y="8"/>
              </a:lnTo>
              <a:lnTo>
                <a:pt x="96" y="4"/>
              </a:lnTo>
              <a:lnTo>
                <a:pt x="92" y="8"/>
              </a:lnTo>
              <a:lnTo>
                <a:pt x="90" y="10"/>
              </a:lnTo>
              <a:lnTo>
                <a:pt x="86" y="10"/>
              </a:lnTo>
              <a:lnTo>
                <a:pt x="83" y="8"/>
              </a:lnTo>
              <a:lnTo>
                <a:pt x="80" y="8"/>
              </a:lnTo>
              <a:lnTo>
                <a:pt x="78" y="12"/>
              </a:lnTo>
              <a:lnTo>
                <a:pt x="77" y="12"/>
              </a:lnTo>
              <a:lnTo>
                <a:pt x="74" y="12"/>
              </a:lnTo>
              <a:lnTo>
                <a:pt x="71" y="12"/>
              </a:lnTo>
              <a:lnTo>
                <a:pt x="68" y="10"/>
              </a:lnTo>
              <a:lnTo>
                <a:pt x="64" y="10"/>
              </a:lnTo>
              <a:lnTo>
                <a:pt x="61" y="10"/>
              </a:lnTo>
              <a:lnTo>
                <a:pt x="58" y="14"/>
              </a:lnTo>
              <a:lnTo>
                <a:pt x="57" y="19"/>
              </a:lnTo>
              <a:lnTo>
                <a:pt x="58" y="22"/>
              </a:lnTo>
              <a:lnTo>
                <a:pt x="61" y="22"/>
              </a:lnTo>
              <a:lnTo>
                <a:pt x="64" y="24"/>
              </a:lnTo>
              <a:lnTo>
                <a:pt x="68" y="24"/>
              </a:lnTo>
              <a:lnTo>
                <a:pt x="68" y="29"/>
              </a:lnTo>
              <a:lnTo>
                <a:pt x="64" y="31"/>
              </a:lnTo>
              <a:lnTo>
                <a:pt x="61" y="29"/>
              </a:lnTo>
              <a:lnTo>
                <a:pt x="55" y="35"/>
              </a:lnTo>
              <a:lnTo>
                <a:pt x="57" y="39"/>
              </a:lnTo>
              <a:lnTo>
                <a:pt x="57" y="43"/>
              </a:lnTo>
              <a:lnTo>
                <a:pt x="58" y="48"/>
              </a:lnTo>
              <a:lnTo>
                <a:pt x="63" y="56"/>
              </a:lnTo>
              <a:lnTo>
                <a:pt x="63" y="75"/>
              </a:lnTo>
              <a:lnTo>
                <a:pt x="61" y="81"/>
              </a:lnTo>
              <a:lnTo>
                <a:pt x="61" y="91"/>
              </a:lnTo>
              <a:lnTo>
                <a:pt x="60" y="95"/>
              </a:lnTo>
              <a:lnTo>
                <a:pt x="60" y="99"/>
              </a:lnTo>
              <a:lnTo>
                <a:pt x="58" y="104"/>
              </a:lnTo>
              <a:lnTo>
                <a:pt x="52" y="107"/>
              </a:lnTo>
              <a:lnTo>
                <a:pt x="49" y="107"/>
              </a:lnTo>
              <a:lnTo>
                <a:pt x="44" y="107"/>
              </a:lnTo>
              <a:lnTo>
                <a:pt x="41" y="110"/>
              </a:lnTo>
              <a:lnTo>
                <a:pt x="38" y="112"/>
              </a:lnTo>
              <a:lnTo>
                <a:pt x="28" y="112"/>
              </a:lnTo>
              <a:lnTo>
                <a:pt x="26" y="114"/>
              </a:lnTo>
              <a:lnTo>
                <a:pt x="23" y="118"/>
              </a:lnTo>
              <a:lnTo>
                <a:pt x="20" y="120"/>
              </a:lnTo>
              <a:lnTo>
                <a:pt x="16" y="124"/>
              </a:lnTo>
              <a:lnTo>
                <a:pt x="12" y="133"/>
              </a:lnTo>
              <a:lnTo>
                <a:pt x="10" y="137"/>
              </a:lnTo>
              <a:lnTo>
                <a:pt x="10" y="141"/>
              </a:lnTo>
              <a:lnTo>
                <a:pt x="9" y="147"/>
              </a:lnTo>
              <a:lnTo>
                <a:pt x="5" y="147"/>
              </a:lnTo>
              <a:lnTo>
                <a:pt x="2" y="149"/>
              </a:lnTo>
              <a:lnTo>
                <a:pt x="1" y="153"/>
              </a:lnTo>
              <a:lnTo>
                <a:pt x="0" y="158"/>
              </a:lnTo>
              <a:lnTo>
                <a:pt x="0" y="162"/>
              </a:lnTo>
              <a:lnTo>
                <a:pt x="5" y="170"/>
              </a:lnTo>
              <a:lnTo>
                <a:pt x="7" y="174"/>
              </a:lnTo>
              <a:lnTo>
                <a:pt x="10" y="176"/>
              </a:lnTo>
              <a:lnTo>
                <a:pt x="12" y="180"/>
              </a:lnTo>
              <a:lnTo>
                <a:pt x="15" y="187"/>
              </a:lnTo>
              <a:lnTo>
                <a:pt x="14" y="191"/>
              </a:lnTo>
              <a:lnTo>
                <a:pt x="16" y="193"/>
              </a:lnTo>
              <a:lnTo>
                <a:pt x="20" y="193"/>
              </a:lnTo>
              <a:lnTo>
                <a:pt x="23" y="193"/>
              </a:lnTo>
              <a:lnTo>
                <a:pt x="26" y="195"/>
              </a:lnTo>
              <a:lnTo>
                <a:pt x="28" y="197"/>
              </a:lnTo>
              <a:lnTo>
                <a:pt x="32" y="199"/>
              </a:lnTo>
              <a:lnTo>
                <a:pt x="38" y="199"/>
              </a:lnTo>
              <a:lnTo>
                <a:pt x="41" y="197"/>
              </a:lnTo>
              <a:lnTo>
                <a:pt x="50" y="191"/>
              </a:lnTo>
              <a:lnTo>
                <a:pt x="54" y="193"/>
              </a:lnTo>
              <a:lnTo>
                <a:pt x="52" y="197"/>
              </a:lnTo>
              <a:lnTo>
                <a:pt x="52" y="201"/>
              </a:lnTo>
              <a:lnTo>
                <a:pt x="54" y="205"/>
              </a:lnTo>
              <a:lnTo>
                <a:pt x="54" y="214"/>
              </a:lnTo>
              <a:lnTo>
                <a:pt x="63" y="214"/>
              </a:lnTo>
              <a:lnTo>
                <a:pt x="66" y="212"/>
              </a:lnTo>
              <a:lnTo>
                <a:pt x="76" y="212"/>
              </a:lnTo>
              <a:lnTo>
                <a:pt x="78" y="214"/>
              </a:lnTo>
              <a:lnTo>
                <a:pt x="85" y="214"/>
              </a:lnTo>
              <a:lnTo>
                <a:pt x="88" y="209"/>
              </a:lnTo>
              <a:lnTo>
                <a:pt x="92" y="208"/>
              </a:lnTo>
              <a:lnTo>
                <a:pt x="96" y="208"/>
              </a:lnTo>
              <a:lnTo>
                <a:pt x="99" y="205"/>
              </a:lnTo>
              <a:lnTo>
                <a:pt x="100" y="201"/>
              </a:lnTo>
              <a:lnTo>
                <a:pt x="104" y="204"/>
              </a:lnTo>
              <a:lnTo>
                <a:pt x="110" y="199"/>
              </a:lnTo>
              <a:lnTo>
                <a:pt x="113" y="193"/>
              </a:lnTo>
              <a:lnTo>
                <a:pt x="112" y="191"/>
              </a:lnTo>
              <a:lnTo>
                <a:pt x="116" y="187"/>
              </a:lnTo>
              <a:lnTo>
                <a:pt x="119" y="187"/>
              </a:lnTo>
              <a:lnTo>
                <a:pt x="122" y="187"/>
              </a:lnTo>
              <a:lnTo>
                <a:pt x="125" y="187"/>
              </a:lnTo>
              <a:lnTo>
                <a:pt x="129" y="189"/>
              </a:lnTo>
              <a:lnTo>
                <a:pt x="131" y="187"/>
              </a:lnTo>
              <a:lnTo>
                <a:pt x="134" y="187"/>
              </a:lnTo>
              <a:lnTo>
                <a:pt x="135" y="189"/>
              </a:lnTo>
              <a:lnTo>
                <a:pt x="138" y="184"/>
              </a:lnTo>
              <a:lnTo>
                <a:pt x="139" y="180"/>
              </a:lnTo>
              <a:lnTo>
                <a:pt x="140" y="176"/>
              </a:lnTo>
              <a:lnTo>
                <a:pt x="144" y="179"/>
              </a:lnTo>
              <a:lnTo>
                <a:pt x="147" y="179"/>
              </a:lnTo>
              <a:lnTo>
                <a:pt x="150" y="176"/>
              </a:lnTo>
              <a:lnTo>
                <a:pt x="152" y="172"/>
              </a:lnTo>
              <a:lnTo>
                <a:pt x="153" y="168"/>
              </a:lnTo>
              <a:lnTo>
                <a:pt x="156" y="166"/>
              </a:lnTo>
              <a:lnTo>
                <a:pt x="159" y="168"/>
              </a:lnTo>
              <a:lnTo>
                <a:pt x="162" y="164"/>
              </a:lnTo>
              <a:lnTo>
                <a:pt x="165" y="166"/>
              </a:lnTo>
              <a:lnTo>
                <a:pt x="169" y="166"/>
              </a:lnTo>
              <a:lnTo>
                <a:pt x="172" y="168"/>
              </a:lnTo>
              <a:lnTo>
                <a:pt x="175" y="170"/>
              </a:lnTo>
              <a:lnTo>
                <a:pt x="178" y="172"/>
              </a:lnTo>
              <a:lnTo>
                <a:pt x="181" y="172"/>
              </a:lnTo>
              <a:lnTo>
                <a:pt x="184" y="172"/>
              </a:lnTo>
              <a:lnTo>
                <a:pt x="187" y="174"/>
              </a:lnTo>
              <a:lnTo>
                <a:pt x="206" y="174"/>
              </a:lnTo>
              <a:lnTo>
                <a:pt x="211" y="172"/>
              </a:lnTo>
              <a:lnTo>
                <a:pt x="215" y="172"/>
              </a:lnTo>
              <a:lnTo>
                <a:pt x="220" y="174"/>
              </a:lnTo>
              <a:lnTo>
                <a:pt x="223" y="174"/>
              </a:lnTo>
              <a:lnTo>
                <a:pt x="228" y="174"/>
              </a:lnTo>
              <a:lnTo>
                <a:pt x="233" y="172"/>
              </a:lnTo>
              <a:lnTo>
                <a:pt x="235" y="172"/>
              </a:lnTo>
              <a:lnTo>
                <a:pt x="237" y="170"/>
              </a:lnTo>
              <a:lnTo>
                <a:pt x="237" y="166"/>
              </a:lnTo>
              <a:lnTo>
                <a:pt x="242" y="153"/>
              </a:lnTo>
              <a:lnTo>
                <a:pt x="243" y="151"/>
              </a:lnTo>
              <a:lnTo>
                <a:pt x="239" y="143"/>
              </a:lnTo>
              <a:lnTo>
                <a:pt x="239" y="139"/>
              </a:lnTo>
              <a:lnTo>
                <a:pt x="267" y="68"/>
              </a:lnTo>
              <a:lnTo>
                <a:pt x="267" y="64"/>
              </a:lnTo>
              <a:lnTo>
                <a:pt x="262" y="66"/>
              </a:lnTo>
              <a:lnTo>
                <a:pt x="257" y="66"/>
              </a:lnTo>
              <a:lnTo>
                <a:pt x="255" y="64"/>
              </a:lnTo>
              <a:lnTo>
                <a:pt x="253" y="60"/>
              </a:lnTo>
              <a:lnTo>
                <a:pt x="251" y="58"/>
              </a:lnTo>
              <a:lnTo>
                <a:pt x="248" y="58"/>
              </a:lnTo>
              <a:lnTo>
                <a:pt x="245" y="58"/>
              </a:lnTo>
              <a:lnTo>
                <a:pt x="241" y="58"/>
              </a:lnTo>
              <a:lnTo>
                <a:pt x="237" y="56"/>
              </a:lnTo>
              <a:lnTo>
                <a:pt x="234" y="53"/>
              </a:lnTo>
              <a:lnTo>
                <a:pt x="234" y="49"/>
              </a:lnTo>
              <a:lnTo>
                <a:pt x="231" y="45"/>
              </a:lnTo>
              <a:lnTo>
                <a:pt x="229" y="41"/>
              </a:lnTo>
              <a:lnTo>
                <a:pt x="228" y="37"/>
              </a:lnTo>
              <a:lnTo>
                <a:pt x="227" y="32"/>
              </a:lnTo>
              <a:lnTo>
                <a:pt x="227" y="31"/>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919163</xdr:colOff>
      <xdr:row>41</xdr:row>
      <xdr:rowOff>0</xdr:rowOff>
    </xdr:from>
    <xdr:to>
      <xdr:col>0</xdr:col>
      <xdr:colOff>1531938</xdr:colOff>
      <xdr:row>45</xdr:row>
      <xdr:rowOff>12700</xdr:rowOff>
    </xdr:to>
    <xdr:sp macro="" textlink="">
      <xdr:nvSpPr>
        <xdr:cNvPr id="13" name="Freeform 83">
          <a:extLst>
            <a:ext uri="{FF2B5EF4-FFF2-40B4-BE49-F238E27FC236}">
              <a16:creationId xmlns:a16="http://schemas.microsoft.com/office/drawing/2014/main" id="{69BD8C98-5799-4B8A-BDF4-F61DCFA76992}"/>
            </a:ext>
          </a:extLst>
        </xdr:cNvPr>
        <xdr:cNvSpPr>
          <a:spLocks noChangeAspect="1"/>
        </xdr:cNvSpPr>
      </xdr:nvSpPr>
      <xdr:spPr bwMode="gray">
        <a:xfrm>
          <a:off x="919163" y="7448550"/>
          <a:ext cx="612775" cy="660400"/>
        </a:xfrm>
        <a:custGeom>
          <a:avLst/>
          <a:gdLst>
            <a:gd name="T0" fmla="*/ 505 w 91"/>
            <a:gd name="T1" fmla="*/ 454 h 105"/>
            <a:gd name="T2" fmla="*/ 471 w 91"/>
            <a:gd name="T3" fmla="*/ 454 h 105"/>
            <a:gd name="T4" fmla="*/ 431 w 91"/>
            <a:gd name="T5" fmla="*/ 454 h 105"/>
            <a:gd name="T6" fmla="*/ 408 w 91"/>
            <a:gd name="T7" fmla="*/ 488 h 105"/>
            <a:gd name="T8" fmla="*/ 386 w 91"/>
            <a:gd name="T9" fmla="*/ 522 h 105"/>
            <a:gd name="T10" fmla="*/ 374 w 91"/>
            <a:gd name="T11" fmla="*/ 562 h 105"/>
            <a:gd name="T12" fmla="*/ 340 w 91"/>
            <a:gd name="T13" fmla="*/ 534 h 105"/>
            <a:gd name="T14" fmla="*/ 306 w 91"/>
            <a:gd name="T15" fmla="*/ 534 h 105"/>
            <a:gd name="T16" fmla="*/ 278 w 91"/>
            <a:gd name="T17" fmla="*/ 573 h 105"/>
            <a:gd name="T18" fmla="*/ 261 w 91"/>
            <a:gd name="T19" fmla="*/ 596 h 105"/>
            <a:gd name="T20" fmla="*/ 227 w 91"/>
            <a:gd name="T21" fmla="*/ 573 h 105"/>
            <a:gd name="T22" fmla="*/ 210 w 91"/>
            <a:gd name="T23" fmla="*/ 522 h 105"/>
            <a:gd name="T24" fmla="*/ 210 w 91"/>
            <a:gd name="T25" fmla="*/ 477 h 105"/>
            <a:gd name="T26" fmla="*/ 210 w 91"/>
            <a:gd name="T27" fmla="*/ 431 h 105"/>
            <a:gd name="T28" fmla="*/ 181 w 91"/>
            <a:gd name="T29" fmla="*/ 392 h 105"/>
            <a:gd name="T30" fmla="*/ 164 w 91"/>
            <a:gd name="T31" fmla="*/ 346 h 105"/>
            <a:gd name="T32" fmla="*/ 147 w 91"/>
            <a:gd name="T33" fmla="*/ 301 h 105"/>
            <a:gd name="T34" fmla="*/ 130 w 91"/>
            <a:gd name="T35" fmla="*/ 278 h 105"/>
            <a:gd name="T36" fmla="*/ 125 w 91"/>
            <a:gd name="T37" fmla="*/ 267 h 105"/>
            <a:gd name="T38" fmla="*/ 68 w 91"/>
            <a:gd name="T39" fmla="*/ 267 h 105"/>
            <a:gd name="T40" fmla="*/ 34 w 91"/>
            <a:gd name="T41" fmla="*/ 244 h 105"/>
            <a:gd name="T42" fmla="*/ 45 w 91"/>
            <a:gd name="T43" fmla="*/ 199 h 105"/>
            <a:gd name="T44" fmla="*/ 45 w 91"/>
            <a:gd name="T45" fmla="*/ 153 h 105"/>
            <a:gd name="T46" fmla="*/ 0 w 91"/>
            <a:gd name="T47" fmla="*/ 131 h 105"/>
            <a:gd name="T48" fmla="*/ 28 w 91"/>
            <a:gd name="T49" fmla="*/ 108 h 105"/>
            <a:gd name="T50" fmla="*/ 68 w 91"/>
            <a:gd name="T51" fmla="*/ 131 h 105"/>
            <a:gd name="T52" fmla="*/ 102 w 91"/>
            <a:gd name="T53" fmla="*/ 136 h 105"/>
            <a:gd name="T54" fmla="*/ 142 w 91"/>
            <a:gd name="T55" fmla="*/ 136 h 105"/>
            <a:gd name="T56" fmla="*/ 170 w 91"/>
            <a:gd name="T57" fmla="*/ 153 h 105"/>
            <a:gd name="T58" fmla="*/ 210 w 91"/>
            <a:gd name="T59" fmla="*/ 119 h 105"/>
            <a:gd name="T60" fmla="*/ 232 w 91"/>
            <a:gd name="T61" fmla="*/ 119 h 105"/>
            <a:gd name="T62" fmla="*/ 272 w 91"/>
            <a:gd name="T63" fmla="*/ 102 h 105"/>
            <a:gd name="T64" fmla="*/ 306 w 91"/>
            <a:gd name="T65" fmla="*/ 79 h 105"/>
            <a:gd name="T66" fmla="*/ 340 w 91"/>
            <a:gd name="T67" fmla="*/ 45 h 105"/>
            <a:gd name="T68" fmla="*/ 363 w 91"/>
            <a:gd name="T69" fmla="*/ 11 h 105"/>
            <a:gd name="T70" fmla="*/ 397 w 91"/>
            <a:gd name="T71" fmla="*/ 11 h 105"/>
            <a:gd name="T72" fmla="*/ 408 w 91"/>
            <a:gd name="T73" fmla="*/ 57 h 105"/>
            <a:gd name="T74" fmla="*/ 442 w 91"/>
            <a:gd name="T75" fmla="*/ 79 h 105"/>
            <a:gd name="T76" fmla="*/ 431 w 91"/>
            <a:gd name="T77" fmla="*/ 131 h 105"/>
            <a:gd name="T78" fmla="*/ 420 w 91"/>
            <a:gd name="T79" fmla="*/ 159 h 105"/>
            <a:gd name="T80" fmla="*/ 420 w 91"/>
            <a:gd name="T81" fmla="*/ 204 h 105"/>
            <a:gd name="T82" fmla="*/ 408 w 91"/>
            <a:gd name="T83" fmla="*/ 255 h 105"/>
            <a:gd name="T84" fmla="*/ 442 w 91"/>
            <a:gd name="T85" fmla="*/ 278 h 105"/>
            <a:gd name="T86" fmla="*/ 442 w 91"/>
            <a:gd name="T87" fmla="*/ 324 h 105"/>
            <a:gd name="T88" fmla="*/ 476 w 91"/>
            <a:gd name="T89" fmla="*/ 346 h 105"/>
            <a:gd name="T90" fmla="*/ 505 w 91"/>
            <a:gd name="T91" fmla="*/ 369 h 105"/>
            <a:gd name="T92" fmla="*/ 505 w 91"/>
            <a:gd name="T93" fmla="*/ 409 h 105"/>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91" h="105">
              <a:moveTo>
                <a:pt x="91" y="76"/>
              </a:moveTo>
              <a:lnTo>
                <a:pt x="89" y="80"/>
              </a:lnTo>
              <a:lnTo>
                <a:pt x="86" y="80"/>
              </a:lnTo>
              <a:lnTo>
                <a:pt x="83" y="80"/>
              </a:lnTo>
              <a:lnTo>
                <a:pt x="80" y="80"/>
              </a:lnTo>
              <a:lnTo>
                <a:pt x="76" y="80"/>
              </a:lnTo>
              <a:lnTo>
                <a:pt x="74" y="82"/>
              </a:lnTo>
              <a:lnTo>
                <a:pt x="72" y="86"/>
              </a:lnTo>
              <a:lnTo>
                <a:pt x="70" y="91"/>
              </a:lnTo>
              <a:lnTo>
                <a:pt x="68" y="92"/>
              </a:lnTo>
              <a:lnTo>
                <a:pt x="69" y="96"/>
              </a:lnTo>
              <a:lnTo>
                <a:pt x="66" y="99"/>
              </a:lnTo>
              <a:lnTo>
                <a:pt x="63" y="99"/>
              </a:lnTo>
              <a:lnTo>
                <a:pt x="60" y="94"/>
              </a:lnTo>
              <a:lnTo>
                <a:pt x="57" y="94"/>
              </a:lnTo>
              <a:lnTo>
                <a:pt x="54" y="94"/>
              </a:lnTo>
              <a:lnTo>
                <a:pt x="50" y="96"/>
              </a:lnTo>
              <a:lnTo>
                <a:pt x="49" y="101"/>
              </a:lnTo>
              <a:lnTo>
                <a:pt x="48" y="105"/>
              </a:lnTo>
              <a:lnTo>
                <a:pt x="46" y="105"/>
              </a:lnTo>
              <a:lnTo>
                <a:pt x="43" y="103"/>
              </a:lnTo>
              <a:lnTo>
                <a:pt x="40" y="101"/>
              </a:lnTo>
              <a:lnTo>
                <a:pt x="37" y="96"/>
              </a:lnTo>
              <a:lnTo>
                <a:pt x="37" y="92"/>
              </a:lnTo>
              <a:lnTo>
                <a:pt x="38" y="88"/>
              </a:lnTo>
              <a:lnTo>
                <a:pt x="37" y="84"/>
              </a:lnTo>
              <a:lnTo>
                <a:pt x="37" y="80"/>
              </a:lnTo>
              <a:lnTo>
                <a:pt x="37" y="76"/>
              </a:lnTo>
              <a:lnTo>
                <a:pt x="35" y="72"/>
              </a:lnTo>
              <a:lnTo>
                <a:pt x="32" y="69"/>
              </a:lnTo>
              <a:lnTo>
                <a:pt x="29" y="65"/>
              </a:lnTo>
              <a:lnTo>
                <a:pt x="29" y="61"/>
              </a:lnTo>
              <a:lnTo>
                <a:pt x="28" y="57"/>
              </a:lnTo>
              <a:lnTo>
                <a:pt x="26" y="53"/>
              </a:lnTo>
              <a:lnTo>
                <a:pt x="26" y="49"/>
              </a:lnTo>
              <a:lnTo>
                <a:pt x="23" y="49"/>
              </a:lnTo>
              <a:lnTo>
                <a:pt x="22" y="47"/>
              </a:lnTo>
              <a:lnTo>
                <a:pt x="15" y="47"/>
              </a:lnTo>
              <a:lnTo>
                <a:pt x="12" y="47"/>
              </a:lnTo>
              <a:lnTo>
                <a:pt x="8" y="46"/>
              </a:lnTo>
              <a:lnTo>
                <a:pt x="6" y="43"/>
              </a:lnTo>
              <a:lnTo>
                <a:pt x="6" y="39"/>
              </a:lnTo>
              <a:lnTo>
                <a:pt x="8" y="35"/>
              </a:lnTo>
              <a:lnTo>
                <a:pt x="9" y="31"/>
              </a:lnTo>
              <a:lnTo>
                <a:pt x="8" y="27"/>
              </a:lnTo>
              <a:lnTo>
                <a:pt x="4" y="24"/>
              </a:lnTo>
              <a:lnTo>
                <a:pt x="0" y="23"/>
              </a:lnTo>
              <a:lnTo>
                <a:pt x="0" y="20"/>
              </a:lnTo>
              <a:lnTo>
                <a:pt x="5" y="19"/>
              </a:lnTo>
              <a:lnTo>
                <a:pt x="9" y="21"/>
              </a:lnTo>
              <a:lnTo>
                <a:pt x="12" y="23"/>
              </a:lnTo>
              <a:lnTo>
                <a:pt x="15" y="23"/>
              </a:lnTo>
              <a:lnTo>
                <a:pt x="18" y="24"/>
              </a:lnTo>
              <a:lnTo>
                <a:pt x="22" y="24"/>
              </a:lnTo>
              <a:lnTo>
                <a:pt x="25" y="24"/>
              </a:lnTo>
              <a:lnTo>
                <a:pt x="28" y="27"/>
              </a:lnTo>
              <a:lnTo>
                <a:pt x="30" y="27"/>
              </a:lnTo>
              <a:lnTo>
                <a:pt x="34" y="23"/>
              </a:lnTo>
              <a:lnTo>
                <a:pt x="37" y="21"/>
              </a:lnTo>
              <a:lnTo>
                <a:pt x="38" y="21"/>
              </a:lnTo>
              <a:lnTo>
                <a:pt x="41" y="21"/>
              </a:lnTo>
              <a:lnTo>
                <a:pt x="44" y="18"/>
              </a:lnTo>
              <a:lnTo>
                <a:pt x="48" y="18"/>
              </a:lnTo>
              <a:lnTo>
                <a:pt x="50" y="16"/>
              </a:lnTo>
              <a:lnTo>
                <a:pt x="54" y="14"/>
              </a:lnTo>
              <a:lnTo>
                <a:pt x="57" y="10"/>
              </a:lnTo>
              <a:lnTo>
                <a:pt x="60" y="8"/>
              </a:lnTo>
              <a:lnTo>
                <a:pt x="63" y="6"/>
              </a:lnTo>
              <a:lnTo>
                <a:pt x="64" y="2"/>
              </a:lnTo>
              <a:lnTo>
                <a:pt x="68" y="0"/>
              </a:lnTo>
              <a:lnTo>
                <a:pt x="70" y="2"/>
              </a:lnTo>
              <a:lnTo>
                <a:pt x="70" y="6"/>
              </a:lnTo>
              <a:lnTo>
                <a:pt x="72" y="10"/>
              </a:lnTo>
              <a:lnTo>
                <a:pt x="75" y="10"/>
              </a:lnTo>
              <a:lnTo>
                <a:pt x="78" y="14"/>
              </a:lnTo>
              <a:lnTo>
                <a:pt x="78" y="18"/>
              </a:lnTo>
              <a:lnTo>
                <a:pt x="76" y="23"/>
              </a:lnTo>
              <a:lnTo>
                <a:pt x="76" y="27"/>
              </a:lnTo>
              <a:lnTo>
                <a:pt x="74" y="28"/>
              </a:lnTo>
              <a:lnTo>
                <a:pt x="72" y="33"/>
              </a:lnTo>
              <a:lnTo>
                <a:pt x="74" y="36"/>
              </a:lnTo>
              <a:lnTo>
                <a:pt x="72" y="41"/>
              </a:lnTo>
              <a:lnTo>
                <a:pt x="72" y="45"/>
              </a:lnTo>
              <a:lnTo>
                <a:pt x="75" y="49"/>
              </a:lnTo>
              <a:lnTo>
                <a:pt x="78" y="49"/>
              </a:lnTo>
              <a:lnTo>
                <a:pt x="78" y="53"/>
              </a:lnTo>
              <a:lnTo>
                <a:pt x="78" y="57"/>
              </a:lnTo>
              <a:lnTo>
                <a:pt x="81" y="61"/>
              </a:lnTo>
              <a:lnTo>
                <a:pt x="84" y="61"/>
              </a:lnTo>
              <a:lnTo>
                <a:pt x="88" y="64"/>
              </a:lnTo>
              <a:lnTo>
                <a:pt x="89" y="65"/>
              </a:lnTo>
              <a:lnTo>
                <a:pt x="91" y="69"/>
              </a:lnTo>
              <a:lnTo>
                <a:pt x="89" y="72"/>
              </a:lnTo>
              <a:lnTo>
                <a:pt x="91" y="76"/>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730251</xdr:colOff>
      <xdr:row>53</xdr:row>
      <xdr:rowOff>46038</xdr:rowOff>
    </xdr:from>
    <xdr:to>
      <xdr:col>0</xdr:col>
      <xdr:colOff>1450976</xdr:colOff>
      <xdr:row>56</xdr:row>
      <xdr:rowOff>120650</xdr:rowOff>
    </xdr:to>
    <xdr:sp macro="" textlink="">
      <xdr:nvSpPr>
        <xdr:cNvPr id="14" name="Freeform 84">
          <a:extLst>
            <a:ext uri="{FF2B5EF4-FFF2-40B4-BE49-F238E27FC236}">
              <a16:creationId xmlns:a16="http://schemas.microsoft.com/office/drawing/2014/main" id="{72F84BBA-A3A0-4F1A-9C61-1BFF1B824038}"/>
            </a:ext>
          </a:extLst>
        </xdr:cNvPr>
        <xdr:cNvSpPr>
          <a:spLocks noChangeAspect="1"/>
        </xdr:cNvSpPr>
      </xdr:nvSpPr>
      <xdr:spPr bwMode="gray">
        <a:xfrm>
          <a:off x="730251" y="9437688"/>
          <a:ext cx="720725" cy="560387"/>
        </a:xfrm>
        <a:custGeom>
          <a:avLst/>
          <a:gdLst>
            <a:gd name="T0" fmla="*/ 550 w 107"/>
            <a:gd name="T1" fmla="*/ 482 h 89"/>
            <a:gd name="T2" fmla="*/ 567 w 107"/>
            <a:gd name="T3" fmla="*/ 448 h 89"/>
            <a:gd name="T4" fmla="*/ 596 w 107"/>
            <a:gd name="T5" fmla="*/ 420 h 89"/>
            <a:gd name="T6" fmla="*/ 607 w 107"/>
            <a:gd name="T7" fmla="*/ 374 h 89"/>
            <a:gd name="T8" fmla="*/ 590 w 107"/>
            <a:gd name="T9" fmla="*/ 329 h 89"/>
            <a:gd name="T10" fmla="*/ 596 w 107"/>
            <a:gd name="T11" fmla="*/ 278 h 89"/>
            <a:gd name="T12" fmla="*/ 556 w 107"/>
            <a:gd name="T13" fmla="*/ 278 h 89"/>
            <a:gd name="T14" fmla="*/ 533 w 107"/>
            <a:gd name="T15" fmla="*/ 267 h 89"/>
            <a:gd name="T16" fmla="*/ 494 w 107"/>
            <a:gd name="T17" fmla="*/ 244 h 89"/>
            <a:gd name="T18" fmla="*/ 460 w 107"/>
            <a:gd name="T19" fmla="*/ 210 h 89"/>
            <a:gd name="T20" fmla="*/ 460 w 107"/>
            <a:gd name="T21" fmla="*/ 159 h 89"/>
            <a:gd name="T22" fmla="*/ 460 w 107"/>
            <a:gd name="T23" fmla="*/ 113 h 89"/>
            <a:gd name="T24" fmla="*/ 454 w 107"/>
            <a:gd name="T25" fmla="*/ 68 h 89"/>
            <a:gd name="T26" fmla="*/ 431 w 107"/>
            <a:gd name="T27" fmla="*/ 51 h 89"/>
            <a:gd name="T28" fmla="*/ 397 w 107"/>
            <a:gd name="T29" fmla="*/ 45 h 89"/>
            <a:gd name="T30" fmla="*/ 363 w 107"/>
            <a:gd name="T31" fmla="*/ 28 h 89"/>
            <a:gd name="T32" fmla="*/ 323 w 107"/>
            <a:gd name="T33" fmla="*/ 6 h 89"/>
            <a:gd name="T34" fmla="*/ 289 w 107"/>
            <a:gd name="T35" fmla="*/ 0 h 89"/>
            <a:gd name="T36" fmla="*/ 255 w 107"/>
            <a:gd name="T37" fmla="*/ 6 h 89"/>
            <a:gd name="T38" fmla="*/ 227 w 107"/>
            <a:gd name="T39" fmla="*/ 45 h 89"/>
            <a:gd name="T40" fmla="*/ 199 w 107"/>
            <a:gd name="T41" fmla="*/ 79 h 89"/>
            <a:gd name="T42" fmla="*/ 165 w 107"/>
            <a:gd name="T43" fmla="*/ 68 h 89"/>
            <a:gd name="T44" fmla="*/ 147 w 107"/>
            <a:gd name="T45" fmla="*/ 113 h 89"/>
            <a:gd name="T46" fmla="*/ 130 w 107"/>
            <a:gd name="T47" fmla="*/ 125 h 89"/>
            <a:gd name="T48" fmla="*/ 96 w 107"/>
            <a:gd name="T49" fmla="*/ 142 h 89"/>
            <a:gd name="T50" fmla="*/ 57 w 107"/>
            <a:gd name="T51" fmla="*/ 125 h 89"/>
            <a:gd name="T52" fmla="*/ 23 w 107"/>
            <a:gd name="T53" fmla="*/ 125 h 89"/>
            <a:gd name="T54" fmla="*/ 0 w 107"/>
            <a:gd name="T55" fmla="*/ 159 h 89"/>
            <a:gd name="T56" fmla="*/ 62 w 107"/>
            <a:gd name="T57" fmla="*/ 153 h 89"/>
            <a:gd name="T58" fmla="*/ 96 w 107"/>
            <a:gd name="T59" fmla="*/ 153 h 89"/>
            <a:gd name="T60" fmla="*/ 108 w 107"/>
            <a:gd name="T61" fmla="*/ 170 h 89"/>
            <a:gd name="T62" fmla="*/ 119 w 107"/>
            <a:gd name="T63" fmla="*/ 221 h 89"/>
            <a:gd name="T64" fmla="*/ 119 w 107"/>
            <a:gd name="T65" fmla="*/ 267 h 89"/>
            <a:gd name="T66" fmla="*/ 130 w 107"/>
            <a:gd name="T67" fmla="*/ 312 h 89"/>
            <a:gd name="T68" fmla="*/ 165 w 107"/>
            <a:gd name="T69" fmla="*/ 374 h 89"/>
            <a:gd name="T70" fmla="*/ 199 w 107"/>
            <a:gd name="T71" fmla="*/ 397 h 89"/>
            <a:gd name="T72" fmla="*/ 244 w 107"/>
            <a:gd name="T73" fmla="*/ 409 h 89"/>
            <a:gd name="T74" fmla="*/ 278 w 107"/>
            <a:gd name="T75" fmla="*/ 409 h 89"/>
            <a:gd name="T76" fmla="*/ 318 w 107"/>
            <a:gd name="T77" fmla="*/ 420 h 89"/>
            <a:gd name="T78" fmla="*/ 363 w 107"/>
            <a:gd name="T79" fmla="*/ 448 h 89"/>
            <a:gd name="T80" fmla="*/ 397 w 107"/>
            <a:gd name="T81" fmla="*/ 454 h 89"/>
            <a:gd name="T82" fmla="*/ 431 w 107"/>
            <a:gd name="T83" fmla="*/ 494 h 89"/>
            <a:gd name="T84" fmla="*/ 471 w 107"/>
            <a:gd name="T85" fmla="*/ 505 h 89"/>
            <a:gd name="T86" fmla="*/ 505 w 107"/>
            <a:gd name="T87" fmla="*/ 494 h 89"/>
            <a:gd name="T88" fmla="*/ 533 w 107"/>
            <a:gd name="T89" fmla="*/ 505 h 89"/>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107" h="89">
              <a:moveTo>
                <a:pt x="94" y="89"/>
              </a:moveTo>
              <a:lnTo>
                <a:pt x="97" y="85"/>
              </a:lnTo>
              <a:lnTo>
                <a:pt x="98" y="80"/>
              </a:lnTo>
              <a:lnTo>
                <a:pt x="100" y="79"/>
              </a:lnTo>
              <a:lnTo>
                <a:pt x="102" y="76"/>
              </a:lnTo>
              <a:lnTo>
                <a:pt x="105" y="74"/>
              </a:lnTo>
              <a:lnTo>
                <a:pt x="107" y="70"/>
              </a:lnTo>
              <a:lnTo>
                <a:pt x="107" y="66"/>
              </a:lnTo>
              <a:lnTo>
                <a:pt x="105" y="62"/>
              </a:lnTo>
              <a:lnTo>
                <a:pt x="104" y="58"/>
              </a:lnTo>
              <a:lnTo>
                <a:pt x="104" y="53"/>
              </a:lnTo>
              <a:lnTo>
                <a:pt x="105" y="49"/>
              </a:lnTo>
              <a:lnTo>
                <a:pt x="102" y="49"/>
              </a:lnTo>
              <a:lnTo>
                <a:pt x="98" y="49"/>
              </a:lnTo>
              <a:lnTo>
                <a:pt x="97" y="45"/>
              </a:lnTo>
              <a:lnTo>
                <a:pt x="94" y="47"/>
              </a:lnTo>
              <a:lnTo>
                <a:pt x="91" y="45"/>
              </a:lnTo>
              <a:lnTo>
                <a:pt x="87" y="43"/>
              </a:lnTo>
              <a:lnTo>
                <a:pt x="85" y="41"/>
              </a:lnTo>
              <a:lnTo>
                <a:pt x="81" y="37"/>
              </a:lnTo>
              <a:lnTo>
                <a:pt x="80" y="33"/>
              </a:lnTo>
              <a:lnTo>
                <a:pt x="81" y="28"/>
              </a:lnTo>
              <a:lnTo>
                <a:pt x="83" y="24"/>
              </a:lnTo>
              <a:lnTo>
                <a:pt x="81" y="20"/>
              </a:lnTo>
              <a:lnTo>
                <a:pt x="80" y="16"/>
              </a:lnTo>
              <a:lnTo>
                <a:pt x="80" y="12"/>
              </a:lnTo>
              <a:lnTo>
                <a:pt x="80" y="9"/>
              </a:lnTo>
              <a:lnTo>
                <a:pt x="76" y="9"/>
              </a:lnTo>
              <a:lnTo>
                <a:pt x="73" y="8"/>
              </a:lnTo>
              <a:lnTo>
                <a:pt x="70" y="8"/>
              </a:lnTo>
              <a:lnTo>
                <a:pt x="67" y="8"/>
              </a:lnTo>
              <a:lnTo>
                <a:pt x="64" y="5"/>
              </a:lnTo>
              <a:lnTo>
                <a:pt x="60" y="3"/>
              </a:lnTo>
              <a:lnTo>
                <a:pt x="57" y="1"/>
              </a:lnTo>
              <a:lnTo>
                <a:pt x="54" y="1"/>
              </a:lnTo>
              <a:lnTo>
                <a:pt x="51" y="0"/>
              </a:lnTo>
              <a:lnTo>
                <a:pt x="48" y="3"/>
              </a:lnTo>
              <a:lnTo>
                <a:pt x="45" y="1"/>
              </a:lnTo>
              <a:lnTo>
                <a:pt x="41" y="3"/>
              </a:lnTo>
              <a:lnTo>
                <a:pt x="40" y="8"/>
              </a:lnTo>
              <a:lnTo>
                <a:pt x="39" y="12"/>
              </a:lnTo>
              <a:lnTo>
                <a:pt x="35" y="14"/>
              </a:lnTo>
              <a:lnTo>
                <a:pt x="32" y="14"/>
              </a:lnTo>
              <a:lnTo>
                <a:pt x="29" y="12"/>
              </a:lnTo>
              <a:lnTo>
                <a:pt x="27" y="16"/>
              </a:lnTo>
              <a:lnTo>
                <a:pt x="26" y="20"/>
              </a:lnTo>
              <a:lnTo>
                <a:pt x="24" y="24"/>
              </a:lnTo>
              <a:lnTo>
                <a:pt x="23" y="22"/>
              </a:lnTo>
              <a:lnTo>
                <a:pt x="19" y="22"/>
              </a:lnTo>
              <a:lnTo>
                <a:pt x="17" y="25"/>
              </a:lnTo>
              <a:lnTo>
                <a:pt x="13" y="22"/>
              </a:lnTo>
              <a:lnTo>
                <a:pt x="10" y="22"/>
              </a:lnTo>
              <a:lnTo>
                <a:pt x="7" y="22"/>
              </a:lnTo>
              <a:lnTo>
                <a:pt x="4" y="22"/>
              </a:lnTo>
              <a:lnTo>
                <a:pt x="0" y="26"/>
              </a:lnTo>
              <a:lnTo>
                <a:pt x="0" y="28"/>
              </a:lnTo>
              <a:lnTo>
                <a:pt x="7" y="28"/>
              </a:lnTo>
              <a:lnTo>
                <a:pt x="11" y="27"/>
              </a:lnTo>
              <a:lnTo>
                <a:pt x="14" y="27"/>
              </a:lnTo>
              <a:lnTo>
                <a:pt x="17" y="27"/>
              </a:lnTo>
              <a:lnTo>
                <a:pt x="19" y="28"/>
              </a:lnTo>
              <a:lnTo>
                <a:pt x="19" y="30"/>
              </a:lnTo>
              <a:lnTo>
                <a:pt x="19" y="34"/>
              </a:lnTo>
              <a:lnTo>
                <a:pt x="21" y="39"/>
              </a:lnTo>
              <a:lnTo>
                <a:pt x="21" y="43"/>
              </a:lnTo>
              <a:lnTo>
                <a:pt x="21" y="47"/>
              </a:lnTo>
              <a:lnTo>
                <a:pt x="21" y="51"/>
              </a:lnTo>
              <a:lnTo>
                <a:pt x="23" y="55"/>
              </a:lnTo>
              <a:lnTo>
                <a:pt x="26" y="62"/>
              </a:lnTo>
              <a:lnTo>
                <a:pt x="29" y="66"/>
              </a:lnTo>
              <a:lnTo>
                <a:pt x="32" y="68"/>
              </a:lnTo>
              <a:lnTo>
                <a:pt x="35" y="70"/>
              </a:lnTo>
              <a:lnTo>
                <a:pt x="39" y="72"/>
              </a:lnTo>
              <a:lnTo>
                <a:pt x="43" y="72"/>
              </a:lnTo>
              <a:lnTo>
                <a:pt x="46" y="72"/>
              </a:lnTo>
              <a:lnTo>
                <a:pt x="49" y="72"/>
              </a:lnTo>
              <a:lnTo>
                <a:pt x="52" y="72"/>
              </a:lnTo>
              <a:lnTo>
                <a:pt x="56" y="74"/>
              </a:lnTo>
              <a:lnTo>
                <a:pt x="59" y="76"/>
              </a:lnTo>
              <a:lnTo>
                <a:pt x="64" y="79"/>
              </a:lnTo>
              <a:lnTo>
                <a:pt x="67" y="79"/>
              </a:lnTo>
              <a:lnTo>
                <a:pt x="70" y="80"/>
              </a:lnTo>
              <a:lnTo>
                <a:pt x="73" y="85"/>
              </a:lnTo>
              <a:lnTo>
                <a:pt x="76" y="87"/>
              </a:lnTo>
              <a:lnTo>
                <a:pt x="80" y="89"/>
              </a:lnTo>
              <a:lnTo>
                <a:pt x="83" y="89"/>
              </a:lnTo>
              <a:lnTo>
                <a:pt x="86" y="87"/>
              </a:lnTo>
              <a:lnTo>
                <a:pt x="89" y="87"/>
              </a:lnTo>
              <a:lnTo>
                <a:pt x="92" y="89"/>
              </a:lnTo>
              <a:lnTo>
                <a:pt x="94" y="89"/>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1</xdr:col>
      <xdr:colOff>409576</xdr:colOff>
      <xdr:row>41</xdr:row>
      <xdr:rowOff>101600</xdr:rowOff>
    </xdr:from>
    <xdr:to>
      <xdr:col>2</xdr:col>
      <xdr:colOff>284163</xdr:colOff>
      <xdr:row>44</xdr:row>
      <xdr:rowOff>150813</xdr:rowOff>
    </xdr:to>
    <xdr:sp macro="" textlink="">
      <xdr:nvSpPr>
        <xdr:cNvPr id="15" name="Freeform 85">
          <a:extLst>
            <a:ext uri="{FF2B5EF4-FFF2-40B4-BE49-F238E27FC236}">
              <a16:creationId xmlns:a16="http://schemas.microsoft.com/office/drawing/2014/main" id="{DE458568-9014-459C-9DB0-270226DCECF7}"/>
            </a:ext>
          </a:extLst>
        </xdr:cNvPr>
        <xdr:cNvSpPr>
          <a:spLocks noChangeAspect="1"/>
        </xdr:cNvSpPr>
      </xdr:nvSpPr>
      <xdr:spPr bwMode="gray">
        <a:xfrm>
          <a:off x="1943101" y="7550150"/>
          <a:ext cx="512762" cy="534988"/>
        </a:xfrm>
        <a:custGeom>
          <a:avLst/>
          <a:gdLst>
            <a:gd name="T0" fmla="*/ 6 w 76"/>
            <a:gd name="T1" fmla="*/ 170 h 85"/>
            <a:gd name="T2" fmla="*/ 45 w 76"/>
            <a:gd name="T3" fmla="*/ 188 h 85"/>
            <a:gd name="T4" fmla="*/ 85 w 76"/>
            <a:gd name="T5" fmla="*/ 188 h 85"/>
            <a:gd name="T6" fmla="*/ 119 w 76"/>
            <a:gd name="T7" fmla="*/ 170 h 85"/>
            <a:gd name="T8" fmla="*/ 153 w 76"/>
            <a:gd name="T9" fmla="*/ 188 h 85"/>
            <a:gd name="T10" fmla="*/ 188 w 76"/>
            <a:gd name="T11" fmla="*/ 170 h 85"/>
            <a:gd name="T12" fmla="*/ 216 w 76"/>
            <a:gd name="T13" fmla="*/ 148 h 85"/>
            <a:gd name="T14" fmla="*/ 233 w 76"/>
            <a:gd name="T15" fmla="*/ 102 h 85"/>
            <a:gd name="T16" fmla="*/ 244 w 76"/>
            <a:gd name="T17" fmla="*/ 51 h 85"/>
            <a:gd name="T18" fmla="*/ 279 w 76"/>
            <a:gd name="T19" fmla="*/ 28 h 85"/>
            <a:gd name="T20" fmla="*/ 290 w 76"/>
            <a:gd name="T21" fmla="*/ 0 h 85"/>
            <a:gd name="T22" fmla="*/ 324 w 76"/>
            <a:gd name="T23" fmla="*/ 28 h 85"/>
            <a:gd name="T24" fmla="*/ 341 w 76"/>
            <a:gd name="T25" fmla="*/ 80 h 85"/>
            <a:gd name="T26" fmla="*/ 341 w 76"/>
            <a:gd name="T27" fmla="*/ 125 h 85"/>
            <a:gd name="T28" fmla="*/ 358 w 76"/>
            <a:gd name="T29" fmla="*/ 170 h 85"/>
            <a:gd name="T30" fmla="*/ 387 w 76"/>
            <a:gd name="T31" fmla="*/ 216 h 85"/>
            <a:gd name="T32" fmla="*/ 421 w 76"/>
            <a:gd name="T33" fmla="*/ 233 h 85"/>
            <a:gd name="T34" fmla="*/ 421 w 76"/>
            <a:gd name="T35" fmla="*/ 278 h 85"/>
            <a:gd name="T36" fmla="*/ 404 w 76"/>
            <a:gd name="T37" fmla="*/ 313 h 85"/>
            <a:gd name="T38" fmla="*/ 369 w 76"/>
            <a:gd name="T39" fmla="*/ 352 h 85"/>
            <a:gd name="T40" fmla="*/ 335 w 76"/>
            <a:gd name="T41" fmla="*/ 386 h 85"/>
            <a:gd name="T42" fmla="*/ 301 w 76"/>
            <a:gd name="T43" fmla="*/ 426 h 85"/>
            <a:gd name="T44" fmla="*/ 290 w 76"/>
            <a:gd name="T45" fmla="*/ 460 h 85"/>
            <a:gd name="T46" fmla="*/ 256 w 76"/>
            <a:gd name="T47" fmla="*/ 483 h 85"/>
            <a:gd name="T48" fmla="*/ 216 w 76"/>
            <a:gd name="T49" fmla="*/ 460 h 85"/>
            <a:gd name="T50" fmla="*/ 199 w 76"/>
            <a:gd name="T51" fmla="*/ 409 h 85"/>
            <a:gd name="T52" fmla="*/ 165 w 76"/>
            <a:gd name="T53" fmla="*/ 375 h 85"/>
            <a:gd name="T54" fmla="*/ 165 w 76"/>
            <a:gd name="T55" fmla="*/ 330 h 85"/>
            <a:gd name="T56" fmla="*/ 125 w 76"/>
            <a:gd name="T57" fmla="*/ 290 h 85"/>
            <a:gd name="T58" fmla="*/ 102 w 76"/>
            <a:gd name="T59" fmla="*/ 267 h 85"/>
            <a:gd name="T60" fmla="*/ 74 w 76"/>
            <a:gd name="T61" fmla="*/ 244 h 85"/>
            <a:gd name="T62" fmla="*/ 40 w 76"/>
            <a:gd name="T63" fmla="*/ 216 h 85"/>
            <a:gd name="T64" fmla="*/ 17 w 76"/>
            <a:gd name="T65" fmla="*/ 199 h 85"/>
            <a:gd name="T66" fmla="*/ 0 w 76"/>
            <a:gd name="T67" fmla="*/ 170 h 85"/>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76" h="85">
              <a:moveTo>
                <a:pt x="0" y="30"/>
              </a:moveTo>
              <a:lnTo>
                <a:pt x="1" y="30"/>
              </a:lnTo>
              <a:lnTo>
                <a:pt x="5" y="30"/>
              </a:lnTo>
              <a:lnTo>
                <a:pt x="8" y="33"/>
              </a:lnTo>
              <a:lnTo>
                <a:pt x="11" y="33"/>
              </a:lnTo>
              <a:lnTo>
                <a:pt x="15" y="33"/>
              </a:lnTo>
              <a:lnTo>
                <a:pt x="18" y="30"/>
              </a:lnTo>
              <a:lnTo>
                <a:pt x="21" y="30"/>
              </a:lnTo>
              <a:lnTo>
                <a:pt x="24" y="30"/>
              </a:lnTo>
              <a:lnTo>
                <a:pt x="27" y="33"/>
              </a:lnTo>
              <a:lnTo>
                <a:pt x="30" y="33"/>
              </a:lnTo>
              <a:lnTo>
                <a:pt x="33" y="30"/>
              </a:lnTo>
              <a:lnTo>
                <a:pt x="36" y="30"/>
              </a:lnTo>
              <a:lnTo>
                <a:pt x="38" y="26"/>
              </a:lnTo>
              <a:lnTo>
                <a:pt x="39" y="22"/>
              </a:lnTo>
              <a:lnTo>
                <a:pt x="41" y="18"/>
              </a:lnTo>
              <a:lnTo>
                <a:pt x="43" y="14"/>
              </a:lnTo>
              <a:lnTo>
                <a:pt x="43" y="9"/>
              </a:lnTo>
              <a:lnTo>
                <a:pt x="46" y="5"/>
              </a:lnTo>
              <a:lnTo>
                <a:pt x="49" y="5"/>
              </a:lnTo>
              <a:lnTo>
                <a:pt x="49" y="1"/>
              </a:lnTo>
              <a:lnTo>
                <a:pt x="51" y="0"/>
              </a:lnTo>
              <a:lnTo>
                <a:pt x="56" y="1"/>
              </a:lnTo>
              <a:lnTo>
                <a:pt x="57" y="5"/>
              </a:lnTo>
              <a:lnTo>
                <a:pt x="59" y="9"/>
              </a:lnTo>
              <a:lnTo>
                <a:pt x="60" y="14"/>
              </a:lnTo>
              <a:lnTo>
                <a:pt x="60" y="18"/>
              </a:lnTo>
              <a:lnTo>
                <a:pt x="60" y="22"/>
              </a:lnTo>
              <a:lnTo>
                <a:pt x="62" y="26"/>
              </a:lnTo>
              <a:lnTo>
                <a:pt x="63" y="30"/>
              </a:lnTo>
              <a:lnTo>
                <a:pt x="65" y="35"/>
              </a:lnTo>
              <a:lnTo>
                <a:pt x="68" y="38"/>
              </a:lnTo>
              <a:lnTo>
                <a:pt x="71" y="38"/>
              </a:lnTo>
              <a:lnTo>
                <a:pt x="74" y="41"/>
              </a:lnTo>
              <a:lnTo>
                <a:pt x="76" y="45"/>
              </a:lnTo>
              <a:lnTo>
                <a:pt x="74" y="49"/>
              </a:lnTo>
              <a:lnTo>
                <a:pt x="74" y="54"/>
              </a:lnTo>
              <a:lnTo>
                <a:pt x="71" y="55"/>
              </a:lnTo>
              <a:lnTo>
                <a:pt x="68" y="58"/>
              </a:lnTo>
              <a:lnTo>
                <a:pt x="65" y="62"/>
              </a:lnTo>
              <a:lnTo>
                <a:pt x="62" y="66"/>
              </a:lnTo>
              <a:lnTo>
                <a:pt x="59" y="68"/>
              </a:lnTo>
              <a:lnTo>
                <a:pt x="57" y="72"/>
              </a:lnTo>
              <a:lnTo>
                <a:pt x="53" y="75"/>
              </a:lnTo>
              <a:lnTo>
                <a:pt x="51" y="76"/>
              </a:lnTo>
              <a:lnTo>
                <a:pt x="51" y="81"/>
              </a:lnTo>
              <a:lnTo>
                <a:pt x="48" y="83"/>
              </a:lnTo>
              <a:lnTo>
                <a:pt x="45" y="85"/>
              </a:lnTo>
              <a:lnTo>
                <a:pt x="41" y="85"/>
              </a:lnTo>
              <a:lnTo>
                <a:pt x="38" y="81"/>
              </a:lnTo>
              <a:lnTo>
                <a:pt x="36" y="76"/>
              </a:lnTo>
              <a:lnTo>
                <a:pt x="35" y="72"/>
              </a:lnTo>
              <a:lnTo>
                <a:pt x="32" y="70"/>
              </a:lnTo>
              <a:lnTo>
                <a:pt x="29" y="66"/>
              </a:lnTo>
              <a:lnTo>
                <a:pt x="29" y="62"/>
              </a:lnTo>
              <a:lnTo>
                <a:pt x="29" y="58"/>
              </a:lnTo>
              <a:lnTo>
                <a:pt x="25" y="55"/>
              </a:lnTo>
              <a:lnTo>
                <a:pt x="22" y="51"/>
              </a:lnTo>
              <a:lnTo>
                <a:pt x="21" y="47"/>
              </a:lnTo>
              <a:lnTo>
                <a:pt x="18" y="47"/>
              </a:lnTo>
              <a:lnTo>
                <a:pt x="16" y="43"/>
              </a:lnTo>
              <a:lnTo>
                <a:pt x="13" y="43"/>
              </a:lnTo>
              <a:lnTo>
                <a:pt x="10" y="41"/>
              </a:lnTo>
              <a:lnTo>
                <a:pt x="7" y="38"/>
              </a:lnTo>
              <a:lnTo>
                <a:pt x="3" y="38"/>
              </a:lnTo>
              <a:lnTo>
                <a:pt x="3" y="35"/>
              </a:lnTo>
              <a:lnTo>
                <a:pt x="1" y="30"/>
              </a:lnTo>
              <a:lnTo>
                <a:pt x="0" y="30"/>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1282701</xdr:colOff>
      <xdr:row>48</xdr:row>
      <xdr:rowOff>144463</xdr:rowOff>
    </xdr:from>
    <xdr:to>
      <xdr:col>2</xdr:col>
      <xdr:colOff>263526</xdr:colOff>
      <xdr:row>55</xdr:row>
      <xdr:rowOff>50800</xdr:rowOff>
    </xdr:to>
    <xdr:sp macro="" textlink="">
      <xdr:nvSpPr>
        <xdr:cNvPr id="16" name="Freeform 86">
          <a:extLst>
            <a:ext uri="{FF2B5EF4-FFF2-40B4-BE49-F238E27FC236}">
              <a16:creationId xmlns:a16="http://schemas.microsoft.com/office/drawing/2014/main" id="{E514CDE2-2F7A-42FE-B932-A412F9F9956E}"/>
            </a:ext>
          </a:extLst>
        </xdr:cNvPr>
        <xdr:cNvSpPr>
          <a:spLocks noChangeAspect="1"/>
        </xdr:cNvSpPr>
      </xdr:nvSpPr>
      <xdr:spPr bwMode="gray">
        <a:xfrm>
          <a:off x="1282701" y="8726488"/>
          <a:ext cx="1152525" cy="1039812"/>
        </a:xfrm>
        <a:custGeom>
          <a:avLst/>
          <a:gdLst>
            <a:gd name="T0" fmla="*/ 273 w 171"/>
            <a:gd name="T1" fmla="*/ 45 h 165"/>
            <a:gd name="T2" fmla="*/ 250 w 171"/>
            <a:gd name="T3" fmla="*/ 102 h 165"/>
            <a:gd name="T4" fmla="*/ 182 w 171"/>
            <a:gd name="T5" fmla="*/ 114 h 165"/>
            <a:gd name="T6" fmla="*/ 114 w 171"/>
            <a:gd name="T7" fmla="*/ 102 h 165"/>
            <a:gd name="T8" fmla="*/ 40 w 171"/>
            <a:gd name="T9" fmla="*/ 114 h 165"/>
            <a:gd name="T10" fmla="*/ 0 w 171"/>
            <a:gd name="T11" fmla="*/ 114 h 165"/>
            <a:gd name="T12" fmla="*/ 0 w 171"/>
            <a:gd name="T13" fmla="*/ 148 h 165"/>
            <a:gd name="T14" fmla="*/ 6 w 171"/>
            <a:gd name="T15" fmla="*/ 221 h 165"/>
            <a:gd name="T16" fmla="*/ 28 w 171"/>
            <a:gd name="T17" fmla="*/ 295 h 165"/>
            <a:gd name="T18" fmla="*/ 79 w 171"/>
            <a:gd name="T19" fmla="*/ 329 h 165"/>
            <a:gd name="T20" fmla="*/ 125 w 171"/>
            <a:gd name="T21" fmla="*/ 341 h 165"/>
            <a:gd name="T22" fmla="*/ 131 w 171"/>
            <a:gd name="T23" fmla="*/ 386 h 165"/>
            <a:gd name="T24" fmla="*/ 148 w 171"/>
            <a:gd name="T25" fmla="*/ 460 h 165"/>
            <a:gd name="T26" fmla="*/ 114 w 171"/>
            <a:gd name="T27" fmla="*/ 505 h 165"/>
            <a:gd name="T28" fmla="*/ 79 w 171"/>
            <a:gd name="T29" fmla="*/ 568 h 165"/>
            <a:gd name="T30" fmla="*/ 102 w 171"/>
            <a:gd name="T31" fmla="*/ 625 h 165"/>
            <a:gd name="T32" fmla="*/ 85 w 171"/>
            <a:gd name="T33" fmla="*/ 710 h 165"/>
            <a:gd name="T34" fmla="*/ 131 w 171"/>
            <a:gd name="T35" fmla="*/ 767 h 165"/>
            <a:gd name="T36" fmla="*/ 193 w 171"/>
            <a:gd name="T37" fmla="*/ 784 h 165"/>
            <a:gd name="T38" fmla="*/ 244 w 171"/>
            <a:gd name="T39" fmla="*/ 784 h 165"/>
            <a:gd name="T40" fmla="*/ 273 w 171"/>
            <a:gd name="T41" fmla="*/ 840 h 165"/>
            <a:gd name="T42" fmla="*/ 318 w 171"/>
            <a:gd name="T43" fmla="*/ 880 h 165"/>
            <a:gd name="T44" fmla="*/ 335 w 171"/>
            <a:gd name="T45" fmla="*/ 926 h 165"/>
            <a:gd name="T46" fmla="*/ 386 w 171"/>
            <a:gd name="T47" fmla="*/ 903 h 165"/>
            <a:gd name="T48" fmla="*/ 443 w 171"/>
            <a:gd name="T49" fmla="*/ 863 h 165"/>
            <a:gd name="T50" fmla="*/ 505 w 171"/>
            <a:gd name="T51" fmla="*/ 880 h 165"/>
            <a:gd name="T52" fmla="*/ 574 w 171"/>
            <a:gd name="T53" fmla="*/ 886 h 165"/>
            <a:gd name="T54" fmla="*/ 636 w 171"/>
            <a:gd name="T55" fmla="*/ 880 h 165"/>
            <a:gd name="T56" fmla="*/ 676 w 171"/>
            <a:gd name="T57" fmla="*/ 886 h 165"/>
            <a:gd name="T58" fmla="*/ 687 w 171"/>
            <a:gd name="T59" fmla="*/ 937 h 165"/>
            <a:gd name="T60" fmla="*/ 710 w 171"/>
            <a:gd name="T61" fmla="*/ 886 h 165"/>
            <a:gd name="T62" fmla="*/ 744 w 171"/>
            <a:gd name="T63" fmla="*/ 818 h 165"/>
            <a:gd name="T64" fmla="*/ 778 w 171"/>
            <a:gd name="T65" fmla="*/ 744 h 165"/>
            <a:gd name="T66" fmla="*/ 829 w 171"/>
            <a:gd name="T67" fmla="*/ 721 h 165"/>
            <a:gd name="T68" fmla="*/ 869 w 171"/>
            <a:gd name="T69" fmla="*/ 664 h 165"/>
            <a:gd name="T70" fmla="*/ 897 w 171"/>
            <a:gd name="T71" fmla="*/ 613 h 165"/>
            <a:gd name="T72" fmla="*/ 920 w 171"/>
            <a:gd name="T73" fmla="*/ 545 h 165"/>
            <a:gd name="T74" fmla="*/ 931 w 171"/>
            <a:gd name="T75" fmla="*/ 471 h 165"/>
            <a:gd name="T76" fmla="*/ 920 w 171"/>
            <a:gd name="T77" fmla="*/ 403 h 165"/>
            <a:gd name="T78" fmla="*/ 920 w 171"/>
            <a:gd name="T79" fmla="*/ 329 h 165"/>
            <a:gd name="T80" fmla="*/ 931 w 171"/>
            <a:gd name="T81" fmla="*/ 273 h 165"/>
            <a:gd name="T82" fmla="*/ 965 w 171"/>
            <a:gd name="T83" fmla="*/ 199 h 165"/>
            <a:gd name="T84" fmla="*/ 920 w 171"/>
            <a:gd name="T85" fmla="*/ 199 h 165"/>
            <a:gd name="T86" fmla="*/ 840 w 171"/>
            <a:gd name="T87" fmla="*/ 210 h 165"/>
            <a:gd name="T88" fmla="*/ 761 w 171"/>
            <a:gd name="T89" fmla="*/ 199 h 165"/>
            <a:gd name="T90" fmla="*/ 676 w 171"/>
            <a:gd name="T91" fmla="*/ 199 h 165"/>
            <a:gd name="T92" fmla="*/ 602 w 171"/>
            <a:gd name="T93" fmla="*/ 199 h 165"/>
            <a:gd name="T94" fmla="*/ 517 w 171"/>
            <a:gd name="T95" fmla="*/ 199 h 165"/>
            <a:gd name="T96" fmla="*/ 443 w 171"/>
            <a:gd name="T97" fmla="*/ 187 h 165"/>
            <a:gd name="T98" fmla="*/ 397 w 171"/>
            <a:gd name="T99" fmla="*/ 165 h 165"/>
            <a:gd name="T100" fmla="*/ 352 w 171"/>
            <a:gd name="T101" fmla="*/ 114 h 165"/>
            <a:gd name="T102" fmla="*/ 324 w 171"/>
            <a:gd name="T103" fmla="*/ 68 h 165"/>
            <a:gd name="T104" fmla="*/ 301 w 171"/>
            <a:gd name="T105" fmla="*/ 6 h 165"/>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171" h="165">
              <a:moveTo>
                <a:pt x="52" y="0"/>
              </a:moveTo>
              <a:lnTo>
                <a:pt x="49" y="4"/>
              </a:lnTo>
              <a:lnTo>
                <a:pt x="48" y="8"/>
              </a:lnTo>
              <a:lnTo>
                <a:pt x="46" y="12"/>
              </a:lnTo>
              <a:lnTo>
                <a:pt x="46" y="16"/>
              </a:lnTo>
              <a:lnTo>
                <a:pt x="44" y="18"/>
              </a:lnTo>
              <a:lnTo>
                <a:pt x="42" y="18"/>
              </a:lnTo>
              <a:lnTo>
                <a:pt x="37" y="20"/>
              </a:lnTo>
              <a:lnTo>
                <a:pt x="32" y="20"/>
              </a:lnTo>
              <a:lnTo>
                <a:pt x="29" y="20"/>
              </a:lnTo>
              <a:lnTo>
                <a:pt x="24" y="18"/>
              </a:lnTo>
              <a:lnTo>
                <a:pt x="20" y="18"/>
              </a:lnTo>
              <a:lnTo>
                <a:pt x="15" y="20"/>
              </a:lnTo>
              <a:lnTo>
                <a:pt x="12" y="20"/>
              </a:lnTo>
              <a:lnTo>
                <a:pt x="7" y="20"/>
              </a:lnTo>
              <a:lnTo>
                <a:pt x="4" y="20"/>
              </a:lnTo>
              <a:lnTo>
                <a:pt x="1" y="20"/>
              </a:lnTo>
              <a:lnTo>
                <a:pt x="0" y="20"/>
              </a:lnTo>
              <a:lnTo>
                <a:pt x="0" y="21"/>
              </a:lnTo>
              <a:lnTo>
                <a:pt x="0" y="23"/>
              </a:lnTo>
              <a:lnTo>
                <a:pt x="0" y="26"/>
              </a:lnTo>
              <a:lnTo>
                <a:pt x="1" y="31"/>
              </a:lnTo>
              <a:lnTo>
                <a:pt x="3" y="35"/>
              </a:lnTo>
              <a:lnTo>
                <a:pt x="1" y="39"/>
              </a:lnTo>
              <a:lnTo>
                <a:pt x="0" y="43"/>
              </a:lnTo>
              <a:lnTo>
                <a:pt x="1" y="48"/>
              </a:lnTo>
              <a:lnTo>
                <a:pt x="5" y="52"/>
              </a:lnTo>
              <a:lnTo>
                <a:pt x="8" y="54"/>
              </a:lnTo>
              <a:lnTo>
                <a:pt x="11" y="56"/>
              </a:lnTo>
              <a:lnTo>
                <a:pt x="14" y="58"/>
              </a:lnTo>
              <a:lnTo>
                <a:pt x="17" y="56"/>
              </a:lnTo>
              <a:lnTo>
                <a:pt x="18" y="60"/>
              </a:lnTo>
              <a:lnTo>
                <a:pt x="22" y="60"/>
              </a:lnTo>
              <a:lnTo>
                <a:pt x="24" y="60"/>
              </a:lnTo>
              <a:lnTo>
                <a:pt x="23" y="64"/>
              </a:lnTo>
              <a:lnTo>
                <a:pt x="23" y="68"/>
              </a:lnTo>
              <a:lnTo>
                <a:pt x="24" y="73"/>
              </a:lnTo>
              <a:lnTo>
                <a:pt x="26" y="77"/>
              </a:lnTo>
              <a:lnTo>
                <a:pt x="26" y="81"/>
              </a:lnTo>
              <a:lnTo>
                <a:pt x="24" y="85"/>
              </a:lnTo>
              <a:lnTo>
                <a:pt x="22" y="87"/>
              </a:lnTo>
              <a:lnTo>
                <a:pt x="20" y="89"/>
              </a:lnTo>
              <a:lnTo>
                <a:pt x="18" y="92"/>
              </a:lnTo>
              <a:lnTo>
                <a:pt x="17" y="96"/>
              </a:lnTo>
              <a:lnTo>
                <a:pt x="14" y="100"/>
              </a:lnTo>
              <a:lnTo>
                <a:pt x="15" y="102"/>
              </a:lnTo>
              <a:lnTo>
                <a:pt x="18" y="106"/>
              </a:lnTo>
              <a:lnTo>
                <a:pt x="18" y="110"/>
              </a:lnTo>
              <a:lnTo>
                <a:pt x="17" y="114"/>
              </a:lnTo>
              <a:lnTo>
                <a:pt x="17" y="121"/>
              </a:lnTo>
              <a:lnTo>
                <a:pt x="15" y="125"/>
              </a:lnTo>
              <a:lnTo>
                <a:pt x="17" y="129"/>
              </a:lnTo>
              <a:lnTo>
                <a:pt x="18" y="133"/>
              </a:lnTo>
              <a:lnTo>
                <a:pt x="23" y="135"/>
              </a:lnTo>
              <a:lnTo>
                <a:pt x="28" y="135"/>
              </a:lnTo>
              <a:lnTo>
                <a:pt x="30" y="135"/>
              </a:lnTo>
              <a:lnTo>
                <a:pt x="34" y="138"/>
              </a:lnTo>
              <a:lnTo>
                <a:pt x="37" y="138"/>
              </a:lnTo>
              <a:lnTo>
                <a:pt x="40" y="138"/>
              </a:lnTo>
              <a:lnTo>
                <a:pt x="43" y="138"/>
              </a:lnTo>
              <a:lnTo>
                <a:pt x="48" y="139"/>
              </a:lnTo>
              <a:lnTo>
                <a:pt x="48" y="144"/>
              </a:lnTo>
              <a:lnTo>
                <a:pt x="48" y="148"/>
              </a:lnTo>
              <a:lnTo>
                <a:pt x="50" y="152"/>
              </a:lnTo>
              <a:lnTo>
                <a:pt x="53" y="155"/>
              </a:lnTo>
              <a:lnTo>
                <a:pt x="56" y="155"/>
              </a:lnTo>
              <a:lnTo>
                <a:pt x="57" y="159"/>
              </a:lnTo>
              <a:lnTo>
                <a:pt x="57" y="163"/>
              </a:lnTo>
              <a:lnTo>
                <a:pt x="59" y="163"/>
              </a:lnTo>
              <a:lnTo>
                <a:pt x="62" y="163"/>
              </a:lnTo>
              <a:lnTo>
                <a:pt x="65" y="161"/>
              </a:lnTo>
              <a:lnTo>
                <a:pt x="68" y="159"/>
              </a:lnTo>
              <a:lnTo>
                <a:pt x="71" y="155"/>
              </a:lnTo>
              <a:lnTo>
                <a:pt x="75" y="152"/>
              </a:lnTo>
              <a:lnTo>
                <a:pt x="78" y="152"/>
              </a:lnTo>
              <a:lnTo>
                <a:pt x="83" y="152"/>
              </a:lnTo>
              <a:lnTo>
                <a:pt x="85" y="152"/>
              </a:lnTo>
              <a:lnTo>
                <a:pt x="89" y="155"/>
              </a:lnTo>
              <a:lnTo>
                <a:pt x="93" y="156"/>
              </a:lnTo>
              <a:lnTo>
                <a:pt x="97" y="156"/>
              </a:lnTo>
              <a:lnTo>
                <a:pt x="101" y="156"/>
              </a:lnTo>
              <a:lnTo>
                <a:pt x="104" y="156"/>
              </a:lnTo>
              <a:lnTo>
                <a:pt x="107" y="156"/>
              </a:lnTo>
              <a:lnTo>
                <a:pt x="112" y="155"/>
              </a:lnTo>
              <a:lnTo>
                <a:pt x="115" y="155"/>
              </a:lnTo>
              <a:lnTo>
                <a:pt x="119" y="152"/>
              </a:lnTo>
              <a:lnTo>
                <a:pt x="119" y="156"/>
              </a:lnTo>
              <a:lnTo>
                <a:pt x="119" y="161"/>
              </a:lnTo>
              <a:lnTo>
                <a:pt x="119" y="165"/>
              </a:lnTo>
              <a:lnTo>
                <a:pt x="121" y="165"/>
              </a:lnTo>
              <a:lnTo>
                <a:pt x="125" y="165"/>
              </a:lnTo>
              <a:lnTo>
                <a:pt x="126" y="161"/>
              </a:lnTo>
              <a:lnTo>
                <a:pt x="125" y="156"/>
              </a:lnTo>
              <a:lnTo>
                <a:pt x="126" y="152"/>
              </a:lnTo>
              <a:lnTo>
                <a:pt x="129" y="148"/>
              </a:lnTo>
              <a:lnTo>
                <a:pt x="131" y="144"/>
              </a:lnTo>
              <a:lnTo>
                <a:pt x="134" y="139"/>
              </a:lnTo>
              <a:lnTo>
                <a:pt x="135" y="135"/>
              </a:lnTo>
              <a:lnTo>
                <a:pt x="137" y="131"/>
              </a:lnTo>
              <a:lnTo>
                <a:pt x="140" y="131"/>
              </a:lnTo>
              <a:lnTo>
                <a:pt x="144" y="129"/>
              </a:lnTo>
              <a:lnTo>
                <a:pt x="146" y="127"/>
              </a:lnTo>
              <a:lnTo>
                <a:pt x="146" y="123"/>
              </a:lnTo>
              <a:lnTo>
                <a:pt x="150" y="119"/>
              </a:lnTo>
              <a:lnTo>
                <a:pt x="153" y="117"/>
              </a:lnTo>
              <a:lnTo>
                <a:pt x="156" y="117"/>
              </a:lnTo>
              <a:lnTo>
                <a:pt x="158" y="113"/>
              </a:lnTo>
              <a:lnTo>
                <a:pt x="158" y="108"/>
              </a:lnTo>
              <a:lnTo>
                <a:pt x="159" y="104"/>
              </a:lnTo>
              <a:lnTo>
                <a:pt x="162" y="100"/>
              </a:lnTo>
              <a:lnTo>
                <a:pt x="162" y="96"/>
              </a:lnTo>
              <a:lnTo>
                <a:pt x="162" y="92"/>
              </a:lnTo>
              <a:lnTo>
                <a:pt x="164" y="87"/>
              </a:lnTo>
              <a:lnTo>
                <a:pt x="164" y="83"/>
              </a:lnTo>
              <a:lnTo>
                <a:pt x="162" y="79"/>
              </a:lnTo>
              <a:lnTo>
                <a:pt x="162" y="75"/>
              </a:lnTo>
              <a:lnTo>
                <a:pt x="162" y="71"/>
              </a:lnTo>
              <a:lnTo>
                <a:pt x="162" y="67"/>
              </a:lnTo>
              <a:lnTo>
                <a:pt x="164" y="62"/>
              </a:lnTo>
              <a:lnTo>
                <a:pt x="162" y="58"/>
              </a:lnTo>
              <a:lnTo>
                <a:pt x="162" y="54"/>
              </a:lnTo>
              <a:lnTo>
                <a:pt x="162" y="50"/>
              </a:lnTo>
              <a:lnTo>
                <a:pt x="164" y="48"/>
              </a:lnTo>
              <a:lnTo>
                <a:pt x="165" y="43"/>
              </a:lnTo>
              <a:lnTo>
                <a:pt x="167" y="39"/>
              </a:lnTo>
              <a:lnTo>
                <a:pt x="170" y="35"/>
              </a:lnTo>
              <a:lnTo>
                <a:pt x="171" y="35"/>
              </a:lnTo>
              <a:lnTo>
                <a:pt x="167" y="35"/>
              </a:lnTo>
              <a:lnTo>
                <a:pt x="162" y="35"/>
              </a:lnTo>
              <a:lnTo>
                <a:pt x="158" y="37"/>
              </a:lnTo>
              <a:lnTo>
                <a:pt x="153" y="37"/>
              </a:lnTo>
              <a:lnTo>
                <a:pt x="148" y="37"/>
              </a:lnTo>
              <a:lnTo>
                <a:pt x="144" y="37"/>
              </a:lnTo>
              <a:lnTo>
                <a:pt x="139" y="35"/>
              </a:lnTo>
              <a:lnTo>
                <a:pt x="134" y="35"/>
              </a:lnTo>
              <a:lnTo>
                <a:pt x="128" y="35"/>
              </a:lnTo>
              <a:lnTo>
                <a:pt x="123" y="35"/>
              </a:lnTo>
              <a:lnTo>
                <a:pt x="119" y="35"/>
              </a:lnTo>
              <a:lnTo>
                <a:pt x="115" y="35"/>
              </a:lnTo>
              <a:lnTo>
                <a:pt x="111" y="35"/>
              </a:lnTo>
              <a:lnTo>
                <a:pt x="106" y="35"/>
              </a:lnTo>
              <a:lnTo>
                <a:pt x="100" y="35"/>
              </a:lnTo>
              <a:lnTo>
                <a:pt x="95" y="35"/>
              </a:lnTo>
              <a:lnTo>
                <a:pt x="91" y="35"/>
              </a:lnTo>
              <a:lnTo>
                <a:pt x="85" y="35"/>
              </a:lnTo>
              <a:lnTo>
                <a:pt x="81" y="33"/>
              </a:lnTo>
              <a:lnTo>
                <a:pt x="78" y="33"/>
              </a:lnTo>
              <a:lnTo>
                <a:pt x="75" y="35"/>
              </a:lnTo>
              <a:lnTo>
                <a:pt x="72" y="33"/>
              </a:lnTo>
              <a:lnTo>
                <a:pt x="70" y="29"/>
              </a:lnTo>
              <a:lnTo>
                <a:pt x="67" y="29"/>
              </a:lnTo>
              <a:lnTo>
                <a:pt x="65" y="25"/>
              </a:lnTo>
              <a:lnTo>
                <a:pt x="62" y="20"/>
              </a:lnTo>
              <a:lnTo>
                <a:pt x="59" y="20"/>
              </a:lnTo>
              <a:lnTo>
                <a:pt x="57" y="16"/>
              </a:lnTo>
              <a:lnTo>
                <a:pt x="57" y="12"/>
              </a:lnTo>
              <a:lnTo>
                <a:pt x="56" y="8"/>
              </a:lnTo>
              <a:lnTo>
                <a:pt x="55" y="4"/>
              </a:lnTo>
              <a:lnTo>
                <a:pt x="53" y="1"/>
              </a:lnTo>
              <a:lnTo>
                <a:pt x="52" y="0"/>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444501</xdr:colOff>
      <xdr:row>44</xdr:row>
      <xdr:rowOff>155575</xdr:rowOff>
    </xdr:from>
    <xdr:to>
      <xdr:col>2</xdr:col>
      <xdr:colOff>1111251</xdr:colOff>
      <xdr:row>50</xdr:row>
      <xdr:rowOff>104775</xdr:rowOff>
    </xdr:to>
    <xdr:sp macro="" textlink="">
      <xdr:nvSpPr>
        <xdr:cNvPr id="17" name="Freeform 87">
          <a:extLst>
            <a:ext uri="{FF2B5EF4-FFF2-40B4-BE49-F238E27FC236}">
              <a16:creationId xmlns:a16="http://schemas.microsoft.com/office/drawing/2014/main" id="{03522602-1E5C-49BA-B410-477B5A16CDA8}"/>
            </a:ext>
          </a:extLst>
        </xdr:cNvPr>
        <xdr:cNvSpPr>
          <a:spLocks noChangeAspect="1"/>
        </xdr:cNvSpPr>
      </xdr:nvSpPr>
      <xdr:spPr bwMode="gray">
        <a:xfrm>
          <a:off x="2616201" y="8089900"/>
          <a:ext cx="666750" cy="920750"/>
        </a:xfrm>
        <a:custGeom>
          <a:avLst/>
          <a:gdLst>
            <a:gd name="T0" fmla="*/ 187 w 99"/>
            <a:gd name="T1" fmla="*/ 34 h 146"/>
            <a:gd name="T2" fmla="*/ 182 w 99"/>
            <a:gd name="T3" fmla="*/ 97 h 146"/>
            <a:gd name="T4" fmla="*/ 159 w 99"/>
            <a:gd name="T5" fmla="*/ 131 h 146"/>
            <a:gd name="T6" fmla="*/ 148 w 99"/>
            <a:gd name="T7" fmla="*/ 176 h 146"/>
            <a:gd name="T8" fmla="*/ 131 w 99"/>
            <a:gd name="T9" fmla="*/ 221 h 146"/>
            <a:gd name="T10" fmla="*/ 97 w 99"/>
            <a:gd name="T11" fmla="*/ 256 h 146"/>
            <a:gd name="T12" fmla="*/ 74 w 99"/>
            <a:gd name="T13" fmla="*/ 301 h 146"/>
            <a:gd name="T14" fmla="*/ 40 w 99"/>
            <a:gd name="T15" fmla="*/ 312 h 146"/>
            <a:gd name="T16" fmla="*/ 6 w 99"/>
            <a:gd name="T17" fmla="*/ 335 h 146"/>
            <a:gd name="T18" fmla="*/ 6 w 99"/>
            <a:gd name="T19" fmla="*/ 352 h 146"/>
            <a:gd name="T20" fmla="*/ 34 w 99"/>
            <a:gd name="T21" fmla="*/ 352 h 146"/>
            <a:gd name="T22" fmla="*/ 62 w 99"/>
            <a:gd name="T23" fmla="*/ 375 h 146"/>
            <a:gd name="T24" fmla="*/ 85 w 99"/>
            <a:gd name="T25" fmla="*/ 409 h 146"/>
            <a:gd name="T26" fmla="*/ 85 w 99"/>
            <a:gd name="T27" fmla="*/ 454 h 146"/>
            <a:gd name="T28" fmla="*/ 74 w 99"/>
            <a:gd name="T29" fmla="*/ 500 h 146"/>
            <a:gd name="T30" fmla="*/ 62 w 99"/>
            <a:gd name="T31" fmla="*/ 551 h 146"/>
            <a:gd name="T32" fmla="*/ 97 w 99"/>
            <a:gd name="T33" fmla="*/ 568 h 146"/>
            <a:gd name="T34" fmla="*/ 119 w 99"/>
            <a:gd name="T35" fmla="*/ 608 h 146"/>
            <a:gd name="T36" fmla="*/ 159 w 99"/>
            <a:gd name="T37" fmla="*/ 608 h 146"/>
            <a:gd name="T38" fmla="*/ 148 w 99"/>
            <a:gd name="T39" fmla="*/ 647 h 146"/>
            <a:gd name="T40" fmla="*/ 131 w 99"/>
            <a:gd name="T41" fmla="*/ 687 h 146"/>
            <a:gd name="T42" fmla="*/ 131 w 99"/>
            <a:gd name="T43" fmla="*/ 732 h 146"/>
            <a:gd name="T44" fmla="*/ 159 w 99"/>
            <a:gd name="T45" fmla="*/ 767 h 146"/>
            <a:gd name="T46" fmla="*/ 176 w 99"/>
            <a:gd name="T47" fmla="*/ 801 h 146"/>
            <a:gd name="T48" fmla="*/ 199 w 99"/>
            <a:gd name="T49" fmla="*/ 829 h 146"/>
            <a:gd name="T50" fmla="*/ 227 w 99"/>
            <a:gd name="T51" fmla="*/ 778 h 146"/>
            <a:gd name="T52" fmla="*/ 216 w 99"/>
            <a:gd name="T53" fmla="*/ 732 h 146"/>
            <a:gd name="T54" fmla="*/ 227 w 99"/>
            <a:gd name="T55" fmla="*/ 687 h 146"/>
            <a:gd name="T56" fmla="*/ 238 w 99"/>
            <a:gd name="T57" fmla="*/ 642 h 146"/>
            <a:gd name="T58" fmla="*/ 261 w 99"/>
            <a:gd name="T59" fmla="*/ 579 h 146"/>
            <a:gd name="T60" fmla="*/ 295 w 99"/>
            <a:gd name="T61" fmla="*/ 568 h 146"/>
            <a:gd name="T62" fmla="*/ 329 w 99"/>
            <a:gd name="T63" fmla="*/ 556 h 146"/>
            <a:gd name="T64" fmla="*/ 363 w 99"/>
            <a:gd name="T65" fmla="*/ 522 h 146"/>
            <a:gd name="T66" fmla="*/ 403 w 99"/>
            <a:gd name="T67" fmla="*/ 511 h 146"/>
            <a:gd name="T68" fmla="*/ 443 w 99"/>
            <a:gd name="T69" fmla="*/ 511 h 146"/>
            <a:gd name="T70" fmla="*/ 477 w 99"/>
            <a:gd name="T71" fmla="*/ 500 h 146"/>
            <a:gd name="T72" fmla="*/ 471 w 99"/>
            <a:gd name="T73" fmla="*/ 454 h 146"/>
            <a:gd name="T74" fmla="*/ 460 w 99"/>
            <a:gd name="T75" fmla="*/ 420 h 146"/>
            <a:gd name="T76" fmla="*/ 477 w 99"/>
            <a:gd name="T77" fmla="*/ 375 h 146"/>
            <a:gd name="T78" fmla="*/ 477 w 99"/>
            <a:gd name="T79" fmla="*/ 329 h 146"/>
            <a:gd name="T80" fmla="*/ 460 w 99"/>
            <a:gd name="T81" fmla="*/ 290 h 146"/>
            <a:gd name="T82" fmla="*/ 488 w 99"/>
            <a:gd name="T83" fmla="*/ 244 h 146"/>
            <a:gd name="T84" fmla="*/ 528 w 99"/>
            <a:gd name="T85" fmla="*/ 210 h 146"/>
            <a:gd name="T86" fmla="*/ 562 w 99"/>
            <a:gd name="T87" fmla="*/ 199 h 146"/>
            <a:gd name="T88" fmla="*/ 562 w 99"/>
            <a:gd name="T89" fmla="*/ 165 h 146"/>
            <a:gd name="T90" fmla="*/ 534 w 99"/>
            <a:gd name="T91" fmla="*/ 165 h 146"/>
            <a:gd name="T92" fmla="*/ 500 w 99"/>
            <a:gd name="T93" fmla="*/ 142 h 146"/>
            <a:gd name="T94" fmla="*/ 460 w 99"/>
            <a:gd name="T95" fmla="*/ 131 h 146"/>
            <a:gd name="T96" fmla="*/ 426 w 99"/>
            <a:gd name="T97" fmla="*/ 131 h 146"/>
            <a:gd name="T98" fmla="*/ 392 w 99"/>
            <a:gd name="T99" fmla="*/ 131 h 146"/>
            <a:gd name="T100" fmla="*/ 358 w 99"/>
            <a:gd name="T101" fmla="*/ 153 h 146"/>
            <a:gd name="T102" fmla="*/ 324 w 99"/>
            <a:gd name="T103" fmla="*/ 153 h 146"/>
            <a:gd name="T104" fmla="*/ 324 w 99"/>
            <a:gd name="T105" fmla="*/ 108 h 146"/>
            <a:gd name="T106" fmla="*/ 324 w 99"/>
            <a:gd name="T107" fmla="*/ 57 h 146"/>
            <a:gd name="T108" fmla="*/ 290 w 99"/>
            <a:gd name="T109" fmla="*/ 34 h 146"/>
            <a:gd name="T110" fmla="*/ 250 w 99"/>
            <a:gd name="T111" fmla="*/ 34 h 146"/>
            <a:gd name="T112" fmla="*/ 216 w 99"/>
            <a:gd name="T113" fmla="*/ 6 h 14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99" h="146">
              <a:moveTo>
                <a:pt x="35" y="0"/>
              </a:moveTo>
              <a:lnTo>
                <a:pt x="33" y="6"/>
              </a:lnTo>
              <a:lnTo>
                <a:pt x="33" y="13"/>
              </a:lnTo>
              <a:lnTo>
                <a:pt x="32" y="17"/>
              </a:lnTo>
              <a:lnTo>
                <a:pt x="31" y="21"/>
              </a:lnTo>
              <a:lnTo>
                <a:pt x="28" y="23"/>
              </a:lnTo>
              <a:lnTo>
                <a:pt x="26" y="27"/>
              </a:lnTo>
              <a:lnTo>
                <a:pt x="26" y="31"/>
              </a:lnTo>
              <a:lnTo>
                <a:pt x="25" y="35"/>
              </a:lnTo>
              <a:lnTo>
                <a:pt x="23" y="39"/>
              </a:lnTo>
              <a:lnTo>
                <a:pt x="20" y="43"/>
              </a:lnTo>
              <a:lnTo>
                <a:pt x="17" y="45"/>
              </a:lnTo>
              <a:lnTo>
                <a:pt x="15" y="49"/>
              </a:lnTo>
              <a:lnTo>
                <a:pt x="13" y="53"/>
              </a:lnTo>
              <a:lnTo>
                <a:pt x="11" y="53"/>
              </a:lnTo>
              <a:lnTo>
                <a:pt x="7" y="55"/>
              </a:lnTo>
              <a:lnTo>
                <a:pt x="5" y="55"/>
              </a:lnTo>
              <a:lnTo>
                <a:pt x="1" y="59"/>
              </a:lnTo>
              <a:lnTo>
                <a:pt x="0" y="62"/>
              </a:lnTo>
              <a:lnTo>
                <a:pt x="1" y="62"/>
              </a:lnTo>
              <a:lnTo>
                <a:pt x="3" y="62"/>
              </a:lnTo>
              <a:lnTo>
                <a:pt x="6" y="62"/>
              </a:lnTo>
              <a:lnTo>
                <a:pt x="7" y="66"/>
              </a:lnTo>
              <a:lnTo>
                <a:pt x="11" y="66"/>
              </a:lnTo>
              <a:lnTo>
                <a:pt x="13" y="67"/>
              </a:lnTo>
              <a:lnTo>
                <a:pt x="15" y="72"/>
              </a:lnTo>
              <a:lnTo>
                <a:pt x="15" y="76"/>
              </a:lnTo>
              <a:lnTo>
                <a:pt x="15" y="80"/>
              </a:lnTo>
              <a:lnTo>
                <a:pt x="15" y="84"/>
              </a:lnTo>
              <a:lnTo>
                <a:pt x="13" y="88"/>
              </a:lnTo>
              <a:lnTo>
                <a:pt x="12" y="92"/>
              </a:lnTo>
              <a:lnTo>
                <a:pt x="11" y="97"/>
              </a:lnTo>
              <a:lnTo>
                <a:pt x="13" y="98"/>
              </a:lnTo>
              <a:lnTo>
                <a:pt x="17" y="100"/>
              </a:lnTo>
              <a:lnTo>
                <a:pt x="18" y="105"/>
              </a:lnTo>
              <a:lnTo>
                <a:pt x="21" y="107"/>
              </a:lnTo>
              <a:lnTo>
                <a:pt x="25" y="107"/>
              </a:lnTo>
              <a:lnTo>
                <a:pt x="28" y="107"/>
              </a:lnTo>
              <a:lnTo>
                <a:pt x="29" y="111"/>
              </a:lnTo>
              <a:lnTo>
                <a:pt x="26" y="114"/>
              </a:lnTo>
              <a:lnTo>
                <a:pt x="23" y="117"/>
              </a:lnTo>
              <a:lnTo>
                <a:pt x="23" y="121"/>
              </a:lnTo>
              <a:lnTo>
                <a:pt x="21" y="125"/>
              </a:lnTo>
              <a:lnTo>
                <a:pt x="23" y="129"/>
              </a:lnTo>
              <a:lnTo>
                <a:pt x="26" y="131"/>
              </a:lnTo>
              <a:lnTo>
                <a:pt x="28" y="135"/>
              </a:lnTo>
              <a:lnTo>
                <a:pt x="28" y="139"/>
              </a:lnTo>
              <a:lnTo>
                <a:pt x="31" y="141"/>
              </a:lnTo>
              <a:lnTo>
                <a:pt x="32" y="146"/>
              </a:lnTo>
              <a:lnTo>
                <a:pt x="35" y="146"/>
              </a:lnTo>
              <a:lnTo>
                <a:pt x="38" y="141"/>
              </a:lnTo>
              <a:lnTo>
                <a:pt x="40" y="137"/>
              </a:lnTo>
              <a:lnTo>
                <a:pt x="38" y="133"/>
              </a:lnTo>
              <a:lnTo>
                <a:pt x="38" y="129"/>
              </a:lnTo>
              <a:lnTo>
                <a:pt x="36" y="125"/>
              </a:lnTo>
              <a:lnTo>
                <a:pt x="40" y="121"/>
              </a:lnTo>
              <a:lnTo>
                <a:pt x="41" y="117"/>
              </a:lnTo>
              <a:lnTo>
                <a:pt x="42" y="113"/>
              </a:lnTo>
              <a:lnTo>
                <a:pt x="42" y="107"/>
              </a:lnTo>
              <a:lnTo>
                <a:pt x="46" y="102"/>
              </a:lnTo>
              <a:lnTo>
                <a:pt x="49" y="100"/>
              </a:lnTo>
              <a:lnTo>
                <a:pt x="52" y="100"/>
              </a:lnTo>
              <a:lnTo>
                <a:pt x="55" y="98"/>
              </a:lnTo>
              <a:lnTo>
                <a:pt x="58" y="98"/>
              </a:lnTo>
              <a:lnTo>
                <a:pt x="62" y="94"/>
              </a:lnTo>
              <a:lnTo>
                <a:pt x="64" y="92"/>
              </a:lnTo>
              <a:lnTo>
                <a:pt x="68" y="90"/>
              </a:lnTo>
              <a:lnTo>
                <a:pt x="71" y="90"/>
              </a:lnTo>
              <a:lnTo>
                <a:pt x="75" y="92"/>
              </a:lnTo>
              <a:lnTo>
                <a:pt x="78" y="90"/>
              </a:lnTo>
              <a:lnTo>
                <a:pt x="81" y="90"/>
              </a:lnTo>
              <a:lnTo>
                <a:pt x="84" y="88"/>
              </a:lnTo>
              <a:lnTo>
                <a:pt x="84" y="84"/>
              </a:lnTo>
              <a:lnTo>
                <a:pt x="83" y="80"/>
              </a:lnTo>
              <a:lnTo>
                <a:pt x="80" y="78"/>
              </a:lnTo>
              <a:lnTo>
                <a:pt x="81" y="74"/>
              </a:lnTo>
              <a:lnTo>
                <a:pt x="84" y="69"/>
              </a:lnTo>
              <a:lnTo>
                <a:pt x="84" y="66"/>
              </a:lnTo>
              <a:lnTo>
                <a:pt x="84" y="62"/>
              </a:lnTo>
              <a:lnTo>
                <a:pt x="84" y="58"/>
              </a:lnTo>
              <a:lnTo>
                <a:pt x="84" y="53"/>
              </a:lnTo>
              <a:lnTo>
                <a:pt x="81" y="51"/>
              </a:lnTo>
              <a:lnTo>
                <a:pt x="84" y="47"/>
              </a:lnTo>
              <a:lnTo>
                <a:pt x="86" y="43"/>
              </a:lnTo>
              <a:lnTo>
                <a:pt x="89" y="39"/>
              </a:lnTo>
              <a:lnTo>
                <a:pt x="93" y="37"/>
              </a:lnTo>
              <a:lnTo>
                <a:pt x="95" y="37"/>
              </a:lnTo>
              <a:lnTo>
                <a:pt x="99" y="35"/>
              </a:lnTo>
              <a:lnTo>
                <a:pt x="99" y="31"/>
              </a:lnTo>
              <a:lnTo>
                <a:pt x="99" y="29"/>
              </a:lnTo>
              <a:lnTo>
                <a:pt x="97" y="29"/>
              </a:lnTo>
              <a:lnTo>
                <a:pt x="94" y="29"/>
              </a:lnTo>
              <a:lnTo>
                <a:pt x="91" y="27"/>
              </a:lnTo>
              <a:lnTo>
                <a:pt x="88" y="25"/>
              </a:lnTo>
              <a:lnTo>
                <a:pt x="84" y="25"/>
              </a:lnTo>
              <a:lnTo>
                <a:pt x="81" y="23"/>
              </a:lnTo>
              <a:lnTo>
                <a:pt x="78" y="23"/>
              </a:lnTo>
              <a:lnTo>
                <a:pt x="75" y="23"/>
              </a:lnTo>
              <a:lnTo>
                <a:pt x="72" y="23"/>
              </a:lnTo>
              <a:lnTo>
                <a:pt x="69" y="23"/>
              </a:lnTo>
              <a:lnTo>
                <a:pt x="66" y="27"/>
              </a:lnTo>
              <a:lnTo>
                <a:pt x="63" y="27"/>
              </a:lnTo>
              <a:lnTo>
                <a:pt x="60" y="29"/>
              </a:lnTo>
              <a:lnTo>
                <a:pt x="57" y="27"/>
              </a:lnTo>
              <a:lnTo>
                <a:pt x="57" y="23"/>
              </a:lnTo>
              <a:lnTo>
                <a:pt x="57" y="19"/>
              </a:lnTo>
              <a:lnTo>
                <a:pt x="58" y="14"/>
              </a:lnTo>
              <a:lnTo>
                <a:pt x="57" y="10"/>
              </a:lnTo>
              <a:lnTo>
                <a:pt x="53" y="9"/>
              </a:lnTo>
              <a:lnTo>
                <a:pt x="51" y="6"/>
              </a:lnTo>
              <a:lnTo>
                <a:pt x="47" y="6"/>
              </a:lnTo>
              <a:lnTo>
                <a:pt x="44" y="6"/>
              </a:lnTo>
              <a:lnTo>
                <a:pt x="41" y="2"/>
              </a:lnTo>
              <a:lnTo>
                <a:pt x="38" y="1"/>
              </a:lnTo>
              <a:lnTo>
                <a:pt x="35" y="0"/>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673101</xdr:colOff>
      <xdr:row>46</xdr:row>
      <xdr:rowOff>9525</xdr:rowOff>
    </xdr:from>
    <xdr:to>
      <xdr:col>2</xdr:col>
      <xdr:colOff>1260476</xdr:colOff>
      <xdr:row>50</xdr:row>
      <xdr:rowOff>160338</xdr:rowOff>
    </xdr:to>
    <xdr:sp macro="" textlink="">
      <xdr:nvSpPr>
        <xdr:cNvPr id="18" name="Freeform 88">
          <a:extLst>
            <a:ext uri="{FF2B5EF4-FFF2-40B4-BE49-F238E27FC236}">
              <a16:creationId xmlns:a16="http://schemas.microsoft.com/office/drawing/2014/main" id="{3E314AA2-2B42-46C4-9D70-5E3203C87470}"/>
            </a:ext>
          </a:extLst>
        </xdr:cNvPr>
        <xdr:cNvSpPr>
          <a:spLocks noChangeAspect="1"/>
        </xdr:cNvSpPr>
      </xdr:nvSpPr>
      <xdr:spPr bwMode="gray">
        <a:xfrm>
          <a:off x="2844801" y="8267700"/>
          <a:ext cx="444500" cy="798513"/>
        </a:xfrm>
        <a:custGeom>
          <a:avLst/>
          <a:gdLst>
            <a:gd name="T0" fmla="*/ 432 w 87"/>
            <a:gd name="T1" fmla="*/ 505 h 127"/>
            <a:gd name="T2" fmla="*/ 471 w 87"/>
            <a:gd name="T3" fmla="*/ 483 h 127"/>
            <a:gd name="T4" fmla="*/ 471 w 87"/>
            <a:gd name="T5" fmla="*/ 431 h 127"/>
            <a:gd name="T6" fmla="*/ 494 w 87"/>
            <a:gd name="T7" fmla="*/ 409 h 127"/>
            <a:gd name="T8" fmla="*/ 483 w 87"/>
            <a:gd name="T9" fmla="*/ 363 h 127"/>
            <a:gd name="T10" fmla="*/ 466 w 87"/>
            <a:gd name="T11" fmla="*/ 329 h 127"/>
            <a:gd name="T12" fmla="*/ 443 w 87"/>
            <a:gd name="T13" fmla="*/ 284 h 127"/>
            <a:gd name="T14" fmla="*/ 443 w 87"/>
            <a:gd name="T15" fmla="*/ 233 h 127"/>
            <a:gd name="T16" fmla="*/ 454 w 87"/>
            <a:gd name="T17" fmla="*/ 182 h 127"/>
            <a:gd name="T18" fmla="*/ 432 w 87"/>
            <a:gd name="T19" fmla="*/ 136 h 127"/>
            <a:gd name="T20" fmla="*/ 432 w 87"/>
            <a:gd name="T21" fmla="*/ 91 h 127"/>
            <a:gd name="T22" fmla="*/ 426 w 87"/>
            <a:gd name="T23" fmla="*/ 45 h 127"/>
            <a:gd name="T24" fmla="*/ 443 w 87"/>
            <a:gd name="T25" fmla="*/ 6 h 127"/>
            <a:gd name="T26" fmla="*/ 426 w 87"/>
            <a:gd name="T27" fmla="*/ 6 h 127"/>
            <a:gd name="T28" fmla="*/ 392 w 87"/>
            <a:gd name="T29" fmla="*/ 0 h 127"/>
            <a:gd name="T30" fmla="*/ 369 w 87"/>
            <a:gd name="T31" fmla="*/ 6 h 127"/>
            <a:gd name="T32" fmla="*/ 358 w 87"/>
            <a:gd name="T33" fmla="*/ 45 h 127"/>
            <a:gd name="T34" fmla="*/ 318 w 87"/>
            <a:gd name="T35" fmla="*/ 57 h 127"/>
            <a:gd name="T36" fmla="*/ 290 w 87"/>
            <a:gd name="T37" fmla="*/ 102 h 127"/>
            <a:gd name="T38" fmla="*/ 290 w 87"/>
            <a:gd name="T39" fmla="*/ 136 h 127"/>
            <a:gd name="T40" fmla="*/ 290 w 87"/>
            <a:gd name="T41" fmla="*/ 182 h 127"/>
            <a:gd name="T42" fmla="*/ 290 w 87"/>
            <a:gd name="T43" fmla="*/ 233 h 127"/>
            <a:gd name="T44" fmla="*/ 261 w 87"/>
            <a:gd name="T45" fmla="*/ 284 h 127"/>
            <a:gd name="T46" fmla="*/ 290 w 87"/>
            <a:gd name="T47" fmla="*/ 318 h 127"/>
            <a:gd name="T48" fmla="*/ 273 w 87"/>
            <a:gd name="T49" fmla="*/ 352 h 127"/>
            <a:gd name="T50" fmla="*/ 238 w 87"/>
            <a:gd name="T51" fmla="*/ 363 h 127"/>
            <a:gd name="T52" fmla="*/ 187 w 87"/>
            <a:gd name="T53" fmla="*/ 352 h 127"/>
            <a:gd name="T54" fmla="*/ 153 w 87"/>
            <a:gd name="T55" fmla="*/ 375 h 127"/>
            <a:gd name="T56" fmla="*/ 119 w 87"/>
            <a:gd name="T57" fmla="*/ 403 h 127"/>
            <a:gd name="T58" fmla="*/ 79 w 87"/>
            <a:gd name="T59" fmla="*/ 409 h 127"/>
            <a:gd name="T60" fmla="*/ 45 w 87"/>
            <a:gd name="T61" fmla="*/ 448 h 127"/>
            <a:gd name="T62" fmla="*/ 40 w 87"/>
            <a:gd name="T63" fmla="*/ 505 h 127"/>
            <a:gd name="T64" fmla="*/ 6 w 87"/>
            <a:gd name="T65" fmla="*/ 556 h 127"/>
            <a:gd name="T66" fmla="*/ 17 w 87"/>
            <a:gd name="T67" fmla="*/ 602 h 127"/>
            <a:gd name="T68" fmla="*/ 17 w 87"/>
            <a:gd name="T69" fmla="*/ 653 h 127"/>
            <a:gd name="T70" fmla="*/ 6 w 87"/>
            <a:gd name="T71" fmla="*/ 670 h 127"/>
            <a:gd name="T72" fmla="*/ 45 w 87"/>
            <a:gd name="T73" fmla="*/ 698 h 127"/>
            <a:gd name="T74" fmla="*/ 79 w 87"/>
            <a:gd name="T75" fmla="*/ 721 h 127"/>
            <a:gd name="T76" fmla="*/ 119 w 87"/>
            <a:gd name="T77" fmla="*/ 710 h 127"/>
            <a:gd name="T78" fmla="*/ 153 w 87"/>
            <a:gd name="T79" fmla="*/ 681 h 127"/>
            <a:gd name="T80" fmla="*/ 187 w 87"/>
            <a:gd name="T81" fmla="*/ 659 h 127"/>
            <a:gd name="T82" fmla="*/ 182 w 87"/>
            <a:gd name="T83" fmla="*/ 613 h 127"/>
            <a:gd name="T84" fmla="*/ 210 w 87"/>
            <a:gd name="T85" fmla="*/ 590 h 127"/>
            <a:gd name="T86" fmla="*/ 244 w 87"/>
            <a:gd name="T87" fmla="*/ 590 h 127"/>
            <a:gd name="T88" fmla="*/ 284 w 87"/>
            <a:gd name="T89" fmla="*/ 602 h 127"/>
            <a:gd name="T90" fmla="*/ 318 w 87"/>
            <a:gd name="T91" fmla="*/ 590 h 127"/>
            <a:gd name="T92" fmla="*/ 363 w 87"/>
            <a:gd name="T93" fmla="*/ 562 h 127"/>
            <a:gd name="T94" fmla="*/ 397 w 87"/>
            <a:gd name="T95" fmla="*/ 539 h 127"/>
            <a:gd name="T96" fmla="*/ 409 w 87"/>
            <a:gd name="T97" fmla="*/ 528 h 12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87" h="127">
              <a:moveTo>
                <a:pt x="73" y="93"/>
              </a:moveTo>
              <a:lnTo>
                <a:pt x="76" y="89"/>
              </a:lnTo>
              <a:lnTo>
                <a:pt x="80" y="89"/>
              </a:lnTo>
              <a:lnTo>
                <a:pt x="83" y="85"/>
              </a:lnTo>
              <a:lnTo>
                <a:pt x="83" y="81"/>
              </a:lnTo>
              <a:lnTo>
                <a:pt x="83" y="76"/>
              </a:lnTo>
              <a:lnTo>
                <a:pt x="86" y="72"/>
              </a:lnTo>
              <a:lnTo>
                <a:pt x="87" y="72"/>
              </a:lnTo>
              <a:lnTo>
                <a:pt x="85" y="68"/>
              </a:lnTo>
              <a:lnTo>
                <a:pt x="85" y="64"/>
              </a:lnTo>
              <a:lnTo>
                <a:pt x="85" y="60"/>
              </a:lnTo>
              <a:lnTo>
                <a:pt x="82" y="58"/>
              </a:lnTo>
              <a:lnTo>
                <a:pt x="80" y="53"/>
              </a:lnTo>
              <a:lnTo>
                <a:pt x="78" y="50"/>
              </a:lnTo>
              <a:lnTo>
                <a:pt x="76" y="45"/>
              </a:lnTo>
              <a:lnTo>
                <a:pt x="78" y="41"/>
              </a:lnTo>
              <a:lnTo>
                <a:pt x="78" y="37"/>
              </a:lnTo>
              <a:lnTo>
                <a:pt x="80" y="32"/>
              </a:lnTo>
              <a:lnTo>
                <a:pt x="76" y="28"/>
              </a:lnTo>
              <a:lnTo>
                <a:pt x="76" y="24"/>
              </a:lnTo>
              <a:lnTo>
                <a:pt x="76" y="20"/>
              </a:lnTo>
              <a:lnTo>
                <a:pt x="76" y="16"/>
              </a:lnTo>
              <a:lnTo>
                <a:pt x="75" y="12"/>
              </a:lnTo>
              <a:lnTo>
                <a:pt x="75" y="8"/>
              </a:lnTo>
              <a:lnTo>
                <a:pt x="76" y="4"/>
              </a:lnTo>
              <a:lnTo>
                <a:pt x="78" y="1"/>
              </a:lnTo>
              <a:lnTo>
                <a:pt x="77" y="1"/>
              </a:lnTo>
              <a:lnTo>
                <a:pt x="75" y="1"/>
              </a:lnTo>
              <a:lnTo>
                <a:pt x="72" y="0"/>
              </a:lnTo>
              <a:lnTo>
                <a:pt x="69" y="0"/>
              </a:lnTo>
              <a:lnTo>
                <a:pt x="65" y="0"/>
              </a:lnTo>
              <a:lnTo>
                <a:pt x="65" y="1"/>
              </a:lnTo>
              <a:lnTo>
                <a:pt x="65" y="5"/>
              </a:lnTo>
              <a:lnTo>
                <a:pt x="63" y="8"/>
              </a:lnTo>
              <a:lnTo>
                <a:pt x="59" y="8"/>
              </a:lnTo>
              <a:lnTo>
                <a:pt x="56" y="10"/>
              </a:lnTo>
              <a:lnTo>
                <a:pt x="53" y="14"/>
              </a:lnTo>
              <a:lnTo>
                <a:pt x="51" y="18"/>
              </a:lnTo>
              <a:lnTo>
                <a:pt x="48" y="22"/>
              </a:lnTo>
              <a:lnTo>
                <a:pt x="51" y="24"/>
              </a:lnTo>
              <a:lnTo>
                <a:pt x="51" y="28"/>
              </a:lnTo>
              <a:lnTo>
                <a:pt x="51" y="32"/>
              </a:lnTo>
              <a:lnTo>
                <a:pt x="51" y="37"/>
              </a:lnTo>
              <a:lnTo>
                <a:pt x="51" y="41"/>
              </a:lnTo>
              <a:lnTo>
                <a:pt x="48" y="45"/>
              </a:lnTo>
              <a:lnTo>
                <a:pt x="46" y="50"/>
              </a:lnTo>
              <a:lnTo>
                <a:pt x="50" y="52"/>
              </a:lnTo>
              <a:lnTo>
                <a:pt x="51" y="56"/>
              </a:lnTo>
              <a:lnTo>
                <a:pt x="51" y="60"/>
              </a:lnTo>
              <a:lnTo>
                <a:pt x="48" y="62"/>
              </a:lnTo>
              <a:lnTo>
                <a:pt x="45" y="62"/>
              </a:lnTo>
              <a:lnTo>
                <a:pt x="42" y="64"/>
              </a:lnTo>
              <a:lnTo>
                <a:pt x="37" y="62"/>
              </a:lnTo>
              <a:lnTo>
                <a:pt x="33" y="62"/>
              </a:lnTo>
              <a:lnTo>
                <a:pt x="30" y="64"/>
              </a:lnTo>
              <a:lnTo>
                <a:pt x="27" y="66"/>
              </a:lnTo>
              <a:lnTo>
                <a:pt x="24" y="71"/>
              </a:lnTo>
              <a:lnTo>
                <a:pt x="21" y="71"/>
              </a:lnTo>
              <a:lnTo>
                <a:pt x="18" y="72"/>
              </a:lnTo>
              <a:lnTo>
                <a:pt x="14" y="72"/>
              </a:lnTo>
              <a:lnTo>
                <a:pt x="11" y="75"/>
              </a:lnTo>
              <a:lnTo>
                <a:pt x="8" y="79"/>
              </a:lnTo>
              <a:lnTo>
                <a:pt x="8" y="85"/>
              </a:lnTo>
              <a:lnTo>
                <a:pt x="7" y="89"/>
              </a:lnTo>
              <a:lnTo>
                <a:pt x="5" y="93"/>
              </a:lnTo>
              <a:lnTo>
                <a:pt x="1" y="98"/>
              </a:lnTo>
              <a:lnTo>
                <a:pt x="3" y="102"/>
              </a:lnTo>
              <a:lnTo>
                <a:pt x="3" y="106"/>
              </a:lnTo>
              <a:lnTo>
                <a:pt x="5" y="110"/>
              </a:lnTo>
              <a:lnTo>
                <a:pt x="3" y="115"/>
              </a:lnTo>
              <a:lnTo>
                <a:pt x="0" y="118"/>
              </a:lnTo>
              <a:lnTo>
                <a:pt x="1" y="118"/>
              </a:lnTo>
              <a:lnTo>
                <a:pt x="5" y="120"/>
              </a:lnTo>
              <a:lnTo>
                <a:pt x="8" y="123"/>
              </a:lnTo>
              <a:lnTo>
                <a:pt x="11" y="125"/>
              </a:lnTo>
              <a:lnTo>
                <a:pt x="14" y="127"/>
              </a:lnTo>
              <a:lnTo>
                <a:pt x="18" y="127"/>
              </a:lnTo>
              <a:lnTo>
                <a:pt x="21" y="125"/>
              </a:lnTo>
              <a:lnTo>
                <a:pt x="24" y="120"/>
              </a:lnTo>
              <a:lnTo>
                <a:pt x="27" y="120"/>
              </a:lnTo>
              <a:lnTo>
                <a:pt x="32" y="120"/>
              </a:lnTo>
              <a:lnTo>
                <a:pt x="33" y="116"/>
              </a:lnTo>
              <a:lnTo>
                <a:pt x="33" y="112"/>
              </a:lnTo>
              <a:lnTo>
                <a:pt x="32" y="108"/>
              </a:lnTo>
              <a:lnTo>
                <a:pt x="33" y="104"/>
              </a:lnTo>
              <a:lnTo>
                <a:pt x="37" y="104"/>
              </a:lnTo>
              <a:lnTo>
                <a:pt x="40" y="104"/>
              </a:lnTo>
              <a:lnTo>
                <a:pt x="43" y="104"/>
              </a:lnTo>
              <a:lnTo>
                <a:pt x="46" y="104"/>
              </a:lnTo>
              <a:lnTo>
                <a:pt x="50" y="106"/>
              </a:lnTo>
              <a:lnTo>
                <a:pt x="53" y="106"/>
              </a:lnTo>
              <a:lnTo>
                <a:pt x="56" y="104"/>
              </a:lnTo>
              <a:lnTo>
                <a:pt x="59" y="99"/>
              </a:lnTo>
              <a:lnTo>
                <a:pt x="64" y="99"/>
              </a:lnTo>
              <a:lnTo>
                <a:pt x="67" y="98"/>
              </a:lnTo>
              <a:lnTo>
                <a:pt x="70" y="95"/>
              </a:lnTo>
              <a:lnTo>
                <a:pt x="72" y="94"/>
              </a:lnTo>
              <a:lnTo>
                <a:pt x="72" y="93"/>
              </a:lnTo>
              <a:lnTo>
                <a:pt x="73" y="93"/>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endParaRPr lang="en-US" sz="1055">
            <a:solidFill>
              <a:prstClr val="black"/>
            </a:solidFill>
            <a:highlight>
              <a:srgbClr val="FFFF00"/>
            </a:highlight>
            <a:latin typeface="Calibri" panose="020F0502020204030204"/>
          </a:endParaRPr>
        </a:p>
      </xdr:txBody>
    </xdr:sp>
    <xdr:clientData/>
  </xdr:twoCellAnchor>
  <xdr:twoCellAnchor>
    <xdr:from>
      <xdr:col>2</xdr:col>
      <xdr:colOff>1435101</xdr:colOff>
      <xdr:row>47</xdr:row>
      <xdr:rowOff>42863</xdr:rowOff>
    </xdr:from>
    <xdr:to>
      <xdr:col>3</xdr:col>
      <xdr:colOff>249238</xdr:colOff>
      <xdr:row>48</xdr:row>
      <xdr:rowOff>112713</xdr:rowOff>
    </xdr:to>
    <xdr:sp macro="" textlink="">
      <xdr:nvSpPr>
        <xdr:cNvPr id="19" name="Freeform 89">
          <a:extLst>
            <a:ext uri="{FF2B5EF4-FFF2-40B4-BE49-F238E27FC236}">
              <a16:creationId xmlns:a16="http://schemas.microsoft.com/office/drawing/2014/main" id="{C5654EAB-F4F1-4359-B1C4-745CF561D1EB}"/>
            </a:ext>
          </a:extLst>
        </xdr:cNvPr>
        <xdr:cNvSpPr>
          <a:spLocks noChangeAspect="1"/>
        </xdr:cNvSpPr>
      </xdr:nvSpPr>
      <xdr:spPr bwMode="gray">
        <a:xfrm>
          <a:off x="3282951" y="8462963"/>
          <a:ext cx="252412" cy="231775"/>
        </a:xfrm>
        <a:custGeom>
          <a:avLst/>
          <a:gdLst>
            <a:gd name="T0" fmla="*/ 301 w 53"/>
            <a:gd name="T1" fmla="*/ 170 h 37"/>
            <a:gd name="T2" fmla="*/ 301 w 53"/>
            <a:gd name="T3" fmla="*/ 165 h 37"/>
            <a:gd name="T4" fmla="*/ 301 w 53"/>
            <a:gd name="T5" fmla="*/ 142 h 37"/>
            <a:gd name="T6" fmla="*/ 301 w 53"/>
            <a:gd name="T7" fmla="*/ 114 h 37"/>
            <a:gd name="T8" fmla="*/ 295 w 53"/>
            <a:gd name="T9" fmla="*/ 91 h 37"/>
            <a:gd name="T10" fmla="*/ 284 w 53"/>
            <a:gd name="T11" fmla="*/ 74 h 37"/>
            <a:gd name="T12" fmla="*/ 267 w 53"/>
            <a:gd name="T13" fmla="*/ 57 h 37"/>
            <a:gd name="T14" fmla="*/ 244 w 53"/>
            <a:gd name="T15" fmla="*/ 45 h 37"/>
            <a:gd name="T16" fmla="*/ 233 w 53"/>
            <a:gd name="T17" fmla="*/ 45 h 37"/>
            <a:gd name="T18" fmla="*/ 210 w 53"/>
            <a:gd name="T19" fmla="*/ 34 h 37"/>
            <a:gd name="T20" fmla="*/ 193 w 53"/>
            <a:gd name="T21" fmla="*/ 34 h 37"/>
            <a:gd name="T22" fmla="*/ 176 w 53"/>
            <a:gd name="T23" fmla="*/ 34 h 37"/>
            <a:gd name="T24" fmla="*/ 159 w 53"/>
            <a:gd name="T25" fmla="*/ 34 h 37"/>
            <a:gd name="T26" fmla="*/ 136 w 53"/>
            <a:gd name="T27" fmla="*/ 34 h 37"/>
            <a:gd name="T28" fmla="*/ 119 w 53"/>
            <a:gd name="T29" fmla="*/ 11 h 37"/>
            <a:gd name="T30" fmla="*/ 114 w 53"/>
            <a:gd name="T31" fmla="*/ 0 h 37"/>
            <a:gd name="T32" fmla="*/ 97 w 53"/>
            <a:gd name="T33" fmla="*/ 11 h 37"/>
            <a:gd name="T34" fmla="*/ 74 w 53"/>
            <a:gd name="T35" fmla="*/ 23 h 37"/>
            <a:gd name="T36" fmla="*/ 68 w 53"/>
            <a:gd name="T37" fmla="*/ 45 h 37"/>
            <a:gd name="T38" fmla="*/ 57 w 53"/>
            <a:gd name="T39" fmla="*/ 74 h 37"/>
            <a:gd name="T40" fmla="*/ 51 w 53"/>
            <a:gd name="T41" fmla="*/ 91 h 37"/>
            <a:gd name="T42" fmla="*/ 34 w 53"/>
            <a:gd name="T43" fmla="*/ 91 h 37"/>
            <a:gd name="T44" fmla="*/ 11 w 53"/>
            <a:gd name="T45" fmla="*/ 108 h 37"/>
            <a:gd name="T46" fmla="*/ 0 w 53"/>
            <a:gd name="T47" fmla="*/ 125 h 37"/>
            <a:gd name="T48" fmla="*/ 11 w 53"/>
            <a:gd name="T49" fmla="*/ 153 h 37"/>
            <a:gd name="T50" fmla="*/ 34 w 53"/>
            <a:gd name="T51" fmla="*/ 165 h 37"/>
            <a:gd name="T52" fmla="*/ 51 w 53"/>
            <a:gd name="T53" fmla="*/ 153 h 37"/>
            <a:gd name="T54" fmla="*/ 68 w 53"/>
            <a:gd name="T55" fmla="*/ 153 h 37"/>
            <a:gd name="T56" fmla="*/ 85 w 53"/>
            <a:gd name="T57" fmla="*/ 142 h 37"/>
            <a:gd name="T58" fmla="*/ 102 w 53"/>
            <a:gd name="T59" fmla="*/ 125 h 37"/>
            <a:gd name="T60" fmla="*/ 114 w 53"/>
            <a:gd name="T61" fmla="*/ 153 h 37"/>
            <a:gd name="T62" fmla="*/ 97 w 53"/>
            <a:gd name="T63" fmla="*/ 165 h 37"/>
            <a:gd name="T64" fmla="*/ 97 w 53"/>
            <a:gd name="T65" fmla="*/ 187 h 37"/>
            <a:gd name="T66" fmla="*/ 114 w 53"/>
            <a:gd name="T67" fmla="*/ 199 h 37"/>
            <a:gd name="T68" fmla="*/ 131 w 53"/>
            <a:gd name="T69" fmla="*/ 187 h 37"/>
            <a:gd name="T70" fmla="*/ 148 w 53"/>
            <a:gd name="T71" fmla="*/ 199 h 37"/>
            <a:gd name="T72" fmla="*/ 165 w 53"/>
            <a:gd name="T73" fmla="*/ 210 h 37"/>
            <a:gd name="T74" fmla="*/ 176 w 53"/>
            <a:gd name="T75" fmla="*/ 199 h 37"/>
            <a:gd name="T76" fmla="*/ 176 w 53"/>
            <a:gd name="T77" fmla="*/ 176 h 37"/>
            <a:gd name="T78" fmla="*/ 193 w 53"/>
            <a:gd name="T79" fmla="*/ 165 h 37"/>
            <a:gd name="T80" fmla="*/ 210 w 53"/>
            <a:gd name="T81" fmla="*/ 176 h 37"/>
            <a:gd name="T82" fmla="*/ 233 w 53"/>
            <a:gd name="T83" fmla="*/ 176 h 37"/>
            <a:gd name="T84" fmla="*/ 244 w 53"/>
            <a:gd name="T85" fmla="*/ 165 h 37"/>
            <a:gd name="T86" fmla="*/ 267 w 53"/>
            <a:gd name="T87" fmla="*/ 187 h 37"/>
            <a:gd name="T88" fmla="*/ 284 w 53"/>
            <a:gd name="T89" fmla="*/ 187 h 37"/>
            <a:gd name="T90" fmla="*/ 301 w 53"/>
            <a:gd name="T91" fmla="*/ 176 h 37"/>
            <a:gd name="T92" fmla="*/ 301 w 53"/>
            <a:gd name="T93" fmla="*/ 170 h 37"/>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53" h="37">
              <a:moveTo>
                <a:pt x="53" y="30"/>
              </a:moveTo>
              <a:lnTo>
                <a:pt x="53" y="29"/>
              </a:lnTo>
              <a:lnTo>
                <a:pt x="53" y="25"/>
              </a:lnTo>
              <a:lnTo>
                <a:pt x="53" y="20"/>
              </a:lnTo>
              <a:lnTo>
                <a:pt x="52" y="16"/>
              </a:lnTo>
              <a:lnTo>
                <a:pt x="50" y="13"/>
              </a:lnTo>
              <a:lnTo>
                <a:pt x="47" y="10"/>
              </a:lnTo>
              <a:lnTo>
                <a:pt x="43" y="8"/>
              </a:lnTo>
              <a:lnTo>
                <a:pt x="41" y="8"/>
              </a:lnTo>
              <a:lnTo>
                <a:pt x="37" y="6"/>
              </a:lnTo>
              <a:lnTo>
                <a:pt x="34" y="6"/>
              </a:lnTo>
              <a:lnTo>
                <a:pt x="31" y="6"/>
              </a:lnTo>
              <a:lnTo>
                <a:pt x="28" y="6"/>
              </a:lnTo>
              <a:lnTo>
                <a:pt x="24" y="6"/>
              </a:lnTo>
              <a:lnTo>
                <a:pt x="21" y="2"/>
              </a:lnTo>
              <a:lnTo>
                <a:pt x="20" y="0"/>
              </a:lnTo>
              <a:lnTo>
                <a:pt x="17" y="2"/>
              </a:lnTo>
              <a:lnTo>
                <a:pt x="13" y="4"/>
              </a:lnTo>
              <a:lnTo>
                <a:pt x="12" y="8"/>
              </a:lnTo>
              <a:lnTo>
                <a:pt x="10" y="13"/>
              </a:lnTo>
              <a:lnTo>
                <a:pt x="9" y="16"/>
              </a:lnTo>
              <a:lnTo>
                <a:pt x="6" y="16"/>
              </a:lnTo>
              <a:lnTo>
                <a:pt x="2" y="19"/>
              </a:lnTo>
              <a:lnTo>
                <a:pt x="0" y="22"/>
              </a:lnTo>
              <a:lnTo>
                <a:pt x="2" y="27"/>
              </a:lnTo>
              <a:lnTo>
                <a:pt x="6" y="29"/>
              </a:lnTo>
              <a:lnTo>
                <a:pt x="9" y="27"/>
              </a:lnTo>
              <a:lnTo>
                <a:pt x="12" y="27"/>
              </a:lnTo>
              <a:lnTo>
                <a:pt x="15" y="25"/>
              </a:lnTo>
              <a:lnTo>
                <a:pt x="18" y="22"/>
              </a:lnTo>
              <a:lnTo>
                <a:pt x="20" y="27"/>
              </a:lnTo>
              <a:lnTo>
                <a:pt x="17" y="29"/>
              </a:lnTo>
              <a:lnTo>
                <a:pt x="17" y="33"/>
              </a:lnTo>
              <a:lnTo>
                <a:pt x="20" y="35"/>
              </a:lnTo>
              <a:lnTo>
                <a:pt x="23" y="33"/>
              </a:lnTo>
              <a:lnTo>
                <a:pt x="26" y="35"/>
              </a:lnTo>
              <a:lnTo>
                <a:pt x="29" y="37"/>
              </a:lnTo>
              <a:lnTo>
                <a:pt x="31" y="35"/>
              </a:lnTo>
              <a:lnTo>
                <a:pt x="31" y="31"/>
              </a:lnTo>
              <a:lnTo>
                <a:pt x="34" y="29"/>
              </a:lnTo>
              <a:lnTo>
                <a:pt x="37" y="31"/>
              </a:lnTo>
              <a:lnTo>
                <a:pt x="41" y="31"/>
              </a:lnTo>
              <a:lnTo>
                <a:pt x="43" y="29"/>
              </a:lnTo>
              <a:lnTo>
                <a:pt x="47" y="33"/>
              </a:lnTo>
              <a:lnTo>
                <a:pt x="50" y="33"/>
              </a:lnTo>
              <a:lnTo>
                <a:pt x="53" y="31"/>
              </a:lnTo>
              <a:lnTo>
                <a:pt x="53" y="30"/>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1177926</xdr:colOff>
      <xdr:row>46</xdr:row>
      <xdr:rowOff>9525</xdr:rowOff>
    </xdr:from>
    <xdr:to>
      <xdr:col>3</xdr:col>
      <xdr:colOff>31751</xdr:colOff>
      <xdr:row>49</xdr:row>
      <xdr:rowOff>39688</xdr:rowOff>
    </xdr:to>
    <xdr:sp macro="" textlink="">
      <xdr:nvSpPr>
        <xdr:cNvPr id="20" name="Freeform 90">
          <a:extLst>
            <a:ext uri="{FF2B5EF4-FFF2-40B4-BE49-F238E27FC236}">
              <a16:creationId xmlns:a16="http://schemas.microsoft.com/office/drawing/2014/main" id="{1C6E8C57-2B44-4812-90D9-1D8938FD3155}"/>
            </a:ext>
          </a:extLst>
        </xdr:cNvPr>
        <xdr:cNvSpPr>
          <a:spLocks noChangeAspect="1"/>
        </xdr:cNvSpPr>
      </xdr:nvSpPr>
      <xdr:spPr bwMode="gray">
        <a:xfrm>
          <a:off x="3282951" y="8267700"/>
          <a:ext cx="34925" cy="515938"/>
        </a:xfrm>
        <a:custGeom>
          <a:avLst/>
          <a:gdLst>
            <a:gd name="T0" fmla="*/ 216 w 59"/>
            <a:gd name="T1" fmla="*/ 307 h 82"/>
            <a:gd name="T2" fmla="*/ 256 w 59"/>
            <a:gd name="T3" fmla="*/ 267 h 82"/>
            <a:gd name="T4" fmla="*/ 278 w 59"/>
            <a:gd name="T5" fmla="*/ 244 h 82"/>
            <a:gd name="T6" fmla="*/ 301 w 59"/>
            <a:gd name="T7" fmla="*/ 199 h 82"/>
            <a:gd name="T8" fmla="*/ 335 w 59"/>
            <a:gd name="T9" fmla="*/ 176 h 82"/>
            <a:gd name="T10" fmla="*/ 307 w 59"/>
            <a:gd name="T11" fmla="*/ 165 h 82"/>
            <a:gd name="T12" fmla="*/ 273 w 59"/>
            <a:gd name="T13" fmla="*/ 136 h 82"/>
            <a:gd name="T14" fmla="*/ 244 w 59"/>
            <a:gd name="T15" fmla="*/ 102 h 82"/>
            <a:gd name="T16" fmla="*/ 210 w 59"/>
            <a:gd name="T17" fmla="*/ 68 h 82"/>
            <a:gd name="T18" fmla="*/ 170 w 59"/>
            <a:gd name="T19" fmla="*/ 28 h 82"/>
            <a:gd name="T20" fmla="*/ 119 w 59"/>
            <a:gd name="T21" fmla="*/ 6 h 82"/>
            <a:gd name="T22" fmla="*/ 85 w 59"/>
            <a:gd name="T23" fmla="*/ 0 h 82"/>
            <a:gd name="T24" fmla="*/ 51 w 59"/>
            <a:gd name="T25" fmla="*/ 6 h 82"/>
            <a:gd name="T26" fmla="*/ 17 w 59"/>
            <a:gd name="T27" fmla="*/ 6 h 82"/>
            <a:gd name="T28" fmla="*/ 11 w 59"/>
            <a:gd name="T29" fmla="*/ 6 h 82"/>
            <a:gd name="T30" fmla="*/ 0 w 59"/>
            <a:gd name="T31" fmla="*/ 45 h 82"/>
            <a:gd name="T32" fmla="*/ 6 w 59"/>
            <a:gd name="T33" fmla="*/ 91 h 82"/>
            <a:gd name="T34" fmla="*/ 6 w 59"/>
            <a:gd name="T35" fmla="*/ 136 h 82"/>
            <a:gd name="T36" fmla="*/ 23 w 59"/>
            <a:gd name="T37" fmla="*/ 188 h 82"/>
            <a:gd name="T38" fmla="*/ 17 w 59"/>
            <a:gd name="T39" fmla="*/ 233 h 82"/>
            <a:gd name="T40" fmla="*/ 17 w 59"/>
            <a:gd name="T41" fmla="*/ 284 h 82"/>
            <a:gd name="T42" fmla="*/ 34 w 59"/>
            <a:gd name="T43" fmla="*/ 330 h 82"/>
            <a:gd name="T44" fmla="*/ 51 w 59"/>
            <a:gd name="T45" fmla="*/ 364 h 82"/>
            <a:gd name="T46" fmla="*/ 57 w 59"/>
            <a:gd name="T47" fmla="*/ 415 h 82"/>
            <a:gd name="T48" fmla="*/ 57 w 59"/>
            <a:gd name="T49" fmla="*/ 409 h 82"/>
            <a:gd name="T50" fmla="*/ 85 w 59"/>
            <a:gd name="T51" fmla="*/ 426 h 82"/>
            <a:gd name="T52" fmla="*/ 119 w 59"/>
            <a:gd name="T53" fmla="*/ 415 h 82"/>
            <a:gd name="T54" fmla="*/ 159 w 59"/>
            <a:gd name="T55" fmla="*/ 449 h 82"/>
            <a:gd name="T56" fmla="*/ 182 w 59"/>
            <a:gd name="T57" fmla="*/ 460 h 82"/>
            <a:gd name="T58" fmla="*/ 216 w 59"/>
            <a:gd name="T59" fmla="*/ 432 h 82"/>
            <a:gd name="T60" fmla="*/ 216 w 59"/>
            <a:gd name="T61" fmla="*/ 386 h 82"/>
            <a:gd name="T62" fmla="*/ 227 w 59"/>
            <a:gd name="T63" fmla="*/ 341 h 82"/>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59" h="82">
              <a:moveTo>
                <a:pt x="41" y="58"/>
              </a:moveTo>
              <a:lnTo>
                <a:pt x="38" y="54"/>
              </a:lnTo>
              <a:lnTo>
                <a:pt x="41" y="50"/>
              </a:lnTo>
              <a:lnTo>
                <a:pt x="45" y="47"/>
              </a:lnTo>
              <a:lnTo>
                <a:pt x="48" y="47"/>
              </a:lnTo>
              <a:lnTo>
                <a:pt x="49" y="43"/>
              </a:lnTo>
              <a:lnTo>
                <a:pt x="50" y="39"/>
              </a:lnTo>
              <a:lnTo>
                <a:pt x="53" y="35"/>
              </a:lnTo>
              <a:lnTo>
                <a:pt x="56" y="33"/>
              </a:lnTo>
              <a:lnTo>
                <a:pt x="59" y="31"/>
              </a:lnTo>
              <a:lnTo>
                <a:pt x="57" y="29"/>
              </a:lnTo>
              <a:lnTo>
                <a:pt x="54" y="29"/>
              </a:lnTo>
              <a:lnTo>
                <a:pt x="50" y="26"/>
              </a:lnTo>
              <a:lnTo>
                <a:pt x="48" y="24"/>
              </a:lnTo>
              <a:lnTo>
                <a:pt x="46" y="20"/>
              </a:lnTo>
              <a:lnTo>
                <a:pt x="43" y="18"/>
              </a:lnTo>
              <a:lnTo>
                <a:pt x="40" y="14"/>
              </a:lnTo>
              <a:lnTo>
                <a:pt x="37" y="12"/>
              </a:lnTo>
              <a:lnTo>
                <a:pt x="34" y="9"/>
              </a:lnTo>
              <a:lnTo>
                <a:pt x="30" y="5"/>
              </a:lnTo>
              <a:lnTo>
                <a:pt x="24" y="4"/>
              </a:lnTo>
              <a:lnTo>
                <a:pt x="21" y="1"/>
              </a:lnTo>
              <a:lnTo>
                <a:pt x="18" y="0"/>
              </a:lnTo>
              <a:lnTo>
                <a:pt x="15" y="0"/>
              </a:lnTo>
              <a:lnTo>
                <a:pt x="12" y="1"/>
              </a:lnTo>
              <a:lnTo>
                <a:pt x="9" y="1"/>
              </a:lnTo>
              <a:lnTo>
                <a:pt x="6" y="1"/>
              </a:lnTo>
              <a:lnTo>
                <a:pt x="3" y="1"/>
              </a:lnTo>
              <a:lnTo>
                <a:pt x="2" y="1"/>
              </a:lnTo>
              <a:lnTo>
                <a:pt x="1" y="4"/>
              </a:lnTo>
              <a:lnTo>
                <a:pt x="0" y="8"/>
              </a:lnTo>
              <a:lnTo>
                <a:pt x="0" y="12"/>
              </a:lnTo>
              <a:lnTo>
                <a:pt x="1" y="16"/>
              </a:lnTo>
              <a:lnTo>
                <a:pt x="1" y="20"/>
              </a:lnTo>
              <a:lnTo>
                <a:pt x="1" y="24"/>
              </a:lnTo>
              <a:lnTo>
                <a:pt x="1" y="29"/>
              </a:lnTo>
              <a:lnTo>
                <a:pt x="4" y="33"/>
              </a:lnTo>
              <a:lnTo>
                <a:pt x="3" y="37"/>
              </a:lnTo>
              <a:lnTo>
                <a:pt x="3" y="41"/>
              </a:lnTo>
              <a:lnTo>
                <a:pt x="1" y="45"/>
              </a:lnTo>
              <a:lnTo>
                <a:pt x="3" y="50"/>
              </a:lnTo>
              <a:lnTo>
                <a:pt x="4" y="54"/>
              </a:lnTo>
              <a:lnTo>
                <a:pt x="6" y="58"/>
              </a:lnTo>
              <a:lnTo>
                <a:pt x="9" y="60"/>
              </a:lnTo>
              <a:lnTo>
                <a:pt x="9" y="64"/>
              </a:lnTo>
              <a:lnTo>
                <a:pt x="9" y="68"/>
              </a:lnTo>
              <a:lnTo>
                <a:pt x="10" y="73"/>
              </a:lnTo>
              <a:lnTo>
                <a:pt x="9" y="73"/>
              </a:lnTo>
              <a:lnTo>
                <a:pt x="10" y="72"/>
              </a:lnTo>
              <a:lnTo>
                <a:pt x="12" y="75"/>
              </a:lnTo>
              <a:lnTo>
                <a:pt x="15" y="75"/>
              </a:lnTo>
              <a:lnTo>
                <a:pt x="18" y="73"/>
              </a:lnTo>
              <a:lnTo>
                <a:pt x="21" y="73"/>
              </a:lnTo>
              <a:lnTo>
                <a:pt x="24" y="75"/>
              </a:lnTo>
              <a:lnTo>
                <a:pt x="28" y="79"/>
              </a:lnTo>
              <a:lnTo>
                <a:pt x="31" y="82"/>
              </a:lnTo>
              <a:lnTo>
                <a:pt x="32" y="81"/>
              </a:lnTo>
              <a:lnTo>
                <a:pt x="35" y="76"/>
              </a:lnTo>
              <a:lnTo>
                <a:pt x="38" y="76"/>
              </a:lnTo>
              <a:lnTo>
                <a:pt x="38" y="73"/>
              </a:lnTo>
              <a:lnTo>
                <a:pt x="38" y="68"/>
              </a:lnTo>
              <a:lnTo>
                <a:pt x="40" y="64"/>
              </a:lnTo>
              <a:lnTo>
                <a:pt x="40" y="60"/>
              </a:lnTo>
              <a:lnTo>
                <a:pt x="41" y="58"/>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endParaRPr lang="en-US" sz="1055">
            <a:solidFill>
              <a:prstClr val="black"/>
            </a:solidFill>
            <a:latin typeface="Calibri" panose="020F0502020204030204"/>
          </a:endParaRPr>
        </a:p>
      </xdr:txBody>
    </xdr:sp>
    <xdr:clientData/>
  </xdr:twoCellAnchor>
  <xdr:twoCellAnchor>
    <xdr:from>
      <xdr:col>2</xdr:col>
      <xdr:colOff>1468438</xdr:colOff>
      <xdr:row>49</xdr:row>
      <xdr:rowOff>158750</xdr:rowOff>
    </xdr:from>
    <xdr:to>
      <xdr:col>3</xdr:col>
      <xdr:colOff>241301</xdr:colOff>
      <xdr:row>51</xdr:row>
      <xdr:rowOff>87313</xdr:rowOff>
    </xdr:to>
    <xdr:sp macro="" textlink="">
      <xdr:nvSpPr>
        <xdr:cNvPr id="21" name="Freeform 91">
          <a:extLst>
            <a:ext uri="{FF2B5EF4-FFF2-40B4-BE49-F238E27FC236}">
              <a16:creationId xmlns:a16="http://schemas.microsoft.com/office/drawing/2014/main" id="{43E63BAF-78FF-49D4-8FDE-79FC57196DA0}"/>
            </a:ext>
          </a:extLst>
        </xdr:cNvPr>
        <xdr:cNvSpPr>
          <a:spLocks noChangeAspect="1"/>
        </xdr:cNvSpPr>
      </xdr:nvSpPr>
      <xdr:spPr bwMode="gray">
        <a:xfrm>
          <a:off x="3287713" y="8902700"/>
          <a:ext cx="239713" cy="252413"/>
        </a:xfrm>
        <a:custGeom>
          <a:avLst/>
          <a:gdLst>
            <a:gd name="T0" fmla="*/ 0 w 47"/>
            <a:gd name="T1" fmla="*/ 34 h 40"/>
            <a:gd name="T2" fmla="*/ 17 w 47"/>
            <a:gd name="T3" fmla="*/ 11 h 40"/>
            <a:gd name="T4" fmla="*/ 34 w 47"/>
            <a:gd name="T5" fmla="*/ 11 h 40"/>
            <a:gd name="T6" fmla="*/ 51 w 47"/>
            <a:gd name="T7" fmla="*/ 11 h 40"/>
            <a:gd name="T8" fmla="*/ 68 w 47"/>
            <a:gd name="T9" fmla="*/ 34 h 40"/>
            <a:gd name="T10" fmla="*/ 91 w 47"/>
            <a:gd name="T11" fmla="*/ 45 h 40"/>
            <a:gd name="T12" fmla="*/ 102 w 47"/>
            <a:gd name="T13" fmla="*/ 45 h 40"/>
            <a:gd name="T14" fmla="*/ 125 w 47"/>
            <a:gd name="T15" fmla="*/ 45 h 40"/>
            <a:gd name="T16" fmla="*/ 141 w 47"/>
            <a:gd name="T17" fmla="*/ 45 h 40"/>
            <a:gd name="T18" fmla="*/ 158 w 47"/>
            <a:gd name="T19" fmla="*/ 34 h 40"/>
            <a:gd name="T20" fmla="*/ 175 w 47"/>
            <a:gd name="T21" fmla="*/ 23 h 40"/>
            <a:gd name="T22" fmla="*/ 192 w 47"/>
            <a:gd name="T23" fmla="*/ 0 h 40"/>
            <a:gd name="T24" fmla="*/ 209 w 47"/>
            <a:gd name="T25" fmla="*/ 0 h 40"/>
            <a:gd name="T26" fmla="*/ 232 w 47"/>
            <a:gd name="T27" fmla="*/ 0 h 40"/>
            <a:gd name="T28" fmla="*/ 243 w 47"/>
            <a:gd name="T29" fmla="*/ 0 h 40"/>
            <a:gd name="T30" fmla="*/ 266 w 47"/>
            <a:gd name="T31" fmla="*/ 11 h 40"/>
            <a:gd name="T32" fmla="*/ 260 w 47"/>
            <a:gd name="T33" fmla="*/ 17 h 40"/>
            <a:gd name="T34" fmla="*/ 255 w 47"/>
            <a:gd name="T35" fmla="*/ 23 h 40"/>
            <a:gd name="T36" fmla="*/ 238 w 47"/>
            <a:gd name="T37" fmla="*/ 45 h 40"/>
            <a:gd name="T38" fmla="*/ 215 w 47"/>
            <a:gd name="T39" fmla="*/ 68 h 40"/>
            <a:gd name="T40" fmla="*/ 198 w 47"/>
            <a:gd name="T41" fmla="*/ 79 h 40"/>
            <a:gd name="T42" fmla="*/ 187 w 47"/>
            <a:gd name="T43" fmla="*/ 102 h 40"/>
            <a:gd name="T44" fmla="*/ 164 w 47"/>
            <a:gd name="T45" fmla="*/ 114 h 40"/>
            <a:gd name="T46" fmla="*/ 158 w 47"/>
            <a:gd name="T47" fmla="*/ 136 h 40"/>
            <a:gd name="T48" fmla="*/ 141 w 47"/>
            <a:gd name="T49" fmla="*/ 148 h 40"/>
            <a:gd name="T50" fmla="*/ 141 w 47"/>
            <a:gd name="T51" fmla="*/ 148 h 40"/>
            <a:gd name="T52" fmla="*/ 130 w 47"/>
            <a:gd name="T53" fmla="*/ 159 h 40"/>
            <a:gd name="T54" fmla="*/ 113 w 47"/>
            <a:gd name="T55" fmla="*/ 159 h 40"/>
            <a:gd name="T56" fmla="*/ 96 w 47"/>
            <a:gd name="T57" fmla="*/ 182 h 40"/>
            <a:gd name="T58" fmla="*/ 79 w 47"/>
            <a:gd name="T59" fmla="*/ 204 h 40"/>
            <a:gd name="T60" fmla="*/ 68 w 47"/>
            <a:gd name="T61" fmla="*/ 227 h 40"/>
            <a:gd name="T62" fmla="*/ 62 w 47"/>
            <a:gd name="T63" fmla="*/ 227 h 40"/>
            <a:gd name="T64" fmla="*/ 45 w 47"/>
            <a:gd name="T65" fmla="*/ 227 h 40"/>
            <a:gd name="T66" fmla="*/ 23 w 47"/>
            <a:gd name="T67" fmla="*/ 216 h 40"/>
            <a:gd name="T68" fmla="*/ 6 w 47"/>
            <a:gd name="T69" fmla="*/ 204 h 40"/>
            <a:gd name="T70" fmla="*/ 0 w 47"/>
            <a:gd name="T71" fmla="*/ 182 h 40"/>
            <a:gd name="T72" fmla="*/ 0 w 47"/>
            <a:gd name="T73" fmla="*/ 159 h 40"/>
            <a:gd name="T74" fmla="*/ 17 w 47"/>
            <a:gd name="T75" fmla="*/ 159 h 40"/>
            <a:gd name="T76" fmla="*/ 23 w 47"/>
            <a:gd name="T77" fmla="*/ 136 h 40"/>
            <a:gd name="T78" fmla="*/ 34 w 47"/>
            <a:gd name="T79" fmla="*/ 114 h 40"/>
            <a:gd name="T80" fmla="*/ 34 w 47"/>
            <a:gd name="T81" fmla="*/ 91 h 40"/>
            <a:gd name="T82" fmla="*/ 17 w 47"/>
            <a:gd name="T83" fmla="*/ 79 h 40"/>
            <a:gd name="T84" fmla="*/ 0 w 47"/>
            <a:gd name="T85" fmla="*/ 40 h 40"/>
            <a:gd name="T86" fmla="*/ 0 w 47"/>
            <a:gd name="T87" fmla="*/ 34 h 40"/>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47" h="40">
              <a:moveTo>
                <a:pt x="0" y="6"/>
              </a:moveTo>
              <a:lnTo>
                <a:pt x="3" y="2"/>
              </a:lnTo>
              <a:lnTo>
                <a:pt x="6" y="2"/>
              </a:lnTo>
              <a:lnTo>
                <a:pt x="9" y="2"/>
              </a:lnTo>
              <a:lnTo>
                <a:pt x="12" y="6"/>
              </a:lnTo>
              <a:lnTo>
                <a:pt x="16" y="8"/>
              </a:lnTo>
              <a:lnTo>
                <a:pt x="18" y="8"/>
              </a:lnTo>
              <a:lnTo>
                <a:pt x="22" y="8"/>
              </a:lnTo>
              <a:lnTo>
                <a:pt x="25" y="8"/>
              </a:lnTo>
              <a:lnTo>
                <a:pt x="28" y="6"/>
              </a:lnTo>
              <a:lnTo>
                <a:pt x="31" y="4"/>
              </a:lnTo>
              <a:lnTo>
                <a:pt x="34" y="0"/>
              </a:lnTo>
              <a:lnTo>
                <a:pt x="37" y="0"/>
              </a:lnTo>
              <a:lnTo>
                <a:pt x="41" y="0"/>
              </a:lnTo>
              <a:lnTo>
                <a:pt x="43" y="0"/>
              </a:lnTo>
              <a:lnTo>
                <a:pt x="47" y="2"/>
              </a:lnTo>
              <a:lnTo>
                <a:pt x="46" y="3"/>
              </a:lnTo>
              <a:lnTo>
                <a:pt x="45" y="4"/>
              </a:lnTo>
              <a:lnTo>
                <a:pt x="42" y="8"/>
              </a:lnTo>
              <a:lnTo>
                <a:pt x="38" y="12"/>
              </a:lnTo>
              <a:lnTo>
                <a:pt x="35" y="14"/>
              </a:lnTo>
              <a:lnTo>
                <a:pt x="33" y="18"/>
              </a:lnTo>
              <a:lnTo>
                <a:pt x="29" y="20"/>
              </a:lnTo>
              <a:lnTo>
                <a:pt x="28" y="24"/>
              </a:lnTo>
              <a:lnTo>
                <a:pt x="25" y="26"/>
              </a:lnTo>
              <a:lnTo>
                <a:pt x="23" y="28"/>
              </a:lnTo>
              <a:lnTo>
                <a:pt x="20" y="28"/>
              </a:lnTo>
              <a:lnTo>
                <a:pt x="17" y="32"/>
              </a:lnTo>
              <a:lnTo>
                <a:pt x="14" y="36"/>
              </a:lnTo>
              <a:lnTo>
                <a:pt x="12" y="40"/>
              </a:lnTo>
              <a:lnTo>
                <a:pt x="11" y="40"/>
              </a:lnTo>
              <a:lnTo>
                <a:pt x="8" y="40"/>
              </a:lnTo>
              <a:lnTo>
                <a:pt x="4" y="38"/>
              </a:lnTo>
              <a:lnTo>
                <a:pt x="1" y="36"/>
              </a:lnTo>
              <a:lnTo>
                <a:pt x="0" y="32"/>
              </a:lnTo>
              <a:lnTo>
                <a:pt x="0" y="28"/>
              </a:lnTo>
              <a:lnTo>
                <a:pt x="3" y="28"/>
              </a:lnTo>
              <a:lnTo>
                <a:pt x="4" y="24"/>
              </a:lnTo>
              <a:lnTo>
                <a:pt x="6" y="20"/>
              </a:lnTo>
              <a:lnTo>
                <a:pt x="6" y="16"/>
              </a:lnTo>
              <a:lnTo>
                <a:pt x="3" y="14"/>
              </a:lnTo>
              <a:lnTo>
                <a:pt x="0" y="7"/>
              </a:lnTo>
              <a:lnTo>
                <a:pt x="0" y="6"/>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633413</xdr:colOff>
      <xdr:row>49</xdr:row>
      <xdr:rowOff>109538</xdr:rowOff>
    </xdr:from>
    <xdr:to>
      <xdr:col>3</xdr:col>
      <xdr:colOff>6351</xdr:colOff>
      <xdr:row>55</xdr:row>
      <xdr:rowOff>120650</xdr:rowOff>
    </xdr:to>
    <xdr:sp macro="" textlink="">
      <xdr:nvSpPr>
        <xdr:cNvPr id="22" name="Freeform 92">
          <a:extLst>
            <a:ext uri="{FF2B5EF4-FFF2-40B4-BE49-F238E27FC236}">
              <a16:creationId xmlns:a16="http://schemas.microsoft.com/office/drawing/2014/main" id="{D750E592-E02F-42B8-9069-C28399F56F0A}"/>
            </a:ext>
          </a:extLst>
        </xdr:cNvPr>
        <xdr:cNvSpPr>
          <a:spLocks noChangeAspect="1"/>
        </xdr:cNvSpPr>
      </xdr:nvSpPr>
      <xdr:spPr bwMode="gray">
        <a:xfrm>
          <a:off x="2805113" y="8853488"/>
          <a:ext cx="487363" cy="982662"/>
        </a:xfrm>
        <a:custGeom>
          <a:avLst/>
          <a:gdLst>
            <a:gd name="T0" fmla="*/ 460 w 136"/>
            <a:gd name="T1" fmla="*/ 778 h 156"/>
            <a:gd name="T2" fmla="*/ 488 w 136"/>
            <a:gd name="T3" fmla="*/ 733 h 156"/>
            <a:gd name="T4" fmla="*/ 517 w 136"/>
            <a:gd name="T5" fmla="*/ 659 h 156"/>
            <a:gd name="T6" fmla="*/ 460 w 136"/>
            <a:gd name="T7" fmla="*/ 636 h 156"/>
            <a:gd name="T8" fmla="*/ 392 w 136"/>
            <a:gd name="T9" fmla="*/ 625 h 156"/>
            <a:gd name="T10" fmla="*/ 335 w 136"/>
            <a:gd name="T11" fmla="*/ 579 h 156"/>
            <a:gd name="T12" fmla="*/ 278 w 136"/>
            <a:gd name="T13" fmla="*/ 528 h 156"/>
            <a:gd name="T14" fmla="*/ 227 w 136"/>
            <a:gd name="T15" fmla="*/ 540 h 156"/>
            <a:gd name="T16" fmla="*/ 170 w 136"/>
            <a:gd name="T17" fmla="*/ 494 h 156"/>
            <a:gd name="T18" fmla="*/ 108 w 136"/>
            <a:gd name="T19" fmla="*/ 517 h 156"/>
            <a:gd name="T20" fmla="*/ 51 w 136"/>
            <a:gd name="T21" fmla="*/ 579 h 156"/>
            <a:gd name="T22" fmla="*/ 11 w 136"/>
            <a:gd name="T23" fmla="*/ 568 h 156"/>
            <a:gd name="T24" fmla="*/ 40 w 136"/>
            <a:gd name="T25" fmla="*/ 517 h 156"/>
            <a:gd name="T26" fmla="*/ 6 w 136"/>
            <a:gd name="T27" fmla="*/ 471 h 156"/>
            <a:gd name="T28" fmla="*/ 23 w 136"/>
            <a:gd name="T29" fmla="*/ 415 h 156"/>
            <a:gd name="T30" fmla="*/ 11 w 136"/>
            <a:gd name="T31" fmla="*/ 341 h 156"/>
            <a:gd name="T32" fmla="*/ 6 w 136"/>
            <a:gd name="T33" fmla="*/ 284 h 156"/>
            <a:gd name="T34" fmla="*/ 11 w 136"/>
            <a:gd name="T35" fmla="*/ 244 h 156"/>
            <a:gd name="T36" fmla="*/ 6 w 136"/>
            <a:gd name="T37" fmla="*/ 199 h 156"/>
            <a:gd name="T38" fmla="*/ 40 w 136"/>
            <a:gd name="T39" fmla="*/ 142 h 156"/>
            <a:gd name="T40" fmla="*/ 85 w 136"/>
            <a:gd name="T41" fmla="*/ 165 h 156"/>
            <a:gd name="T42" fmla="*/ 136 w 136"/>
            <a:gd name="T43" fmla="*/ 187 h 156"/>
            <a:gd name="T44" fmla="*/ 187 w 136"/>
            <a:gd name="T45" fmla="*/ 153 h 156"/>
            <a:gd name="T46" fmla="*/ 227 w 136"/>
            <a:gd name="T47" fmla="*/ 108 h 156"/>
            <a:gd name="T48" fmla="*/ 244 w 136"/>
            <a:gd name="T49" fmla="*/ 62 h 156"/>
            <a:gd name="T50" fmla="*/ 295 w 136"/>
            <a:gd name="T51" fmla="*/ 62 h 156"/>
            <a:gd name="T52" fmla="*/ 346 w 136"/>
            <a:gd name="T53" fmla="*/ 62 h 156"/>
            <a:gd name="T54" fmla="*/ 409 w 136"/>
            <a:gd name="T55" fmla="*/ 23 h 156"/>
            <a:gd name="T56" fmla="*/ 437 w 136"/>
            <a:gd name="T57" fmla="*/ 0 h 156"/>
            <a:gd name="T58" fmla="*/ 483 w 136"/>
            <a:gd name="T59" fmla="*/ 40 h 156"/>
            <a:gd name="T60" fmla="*/ 517 w 136"/>
            <a:gd name="T61" fmla="*/ 85 h 156"/>
            <a:gd name="T62" fmla="*/ 568 w 136"/>
            <a:gd name="T63" fmla="*/ 23 h 156"/>
            <a:gd name="T64" fmla="*/ 630 w 136"/>
            <a:gd name="T65" fmla="*/ 11 h 156"/>
            <a:gd name="T66" fmla="*/ 681 w 136"/>
            <a:gd name="T67" fmla="*/ 40 h 156"/>
            <a:gd name="T68" fmla="*/ 698 w 136"/>
            <a:gd name="T69" fmla="*/ 74 h 156"/>
            <a:gd name="T70" fmla="*/ 738 w 136"/>
            <a:gd name="T71" fmla="*/ 153 h 156"/>
            <a:gd name="T72" fmla="*/ 698 w 136"/>
            <a:gd name="T73" fmla="*/ 199 h 156"/>
            <a:gd name="T74" fmla="*/ 727 w 136"/>
            <a:gd name="T75" fmla="*/ 261 h 156"/>
            <a:gd name="T76" fmla="*/ 772 w 136"/>
            <a:gd name="T77" fmla="*/ 273 h 156"/>
            <a:gd name="T78" fmla="*/ 744 w 136"/>
            <a:gd name="T79" fmla="*/ 307 h 156"/>
            <a:gd name="T80" fmla="*/ 710 w 136"/>
            <a:gd name="T81" fmla="*/ 363 h 156"/>
            <a:gd name="T82" fmla="*/ 676 w 136"/>
            <a:gd name="T83" fmla="*/ 363 h 156"/>
            <a:gd name="T84" fmla="*/ 647 w 136"/>
            <a:gd name="T85" fmla="*/ 403 h 156"/>
            <a:gd name="T86" fmla="*/ 619 w 136"/>
            <a:gd name="T87" fmla="*/ 471 h 156"/>
            <a:gd name="T88" fmla="*/ 613 w 136"/>
            <a:gd name="T89" fmla="*/ 557 h 156"/>
            <a:gd name="T90" fmla="*/ 613 w 136"/>
            <a:gd name="T91" fmla="*/ 636 h 156"/>
            <a:gd name="T92" fmla="*/ 602 w 136"/>
            <a:gd name="T93" fmla="*/ 710 h 156"/>
            <a:gd name="T94" fmla="*/ 585 w 136"/>
            <a:gd name="T95" fmla="*/ 767 h 156"/>
            <a:gd name="T96" fmla="*/ 568 w 136"/>
            <a:gd name="T97" fmla="*/ 841 h 156"/>
            <a:gd name="T98" fmla="*/ 539 w 136"/>
            <a:gd name="T99" fmla="*/ 886 h 156"/>
            <a:gd name="T100" fmla="*/ 505 w 136"/>
            <a:gd name="T101" fmla="*/ 841 h 15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6" h="156">
              <a:moveTo>
                <a:pt x="86" y="145"/>
              </a:moveTo>
              <a:lnTo>
                <a:pt x="85" y="142"/>
              </a:lnTo>
              <a:lnTo>
                <a:pt x="81" y="137"/>
              </a:lnTo>
              <a:lnTo>
                <a:pt x="81" y="133"/>
              </a:lnTo>
              <a:lnTo>
                <a:pt x="83" y="129"/>
              </a:lnTo>
              <a:lnTo>
                <a:pt x="86" y="129"/>
              </a:lnTo>
              <a:lnTo>
                <a:pt x="89" y="125"/>
              </a:lnTo>
              <a:lnTo>
                <a:pt x="92" y="120"/>
              </a:lnTo>
              <a:lnTo>
                <a:pt x="91" y="116"/>
              </a:lnTo>
              <a:lnTo>
                <a:pt x="87" y="114"/>
              </a:lnTo>
              <a:lnTo>
                <a:pt x="83" y="116"/>
              </a:lnTo>
              <a:lnTo>
                <a:pt x="81" y="112"/>
              </a:lnTo>
              <a:lnTo>
                <a:pt x="77" y="114"/>
              </a:lnTo>
              <a:lnTo>
                <a:pt x="74" y="112"/>
              </a:lnTo>
              <a:lnTo>
                <a:pt x="69" y="110"/>
              </a:lnTo>
              <a:lnTo>
                <a:pt x="67" y="106"/>
              </a:lnTo>
              <a:lnTo>
                <a:pt x="63" y="104"/>
              </a:lnTo>
              <a:lnTo>
                <a:pt x="59" y="102"/>
              </a:lnTo>
              <a:lnTo>
                <a:pt x="57" y="102"/>
              </a:lnTo>
              <a:lnTo>
                <a:pt x="52" y="98"/>
              </a:lnTo>
              <a:lnTo>
                <a:pt x="49" y="93"/>
              </a:lnTo>
              <a:lnTo>
                <a:pt x="46" y="93"/>
              </a:lnTo>
              <a:lnTo>
                <a:pt x="43" y="95"/>
              </a:lnTo>
              <a:lnTo>
                <a:pt x="40" y="95"/>
              </a:lnTo>
              <a:lnTo>
                <a:pt x="33" y="93"/>
              </a:lnTo>
              <a:lnTo>
                <a:pt x="33" y="89"/>
              </a:lnTo>
              <a:lnTo>
                <a:pt x="30" y="87"/>
              </a:lnTo>
              <a:lnTo>
                <a:pt x="25" y="87"/>
              </a:lnTo>
              <a:lnTo>
                <a:pt x="23" y="89"/>
              </a:lnTo>
              <a:lnTo>
                <a:pt x="19" y="91"/>
              </a:lnTo>
              <a:lnTo>
                <a:pt x="16" y="95"/>
              </a:lnTo>
              <a:lnTo>
                <a:pt x="13" y="98"/>
              </a:lnTo>
              <a:lnTo>
                <a:pt x="9" y="102"/>
              </a:lnTo>
              <a:lnTo>
                <a:pt x="7" y="102"/>
              </a:lnTo>
              <a:lnTo>
                <a:pt x="4" y="104"/>
              </a:lnTo>
              <a:lnTo>
                <a:pt x="2" y="100"/>
              </a:lnTo>
              <a:lnTo>
                <a:pt x="2" y="98"/>
              </a:lnTo>
              <a:lnTo>
                <a:pt x="5" y="95"/>
              </a:lnTo>
              <a:lnTo>
                <a:pt x="7" y="91"/>
              </a:lnTo>
              <a:lnTo>
                <a:pt x="7" y="87"/>
              </a:lnTo>
              <a:lnTo>
                <a:pt x="4" y="85"/>
              </a:lnTo>
              <a:lnTo>
                <a:pt x="1" y="83"/>
              </a:lnTo>
              <a:lnTo>
                <a:pt x="1" y="79"/>
              </a:lnTo>
              <a:lnTo>
                <a:pt x="1" y="74"/>
              </a:lnTo>
              <a:lnTo>
                <a:pt x="4" y="73"/>
              </a:lnTo>
              <a:lnTo>
                <a:pt x="4" y="69"/>
              </a:lnTo>
              <a:lnTo>
                <a:pt x="4" y="64"/>
              </a:lnTo>
              <a:lnTo>
                <a:pt x="2" y="60"/>
              </a:lnTo>
              <a:lnTo>
                <a:pt x="0" y="58"/>
              </a:lnTo>
              <a:lnTo>
                <a:pt x="2" y="54"/>
              </a:lnTo>
              <a:lnTo>
                <a:pt x="1" y="50"/>
              </a:lnTo>
              <a:lnTo>
                <a:pt x="4" y="48"/>
              </a:lnTo>
              <a:lnTo>
                <a:pt x="5" y="43"/>
              </a:lnTo>
              <a:lnTo>
                <a:pt x="2" y="43"/>
              </a:lnTo>
              <a:lnTo>
                <a:pt x="0" y="43"/>
              </a:lnTo>
              <a:lnTo>
                <a:pt x="0" y="40"/>
              </a:lnTo>
              <a:lnTo>
                <a:pt x="1" y="35"/>
              </a:lnTo>
              <a:lnTo>
                <a:pt x="2" y="31"/>
              </a:lnTo>
              <a:lnTo>
                <a:pt x="5" y="29"/>
              </a:lnTo>
              <a:lnTo>
                <a:pt x="7" y="25"/>
              </a:lnTo>
              <a:lnTo>
                <a:pt x="9" y="25"/>
              </a:lnTo>
              <a:lnTo>
                <a:pt x="12" y="27"/>
              </a:lnTo>
              <a:lnTo>
                <a:pt x="15" y="29"/>
              </a:lnTo>
              <a:lnTo>
                <a:pt x="18" y="31"/>
              </a:lnTo>
              <a:lnTo>
                <a:pt x="21" y="33"/>
              </a:lnTo>
              <a:lnTo>
                <a:pt x="24" y="33"/>
              </a:lnTo>
              <a:lnTo>
                <a:pt x="27" y="31"/>
              </a:lnTo>
              <a:lnTo>
                <a:pt x="30" y="27"/>
              </a:lnTo>
              <a:lnTo>
                <a:pt x="33" y="27"/>
              </a:lnTo>
              <a:lnTo>
                <a:pt x="38" y="27"/>
              </a:lnTo>
              <a:lnTo>
                <a:pt x="40" y="23"/>
              </a:lnTo>
              <a:lnTo>
                <a:pt x="40" y="19"/>
              </a:lnTo>
              <a:lnTo>
                <a:pt x="38" y="15"/>
              </a:lnTo>
              <a:lnTo>
                <a:pt x="40" y="11"/>
              </a:lnTo>
              <a:lnTo>
                <a:pt x="43" y="11"/>
              </a:lnTo>
              <a:lnTo>
                <a:pt x="46" y="11"/>
              </a:lnTo>
              <a:lnTo>
                <a:pt x="49" y="11"/>
              </a:lnTo>
              <a:lnTo>
                <a:pt x="52" y="11"/>
              </a:lnTo>
              <a:lnTo>
                <a:pt x="55" y="12"/>
              </a:lnTo>
              <a:lnTo>
                <a:pt x="58" y="12"/>
              </a:lnTo>
              <a:lnTo>
                <a:pt x="61" y="11"/>
              </a:lnTo>
              <a:lnTo>
                <a:pt x="65" y="7"/>
              </a:lnTo>
              <a:lnTo>
                <a:pt x="69" y="7"/>
              </a:lnTo>
              <a:lnTo>
                <a:pt x="72" y="4"/>
              </a:lnTo>
              <a:lnTo>
                <a:pt x="75" y="2"/>
              </a:lnTo>
              <a:lnTo>
                <a:pt x="77" y="0"/>
              </a:lnTo>
              <a:lnTo>
                <a:pt x="80" y="0"/>
              </a:lnTo>
              <a:lnTo>
                <a:pt x="81" y="4"/>
              </a:lnTo>
              <a:lnTo>
                <a:pt x="85" y="7"/>
              </a:lnTo>
              <a:lnTo>
                <a:pt x="85" y="11"/>
              </a:lnTo>
              <a:lnTo>
                <a:pt x="86" y="15"/>
              </a:lnTo>
              <a:lnTo>
                <a:pt x="91" y="15"/>
              </a:lnTo>
              <a:lnTo>
                <a:pt x="94" y="11"/>
              </a:lnTo>
              <a:lnTo>
                <a:pt x="98" y="8"/>
              </a:lnTo>
              <a:lnTo>
                <a:pt x="100" y="4"/>
              </a:lnTo>
              <a:lnTo>
                <a:pt x="103" y="2"/>
              </a:lnTo>
              <a:lnTo>
                <a:pt x="108" y="0"/>
              </a:lnTo>
              <a:lnTo>
                <a:pt x="111" y="2"/>
              </a:lnTo>
              <a:lnTo>
                <a:pt x="114" y="4"/>
              </a:lnTo>
              <a:lnTo>
                <a:pt x="117" y="4"/>
              </a:lnTo>
              <a:lnTo>
                <a:pt x="120" y="7"/>
              </a:lnTo>
              <a:lnTo>
                <a:pt x="122" y="11"/>
              </a:lnTo>
              <a:lnTo>
                <a:pt x="124" y="12"/>
              </a:lnTo>
              <a:lnTo>
                <a:pt x="123" y="13"/>
              </a:lnTo>
              <a:lnTo>
                <a:pt x="126" y="21"/>
              </a:lnTo>
              <a:lnTo>
                <a:pt x="130" y="23"/>
              </a:lnTo>
              <a:lnTo>
                <a:pt x="130" y="27"/>
              </a:lnTo>
              <a:lnTo>
                <a:pt x="128" y="31"/>
              </a:lnTo>
              <a:lnTo>
                <a:pt x="126" y="35"/>
              </a:lnTo>
              <a:lnTo>
                <a:pt x="123" y="35"/>
              </a:lnTo>
              <a:lnTo>
                <a:pt x="123" y="40"/>
              </a:lnTo>
              <a:lnTo>
                <a:pt x="125" y="44"/>
              </a:lnTo>
              <a:lnTo>
                <a:pt x="128" y="46"/>
              </a:lnTo>
              <a:lnTo>
                <a:pt x="131" y="48"/>
              </a:lnTo>
              <a:lnTo>
                <a:pt x="134" y="48"/>
              </a:lnTo>
              <a:lnTo>
                <a:pt x="136" y="48"/>
              </a:lnTo>
              <a:lnTo>
                <a:pt x="134" y="52"/>
              </a:lnTo>
              <a:lnTo>
                <a:pt x="131" y="54"/>
              </a:lnTo>
              <a:lnTo>
                <a:pt x="128" y="56"/>
              </a:lnTo>
              <a:lnTo>
                <a:pt x="126" y="60"/>
              </a:lnTo>
              <a:lnTo>
                <a:pt x="125" y="64"/>
              </a:lnTo>
              <a:lnTo>
                <a:pt x="123" y="69"/>
              </a:lnTo>
              <a:lnTo>
                <a:pt x="120" y="69"/>
              </a:lnTo>
              <a:lnTo>
                <a:pt x="119" y="64"/>
              </a:lnTo>
              <a:lnTo>
                <a:pt x="115" y="64"/>
              </a:lnTo>
              <a:lnTo>
                <a:pt x="114" y="69"/>
              </a:lnTo>
              <a:lnTo>
                <a:pt x="114" y="71"/>
              </a:lnTo>
              <a:lnTo>
                <a:pt x="113" y="75"/>
              </a:lnTo>
              <a:lnTo>
                <a:pt x="109" y="79"/>
              </a:lnTo>
              <a:lnTo>
                <a:pt x="109" y="83"/>
              </a:lnTo>
              <a:lnTo>
                <a:pt x="109" y="87"/>
              </a:lnTo>
              <a:lnTo>
                <a:pt x="108" y="93"/>
              </a:lnTo>
              <a:lnTo>
                <a:pt x="108" y="98"/>
              </a:lnTo>
              <a:lnTo>
                <a:pt x="106" y="104"/>
              </a:lnTo>
              <a:lnTo>
                <a:pt x="106" y="108"/>
              </a:lnTo>
              <a:lnTo>
                <a:pt x="108" y="112"/>
              </a:lnTo>
              <a:lnTo>
                <a:pt x="108" y="116"/>
              </a:lnTo>
              <a:lnTo>
                <a:pt x="106" y="120"/>
              </a:lnTo>
              <a:lnTo>
                <a:pt x="106" y="125"/>
              </a:lnTo>
              <a:lnTo>
                <a:pt x="105" y="127"/>
              </a:lnTo>
              <a:lnTo>
                <a:pt x="103" y="131"/>
              </a:lnTo>
              <a:lnTo>
                <a:pt x="103" y="135"/>
              </a:lnTo>
              <a:lnTo>
                <a:pt x="103" y="139"/>
              </a:lnTo>
              <a:lnTo>
                <a:pt x="102" y="143"/>
              </a:lnTo>
              <a:lnTo>
                <a:pt x="100" y="148"/>
              </a:lnTo>
              <a:lnTo>
                <a:pt x="99" y="152"/>
              </a:lnTo>
              <a:lnTo>
                <a:pt x="95" y="154"/>
              </a:lnTo>
              <a:lnTo>
                <a:pt x="95" y="156"/>
              </a:lnTo>
              <a:lnTo>
                <a:pt x="94" y="156"/>
              </a:lnTo>
              <a:lnTo>
                <a:pt x="91" y="152"/>
              </a:lnTo>
              <a:lnTo>
                <a:pt x="89" y="148"/>
              </a:lnTo>
              <a:lnTo>
                <a:pt x="87" y="148"/>
              </a:lnTo>
              <a:lnTo>
                <a:pt x="86" y="145"/>
              </a:lnTo>
              <a:close/>
            </a:path>
          </a:pathLst>
        </a:custGeom>
        <a:solidFill>
          <a:srgbClr val="0000BF"/>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endParaRPr lang="en-US" sz="1055">
            <a:solidFill>
              <a:prstClr val="black"/>
            </a:solidFill>
            <a:latin typeface="Calibri" panose="020F0502020204030204"/>
          </a:endParaRPr>
        </a:p>
      </xdr:txBody>
    </xdr:sp>
    <xdr:clientData/>
  </xdr:twoCellAnchor>
  <xdr:twoCellAnchor>
    <xdr:from>
      <xdr:col>2</xdr:col>
      <xdr:colOff>1044576</xdr:colOff>
      <xdr:row>55</xdr:row>
      <xdr:rowOff>69850</xdr:rowOff>
    </xdr:from>
    <xdr:to>
      <xdr:col>2</xdr:col>
      <xdr:colOff>1273176</xdr:colOff>
      <xdr:row>57</xdr:row>
      <xdr:rowOff>73025</xdr:rowOff>
    </xdr:to>
    <xdr:sp macro="" textlink="">
      <xdr:nvSpPr>
        <xdr:cNvPr id="23" name="Freeform 93">
          <a:extLst>
            <a:ext uri="{FF2B5EF4-FFF2-40B4-BE49-F238E27FC236}">
              <a16:creationId xmlns:a16="http://schemas.microsoft.com/office/drawing/2014/main" id="{7FFC98FB-0EE1-4BFC-8D6B-623D77B9A21D}"/>
            </a:ext>
          </a:extLst>
        </xdr:cNvPr>
        <xdr:cNvSpPr>
          <a:spLocks noChangeAspect="1"/>
        </xdr:cNvSpPr>
      </xdr:nvSpPr>
      <xdr:spPr bwMode="gray">
        <a:xfrm>
          <a:off x="3216276" y="9785350"/>
          <a:ext cx="66675" cy="327025"/>
        </a:xfrm>
        <a:custGeom>
          <a:avLst/>
          <a:gdLst>
            <a:gd name="T0" fmla="*/ 85 w 34"/>
            <a:gd name="T1" fmla="*/ 284 h 52"/>
            <a:gd name="T2" fmla="*/ 114 w 34"/>
            <a:gd name="T3" fmla="*/ 267 h 52"/>
            <a:gd name="T4" fmla="*/ 125 w 34"/>
            <a:gd name="T5" fmla="*/ 244 h 52"/>
            <a:gd name="T6" fmla="*/ 125 w 34"/>
            <a:gd name="T7" fmla="*/ 221 h 52"/>
            <a:gd name="T8" fmla="*/ 136 w 34"/>
            <a:gd name="T9" fmla="*/ 199 h 52"/>
            <a:gd name="T10" fmla="*/ 159 w 34"/>
            <a:gd name="T11" fmla="*/ 176 h 52"/>
            <a:gd name="T12" fmla="*/ 176 w 34"/>
            <a:gd name="T13" fmla="*/ 165 h 52"/>
            <a:gd name="T14" fmla="*/ 193 w 34"/>
            <a:gd name="T15" fmla="*/ 142 h 52"/>
            <a:gd name="T16" fmla="*/ 182 w 34"/>
            <a:gd name="T17" fmla="*/ 113 h 52"/>
            <a:gd name="T18" fmla="*/ 182 w 34"/>
            <a:gd name="T19" fmla="*/ 96 h 52"/>
            <a:gd name="T20" fmla="*/ 182 w 34"/>
            <a:gd name="T21" fmla="*/ 68 h 52"/>
            <a:gd name="T22" fmla="*/ 193 w 34"/>
            <a:gd name="T23" fmla="*/ 45 h 52"/>
            <a:gd name="T24" fmla="*/ 193 w 34"/>
            <a:gd name="T25" fmla="*/ 45 h 52"/>
            <a:gd name="T26" fmla="*/ 176 w 34"/>
            <a:gd name="T27" fmla="*/ 23 h 52"/>
            <a:gd name="T28" fmla="*/ 165 w 34"/>
            <a:gd name="T29" fmla="*/ 0 h 52"/>
            <a:gd name="T30" fmla="*/ 153 w 34"/>
            <a:gd name="T31" fmla="*/ 0 h 52"/>
            <a:gd name="T32" fmla="*/ 159 w 34"/>
            <a:gd name="T33" fmla="*/ 0 h 52"/>
            <a:gd name="T34" fmla="*/ 136 w 34"/>
            <a:gd name="T35" fmla="*/ 0 h 52"/>
            <a:gd name="T36" fmla="*/ 119 w 34"/>
            <a:gd name="T37" fmla="*/ 0 h 52"/>
            <a:gd name="T38" fmla="*/ 102 w 34"/>
            <a:gd name="T39" fmla="*/ 6 h 52"/>
            <a:gd name="T40" fmla="*/ 91 w 34"/>
            <a:gd name="T41" fmla="*/ 34 h 52"/>
            <a:gd name="T42" fmla="*/ 91 w 34"/>
            <a:gd name="T43" fmla="*/ 51 h 52"/>
            <a:gd name="T44" fmla="*/ 91 w 34"/>
            <a:gd name="T45" fmla="*/ 79 h 52"/>
            <a:gd name="T46" fmla="*/ 91 w 34"/>
            <a:gd name="T47" fmla="*/ 102 h 52"/>
            <a:gd name="T48" fmla="*/ 91 w 34"/>
            <a:gd name="T49" fmla="*/ 130 h 52"/>
            <a:gd name="T50" fmla="*/ 85 w 34"/>
            <a:gd name="T51" fmla="*/ 148 h 52"/>
            <a:gd name="T52" fmla="*/ 68 w 34"/>
            <a:gd name="T53" fmla="*/ 165 h 52"/>
            <a:gd name="T54" fmla="*/ 57 w 34"/>
            <a:gd name="T55" fmla="*/ 187 h 52"/>
            <a:gd name="T56" fmla="*/ 40 w 34"/>
            <a:gd name="T57" fmla="*/ 210 h 52"/>
            <a:gd name="T58" fmla="*/ 17 w 34"/>
            <a:gd name="T59" fmla="*/ 199 h 52"/>
            <a:gd name="T60" fmla="*/ 0 w 34"/>
            <a:gd name="T61" fmla="*/ 221 h 52"/>
            <a:gd name="T62" fmla="*/ 0 w 34"/>
            <a:gd name="T63" fmla="*/ 244 h 52"/>
            <a:gd name="T64" fmla="*/ 0 w 34"/>
            <a:gd name="T65" fmla="*/ 261 h 52"/>
            <a:gd name="T66" fmla="*/ 11 w 34"/>
            <a:gd name="T67" fmla="*/ 284 h 52"/>
            <a:gd name="T68" fmla="*/ 40 w 34"/>
            <a:gd name="T69" fmla="*/ 295 h 52"/>
            <a:gd name="T70" fmla="*/ 57 w 34"/>
            <a:gd name="T71" fmla="*/ 295 h 52"/>
            <a:gd name="T72" fmla="*/ 68 w 34"/>
            <a:gd name="T73" fmla="*/ 295 h 52"/>
            <a:gd name="T74" fmla="*/ 74 w 34"/>
            <a:gd name="T75" fmla="*/ 295 h 52"/>
            <a:gd name="T76" fmla="*/ 85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5" y="50"/>
              </a:moveTo>
              <a:lnTo>
                <a:pt x="20" y="47"/>
              </a:lnTo>
              <a:lnTo>
                <a:pt x="22" y="43"/>
              </a:lnTo>
              <a:lnTo>
                <a:pt x="22" y="39"/>
              </a:lnTo>
              <a:lnTo>
                <a:pt x="24" y="35"/>
              </a:lnTo>
              <a:lnTo>
                <a:pt x="28" y="31"/>
              </a:lnTo>
              <a:lnTo>
                <a:pt x="31" y="29"/>
              </a:lnTo>
              <a:lnTo>
                <a:pt x="34" y="25"/>
              </a:lnTo>
              <a:lnTo>
                <a:pt x="32" y="20"/>
              </a:lnTo>
              <a:lnTo>
                <a:pt x="32" y="17"/>
              </a:lnTo>
              <a:lnTo>
                <a:pt x="32" y="12"/>
              </a:lnTo>
              <a:lnTo>
                <a:pt x="34" y="8"/>
              </a:lnTo>
              <a:lnTo>
                <a:pt x="31" y="4"/>
              </a:lnTo>
              <a:lnTo>
                <a:pt x="29" y="0"/>
              </a:lnTo>
              <a:lnTo>
                <a:pt x="27" y="0"/>
              </a:lnTo>
              <a:lnTo>
                <a:pt x="28" y="0"/>
              </a:lnTo>
              <a:lnTo>
                <a:pt x="24" y="0"/>
              </a:lnTo>
              <a:lnTo>
                <a:pt x="21" y="0"/>
              </a:lnTo>
              <a:lnTo>
                <a:pt x="18" y="1"/>
              </a:lnTo>
              <a:lnTo>
                <a:pt x="16" y="6"/>
              </a:lnTo>
              <a:lnTo>
                <a:pt x="16" y="9"/>
              </a:lnTo>
              <a:lnTo>
                <a:pt x="16" y="14"/>
              </a:lnTo>
              <a:lnTo>
                <a:pt x="16" y="18"/>
              </a:lnTo>
              <a:lnTo>
                <a:pt x="16" y="23"/>
              </a:lnTo>
              <a:lnTo>
                <a:pt x="15" y="26"/>
              </a:lnTo>
              <a:lnTo>
                <a:pt x="12" y="29"/>
              </a:lnTo>
              <a:lnTo>
                <a:pt x="10" y="33"/>
              </a:lnTo>
              <a:lnTo>
                <a:pt x="7" y="37"/>
              </a:lnTo>
              <a:lnTo>
                <a:pt x="3" y="35"/>
              </a:lnTo>
              <a:lnTo>
                <a:pt x="0" y="39"/>
              </a:lnTo>
              <a:lnTo>
                <a:pt x="0" y="43"/>
              </a:lnTo>
              <a:lnTo>
                <a:pt x="0" y="46"/>
              </a:lnTo>
              <a:lnTo>
                <a:pt x="2" y="50"/>
              </a:lnTo>
              <a:lnTo>
                <a:pt x="7" y="52"/>
              </a:lnTo>
              <a:lnTo>
                <a:pt x="10" y="52"/>
              </a:lnTo>
              <a:lnTo>
                <a:pt x="12" y="52"/>
              </a:lnTo>
              <a:lnTo>
                <a:pt x="13" y="52"/>
              </a:lnTo>
              <a:lnTo>
                <a:pt x="15" y="50"/>
              </a:lnTo>
              <a:close/>
            </a:path>
          </a:pathLst>
        </a:custGeom>
        <a:solidFill>
          <a:srgbClr val="C0C0C0"/>
        </a:solidFill>
        <a:ln w="9525">
          <a:solidFill>
            <a:srgbClr val="969696"/>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754063</xdr:colOff>
      <xdr:row>57</xdr:row>
      <xdr:rowOff>28575</xdr:rowOff>
    </xdr:from>
    <xdr:to>
      <xdr:col>2</xdr:col>
      <xdr:colOff>1131888</xdr:colOff>
      <xdr:row>58</xdr:row>
      <xdr:rowOff>74613</xdr:rowOff>
    </xdr:to>
    <xdr:sp macro="" textlink="">
      <xdr:nvSpPr>
        <xdr:cNvPr id="24" name="Freeform 94">
          <a:extLst>
            <a:ext uri="{FF2B5EF4-FFF2-40B4-BE49-F238E27FC236}">
              <a16:creationId xmlns:a16="http://schemas.microsoft.com/office/drawing/2014/main" id="{2888EE1B-4CC5-42C8-B6EF-C5CDEB8882A9}"/>
            </a:ext>
          </a:extLst>
        </xdr:cNvPr>
        <xdr:cNvSpPr>
          <a:spLocks noChangeAspect="1"/>
        </xdr:cNvSpPr>
      </xdr:nvSpPr>
      <xdr:spPr bwMode="gray">
        <a:xfrm>
          <a:off x="2925763" y="10067925"/>
          <a:ext cx="358775" cy="207963"/>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ADCFE3"/>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906463</xdr:colOff>
      <xdr:row>58</xdr:row>
      <xdr:rowOff>19050</xdr:rowOff>
    </xdr:from>
    <xdr:to>
      <xdr:col>2</xdr:col>
      <xdr:colOff>1284288</xdr:colOff>
      <xdr:row>59</xdr:row>
      <xdr:rowOff>65088</xdr:rowOff>
    </xdr:to>
    <xdr:sp macro="" textlink="">
      <xdr:nvSpPr>
        <xdr:cNvPr id="25" name="Freeform 95">
          <a:extLst>
            <a:ext uri="{FF2B5EF4-FFF2-40B4-BE49-F238E27FC236}">
              <a16:creationId xmlns:a16="http://schemas.microsoft.com/office/drawing/2014/main" id="{850BD997-0994-4D6B-9EB5-36A0439F9288}"/>
            </a:ext>
          </a:extLst>
        </xdr:cNvPr>
        <xdr:cNvSpPr>
          <a:spLocks noChangeAspect="1"/>
        </xdr:cNvSpPr>
      </xdr:nvSpPr>
      <xdr:spPr bwMode="gray">
        <a:xfrm>
          <a:off x="3078163" y="10220325"/>
          <a:ext cx="206375" cy="207963"/>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155576</xdr:colOff>
      <xdr:row>53</xdr:row>
      <xdr:rowOff>9525</xdr:rowOff>
    </xdr:from>
    <xdr:to>
      <xdr:col>2</xdr:col>
      <xdr:colOff>1260476</xdr:colOff>
      <xdr:row>58</xdr:row>
      <xdr:rowOff>49213</xdr:rowOff>
    </xdr:to>
    <xdr:sp macro="" textlink="">
      <xdr:nvSpPr>
        <xdr:cNvPr id="26" name="Freeform 96">
          <a:extLst>
            <a:ext uri="{FF2B5EF4-FFF2-40B4-BE49-F238E27FC236}">
              <a16:creationId xmlns:a16="http://schemas.microsoft.com/office/drawing/2014/main" id="{C4819D39-B06E-4009-983D-3C495898944A}"/>
            </a:ext>
          </a:extLst>
        </xdr:cNvPr>
        <xdr:cNvSpPr>
          <a:spLocks noChangeAspect="1"/>
        </xdr:cNvSpPr>
      </xdr:nvSpPr>
      <xdr:spPr bwMode="gray">
        <a:xfrm>
          <a:off x="2327276" y="9401175"/>
          <a:ext cx="962025" cy="849313"/>
        </a:xfrm>
        <a:custGeom>
          <a:avLst/>
          <a:gdLst>
            <a:gd name="T0" fmla="*/ 863 w 164"/>
            <a:gd name="T1" fmla="*/ 340 h 135"/>
            <a:gd name="T2" fmla="*/ 840 w 164"/>
            <a:gd name="T3" fmla="*/ 403 h 135"/>
            <a:gd name="T4" fmla="*/ 840 w 164"/>
            <a:gd name="T5" fmla="*/ 471 h 135"/>
            <a:gd name="T6" fmla="*/ 806 w 164"/>
            <a:gd name="T7" fmla="*/ 528 h 135"/>
            <a:gd name="T8" fmla="*/ 749 w 164"/>
            <a:gd name="T9" fmla="*/ 567 h 135"/>
            <a:gd name="T10" fmla="*/ 755 w 164"/>
            <a:gd name="T11" fmla="*/ 601 h 135"/>
            <a:gd name="T12" fmla="*/ 727 w 164"/>
            <a:gd name="T13" fmla="*/ 658 h 135"/>
            <a:gd name="T14" fmla="*/ 664 w 164"/>
            <a:gd name="T15" fmla="*/ 692 h 135"/>
            <a:gd name="T16" fmla="*/ 607 w 164"/>
            <a:gd name="T17" fmla="*/ 709 h 135"/>
            <a:gd name="T18" fmla="*/ 562 w 164"/>
            <a:gd name="T19" fmla="*/ 709 h 135"/>
            <a:gd name="T20" fmla="*/ 522 w 164"/>
            <a:gd name="T21" fmla="*/ 732 h 135"/>
            <a:gd name="T22" fmla="*/ 477 w 164"/>
            <a:gd name="T23" fmla="*/ 743 h 135"/>
            <a:gd name="T24" fmla="*/ 426 w 164"/>
            <a:gd name="T25" fmla="*/ 766 h 135"/>
            <a:gd name="T26" fmla="*/ 375 w 164"/>
            <a:gd name="T27" fmla="*/ 755 h 135"/>
            <a:gd name="T28" fmla="*/ 358 w 164"/>
            <a:gd name="T29" fmla="*/ 692 h 135"/>
            <a:gd name="T30" fmla="*/ 329 w 164"/>
            <a:gd name="T31" fmla="*/ 635 h 135"/>
            <a:gd name="T32" fmla="*/ 318 w 164"/>
            <a:gd name="T33" fmla="*/ 567 h 135"/>
            <a:gd name="T34" fmla="*/ 284 w 164"/>
            <a:gd name="T35" fmla="*/ 505 h 135"/>
            <a:gd name="T36" fmla="*/ 233 w 164"/>
            <a:gd name="T37" fmla="*/ 516 h 135"/>
            <a:gd name="T38" fmla="*/ 182 w 164"/>
            <a:gd name="T39" fmla="*/ 528 h 135"/>
            <a:gd name="T40" fmla="*/ 136 w 164"/>
            <a:gd name="T41" fmla="*/ 505 h 135"/>
            <a:gd name="T42" fmla="*/ 102 w 164"/>
            <a:gd name="T43" fmla="*/ 494 h 135"/>
            <a:gd name="T44" fmla="*/ 45 w 164"/>
            <a:gd name="T45" fmla="*/ 482 h 135"/>
            <a:gd name="T46" fmla="*/ 0 w 164"/>
            <a:gd name="T47" fmla="*/ 528 h 135"/>
            <a:gd name="T48" fmla="*/ 11 w 164"/>
            <a:gd name="T49" fmla="*/ 460 h 135"/>
            <a:gd name="T50" fmla="*/ 34 w 164"/>
            <a:gd name="T51" fmla="*/ 420 h 135"/>
            <a:gd name="T52" fmla="*/ 79 w 164"/>
            <a:gd name="T53" fmla="*/ 374 h 135"/>
            <a:gd name="T54" fmla="*/ 136 w 164"/>
            <a:gd name="T55" fmla="*/ 363 h 135"/>
            <a:gd name="T56" fmla="*/ 187 w 164"/>
            <a:gd name="T57" fmla="*/ 363 h 135"/>
            <a:gd name="T58" fmla="*/ 261 w 164"/>
            <a:gd name="T59" fmla="*/ 352 h 135"/>
            <a:gd name="T60" fmla="*/ 312 w 164"/>
            <a:gd name="T61" fmla="*/ 318 h 135"/>
            <a:gd name="T62" fmla="*/ 312 w 164"/>
            <a:gd name="T63" fmla="*/ 255 h 135"/>
            <a:gd name="T64" fmla="*/ 301 w 164"/>
            <a:gd name="T65" fmla="*/ 182 h 135"/>
            <a:gd name="T66" fmla="*/ 346 w 164"/>
            <a:gd name="T67" fmla="*/ 136 h 135"/>
            <a:gd name="T68" fmla="*/ 363 w 164"/>
            <a:gd name="T69" fmla="*/ 68 h 135"/>
            <a:gd name="T70" fmla="*/ 397 w 164"/>
            <a:gd name="T71" fmla="*/ 45 h 135"/>
            <a:gd name="T72" fmla="*/ 414 w 164"/>
            <a:gd name="T73" fmla="*/ 68 h 135"/>
            <a:gd name="T74" fmla="*/ 448 w 164"/>
            <a:gd name="T75" fmla="*/ 79 h 135"/>
            <a:gd name="T76" fmla="*/ 517 w 164"/>
            <a:gd name="T77" fmla="*/ 23 h 135"/>
            <a:gd name="T78" fmla="*/ 573 w 164"/>
            <a:gd name="T79" fmla="*/ 0 h 135"/>
            <a:gd name="T80" fmla="*/ 630 w 164"/>
            <a:gd name="T81" fmla="*/ 45 h 135"/>
            <a:gd name="T82" fmla="*/ 681 w 164"/>
            <a:gd name="T83" fmla="*/ 34 h 135"/>
            <a:gd name="T84" fmla="*/ 738 w 164"/>
            <a:gd name="T85" fmla="*/ 79 h 135"/>
            <a:gd name="T86" fmla="*/ 795 w 164"/>
            <a:gd name="T87" fmla="*/ 125 h 135"/>
            <a:gd name="T88" fmla="*/ 863 w 164"/>
            <a:gd name="T89" fmla="*/ 136 h 135"/>
            <a:gd name="T90" fmla="*/ 920 w 164"/>
            <a:gd name="T91" fmla="*/ 165 h 135"/>
            <a:gd name="T92" fmla="*/ 891 w 164"/>
            <a:gd name="T93" fmla="*/ 233 h 135"/>
            <a:gd name="T94" fmla="*/ 863 w 164"/>
            <a:gd name="T95" fmla="*/ 284 h 135"/>
            <a:gd name="T96" fmla="*/ 903 w 164"/>
            <a:gd name="T97" fmla="*/ 340 h 13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64" h="135">
              <a:moveTo>
                <a:pt x="159" y="60"/>
              </a:moveTo>
              <a:lnTo>
                <a:pt x="156" y="60"/>
              </a:lnTo>
              <a:lnTo>
                <a:pt x="152" y="60"/>
              </a:lnTo>
              <a:lnTo>
                <a:pt x="149" y="62"/>
              </a:lnTo>
              <a:lnTo>
                <a:pt x="148" y="67"/>
              </a:lnTo>
              <a:lnTo>
                <a:pt x="148" y="71"/>
              </a:lnTo>
              <a:lnTo>
                <a:pt x="148" y="75"/>
              </a:lnTo>
              <a:lnTo>
                <a:pt x="148" y="79"/>
              </a:lnTo>
              <a:lnTo>
                <a:pt x="148" y="83"/>
              </a:lnTo>
              <a:lnTo>
                <a:pt x="146" y="87"/>
              </a:lnTo>
              <a:lnTo>
                <a:pt x="143" y="89"/>
              </a:lnTo>
              <a:lnTo>
                <a:pt x="142" y="93"/>
              </a:lnTo>
              <a:lnTo>
                <a:pt x="139" y="97"/>
              </a:lnTo>
              <a:lnTo>
                <a:pt x="135" y="96"/>
              </a:lnTo>
              <a:lnTo>
                <a:pt x="132" y="100"/>
              </a:lnTo>
              <a:lnTo>
                <a:pt x="132" y="104"/>
              </a:lnTo>
              <a:lnTo>
                <a:pt x="132" y="106"/>
              </a:lnTo>
              <a:lnTo>
                <a:pt x="133" y="106"/>
              </a:lnTo>
              <a:lnTo>
                <a:pt x="131" y="108"/>
              </a:lnTo>
              <a:lnTo>
                <a:pt x="129" y="112"/>
              </a:lnTo>
              <a:lnTo>
                <a:pt x="128" y="116"/>
              </a:lnTo>
              <a:lnTo>
                <a:pt x="125" y="121"/>
              </a:lnTo>
              <a:lnTo>
                <a:pt x="120" y="122"/>
              </a:lnTo>
              <a:lnTo>
                <a:pt x="117" y="122"/>
              </a:lnTo>
              <a:lnTo>
                <a:pt x="114" y="125"/>
              </a:lnTo>
              <a:lnTo>
                <a:pt x="111" y="125"/>
              </a:lnTo>
              <a:lnTo>
                <a:pt x="107" y="125"/>
              </a:lnTo>
              <a:lnTo>
                <a:pt x="105" y="125"/>
              </a:lnTo>
              <a:lnTo>
                <a:pt x="101" y="122"/>
              </a:lnTo>
              <a:lnTo>
                <a:pt x="99" y="125"/>
              </a:lnTo>
              <a:lnTo>
                <a:pt x="95" y="125"/>
              </a:lnTo>
              <a:lnTo>
                <a:pt x="93" y="129"/>
              </a:lnTo>
              <a:lnTo>
                <a:pt x="92" y="129"/>
              </a:lnTo>
              <a:lnTo>
                <a:pt x="91" y="129"/>
              </a:lnTo>
              <a:lnTo>
                <a:pt x="87" y="129"/>
              </a:lnTo>
              <a:lnTo>
                <a:pt x="84" y="131"/>
              </a:lnTo>
              <a:lnTo>
                <a:pt x="81" y="133"/>
              </a:lnTo>
              <a:lnTo>
                <a:pt x="78" y="135"/>
              </a:lnTo>
              <a:lnTo>
                <a:pt x="75" y="135"/>
              </a:lnTo>
              <a:lnTo>
                <a:pt x="72" y="133"/>
              </a:lnTo>
              <a:lnTo>
                <a:pt x="69" y="135"/>
              </a:lnTo>
              <a:lnTo>
                <a:pt x="66" y="133"/>
              </a:lnTo>
              <a:lnTo>
                <a:pt x="64" y="129"/>
              </a:lnTo>
              <a:lnTo>
                <a:pt x="61" y="126"/>
              </a:lnTo>
              <a:lnTo>
                <a:pt x="63" y="122"/>
              </a:lnTo>
              <a:lnTo>
                <a:pt x="61" y="118"/>
              </a:lnTo>
              <a:lnTo>
                <a:pt x="61" y="114"/>
              </a:lnTo>
              <a:lnTo>
                <a:pt x="58" y="112"/>
              </a:lnTo>
              <a:lnTo>
                <a:pt x="56" y="108"/>
              </a:lnTo>
              <a:lnTo>
                <a:pt x="56" y="104"/>
              </a:lnTo>
              <a:lnTo>
                <a:pt x="56" y="100"/>
              </a:lnTo>
              <a:lnTo>
                <a:pt x="53" y="97"/>
              </a:lnTo>
              <a:lnTo>
                <a:pt x="52" y="93"/>
              </a:lnTo>
              <a:lnTo>
                <a:pt x="50" y="89"/>
              </a:lnTo>
              <a:lnTo>
                <a:pt x="48" y="89"/>
              </a:lnTo>
              <a:lnTo>
                <a:pt x="44" y="91"/>
              </a:lnTo>
              <a:lnTo>
                <a:pt x="41" y="91"/>
              </a:lnTo>
              <a:lnTo>
                <a:pt x="38" y="91"/>
              </a:lnTo>
              <a:lnTo>
                <a:pt x="35" y="95"/>
              </a:lnTo>
              <a:lnTo>
                <a:pt x="32" y="93"/>
              </a:lnTo>
              <a:lnTo>
                <a:pt x="29" y="91"/>
              </a:lnTo>
              <a:lnTo>
                <a:pt x="26" y="93"/>
              </a:lnTo>
              <a:lnTo>
                <a:pt x="24" y="89"/>
              </a:lnTo>
              <a:lnTo>
                <a:pt x="24" y="85"/>
              </a:lnTo>
              <a:lnTo>
                <a:pt x="21" y="85"/>
              </a:lnTo>
              <a:lnTo>
                <a:pt x="18" y="87"/>
              </a:lnTo>
              <a:lnTo>
                <a:pt x="14" y="87"/>
              </a:lnTo>
              <a:lnTo>
                <a:pt x="12" y="85"/>
              </a:lnTo>
              <a:lnTo>
                <a:pt x="8" y="85"/>
              </a:lnTo>
              <a:lnTo>
                <a:pt x="6" y="89"/>
              </a:lnTo>
              <a:lnTo>
                <a:pt x="2" y="91"/>
              </a:lnTo>
              <a:lnTo>
                <a:pt x="0" y="93"/>
              </a:lnTo>
              <a:lnTo>
                <a:pt x="2" y="87"/>
              </a:lnTo>
              <a:lnTo>
                <a:pt x="1" y="83"/>
              </a:lnTo>
              <a:lnTo>
                <a:pt x="2" y="81"/>
              </a:lnTo>
              <a:lnTo>
                <a:pt x="6" y="79"/>
              </a:lnTo>
              <a:lnTo>
                <a:pt x="6" y="74"/>
              </a:lnTo>
              <a:lnTo>
                <a:pt x="8" y="71"/>
              </a:lnTo>
              <a:lnTo>
                <a:pt x="12" y="68"/>
              </a:lnTo>
              <a:lnTo>
                <a:pt x="14" y="66"/>
              </a:lnTo>
              <a:lnTo>
                <a:pt x="18" y="64"/>
              </a:lnTo>
              <a:lnTo>
                <a:pt x="21" y="64"/>
              </a:lnTo>
              <a:lnTo>
                <a:pt x="24" y="64"/>
              </a:lnTo>
              <a:lnTo>
                <a:pt x="28" y="66"/>
              </a:lnTo>
              <a:lnTo>
                <a:pt x="30" y="64"/>
              </a:lnTo>
              <a:lnTo>
                <a:pt x="33" y="64"/>
              </a:lnTo>
              <a:lnTo>
                <a:pt x="36" y="62"/>
              </a:lnTo>
              <a:lnTo>
                <a:pt x="40" y="64"/>
              </a:lnTo>
              <a:lnTo>
                <a:pt x="46" y="62"/>
              </a:lnTo>
              <a:lnTo>
                <a:pt x="50" y="62"/>
              </a:lnTo>
              <a:lnTo>
                <a:pt x="53" y="60"/>
              </a:lnTo>
              <a:lnTo>
                <a:pt x="55" y="56"/>
              </a:lnTo>
              <a:lnTo>
                <a:pt x="56" y="51"/>
              </a:lnTo>
              <a:lnTo>
                <a:pt x="53" y="49"/>
              </a:lnTo>
              <a:lnTo>
                <a:pt x="55" y="45"/>
              </a:lnTo>
              <a:lnTo>
                <a:pt x="58" y="41"/>
              </a:lnTo>
              <a:lnTo>
                <a:pt x="55" y="37"/>
              </a:lnTo>
              <a:lnTo>
                <a:pt x="53" y="32"/>
              </a:lnTo>
              <a:lnTo>
                <a:pt x="55" y="29"/>
              </a:lnTo>
              <a:lnTo>
                <a:pt x="58" y="24"/>
              </a:lnTo>
              <a:lnTo>
                <a:pt x="61" y="24"/>
              </a:lnTo>
              <a:lnTo>
                <a:pt x="64" y="20"/>
              </a:lnTo>
              <a:lnTo>
                <a:pt x="64" y="16"/>
              </a:lnTo>
              <a:lnTo>
                <a:pt x="64" y="12"/>
              </a:lnTo>
              <a:lnTo>
                <a:pt x="67" y="12"/>
              </a:lnTo>
              <a:lnTo>
                <a:pt x="67" y="8"/>
              </a:lnTo>
              <a:lnTo>
                <a:pt x="70" y="8"/>
              </a:lnTo>
              <a:lnTo>
                <a:pt x="73" y="10"/>
              </a:lnTo>
              <a:lnTo>
                <a:pt x="73" y="12"/>
              </a:lnTo>
              <a:lnTo>
                <a:pt x="75" y="16"/>
              </a:lnTo>
              <a:lnTo>
                <a:pt x="78" y="14"/>
              </a:lnTo>
              <a:lnTo>
                <a:pt x="79" y="14"/>
              </a:lnTo>
              <a:lnTo>
                <a:pt x="84" y="10"/>
              </a:lnTo>
              <a:lnTo>
                <a:pt x="87" y="8"/>
              </a:lnTo>
              <a:lnTo>
                <a:pt x="91" y="4"/>
              </a:lnTo>
              <a:lnTo>
                <a:pt x="94" y="2"/>
              </a:lnTo>
              <a:lnTo>
                <a:pt x="97" y="0"/>
              </a:lnTo>
              <a:lnTo>
                <a:pt x="101" y="0"/>
              </a:lnTo>
              <a:lnTo>
                <a:pt x="105" y="2"/>
              </a:lnTo>
              <a:lnTo>
                <a:pt x="105" y="6"/>
              </a:lnTo>
              <a:lnTo>
                <a:pt x="111" y="8"/>
              </a:lnTo>
              <a:lnTo>
                <a:pt x="114" y="8"/>
              </a:lnTo>
              <a:lnTo>
                <a:pt x="117" y="6"/>
              </a:lnTo>
              <a:lnTo>
                <a:pt x="120" y="6"/>
              </a:lnTo>
              <a:lnTo>
                <a:pt x="123" y="10"/>
              </a:lnTo>
              <a:lnTo>
                <a:pt x="128" y="14"/>
              </a:lnTo>
              <a:lnTo>
                <a:pt x="130" y="14"/>
              </a:lnTo>
              <a:lnTo>
                <a:pt x="134" y="16"/>
              </a:lnTo>
              <a:lnTo>
                <a:pt x="139" y="19"/>
              </a:lnTo>
              <a:lnTo>
                <a:pt x="140" y="22"/>
              </a:lnTo>
              <a:lnTo>
                <a:pt x="144" y="24"/>
              </a:lnTo>
              <a:lnTo>
                <a:pt x="148" y="27"/>
              </a:lnTo>
              <a:lnTo>
                <a:pt x="152" y="24"/>
              </a:lnTo>
              <a:lnTo>
                <a:pt x="154" y="29"/>
              </a:lnTo>
              <a:lnTo>
                <a:pt x="159" y="27"/>
              </a:lnTo>
              <a:lnTo>
                <a:pt x="162" y="29"/>
              </a:lnTo>
              <a:lnTo>
                <a:pt x="164" y="33"/>
              </a:lnTo>
              <a:lnTo>
                <a:pt x="160" y="37"/>
              </a:lnTo>
              <a:lnTo>
                <a:pt x="157" y="41"/>
              </a:lnTo>
              <a:lnTo>
                <a:pt x="154" y="41"/>
              </a:lnTo>
              <a:lnTo>
                <a:pt x="152" y="46"/>
              </a:lnTo>
              <a:lnTo>
                <a:pt x="152" y="50"/>
              </a:lnTo>
              <a:lnTo>
                <a:pt x="156" y="54"/>
              </a:lnTo>
              <a:lnTo>
                <a:pt x="157" y="58"/>
              </a:lnTo>
              <a:lnTo>
                <a:pt x="159" y="60"/>
              </a:lnTo>
              <a:close/>
            </a:path>
          </a:pathLst>
        </a:custGeom>
        <a:solidFill>
          <a:srgbClr val="0000BF"/>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endParaRPr lang="en-US" sz="1055">
            <a:solidFill>
              <a:prstClr val="black"/>
            </a:solidFill>
            <a:latin typeface="Calibri" panose="020F0502020204030204"/>
          </a:endParaRPr>
        </a:p>
      </xdr:txBody>
    </xdr:sp>
    <xdr:clientData/>
  </xdr:twoCellAnchor>
  <xdr:twoCellAnchor>
    <xdr:from>
      <xdr:col>1</xdr:col>
      <xdr:colOff>106363</xdr:colOff>
      <xdr:row>54</xdr:row>
      <xdr:rowOff>130175</xdr:rowOff>
    </xdr:from>
    <xdr:to>
      <xdr:col>2</xdr:col>
      <xdr:colOff>168276</xdr:colOff>
      <xdr:row>59</xdr:row>
      <xdr:rowOff>25400</xdr:rowOff>
    </xdr:to>
    <xdr:sp macro="" textlink="">
      <xdr:nvSpPr>
        <xdr:cNvPr id="27" name="Freeform 97">
          <a:extLst>
            <a:ext uri="{FF2B5EF4-FFF2-40B4-BE49-F238E27FC236}">
              <a16:creationId xmlns:a16="http://schemas.microsoft.com/office/drawing/2014/main" id="{28719B88-2E13-414F-B3FD-8D472E5F6AAF}"/>
            </a:ext>
          </a:extLst>
        </xdr:cNvPr>
        <xdr:cNvSpPr>
          <a:spLocks noChangeAspect="1"/>
        </xdr:cNvSpPr>
      </xdr:nvSpPr>
      <xdr:spPr bwMode="gray">
        <a:xfrm>
          <a:off x="1639888" y="9683750"/>
          <a:ext cx="700088" cy="704850"/>
        </a:xfrm>
        <a:custGeom>
          <a:avLst/>
          <a:gdLst>
            <a:gd name="T0" fmla="*/ 403 w 104"/>
            <a:gd name="T1" fmla="*/ 80 h 112"/>
            <a:gd name="T2" fmla="*/ 437 w 104"/>
            <a:gd name="T3" fmla="*/ 114 h 112"/>
            <a:gd name="T4" fmla="*/ 471 w 104"/>
            <a:gd name="T5" fmla="*/ 125 h 112"/>
            <a:gd name="T6" fmla="*/ 505 w 104"/>
            <a:gd name="T7" fmla="*/ 165 h 112"/>
            <a:gd name="T8" fmla="*/ 545 w 104"/>
            <a:gd name="T9" fmla="*/ 165 h 112"/>
            <a:gd name="T10" fmla="*/ 579 w 104"/>
            <a:gd name="T11" fmla="*/ 170 h 112"/>
            <a:gd name="T12" fmla="*/ 579 w 104"/>
            <a:gd name="T13" fmla="*/ 221 h 112"/>
            <a:gd name="T14" fmla="*/ 579 w 104"/>
            <a:gd name="T15" fmla="*/ 267 h 112"/>
            <a:gd name="T16" fmla="*/ 562 w 104"/>
            <a:gd name="T17" fmla="*/ 290 h 112"/>
            <a:gd name="T18" fmla="*/ 522 w 104"/>
            <a:gd name="T19" fmla="*/ 329 h 112"/>
            <a:gd name="T20" fmla="*/ 505 w 104"/>
            <a:gd name="T21" fmla="*/ 375 h 112"/>
            <a:gd name="T22" fmla="*/ 488 w 104"/>
            <a:gd name="T23" fmla="*/ 409 h 112"/>
            <a:gd name="T24" fmla="*/ 471 w 104"/>
            <a:gd name="T25" fmla="*/ 449 h 112"/>
            <a:gd name="T26" fmla="*/ 437 w 104"/>
            <a:gd name="T27" fmla="*/ 471 h 112"/>
            <a:gd name="T28" fmla="*/ 408 w 104"/>
            <a:gd name="T29" fmla="*/ 494 h 112"/>
            <a:gd name="T30" fmla="*/ 374 w 104"/>
            <a:gd name="T31" fmla="*/ 517 h 112"/>
            <a:gd name="T32" fmla="*/ 369 w 104"/>
            <a:gd name="T33" fmla="*/ 568 h 112"/>
            <a:gd name="T34" fmla="*/ 340 w 104"/>
            <a:gd name="T35" fmla="*/ 591 h 112"/>
            <a:gd name="T36" fmla="*/ 318 w 104"/>
            <a:gd name="T37" fmla="*/ 625 h 112"/>
            <a:gd name="T38" fmla="*/ 306 w 104"/>
            <a:gd name="T39" fmla="*/ 613 h 112"/>
            <a:gd name="T40" fmla="*/ 272 w 104"/>
            <a:gd name="T41" fmla="*/ 613 h 112"/>
            <a:gd name="T42" fmla="*/ 238 w 104"/>
            <a:gd name="T43" fmla="*/ 602 h 112"/>
            <a:gd name="T44" fmla="*/ 227 w 104"/>
            <a:gd name="T45" fmla="*/ 551 h 112"/>
            <a:gd name="T46" fmla="*/ 210 w 104"/>
            <a:gd name="T47" fmla="*/ 505 h 112"/>
            <a:gd name="T48" fmla="*/ 187 w 104"/>
            <a:gd name="T49" fmla="*/ 460 h 112"/>
            <a:gd name="T50" fmla="*/ 153 w 104"/>
            <a:gd name="T51" fmla="*/ 449 h 112"/>
            <a:gd name="T52" fmla="*/ 119 w 104"/>
            <a:gd name="T53" fmla="*/ 471 h 112"/>
            <a:gd name="T54" fmla="*/ 85 w 104"/>
            <a:gd name="T55" fmla="*/ 460 h 112"/>
            <a:gd name="T56" fmla="*/ 51 w 104"/>
            <a:gd name="T57" fmla="*/ 460 h 112"/>
            <a:gd name="T58" fmla="*/ 23 w 104"/>
            <a:gd name="T59" fmla="*/ 437 h 112"/>
            <a:gd name="T60" fmla="*/ 17 w 104"/>
            <a:gd name="T61" fmla="*/ 386 h 112"/>
            <a:gd name="T62" fmla="*/ 23 w 104"/>
            <a:gd name="T63" fmla="*/ 341 h 112"/>
            <a:gd name="T64" fmla="*/ 17 w 104"/>
            <a:gd name="T65" fmla="*/ 290 h 112"/>
            <a:gd name="T66" fmla="*/ 0 w 104"/>
            <a:gd name="T67" fmla="*/ 244 h 112"/>
            <a:gd name="T68" fmla="*/ 6 w 104"/>
            <a:gd name="T69" fmla="*/ 199 h 112"/>
            <a:gd name="T70" fmla="*/ 34 w 104"/>
            <a:gd name="T71" fmla="*/ 153 h 112"/>
            <a:gd name="T72" fmla="*/ 34 w 104"/>
            <a:gd name="T73" fmla="*/ 102 h 112"/>
            <a:gd name="T74" fmla="*/ 34 w 104"/>
            <a:gd name="T75" fmla="*/ 57 h 112"/>
            <a:gd name="T76" fmla="*/ 68 w 104"/>
            <a:gd name="T77" fmla="*/ 45 h 112"/>
            <a:gd name="T78" fmla="*/ 102 w 104"/>
            <a:gd name="T79" fmla="*/ 6 h 112"/>
            <a:gd name="T80" fmla="*/ 142 w 104"/>
            <a:gd name="T81" fmla="*/ 0 h 112"/>
            <a:gd name="T82" fmla="*/ 182 w 104"/>
            <a:gd name="T83" fmla="*/ 0 h 112"/>
            <a:gd name="T84" fmla="*/ 227 w 104"/>
            <a:gd name="T85" fmla="*/ 23 h 112"/>
            <a:gd name="T86" fmla="*/ 272 w 104"/>
            <a:gd name="T87" fmla="*/ 23 h 112"/>
            <a:gd name="T88" fmla="*/ 306 w 104"/>
            <a:gd name="T89" fmla="*/ 23 h 112"/>
            <a:gd name="T90" fmla="*/ 346 w 104"/>
            <a:gd name="T91" fmla="*/ 6 h 112"/>
            <a:gd name="T92" fmla="*/ 369 w 104"/>
            <a:gd name="T93" fmla="*/ 23 h 112"/>
            <a:gd name="T94" fmla="*/ 369 w 104"/>
            <a:gd name="T95" fmla="*/ 68 h 112"/>
            <a:gd name="T96" fmla="*/ 403 w 104"/>
            <a:gd name="T97" fmla="*/ 68 h 112"/>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04" h="112">
              <a:moveTo>
                <a:pt x="71" y="12"/>
              </a:moveTo>
              <a:lnTo>
                <a:pt x="71" y="14"/>
              </a:lnTo>
              <a:lnTo>
                <a:pt x="74" y="18"/>
              </a:lnTo>
              <a:lnTo>
                <a:pt x="77" y="20"/>
              </a:lnTo>
              <a:lnTo>
                <a:pt x="80" y="22"/>
              </a:lnTo>
              <a:lnTo>
                <a:pt x="83" y="22"/>
              </a:lnTo>
              <a:lnTo>
                <a:pt x="86" y="24"/>
              </a:lnTo>
              <a:lnTo>
                <a:pt x="89" y="29"/>
              </a:lnTo>
              <a:lnTo>
                <a:pt x="92" y="29"/>
              </a:lnTo>
              <a:lnTo>
                <a:pt x="96" y="29"/>
              </a:lnTo>
              <a:lnTo>
                <a:pt x="99" y="29"/>
              </a:lnTo>
              <a:lnTo>
                <a:pt x="102" y="30"/>
              </a:lnTo>
              <a:lnTo>
                <a:pt x="104" y="35"/>
              </a:lnTo>
              <a:lnTo>
                <a:pt x="102" y="39"/>
              </a:lnTo>
              <a:lnTo>
                <a:pt x="104" y="43"/>
              </a:lnTo>
              <a:lnTo>
                <a:pt x="102" y="47"/>
              </a:lnTo>
              <a:lnTo>
                <a:pt x="102" y="50"/>
              </a:lnTo>
              <a:lnTo>
                <a:pt x="99" y="51"/>
              </a:lnTo>
              <a:lnTo>
                <a:pt x="95" y="54"/>
              </a:lnTo>
              <a:lnTo>
                <a:pt x="92" y="58"/>
              </a:lnTo>
              <a:lnTo>
                <a:pt x="91" y="63"/>
              </a:lnTo>
              <a:lnTo>
                <a:pt x="89" y="66"/>
              </a:lnTo>
              <a:lnTo>
                <a:pt x="86" y="68"/>
              </a:lnTo>
              <a:lnTo>
                <a:pt x="86" y="72"/>
              </a:lnTo>
              <a:lnTo>
                <a:pt x="86" y="77"/>
              </a:lnTo>
              <a:lnTo>
                <a:pt x="83" y="79"/>
              </a:lnTo>
              <a:lnTo>
                <a:pt x="79" y="81"/>
              </a:lnTo>
              <a:lnTo>
                <a:pt x="77" y="83"/>
              </a:lnTo>
              <a:lnTo>
                <a:pt x="74" y="87"/>
              </a:lnTo>
              <a:lnTo>
                <a:pt x="72" y="87"/>
              </a:lnTo>
              <a:lnTo>
                <a:pt x="69" y="89"/>
              </a:lnTo>
              <a:lnTo>
                <a:pt x="66" y="91"/>
              </a:lnTo>
              <a:lnTo>
                <a:pt x="65" y="95"/>
              </a:lnTo>
              <a:lnTo>
                <a:pt x="65" y="100"/>
              </a:lnTo>
              <a:lnTo>
                <a:pt x="61" y="100"/>
              </a:lnTo>
              <a:lnTo>
                <a:pt x="60" y="104"/>
              </a:lnTo>
              <a:lnTo>
                <a:pt x="60" y="108"/>
              </a:lnTo>
              <a:lnTo>
                <a:pt x="56" y="110"/>
              </a:lnTo>
              <a:lnTo>
                <a:pt x="54" y="112"/>
              </a:lnTo>
              <a:lnTo>
                <a:pt x="54" y="108"/>
              </a:lnTo>
              <a:lnTo>
                <a:pt x="51" y="106"/>
              </a:lnTo>
              <a:lnTo>
                <a:pt x="48" y="108"/>
              </a:lnTo>
              <a:lnTo>
                <a:pt x="44" y="108"/>
              </a:lnTo>
              <a:lnTo>
                <a:pt x="42" y="106"/>
              </a:lnTo>
              <a:lnTo>
                <a:pt x="40" y="102"/>
              </a:lnTo>
              <a:lnTo>
                <a:pt x="40" y="97"/>
              </a:lnTo>
              <a:lnTo>
                <a:pt x="40" y="93"/>
              </a:lnTo>
              <a:lnTo>
                <a:pt x="37" y="89"/>
              </a:lnTo>
              <a:lnTo>
                <a:pt x="35" y="85"/>
              </a:lnTo>
              <a:lnTo>
                <a:pt x="33" y="81"/>
              </a:lnTo>
              <a:lnTo>
                <a:pt x="31" y="81"/>
              </a:lnTo>
              <a:lnTo>
                <a:pt x="27" y="79"/>
              </a:lnTo>
              <a:lnTo>
                <a:pt x="25" y="81"/>
              </a:lnTo>
              <a:lnTo>
                <a:pt x="21" y="83"/>
              </a:lnTo>
              <a:lnTo>
                <a:pt x="18" y="81"/>
              </a:lnTo>
              <a:lnTo>
                <a:pt x="15" y="81"/>
              </a:lnTo>
              <a:lnTo>
                <a:pt x="12" y="79"/>
              </a:lnTo>
              <a:lnTo>
                <a:pt x="9" y="81"/>
              </a:lnTo>
              <a:lnTo>
                <a:pt x="6" y="81"/>
              </a:lnTo>
              <a:lnTo>
                <a:pt x="4" y="77"/>
              </a:lnTo>
              <a:lnTo>
                <a:pt x="3" y="72"/>
              </a:lnTo>
              <a:lnTo>
                <a:pt x="3" y="68"/>
              </a:lnTo>
              <a:lnTo>
                <a:pt x="3" y="64"/>
              </a:lnTo>
              <a:lnTo>
                <a:pt x="4" y="60"/>
              </a:lnTo>
              <a:lnTo>
                <a:pt x="3" y="56"/>
              </a:lnTo>
              <a:lnTo>
                <a:pt x="3" y="51"/>
              </a:lnTo>
              <a:lnTo>
                <a:pt x="0" y="47"/>
              </a:lnTo>
              <a:lnTo>
                <a:pt x="0" y="43"/>
              </a:lnTo>
              <a:lnTo>
                <a:pt x="0" y="39"/>
              </a:lnTo>
              <a:lnTo>
                <a:pt x="1" y="35"/>
              </a:lnTo>
              <a:lnTo>
                <a:pt x="4" y="31"/>
              </a:lnTo>
              <a:lnTo>
                <a:pt x="6" y="27"/>
              </a:lnTo>
              <a:lnTo>
                <a:pt x="6" y="22"/>
              </a:lnTo>
              <a:lnTo>
                <a:pt x="6" y="18"/>
              </a:lnTo>
              <a:lnTo>
                <a:pt x="4" y="10"/>
              </a:lnTo>
              <a:lnTo>
                <a:pt x="6" y="10"/>
              </a:lnTo>
              <a:lnTo>
                <a:pt x="9" y="10"/>
              </a:lnTo>
              <a:lnTo>
                <a:pt x="12" y="8"/>
              </a:lnTo>
              <a:lnTo>
                <a:pt x="15" y="6"/>
              </a:lnTo>
              <a:lnTo>
                <a:pt x="18" y="1"/>
              </a:lnTo>
              <a:lnTo>
                <a:pt x="21" y="0"/>
              </a:lnTo>
              <a:lnTo>
                <a:pt x="25" y="0"/>
              </a:lnTo>
              <a:lnTo>
                <a:pt x="29" y="0"/>
              </a:lnTo>
              <a:lnTo>
                <a:pt x="32" y="0"/>
              </a:lnTo>
              <a:lnTo>
                <a:pt x="35" y="1"/>
              </a:lnTo>
              <a:lnTo>
                <a:pt x="40" y="4"/>
              </a:lnTo>
              <a:lnTo>
                <a:pt x="43" y="4"/>
              </a:lnTo>
              <a:lnTo>
                <a:pt x="48" y="4"/>
              </a:lnTo>
              <a:lnTo>
                <a:pt x="51" y="4"/>
              </a:lnTo>
              <a:lnTo>
                <a:pt x="54" y="4"/>
              </a:lnTo>
              <a:lnTo>
                <a:pt x="58" y="1"/>
              </a:lnTo>
              <a:lnTo>
                <a:pt x="61" y="1"/>
              </a:lnTo>
              <a:lnTo>
                <a:pt x="65" y="0"/>
              </a:lnTo>
              <a:lnTo>
                <a:pt x="65" y="4"/>
              </a:lnTo>
              <a:lnTo>
                <a:pt x="65" y="8"/>
              </a:lnTo>
              <a:lnTo>
                <a:pt x="65" y="12"/>
              </a:lnTo>
              <a:lnTo>
                <a:pt x="68" y="12"/>
              </a:lnTo>
              <a:lnTo>
                <a:pt x="71" y="12"/>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1</xdr:col>
      <xdr:colOff>596901</xdr:colOff>
      <xdr:row>56</xdr:row>
      <xdr:rowOff>52388</xdr:rowOff>
    </xdr:from>
    <xdr:to>
      <xdr:col>2</xdr:col>
      <xdr:colOff>787401</xdr:colOff>
      <xdr:row>59</xdr:row>
      <xdr:rowOff>127000</xdr:rowOff>
    </xdr:to>
    <xdr:sp macro="" textlink="">
      <xdr:nvSpPr>
        <xdr:cNvPr id="28" name="Freeform 98">
          <a:extLst>
            <a:ext uri="{FF2B5EF4-FFF2-40B4-BE49-F238E27FC236}">
              <a16:creationId xmlns:a16="http://schemas.microsoft.com/office/drawing/2014/main" id="{1FC9D707-0C3E-4E92-A628-428C6AD7EB27}"/>
            </a:ext>
          </a:extLst>
        </xdr:cNvPr>
        <xdr:cNvSpPr>
          <a:spLocks noChangeAspect="1"/>
        </xdr:cNvSpPr>
      </xdr:nvSpPr>
      <xdr:spPr bwMode="gray">
        <a:xfrm>
          <a:off x="2130426" y="9929813"/>
          <a:ext cx="828675" cy="560387"/>
        </a:xfrm>
        <a:custGeom>
          <a:avLst/>
          <a:gdLst>
            <a:gd name="T0" fmla="*/ 176 w 123"/>
            <a:gd name="T1" fmla="*/ 34 h 89"/>
            <a:gd name="T2" fmla="*/ 210 w 123"/>
            <a:gd name="T3" fmla="*/ 0 h 89"/>
            <a:gd name="T4" fmla="*/ 244 w 123"/>
            <a:gd name="T5" fmla="*/ 11 h 89"/>
            <a:gd name="T6" fmla="*/ 284 w 123"/>
            <a:gd name="T7" fmla="*/ 0 h 89"/>
            <a:gd name="T8" fmla="*/ 301 w 123"/>
            <a:gd name="T9" fmla="*/ 23 h 89"/>
            <a:gd name="T10" fmla="*/ 329 w 123"/>
            <a:gd name="T11" fmla="*/ 34 h 89"/>
            <a:gd name="T12" fmla="*/ 363 w 123"/>
            <a:gd name="T13" fmla="*/ 62 h 89"/>
            <a:gd name="T14" fmla="*/ 403 w 123"/>
            <a:gd name="T15" fmla="*/ 34 h 89"/>
            <a:gd name="T16" fmla="*/ 437 w 123"/>
            <a:gd name="T17" fmla="*/ 23 h 89"/>
            <a:gd name="T18" fmla="*/ 465 w 123"/>
            <a:gd name="T19" fmla="*/ 45 h 89"/>
            <a:gd name="T20" fmla="*/ 488 w 123"/>
            <a:gd name="T21" fmla="*/ 85 h 89"/>
            <a:gd name="T22" fmla="*/ 488 w 123"/>
            <a:gd name="T23" fmla="*/ 131 h 89"/>
            <a:gd name="T24" fmla="*/ 516 w 123"/>
            <a:gd name="T25" fmla="*/ 165 h 89"/>
            <a:gd name="T26" fmla="*/ 528 w 123"/>
            <a:gd name="T27" fmla="*/ 216 h 89"/>
            <a:gd name="T28" fmla="*/ 533 w 123"/>
            <a:gd name="T29" fmla="*/ 250 h 89"/>
            <a:gd name="T30" fmla="*/ 562 w 123"/>
            <a:gd name="T31" fmla="*/ 289 h 89"/>
            <a:gd name="T32" fmla="*/ 596 w 123"/>
            <a:gd name="T33" fmla="*/ 289 h 89"/>
            <a:gd name="T34" fmla="*/ 636 w 123"/>
            <a:gd name="T35" fmla="*/ 272 h 89"/>
            <a:gd name="T36" fmla="*/ 670 w 123"/>
            <a:gd name="T37" fmla="*/ 250 h 89"/>
            <a:gd name="T38" fmla="*/ 698 w 123"/>
            <a:gd name="T39" fmla="*/ 250 h 89"/>
            <a:gd name="T40" fmla="*/ 698 w 123"/>
            <a:gd name="T41" fmla="*/ 272 h 89"/>
            <a:gd name="T42" fmla="*/ 675 w 123"/>
            <a:gd name="T43" fmla="*/ 312 h 89"/>
            <a:gd name="T44" fmla="*/ 675 w 123"/>
            <a:gd name="T45" fmla="*/ 346 h 89"/>
            <a:gd name="T46" fmla="*/ 636 w 123"/>
            <a:gd name="T47" fmla="*/ 346 h 89"/>
            <a:gd name="T48" fmla="*/ 607 w 123"/>
            <a:gd name="T49" fmla="*/ 386 h 89"/>
            <a:gd name="T50" fmla="*/ 556 w 123"/>
            <a:gd name="T51" fmla="*/ 386 h 89"/>
            <a:gd name="T52" fmla="*/ 505 w 123"/>
            <a:gd name="T53" fmla="*/ 409 h 89"/>
            <a:gd name="T54" fmla="*/ 465 w 123"/>
            <a:gd name="T55" fmla="*/ 431 h 89"/>
            <a:gd name="T56" fmla="*/ 437 w 123"/>
            <a:gd name="T57" fmla="*/ 471 h 89"/>
            <a:gd name="T58" fmla="*/ 403 w 123"/>
            <a:gd name="T59" fmla="*/ 505 h 89"/>
            <a:gd name="T60" fmla="*/ 392 w 123"/>
            <a:gd name="T61" fmla="*/ 482 h 89"/>
            <a:gd name="T62" fmla="*/ 363 w 123"/>
            <a:gd name="T63" fmla="*/ 494 h 89"/>
            <a:gd name="T64" fmla="*/ 335 w 123"/>
            <a:gd name="T65" fmla="*/ 454 h 89"/>
            <a:gd name="T66" fmla="*/ 301 w 123"/>
            <a:gd name="T67" fmla="*/ 454 h 89"/>
            <a:gd name="T68" fmla="*/ 301 w 123"/>
            <a:gd name="T69" fmla="*/ 409 h 89"/>
            <a:gd name="T70" fmla="*/ 284 w 123"/>
            <a:gd name="T71" fmla="*/ 369 h 89"/>
            <a:gd name="T72" fmla="*/ 284 w 123"/>
            <a:gd name="T73" fmla="*/ 323 h 89"/>
            <a:gd name="T74" fmla="*/ 238 w 123"/>
            <a:gd name="T75" fmla="*/ 289 h 89"/>
            <a:gd name="T76" fmla="*/ 204 w 123"/>
            <a:gd name="T77" fmla="*/ 301 h 89"/>
            <a:gd name="T78" fmla="*/ 170 w 123"/>
            <a:gd name="T79" fmla="*/ 272 h 89"/>
            <a:gd name="T80" fmla="*/ 131 w 123"/>
            <a:gd name="T81" fmla="*/ 267 h 89"/>
            <a:gd name="T82" fmla="*/ 96 w 123"/>
            <a:gd name="T83" fmla="*/ 250 h 89"/>
            <a:gd name="T84" fmla="*/ 62 w 123"/>
            <a:gd name="T85" fmla="*/ 267 h 89"/>
            <a:gd name="T86" fmla="*/ 23 w 123"/>
            <a:gd name="T87" fmla="*/ 272 h 89"/>
            <a:gd name="T88" fmla="*/ 0 w 123"/>
            <a:gd name="T89" fmla="*/ 267 h 89"/>
            <a:gd name="T90" fmla="*/ 23 w 123"/>
            <a:gd name="T91" fmla="*/ 238 h 89"/>
            <a:gd name="T92" fmla="*/ 62 w 123"/>
            <a:gd name="T93" fmla="*/ 216 h 89"/>
            <a:gd name="T94" fmla="*/ 79 w 123"/>
            <a:gd name="T95" fmla="*/ 182 h 89"/>
            <a:gd name="T96" fmla="*/ 96 w 123"/>
            <a:gd name="T97" fmla="*/ 142 h 89"/>
            <a:gd name="T98" fmla="*/ 113 w 123"/>
            <a:gd name="T99" fmla="*/ 96 h 89"/>
            <a:gd name="T100" fmla="*/ 148 w 123"/>
            <a:gd name="T101" fmla="*/ 62 h 89"/>
            <a:gd name="T102" fmla="*/ 170 w 123"/>
            <a:gd name="T103" fmla="*/ 45 h 8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23" h="89">
              <a:moveTo>
                <a:pt x="28" y="8"/>
              </a:moveTo>
              <a:lnTo>
                <a:pt x="31" y="6"/>
              </a:lnTo>
              <a:lnTo>
                <a:pt x="34" y="4"/>
              </a:lnTo>
              <a:lnTo>
                <a:pt x="37" y="0"/>
              </a:lnTo>
              <a:lnTo>
                <a:pt x="41" y="0"/>
              </a:lnTo>
              <a:lnTo>
                <a:pt x="43" y="2"/>
              </a:lnTo>
              <a:lnTo>
                <a:pt x="47" y="2"/>
              </a:lnTo>
              <a:lnTo>
                <a:pt x="50" y="0"/>
              </a:lnTo>
              <a:lnTo>
                <a:pt x="53" y="0"/>
              </a:lnTo>
              <a:lnTo>
                <a:pt x="53" y="4"/>
              </a:lnTo>
              <a:lnTo>
                <a:pt x="55" y="8"/>
              </a:lnTo>
              <a:lnTo>
                <a:pt x="58" y="6"/>
              </a:lnTo>
              <a:lnTo>
                <a:pt x="61" y="8"/>
              </a:lnTo>
              <a:lnTo>
                <a:pt x="64" y="11"/>
              </a:lnTo>
              <a:lnTo>
                <a:pt x="68" y="6"/>
              </a:lnTo>
              <a:lnTo>
                <a:pt x="71" y="6"/>
              </a:lnTo>
              <a:lnTo>
                <a:pt x="74" y="6"/>
              </a:lnTo>
              <a:lnTo>
                <a:pt x="77" y="4"/>
              </a:lnTo>
              <a:lnTo>
                <a:pt x="80" y="4"/>
              </a:lnTo>
              <a:lnTo>
                <a:pt x="82" y="8"/>
              </a:lnTo>
              <a:lnTo>
                <a:pt x="83" y="12"/>
              </a:lnTo>
              <a:lnTo>
                <a:pt x="86" y="15"/>
              </a:lnTo>
              <a:lnTo>
                <a:pt x="86" y="19"/>
              </a:lnTo>
              <a:lnTo>
                <a:pt x="86" y="23"/>
              </a:lnTo>
              <a:lnTo>
                <a:pt x="88" y="27"/>
              </a:lnTo>
              <a:lnTo>
                <a:pt x="91" y="29"/>
              </a:lnTo>
              <a:lnTo>
                <a:pt x="91" y="34"/>
              </a:lnTo>
              <a:lnTo>
                <a:pt x="93" y="38"/>
              </a:lnTo>
              <a:lnTo>
                <a:pt x="91" y="42"/>
              </a:lnTo>
              <a:lnTo>
                <a:pt x="94" y="44"/>
              </a:lnTo>
              <a:lnTo>
                <a:pt x="96" y="48"/>
              </a:lnTo>
              <a:lnTo>
                <a:pt x="99" y="51"/>
              </a:lnTo>
              <a:lnTo>
                <a:pt x="102" y="48"/>
              </a:lnTo>
              <a:lnTo>
                <a:pt x="105" y="51"/>
              </a:lnTo>
              <a:lnTo>
                <a:pt x="109" y="51"/>
              </a:lnTo>
              <a:lnTo>
                <a:pt x="112" y="48"/>
              </a:lnTo>
              <a:lnTo>
                <a:pt x="115" y="47"/>
              </a:lnTo>
              <a:lnTo>
                <a:pt x="118" y="44"/>
              </a:lnTo>
              <a:lnTo>
                <a:pt x="121" y="44"/>
              </a:lnTo>
              <a:lnTo>
                <a:pt x="123" y="44"/>
              </a:lnTo>
              <a:lnTo>
                <a:pt x="123" y="48"/>
              </a:lnTo>
              <a:lnTo>
                <a:pt x="119" y="51"/>
              </a:lnTo>
              <a:lnTo>
                <a:pt x="119" y="55"/>
              </a:lnTo>
              <a:lnTo>
                <a:pt x="121" y="57"/>
              </a:lnTo>
              <a:lnTo>
                <a:pt x="119" y="61"/>
              </a:lnTo>
              <a:lnTo>
                <a:pt x="116" y="61"/>
              </a:lnTo>
              <a:lnTo>
                <a:pt x="112" y="61"/>
              </a:lnTo>
              <a:lnTo>
                <a:pt x="108" y="64"/>
              </a:lnTo>
              <a:lnTo>
                <a:pt x="107" y="68"/>
              </a:lnTo>
              <a:lnTo>
                <a:pt x="102" y="68"/>
              </a:lnTo>
              <a:lnTo>
                <a:pt x="98" y="68"/>
              </a:lnTo>
              <a:lnTo>
                <a:pt x="93" y="68"/>
              </a:lnTo>
              <a:lnTo>
                <a:pt x="89" y="72"/>
              </a:lnTo>
              <a:lnTo>
                <a:pt x="86" y="74"/>
              </a:lnTo>
              <a:lnTo>
                <a:pt x="82" y="76"/>
              </a:lnTo>
              <a:lnTo>
                <a:pt x="80" y="80"/>
              </a:lnTo>
              <a:lnTo>
                <a:pt x="77" y="83"/>
              </a:lnTo>
              <a:lnTo>
                <a:pt x="74" y="87"/>
              </a:lnTo>
              <a:lnTo>
                <a:pt x="71" y="89"/>
              </a:lnTo>
              <a:lnTo>
                <a:pt x="71" y="87"/>
              </a:lnTo>
              <a:lnTo>
                <a:pt x="69" y="85"/>
              </a:lnTo>
              <a:lnTo>
                <a:pt x="68" y="85"/>
              </a:lnTo>
              <a:lnTo>
                <a:pt x="64" y="87"/>
              </a:lnTo>
              <a:lnTo>
                <a:pt x="63" y="83"/>
              </a:lnTo>
              <a:lnTo>
                <a:pt x="59" y="80"/>
              </a:lnTo>
              <a:lnTo>
                <a:pt x="57" y="80"/>
              </a:lnTo>
              <a:lnTo>
                <a:pt x="53" y="80"/>
              </a:lnTo>
              <a:lnTo>
                <a:pt x="52" y="76"/>
              </a:lnTo>
              <a:lnTo>
                <a:pt x="53" y="72"/>
              </a:lnTo>
              <a:lnTo>
                <a:pt x="53" y="68"/>
              </a:lnTo>
              <a:lnTo>
                <a:pt x="50" y="65"/>
              </a:lnTo>
              <a:lnTo>
                <a:pt x="48" y="61"/>
              </a:lnTo>
              <a:lnTo>
                <a:pt x="50" y="57"/>
              </a:lnTo>
              <a:lnTo>
                <a:pt x="47" y="53"/>
              </a:lnTo>
              <a:lnTo>
                <a:pt x="42" y="51"/>
              </a:lnTo>
              <a:lnTo>
                <a:pt x="39" y="51"/>
              </a:lnTo>
              <a:lnTo>
                <a:pt x="36" y="53"/>
              </a:lnTo>
              <a:lnTo>
                <a:pt x="33" y="53"/>
              </a:lnTo>
              <a:lnTo>
                <a:pt x="30" y="48"/>
              </a:lnTo>
              <a:lnTo>
                <a:pt x="26" y="47"/>
              </a:lnTo>
              <a:lnTo>
                <a:pt x="23" y="47"/>
              </a:lnTo>
              <a:lnTo>
                <a:pt x="20" y="47"/>
              </a:lnTo>
              <a:lnTo>
                <a:pt x="17" y="44"/>
              </a:lnTo>
              <a:lnTo>
                <a:pt x="14" y="44"/>
              </a:lnTo>
              <a:lnTo>
                <a:pt x="11" y="47"/>
              </a:lnTo>
              <a:lnTo>
                <a:pt x="7" y="48"/>
              </a:lnTo>
              <a:lnTo>
                <a:pt x="4" y="48"/>
              </a:lnTo>
              <a:lnTo>
                <a:pt x="1" y="47"/>
              </a:lnTo>
              <a:lnTo>
                <a:pt x="0" y="47"/>
              </a:lnTo>
              <a:lnTo>
                <a:pt x="1" y="46"/>
              </a:lnTo>
              <a:lnTo>
                <a:pt x="4" y="42"/>
              </a:lnTo>
              <a:lnTo>
                <a:pt x="7" y="40"/>
              </a:lnTo>
              <a:lnTo>
                <a:pt x="11" y="38"/>
              </a:lnTo>
              <a:lnTo>
                <a:pt x="14" y="36"/>
              </a:lnTo>
              <a:lnTo>
                <a:pt x="14" y="32"/>
              </a:lnTo>
              <a:lnTo>
                <a:pt x="14" y="27"/>
              </a:lnTo>
              <a:lnTo>
                <a:pt x="17" y="25"/>
              </a:lnTo>
              <a:lnTo>
                <a:pt x="18" y="21"/>
              </a:lnTo>
              <a:lnTo>
                <a:pt x="20" y="17"/>
              </a:lnTo>
              <a:lnTo>
                <a:pt x="23" y="12"/>
              </a:lnTo>
              <a:lnTo>
                <a:pt x="26" y="11"/>
              </a:lnTo>
              <a:lnTo>
                <a:pt x="30" y="8"/>
              </a:lnTo>
              <a:lnTo>
                <a:pt x="28" y="8"/>
              </a:lnTo>
              <a:close/>
            </a:path>
          </a:pathLst>
        </a:custGeom>
        <a:solidFill>
          <a:srgbClr val="0000BF"/>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endParaRPr lang="en-US" sz="1055">
            <a:solidFill>
              <a:prstClr val="black"/>
            </a:solidFill>
            <a:latin typeface="Calibri" panose="020F0502020204030204"/>
          </a:endParaRPr>
        </a:p>
      </xdr:txBody>
    </xdr:sp>
    <xdr:clientData/>
  </xdr:twoCellAnchor>
  <xdr:twoCellAnchor>
    <xdr:from>
      <xdr:col>1</xdr:col>
      <xdr:colOff>449263</xdr:colOff>
      <xdr:row>58</xdr:row>
      <xdr:rowOff>6350</xdr:rowOff>
    </xdr:from>
    <xdr:to>
      <xdr:col>2</xdr:col>
      <xdr:colOff>423863</xdr:colOff>
      <xdr:row>60</xdr:row>
      <xdr:rowOff>111125</xdr:rowOff>
    </xdr:to>
    <xdr:sp macro="" textlink="">
      <xdr:nvSpPr>
        <xdr:cNvPr id="29" name="Freeform 99">
          <a:extLst>
            <a:ext uri="{FF2B5EF4-FFF2-40B4-BE49-F238E27FC236}">
              <a16:creationId xmlns:a16="http://schemas.microsoft.com/office/drawing/2014/main" id="{0C484DCC-D7A5-4888-8B26-83BC1420476D}"/>
            </a:ext>
          </a:extLst>
        </xdr:cNvPr>
        <xdr:cNvSpPr>
          <a:spLocks noChangeAspect="1"/>
        </xdr:cNvSpPr>
      </xdr:nvSpPr>
      <xdr:spPr bwMode="gray">
        <a:xfrm>
          <a:off x="1982788" y="10207625"/>
          <a:ext cx="612775" cy="428625"/>
        </a:xfrm>
        <a:custGeom>
          <a:avLst/>
          <a:gdLst>
            <a:gd name="T0" fmla="*/ 125 w 91"/>
            <a:gd name="T1" fmla="*/ 11 h 68"/>
            <a:gd name="T2" fmla="*/ 85 w 91"/>
            <a:gd name="T3" fmla="*/ 34 h 68"/>
            <a:gd name="T4" fmla="*/ 80 w 91"/>
            <a:gd name="T5" fmla="*/ 79 h 68"/>
            <a:gd name="T6" fmla="*/ 51 w 91"/>
            <a:gd name="T7" fmla="*/ 108 h 68"/>
            <a:gd name="T8" fmla="*/ 34 w 91"/>
            <a:gd name="T9" fmla="*/ 142 h 68"/>
            <a:gd name="T10" fmla="*/ 6 w 91"/>
            <a:gd name="T11" fmla="*/ 170 h 68"/>
            <a:gd name="T12" fmla="*/ 0 w 91"/>
            <a:gd name="T13" fmla="*/ 216 h 68"/>
            <a:gd name="T14" fmla="*/ 6 w 91"/>
            <a:gd name="T15" fmla="*/ 261 h 68"/>
            <a:gd name="T16" fmla="*/ 45 w 91"/>
            <a:gd name="T17" fmla="*/ 250 h 68"/>
            <a:gd name="T18" fmla="*/ 80 w 91"/>
            <a:gd name="T19" fmla="*/ 290 h 68"/>
            <a:gd name="T20" fmla="*/ 80 w 91"/>
            <a:gd name="T21" fmla="*/ 335 h 68"/>
            <a:gd name="T22" fmla="*/ 85 w 91"/>
            <a:gd name="T23" fmla="*/ 346 h 68"/>
            <a:gd name="T24" fmla="*/ 125 w 91"/>
            <a:gd name="T25" fmla="*/ 358 h 68"/>
            <a:gd name="T26" fmla="*/ 159 w 91"/>
            <a:gd name="T27" fmla="*/ 369 h 68"/>
            <a:gd name="T28" fmla="*/ 193 w 91"/>
            <a:gd name="T29" fmla="*/ 358 h 68"/>
            <a:gd name="T30" fmla="*/ 227 w 91"/>
            <a:gd name="T31" fmla="*/ 369 h 68"/>
            <a:gd name="T32" fmla="*/ 256 w 91"/>
            <a:gd name="T33" fmla="*/ 386 h 68"/>
            <a:gd name="T34" fmla="*/ 290 w 91"/>
            <a:gd name="T35" fmla="*/ 369 h 68"/>
            <a:gd name="T36" fmla="*/ 307 w 91"/>
            <a:gd name="T37" fmla="*/ 346 h 68"/>
            <a:gd name="T38" fmla="*/ 341 w 91"/>
            <a:gd name="T39" fmla="*/ 318 h 68"/>
            <a:gd name="T40" fmla="*/ 386 w 91"/>
            <a:gd name="T41" fmla="*/ 346 h 68"/>
            <a:gd name="T42" fmla="*/ 420 w 91"/>
            <a:gd name="T43" fmla="*/ 335 h 68"/>
            <a:gd name="T44" fmla="*/ 455 w 91"/>
            <a:gd name="T45" fmla="*/ 335 h 68"/>
            <a:gd name="T46" fmla="*/ 483 w 91"/>
            <a:gd name="T47" fmla="*/ 295 h 68"/>
            <a:gd name="T48" fmla="*/ 489 w 91"/>
            <a:gd name="T49" fmla="*/ 261 h 68"/>
            <a:gd name="T50" fmla="*/ 517 w 91"/>
            <a:gd name="T51" fmla="*/ 233 h 68"/>
            <a:gd name="T52" fmla="*/ 483 w 91"/>
            <a:gd name="T53" fmla="*/ 233 h 68"/>
            <a:gd name="T54" fmla="*/ 455 w 91"/>
            <a:gd name="T55" fmla="*/ 199 h 68"/>
            <a:gd name="T56" fmla="*/ 420 w 91"/>
            <a:gd name="T57" fmla="*/ 199 h 68"/>
            <a:gd name="T58" fmla="*/ 420 w 91"/>
            <a:gd name="T59" fmla="*/ 153 h 68"/>
            <a:gd name="T60" fmla="*/ 403 w 91"/>
            <a:gd name="T61" fmla="*/ 119 h 68"/>
            <a:gd name="T62" fmla="*/ 403 w 91"/>
            <a:gd name="T63" fmla="*/ 68 h 68"/>
            <a:gd name="T64" fmla="*/ 358 w 91"/>
            <a:gd name="T65" fmla="*/ 34 h 68"/>
            <a:gd name="T66" fmla="*/ 324 w 91"/>
            <a:gd name="T67" fmla="*/ 40 h 68"/>
            <a:gd name="T68" fmla="*/ 290 w 91"/>
            <a:gd name="T69" fmla="*/ 23 h 68"/>
            <a:gd name="T70" fmla="*/ 256 w 91"/>
            <a:gd name="T71" fmla="*/ 6 h 68"/>
            <a:gd name="T72" fmla="*/ 222 w 91"/>
            <a:gd name="T73" fmla="*/ 0 h 68"/>
            <a:gd name="T74" fmla="*/ 182 w 91"/>
            <a:gd name="T75" fmla="*/ 6 h 68"/>
            <a:gd name="T76" fmla="*/ 148 w 91"/>
            <a:gd name="T77" fmla="*/ 23 h 68"/>
            <a:gd name="T78" fmla="*/ 125 w 91"/>
            <a:gd name="T79" fmla="*/ 6 h 68"/>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1" h="68">
              <a:moveTo>
                <a:pt x="23" y="2"/>
              </a:moveTo>
              <a:lnTo>
                <a:pt x="22" y="2"/>
              </a:lnTo>
              <a:lnTo>
                <a:pt x="18" y="4"/>
              </a:lnTo>
              <a:lnTo>
                <a:pt x="15" y="6"/>
              </a:lnTo>
              <a:lnTo>
                <a:pt x="14" y="10"/>
              </a:lnTo>
              <a:lnTo>
                <a:pt x="14" y="14"/>
              </a:lnTo>
              <a:lnTo>
                <a:pt x="10" y="14"/>
              </a:lnTo>
              <a:lnTo>
                <a:pt x="9" y="19"/>
              </a:lnTo>
              <a:lnTo>
                <a:pt x="9" y="23"/>
              </a:lnTo>
              <a:lnTo>
                <a:pt x="6" y="25"/>
              </a:lnTo>
              <a:lnTo>
                <a:pt x="3" y="27"/>
              </a:lnTo>
              <a:lnTo>
                <a:pt x="1" y="30"/>
              </a:lnTo>
              <a:lnTo>
                <a:pt x="0" y="34"/>
              </a:lnTo>
              <a:lnTo>
                <a:pt x="0" y="38"/>
              </a:lnTo>
              <a:lnTo>
                <a:pt x="0" y="42"/>
              </a:lnTo>
              <a:lnTo>
                <a:pt x="1" y="46"/>
              </a:lnTo>
              <a:lnTo>
                <a:pt x="5" y="46"/>
              </a:lnTo>
              <a:lnTo>
                <a:pt x="8" y="44"/>
              </a:lnTo>
              <a:lnTo>
                <a:pt x="10" y="48"/>
              </a:lnTo>
              <a:lnTo>
                <a:pt x="14" y="51"/>
              </a:lnTo>
              <a:lnTo>
                <a:pt x="14" y="54"/>
              </a:lnTo>
              <a:lnTo>
                <a:pt x="14" y="59"/>
              </a:lnTo>
              <a:lnTo>
                <a:pt x="13" y="61"/>
              </a:lnTo>
              <a:lnTo>
                <a:pt x="15" y="61"/>
              </a:lnTo>
              <a:lnTo>
                <a:pt x="18" y="61"/>
              </a:lnTo>
              <a:lnTo>
                <a:pt x="22" y="63"/>
              </a:lnTo>
              <a:lnTo>
                <a:pt x="24" y="65"/>
              </a:lnTo>
              <a:lnTo>
                <a:pt x="28" y="65"/>
              </a:lnTo>
              <a:lnTo>
                <a:pt x="30" y="63"/>
              </a:lnTo>
              <a:lnTo>
                <a:pt x="34" y="63"/>
              </a:lnTo>
              <a:lnTo>
                <a:pt x="37" y="63"/>
              </a:lnTo>
              <a:lnTo>
                <a:pt x="40" y="65"/>
              </a:lnTo>
              <a:lnTo>
                <a:pt x="42" y="65"/>
              </a:lnTo>
              <a:lnTo>
                <a:pt x="45" y="68"/>
              </a:lnTo>
              <a:lnTo>
                <a:pt x="47" y="68"/>
              </a:lnTo>
              <a:lnTo>
                <a:pt x="51" y="65"/>
              </a:lnTo>
              <a:lnTo>
                <a:pt x="51" y="61"/>
              </a:lnTo>
              <a:lnTo>
                <a:pt x="54" y="61"/>
              </a:lnTo>
              <a:lnTo>
                <a:pt x="57" y="59"/>
              </a:lnTo>
              <a:lnTo>
                <a:pt x="60" y="56"/>
              </a:lnTo>
              <a:lnTo>
                <a:pt x="63" y="59"/>
              </a:lnTo>
              <a:lnTo>
                <a:pt x="68" y="61"/>
              </a:lnTo>
              <a:lnTo>
                <a:pt x="73" y="61"/>
              </a:lnTo>
              <a:lnTo>
                <a:pt x="74" y="59"/>
              </a:lnTo>
              <a:lnTo>
                <a:pt x="77" y="56"/>
              </a:lnTo>
              <a:lnTo>
                <a:pt x="80" y="59"/>
              </a:lnTo>
              <a:lnTo>
                <a:pt x="83" y="56"/>
              </a:lnTo>
              <a:lnTo>
                <a:pt x="85" y="52"/>
              </a:lnTo>
              <a:lnTo>
                <a:pt x="83" y="48"/>
              </a:lnTo>
              <a:lnTo>
                <a:pt x="86" y="46"/>
              </a:lnTo>
              <a:lnTo>
                <a:pt x="89" y="46"/>
              </a:lnTo>
              <a:lnTo>
                <a:pt x="91" y="41"/>
              </a:lnTo>
              <a:lnTo>
                <a:pt x="88" y="40"/>
              </a:lnTo>
              <a:lnTo>
                <a:pt x="85" y="41"/>
              </a:lnTo>
              <a:lnTo>
                <a:pt x="83" y="38"/>
              </a:lnTo>
              <a:lnTo>
                <a:pt x="80" y="35"/>
              </a:lnTo>
              <a:lnTo>
                <a:pt x="77" y="35"/>
              </a:lnTo>
              <a:lnTo>
                <a:pt x="74" y="35"/>
              </a:lnTo>
              <a:lnTo>
                <a:pt x="73" y="31"/>
              </a:lnTo>
              <a:lnTo>
                <a:pt x="74" y="27"/>
              </a:lnTo>
              <a:lnTo>
                <a:pt x="74" y="23"/>
              </a:lnTo>
              <a:lnTo>
                <a:pt x="71" y="21"/>
              </a:lnTo>
              <a:lnTo>
                <a:pt x="69" y="16"/>
              </a:lnTo>
              <a:lnTo>
                <a:pt x="71" y="12"/>
              </a:lnTo>
              <a:lnTo>
                <a:pt x="68" y="7"/>
              </a:lnTo>
              <a:lnTo>
                <a:pt x="63" y="6"/>
              </a:lnTo>
              <a:lnTo>
                <a:pt x="60" y="6"/>
              </a:lnTo>
              <a:lnTo>
                <a:pt x="57" y="7"/>
              </a:lnTo>
              <a:lnTo>
                <a:pt x="54" y="7"/>
              </a:lnTo>
              <a:lnTo>
                <a:pt x="51" y="4"/>
              </a:lnTo>
              <a:lnTo>
                <a:pt x="47" y="1"/>
              </a:lnTo>
              <a:lnTo>
                <a:pt x="45" y="1"/>
              </a:lnTo>
              <a:lnTo>
                <a:pt x="42" y="1"/>
              </a:lnTo>
              <a:lnTo>
                <a:pt x="39" y="0"/>
              </a:lnTo>
              <a:lnTo>
                <a:pt x="36" y="0"/>
              </a:lnTo>
              <a:lnTo>
                <a:pt x="32" y="1"/>
              </a:lnTo>
              <a:lnTo>
                <a:pt x="29" y="4"/>
              </a:lnTo>
              <a:lnTo>
                <a:pt x="26" y="4"/>
              </a:lnTo>
              <a:lnTo>
                <a:pt x="23" y="1"/>
              </a:lnTo>
              <a:lnTo>
                <a:pt x="22" y="1"/>
              </a:lnTo>
              <a:lnTo>
                <a:pt x="23" y="2"/>
              </a:lnTo>
              <a:close/>
            </a:path>
          </a:pathLst>
        </a:custGeom>
        <a:solidFill>
          <a:srgbClr val="0000BF"/>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1</xdr:col>
      <xdr:colOff>536576</xdr:colOff>
      <xdr:row>60</xdr:row>
      <xdr:rowOff>41275</xdr:rowOff>
    </xdr:from>
    <xdr:to>
      <xdr:col>2</xdr:col>
      <xdr:colOff>377826</xdr:colOff>
      <xdr:row>62</xdr:row>
      <xdr:rowOff>44450</xdr:rowOff>
    </xdr:to>
    <xdr:sp macro="" textlink="">
      <xdr:nvSpPr>
        <xdr:cNvPr id="30" name="Freeform 100">
          <a:extLst>
            <a:ext uri="{FF2B5EF4-FFF2-40B4-BE49-F238E27FC236}">
              <a16:creationId xmlns:a16="http://schemas.microsoft.com/office/drawing/2014/main" id="{D12A05CE-137C-4E0F-9839-5F58CB86E69E}"/>
            </a:ext>
          </a:extLst>
        </xdr:cNvPr>
        <xdr:cNvSpPr>
          <a:spLocks noChangeAspect="1"/>
        </xdr:cNvSpPr>
      </xdr:nvSpPr>
      <xdr:spPr bwMode="gray">
        <a:xfrm>
          <a:off x="2070101" y="10566400"/>
          <a:ext cx="479425" cy="327025"/>
        </a:xfrm>
        <a:custGeom>
          <a:avLst/>
          <a:gdLst>
            <a:gd name="T0" fmla="*/ 6 w 71"/>
            <a:gd name="T1" fmla="*/ 23 h 52"/>
            <a:gd name="T2" fmla="*/ 23 w 71"/>
            <a:gd name="T3" fmla="*/ 23 h 52"/>
            <a:gd name="T4" fmla="*/ 40 w 71"/>
            <a:gd name="T5" fmla="*/ 23 h 52"/>
            <a:gd name="T6" fmla="*/ 57 w 71"/>
            <a:gd name="T7" fmla="*/ 34 h 52"/>
            <a:gd name="T8" fmla="*/ 74 w 71"/>
            <a:gd name="T9" fmla="*/ 45 h 52"/>
            <a:gd name="T10" fmla="*/ 91 w 71"/>
            <a:gd name="T11" fmla="*/ 45 h 52"/>
            <a:gd name="T12" fmla="*/ 108 w 71"/>
            <a:gd name="T13" fmla="*/ 34 h 52"/>
            <a:gd name="T14" fmla="*/ 125 w 71"/>
            <a:gd name="T15" fmla="*/ 34 h 52"/>
            <a:gd name="T16" fmla="*/ 142 w 71"/>
            <a:gd name="T17" fmla="*/ 34 h 52"/>
            <a:gd name="T18" fmla="*/ 159 w 71"/>
            <a:gd name="T19" fmla="*/ 45 h 52"/>
            <a:gd name="T20" fmla="*/ 170 w 71"/>
            <a:gd name="T21" fmla="*/ 45 h 52"/>
            <a:gd name="T22" fmla="*/ 187 w 71"/>
            <a:gd name="T23" fmla="*/ 57 h 52"/>
            <a:gd name="T24" fmla="*/ 199 w 71"/>
            <a:gd name="T25" fmla="*/ 57 h 52"/>
            <a:gd name="T26" fmla="*/ 221 w 71"/>
            <a:gd name="T27" fmla="*/ 45 h 52"/>
            <a:gd name="T28" fmla="*/ 221 w 71"/>
            <a:gd name="T29" fmla="*/ 23 h 52"/>
            <a:gd name="T30" fmla="*/ 233 w 71"/>
            <a:gd name="T31" fmla="*/ 23 h 52"/>
            <a:gd name="T32" fmla="*/ 250 w 71"/>
            <a:gd name="T33" fmla="*/ 11 h 52"/>
            <a:gd name="T34" fmla="*/ 272 w 71"/>
            <a:gd name="T35" fmla="*/ 0 h 52"/>
            <a:gd name="T36" fmla="*/ 289 w 71"/>
            <a:gd name="T37" fmla="*/ 11 h 52"/>
            <a:gd name="T38" fmla="*/ 312 w 71"/>
            <a:gd name="T39" fmla="*/ 23 h 52"/>
            <a:gd name="T40" fmla="*/ 341 w 71"/>
            <a:gd name="T41" fmla="*/ 23 h 52"/>
            <a:gd name="T42" fmla="*/ 346 w 71"/>
            <a:gd name="T43" fmla="*/ 11 h 52"/>
            <a:gd name="T44" fmla="*/ 363 w 71"/>
            <a:gd name="T45" fmla="*/ 0 h 52"/>
            <a:gd name="T46" fmla="*/ 380 w 71"/>
            <a:gd name="T47" fmla="*/ 11 h 52"/>
            <a:gd name="T48" fmla="*/ 392 w 71"/>
            <a:gd name="T49" fmla="*/ 34 h 52"/>
            <a:gd name="T50" fmla="*/ 403 w 71"/>
            <a:gd name="T51" fmla="*/ 57 h 52"/>
            <a:gd name="T52" fmla="*/ 392 w 71"/>
            <a:gd name="T53" fmla="*/ 79 h 52"/>
            <a:gd name="T54" fmla="*/ 403 w 71"/>
            <a:gd name="T55" fmla="*/ 108 h 52"/>
            <a:gd name="T56" fmla="*/ 403 w 71"/>
            <a:gd name="T57" fmla="*/ 130 h 52"/>
            <a:gd name="T58" fmla="*/ 392 w 71"/>
            <a:gd name="T59" fmla="*/ 153 h 52"/>
            <a:gd name="T60" fmla="*/ 380 w 71"/>
            <a:gd name="T61" fmla="*/ 176 h 52"/>
            <a:gd name="T62" fmla="*/ 380 w 71"/>
            <a:gd name="T63" fmla="*/ 199 h 52"/>
            <a:gd name="T64" fmla="*/ 369 w 71"/>
            <a:gd name="T65" fmla="*/ 238 h 52"/>
            <a:gd name="T66" fmla="*/ 346 w 71"/>
            <a:gd name="T67" fmla="*/ 244 h 52"/>
            <a:gd name="T68" fmla="*/ 324 w 71"/>
            <a:gd name="T69" fmla="*/ 272 h 52"/>
            <a:gd name="T70" fmla="*/ 324 w 71"/>
            <a:gd name="T71" fmla="*/ 278 h 52"/>
            <a:gd name="T72" fmla="*/ 295 w 71"/>
            <a:gd name="T73" fmla="*/ 295 h 52"/>
            <a:gd name="T74" fmla="*/ 278 w 71"/>
            <a:gd name="T75" fmla="*/ 295 h 52"/>
            <a:gd name="T76" fmla="*/ 261 w 71"/>
            <a:gd name="T77" fmla="*/ 284 h 52"/>
            <a:gd name="T78" fmla="*/ 278 w 71"/>
            <a:gd name="T79" fmla="*/ 272 h 52"/>
            <a:gd name="T80" fmla="*/ 295 w 71"/>
            <a:gd name="T81" fmla="*/ 244 h 52"/>
            <a:gd name="T82" fmla="*/ 307 w 71"/>
            <a:gd name="T83" fmla="*/ 221 h 52"/>
            <a:gd name="T84" fmla="*/ 289 w 71"/>
            <a:gd name="T85" fmla="*/ 210 h 52"/>
            <a:gd name="T86" fmla="*/ 272 w 71"/>
            <a:gd name="T87" fmla="*/ 221 h 52"/>
            <a:gd name="T88" fmla="*/ 255 w 71"/>
            <a:gd name="T89" fmla="*/ 210 h 52"/>
            <a:gd name="T90" fmla="*/ 233 w 71"/>
            <a:gd name="T91" fmla="*/ 187 h 52"/>
            <a:gd name="T92" fmla="*/ 221 w 71"/>
            <a:gd name="T93" fmla="*/ 176 h 52"/>
            <a:gd name="T94" fmla="*/ 199 w 71"/>
            <a:gd name="T95" fmla="*/ 165 h 52"/>
            <a:gd name="T96" fmla="*/ 187 w 71"/>
            <a:gd name="T97" fmla="*/ 153 h 52"/>
            <a:gd name="T98" fmla="*/ 159 w 71"/>
            <a:gd name="T99" fmla="*/ 142 h 52"/>
            <a:gd name="T100" fmla="*/ 142 w 71"/>
            <a:gd name="T101" fmla="*/ 142 h 52"/>
            <a:gd name="T102" fmla="*/ 125 w 71"/>
            <a:gd name="T103" fmla="*/ 130 h 52"/>
            <a:gd name="T104" fmla="*/ 108 w 71"/>
            <a:gd name="T105" fmla="*/ 119 h 52"/>
            <a:gd name="T106" fmla="*/ 91 w 71"/>
            <a:gd name="T107" fmla="*/ 108 h 52"/>
            <a:gd name="T108" fmla="*/ 62 w 71"/>
            <a:gd name="T109" fmla="*/ 108 h 52"/>
            <a:gd name="T110" fmla="*/ 51 w 71"/>
            <a:gd name="T111" fmla="*/ 108 h 52"/>
            <a:gd name="T112" fmla="*/ 34 w 71"/>
            <a:gd name="T113" fmla="*/ 108 h 52"/>
            <a:gd name="T114" fmla="*/ 11 w 71"/>
            <a:gd name="T115" fmla="*/ 96 h 52"/>
            <a:gd name="T116" fmla="*/ 0 w 71"/>
            <a:gd name="T117" fmla="*/ 79 h 52"/>
            <a:gd name="T118" fmla="*/ 6 w 71"/>
            <a:gd name="T119" fmla="*/ 57 h 52"/>
            <a:gd name="T120" fmla="*/ 6 w 71"/>
            <a:gd name="T121" fmla="*/ 34 h 52"/>
            <a:gd name="T122" fmla="*/ 11 w 71"/>
            <a:gd name="T123" fmla="*/ 23 h 52"/>
            <a:gd name="T124" fmla="*/ 6 w 71"/>
            <a:gd name="T125" fmla="*/ 23 h 5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52">
              <a:moveTo>
                <a:pt x="1" y="4"/>
              </a:moveTo>
              <a:lnTo>
                <a:pt x="4" y="4"/>
              </a:lnTo>
              <a:lnTo>
                <a:pt x="7" y="4"/>
              </a:lnTo>
              <a:lnTo>
                <a:pt x="10" y="6"/>
              </a:lnTo>
              <a:lnTo>
                <a:pt x="13" y="8"/>
              </a:lnTo>
              <a:lnTo>
                <a:pt x="16" y="8"/>
              </a:lnTo>
              <a:lnTo>
                <a:pt x="19" y="6"/>
              </a:lnTo>
              <a:lnTo>
                <a:pt x="22" y="6"/>
              </a:lnTo>
              <a:lnTo>
                <a:pt x="25" y="6"/>
              </a:lnTo>
              <a:lnTo>
                <a:pt x="28" y="8"/>
              </a:lnTo>
              <a:lnTo>
                <a:pt x="30" y="8"/>
              </a:lnTo>
              <a:lnTo>
                <a:pt x="33" y="10"/>
              </a:lnTo>
              <a:lnTo>
                <a:pt x="35" y="10"/>
              </a:lnTo>
              <a:lnTo>
                <a:pt x="39" y="8"/>
              </a:lnTo>
              <a:lnTo>
                <a:pt x="39" y="4"/>
              </a:lnTo>
              <a:lnTo>
                <a:pt x="41" y="4"/>
              </a:lnTo>
              <a:lnTo>
                <a:pt x="44" y="2"/>
              </a:lnTo>
              <a:lnTo>
                <a:pt x="48" y="0"/>
              </a:lnTo>
              <a:lnTo>
                <a:pt x="51" y="2"/>
              </a:lnTo>
              <a:lnTo>
                <a:pt x="55" y="4"/>
              </a:lnTo>
              <a:lnTo>
                <a:pt x="60" y="4"/>
              </a:lnTo>
              <a:lnTo>
                <a:pt x="61" y="2"/>
              </a:lnTo>
              <a:lnTo>
                <a:pt x="64" y="0"/>
              </a:lnTo>
              <a:lnTo>
                <a:pt x="67" y="2"/>
              </a:lnTo>
              <a:lnTo>
                <a:pt x="69" y="6"/>
              </a:lnTo>
              <a:lnTo>
                <a:pt x="71" y="10"/>
              </a:lnTo>
              <a:lnTo>
                <a:pt x="69" y="14"/>
              </a:lnTo>
              <a:lnTo>
                <a:pt x="71" y="19"/>
              </a:lnTo>
              <a:lnTo>
                <a:pt x="71" y="23"/>
              </a:lnTo>
              <a:lnTo>
                <a:pt x="69" y="27"/>
              </a:lnTo>
              <a:lnTo>
                <a:pt x="67" y="31"/>
              </a:lnTo>
              <a:lnTo>
                <a:pt x="67" y="35"/>
              </a:lnTo>
              <a:lnTo>
                <a:pt x="65" y="42"/>
              </a:lnTo>
              <a:lnTo>
                <a:pt x="61" y="43"/>
              </a:lnTo>
              <a:lnTo>
                <a:pt x="57" y="48"/>
              </a:lnTo>
              <a:lnTo>
                <a:pt x="57" y="49"/>
              </a:lnTo>
              <a:lnTo>
                <a:pt x="52" y="52"/>
              </a:lnTo>
              <a:lnTo>
                <a:pt x="49" y="52"/>
              </a:lnTo>
              <a:lnTo>
                <a:pt x="46" y="50"/>
              </a:lnTo>
              <a:lnTo>
                <a:pt x="49" y="48"/>
              </a:lnTo>
              <a:lnTo>
                <a:pt x="52" y="43"/>
              </a:lnTo>
              <a:lnTo>
                <a:pt x="54" y="39"/>
              </a:lnTo>
              <a:lnTo>
                <a:pt x="51" y="37"/>
              </a:lnTo>
              <a:lnTo>
                <a:pt x="48" y="39"/>
              </a:lnTo>
              <a:lnTo>
                <a:pt x="45" y="37"/>
              </a:lnTo>
              <a:lnTo>
                <a:pt x="41" y="33"/>
              </a:lnTo>
              <a:lnTo>
                <a:pt x="39" y="31"/>
              </a:lnTo>
              <a:lnTo>
                <a:pt x="35" y="29"/>
              </a:lnTo>
              <a:lnTo>
                <a:pt x="33" y="27"/>
              </a:lnTo>
              <a:lnTo>
                <a:pt x="28" y="25"/>
              </a:lnTo>
              <a:lnTo>
                <a:pt x="25" y="25"/>
              </a:lnTo>
              <a:lnTo>
                <a:pt x="22" y="23"/>
              </a:lnTo>
              <a:lnTo>
                <a:pt x="19" y="21"/>
              </a:lnTo>
              <a:lnTo>
                <a:pt x="16" y="19"/>
              </a:lnTo>
              <a:lnTo>
                <a:pt x="11" y="19"/>
              </a:lnTo>
              <a:lnTo>
                <a:pt x="9" y="19"/>
              </a:lnTo>
              <a:lnTo>
                <a:pt x="6" y="19"/>
              </a:lnTo>
              <a:lnTo>
                <a:pt x="2" y="17"/>
              </a:lnTo>
              <a:lnTo>
                <a:pt x="0" y="14"/>
              </a:lnTo>
              <a:lnTo>
                <a:pt x="1" y="10"/>
              </a:lnTo>
              <a:lnTo>
                <a:pt x="1" y="6"/>
              </a:lnTo>
              <a:lnTo>
                <a:pt x="2" y="4"/>
              </a:lnTo>
              <a:lnTo>
                <a:pt x="1" y="4"/>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endParaRPr lang="en-US" sz="1055">
            <a:solidFill>
              <a:prstClr val="black"/>
            </a:solidFill>
            <a:latin typeface="Calibri" panose="020F0502020204030204"/>
          </a:endParaRPr>
        </a:p>
      </xdr:txBody>
    </xdr:sp>
    <xdr:clientData/>
  </xdr:twoCellAnchor>
  <xdr:twoCellAnchor>
    <xdr:from>
      <xdr:col>1</xdr:col>
      <xdr:colOff>200026</xdr:colOff>
      <xdr:row>60</xdr:row>
      <xdr:rowOff>130175</xdr:rowOff>
    </xdr:from>
    <xdr:to>
      <xdr:col>2</xdr:col>
      <xdr:colOff>284163</xdr:colOff>
      <xdr:row>64</xdr:row>
      <xdr:rowOff>136525</xdr:rowOff>
    </xdr:to>
    <xdr:sp macro="" textlink="">
      <xdr:nvSpPr>
        <xdr:cNvPr id="31" name="Freeform 101">
          <a:extLst>
            <a:ext uri="{FF2B5EF4-FFF2-40B4-BE49-F238E27FC236}">
              <a16:creationId xmlns:a16="http://schemas.microsoft.com/office/drawing/2014/main" id="{21AD9D78-A812-4467-9336-AA271C258731}"/>
            </a:ext>
          </a:extLst>
        </xdr:cNvPr>
        <xdr:cNvSpPr>
          <a:spLocks noChangeAspect="1"/>
        </xdr:cNvSpPr>
      </xdr:nvSpPr>
      <xdr:spPr bwMode="gray">
        <a:xfrm>
          <a:off x="1733551" y="10655300"/>
          <a:ext cx="722312" cy="654050"/>
        </a:xfrm>
        <a:custGeom>
          <a:avLst/>
          <a:gdLst>
            <a:gd name="T0" fmla="*/ 580 w 107"/>
            <a:gd name="T1" fmla="*/ 210 h 104"/>
            <a:gd name="T2" fmla="*/ 545 w 107"/>
            <a:gd name="T3" fmla="*/ 199 h 104"/>
            <a:gd name="T4" fmla="*/ 580 w 107"/>
            <a:gd name="T5" fmla="*/ 165 h 104"/>
            <a:gd name="T6" fmla="*/ 574 w 107"/>
            <a:gd name="T7" fmla="*/ 125 h 104"/>
            <a:gd name="T8" fmla="*/ 540 w 107"/>
            <a:gd name="T9" fmla="*/ 125 h 104"/>
            <a:gd name="T10" fmla="*/ 506 w 107"/>
            <a:gd name="T11" fmla="*/ 91 h 104"/>
            <a:gd name="T12" fmla="*/ 466 w 107"/>
            <a:gd name="T13" fmla="*/ 68 h 104"/>
            <a:gd name="T14" fmla="*/ 426 w 107"/>
            <a:gd name="T15" fmla="*/ 57 h 104"/>
            <a:gd name="T16" fmla="*/ 386 w 107"/>
            <a:gd name="T17" fmla="*/ 34 h 104"/>
            <a:gd name="T18" fmla="*/ 347 w 107"/>
            <a:gd name="T19" fmla="*/ 23 h 104"/>
            <a:gd name="T20" fmla="*/ 313 w 107"/>
            <a:gd name="T21" fmla="*/ 23 h 104"/>
            <a:gd name="T22" fmla="*/ 273 w 107"/>
            <a:gd name="T23" fmla="*/ 0 h 104"/>
            <a:gd name="T24" fmla="*/ 244 w 107"/>
            <a:gd name="T25" fmla="*/ 23 h 104"/>
            <a:gd name="T26" fmla="*/ 210 w 107"/>
            <a:gd name="T27" fmla="*/ 34 h 104"/>
            <a:gd name="T28" fmla="*/ 176 w 107"/>
            <a:gd name="T29" fmla="*/ 68 h 104"/>
            <a:gd name="T30" fmla="*/ 142 w 107"/>
            <a:gd name="T31" fmla="*/ 102 h 104"/>
            <a:gd name="T32" fmla="*/ 108 w 107"/>
            <a:gd name="T33" fmla="*/ 153 h 104"/>
            <a:gd name="T34" fmla="*/ 68 w 107"/>
            <a:gd name="T35" fmla="*/ 199 h 104"/>
            <a:gd name="T36" fmla="*/ 28 w 107"/>
            <a:gd name="T37" fmla="*/ 255 h 104"/>
            <a:gd name="T38" fmla="*/ 0 w 107"/>
            <a:gd name="T39" fmla="*/ 306 h 104"/>
            <a:gd name="T40" fmla="*/ 34 w 107"/>
            <a:gd name="T41" fmla="*/ 289 h 104"/>
            <a:gd name="T42" fmla="*/ 80 w 107"/>
            <a:gd name="T43" fmla="*/ 289 h 104"/>
            <a:gd name="T44" fmla="*/ 114 w 107"/>
            <a:gd name="T45" fmla="*/ 340 h 104"/>
            <a:gd name="T46" fmla="*/ 148 w 107"/>
            <a:gd name="T47" fmla="*/ 352 h 104"/>
            <a:gd name="T48" fmla="*/ 188 w 107"/>
            <a:gd name="T49" fmla="*/ 374 h 104"/>
            <a:gd name="T50" fmla="*/ 222 w 107"/>
            <a:gd name="T51" fmla="*/ 397 h 104"/>
            <a:gd name="T52" fmla="*/ 256 w 107"/>
            <a:gd name="T53" fmla="*/ 425 h 104"/>
            <a:gd name="T54" fmla="*/ 290 w 107"/>
            <a:gd name="T55" fmla="*/ 471 h 104"/>
            <a:gd name="T56" fmla="*/ 324 w 107"/>
            <a:gd name="T57" fmla="*/ 505 h 104"/>
            <a:gd name="T58" fmla="*/ 318 w 107"/>
            <a:gd name="T59" fmla="*/ 545 h 104"/>
            <a:gd name="T60" fmla="*/ 313 w 107"/>
            <a:gd name="T61" fmla="*/ 590 h 104"/>
            <a:gd name="T62" fmla="*/ 347 w 107"/>
            <a:gd name="T63" fmla="*/ 573 h 104"/>
            <a:gd name="T64" fmla="*/ 375 w 107"/>
            <a:gd name="T65" fmla="*/ 545 h 104"/>
            <a:gd name="T66" fmla="*/ 398 w 107"/>
            <a:gd name="T67" fmla="*/ 494 h 104"/>
            <a:gd name="T68" fmla="*/ 426 w 107"/>
            <a:gd name="T69" fmla="*/ 460 h 104"/>
            <a:gd name="T70" fmla="*/ 460 w 107"/>
            <a:gd name="T71" fmla="*/ 425 h 104"/>
            <a:gd name="T72" fmla="*/ 494 w 107"/>
            <a:gd name="T73" fmla="*/ 386 h 104"/>
            <a:gd name="T74" fmla="*/ 528 w 107"/>
            <a:gd name="T75" fmla="*/ 352 h 104"/>
            <a:gd name="T76" fmla="*/ 545 w 107"/>
            <a:gd name="T77" fmla="*/ 289 h 104"/>
            <a:gd name="T78" fmla="*/ 580 w 107"/>
            <a:gd name="T79" fmla="*/ 233 h 104"/>
            <a:gd name="T80" fmla="*/ 608 w 107"/>
            <a:gd name="T81" fmla="*/ 187 h 10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07" h="104">
              <a:moveTo>
                <a:pt x="107" y="33"/>
              </a:moveTo>
              <a:lnTo>
                <a:pt x="102" y="37"/>
              </a:lnTo>
              <a:lnTo>
                <a:pt x="99" y="37"/>
              </a:lnTo>
              <a:lnTo>
                <a:pt x="96" y="35"/>
              </a:lnTo>
              <a:lnTo>
                <a:pt x="99" y="33"/>
              </a:lnTo>
              <a:lnTo>
                <a:pt x="102" y="29"/>
              </a:lnTo>
              <a:lnTo>
                <a:pt x="104" y="25"/>
              </a:lnTo>
              <a:lnTo>
                <a:pt x="101" y="22"/>
              </a:lnTo>
              <a:lnTo>
                <a:pt x="98" y="25"/>
              </a:lnTo>
              <a:lnTo>
                <a:pt x="95" y="22"/>
              </a:lnTo>
              <a:lnTo>
                <a:pt x="91" y="18"/>
              </a:lnTo>
              <a:lnTo>
                <a:pt x="89" y="16"/>
              </a:lnTo>
              <a:lnTo>
                <a:pt x="85" y="14"/>
              </a:lnTo>
              <a:lnTo>
                <a:pt x="82" y="12"/>
              </a:lnTo>
              <a:lnTo>
                <a:pt x="77" y="10"/>
              </a:lnTo>
              <a:lnTo>
                <a:pt x="75" y="10"/>
              </a:lnTo>
              <a:lnTo>
                <a:pt x="71" y="8"/>
              </a:lnTo>
              <a:lnTo>
                <a:pt x="68" y="6"/>
              </a:lnTo>
              <a:lnTo>
                <a:pt x="65" y="4"/>
              </a:lnTo>
              <a:lnTo>
                <a:pt x="61" y="4"/>
              </a:lnTo>
              <a:lnTo>
                <a:pt x="57" y="4"/>
              </a:lnTo>
              <a:lnTo>
                <a:pt x="55" y="4"/>
              </a:lnTo>
              <a:lnTo>
                <a:pt x="51" y="1"/>
              </a:lnTo>
              <a:lnTo>
                <a:pt x="48" y="0"/>
              </a:lnTo>
              <a:lnTo>
                <a:pt x="47" y="1"/>
              </a:lnTo>
              <a:lnTo>
                <a:pt x="43" y="4"/>
              </a:lnTo>
              <a:lnTo>
                <a:pt x="41" y="4"/>
              </a:lnTo>
              <a:lnTo>
                <a:pt x="37" y="6"/>
              </a:lnTo>
              <a:lnTo>
                <a:pt x="34" y="10"/>
              </a:lnTo>
              <a:lnTo>
                <a:pt x="31" y="12"/>
              </a:lnTo>
              <a:lnTo>
                <a:pt x="28" y="16"/>
              </a:lnTo>
              <a:lnTo>
                <a:pt x="25" y="18"/>
              </a:lnTo>
              <a:lnTo>
                <a:pt x="22" y="22"/>
              </a:lnTo>
              <a:lnTo>
                <a:pt x="19" y="27"/>
              </a:lnTo>
              <a:lnTo>
                <a:pt x="15" y="30"/>
              </a:lnTo>
              <a:lnTo>
                <a:pt x="12" y="35"/>
              </a:lnTo>
              <a:lnTo>
                <a:pt x="9" y="39"/>
              </a:lnTo>
              <a:lnTo>
                <a:pt x="5" y="45"/>
              </a:lnTo>
              <a:lnTo>
                <a:pt x="1" y="50"/>
              </a:lnTo>
              <a:lnTo>
                <a:pt x="0" y="54"/>
              </a:lnTo>
              <a:lnTo>
                <a:pt x="3" y="54"/>
              </a:lnTo>
              <a:lnTo>
                <a:pt x="6" y="51"/>
              </a:lnTo>
              <a:lnTo>
                <a:pt x="9" y="50"/>
              </a:lnTo>
              <a:lnTo>
                <a:pt x="14" y="51"/>
              </a:lnTo>
              <a:lnTo>
                <a:pt x="17" y="54"/>
              </a:lnTo>
              <a:lnTo>
                <a:pt x="20" y="60"/>
              </a:lnTo>
              <a:lnTo>
                <a:pt x="23" y="62"/>
              </a:lnTo>
              <a:lnTo>
                <a:pt x="26" y="62"/>
              </a:lnTo>
              <a:lnTo>
                <a:pt x="29" y="64"/>
              </a:lnTo>
              <a:lnTo>
                <a:pt x="33" y="66"/>
              </a:lnTo>
              <a:lnTo>
                <a:pt x="35" y="68"/>
              </a:lnTo>
              <a:lnTo>
                <a:pt x="39" y="70"/>
              </a:lnTo>
              <a:lnTo>
                <a:pt x="42" y="72"/>
              </a:lnTo>
              <a:lnTo>
                <a:pt x="45" y="75"/>
              </a:lnTo>
              <a:lnTo>
                <a:pt x="48" y="79"/>
              </a:lnTo>
              <a:lnTo>
                <a:pt x="51" y="83"/>
              </a:lnTo>
              <a:lnTo>
                <a:pt x="55" y="84"/>
              </a:lnTo>
              <a:lnTo>
                <a:pt x="57" y="89"/>
              </a:lnTo>
              <a:lnTo>
                <a:pt x="59" y="93"/>
              </a:lnTo>
              <a:lnTo>
                <a:pt x="56" y="96"/>
              </a:lnTo>
              <a:lnTo>
                <a:pt x="55" y="100"/>
              </a:lnTo>
              <a:lnTo>
                <a:pt x="55" y="104"/>
              </a:lnTo>
              <a:lnTo>
                <a:pt x="57" y="104"/>
              </a:lnTo>
              <a:lnTo>
                <a:pt x="61" y="101"/>
              </a:lnTo>
              <a:lnTo>
                <a:pt x="63" y="100"/>
              </a:lnTo>
              <a:lnTo>
                <a:pt x="66" y="96"/>
              </a:lnTo>
              <a:lnTo>
                <a:pt x="68" y="91"/>
              </a:lnTo>
              <a:lnTo>
                <a:pt x="70" y="87"/>
              </a:lnTo>
              <a:lnTo>
                <a:pt x="71" y="83"/>
              </a:lnTo>
              <a:lnTo>
                <a:pt x="75" y="81"/>
              </a:lnTo>
              <a:lnTo>
                <a:pt x="77" y="77"/>
              </a:lnTo>
              <a:lnTo>
                <a:pt x="81" y="75"/>
              </a:lnTo>
              <a:lnTo>
                <a:pt x="84" y="72"/>
              </a:lnTo>
              <a:lnTo>
                <a:pt x="87" y="68"/>
              </a:lnTo>
              <a:lnTo>
                <a:pt x="90" y="66"/>
              </a:lnTo>
              <a:lnTo>
                <a:pt x="93" y="62"/>
              </a:lnTo>
              <a:lnTo>
                <a:pt x="95" y="58"/>
              </a:lnTo>
              <a:lnTo>
                <a:pt x="96" y="51"/>
              </a:lnTo>
              <a:lnTo>
                <a:pt x="98" y="47"/>
              </a:lnTo>
              <a:lnTo>
                <a:pt x="102" y="41"/>
              </a:lnTo>
              <a:lnTo>
                <a:pt x="105" y="37"/>
              </a:lnTo>
              <a:lnTo>
                <a:pt x="107" y="33"/>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endParaRPr lang="en-US" sz="1055">
            <a:solidFill>
              <a:prstClr val="black"/>
            </a:solidFill>
            <a:latin typeface="Calibri" panose="020F0502020204030204"/>
          </a:endParaRPr>
        </a:p>
      </xdr:txBody>
    </xdr:sp>
    <xdr:clientData/>
  </xdr:twoCellAnchor>
  <xdr:twoCellAnchor>
    <xdr:from>
      <xdr:col>2</xdr:col>
      <xdr:colOff>1157288</xdr:colOff>
      <xdr:row>50</xdr:row>
      <xdr:rowOff>12700</xdr:rowOff>
    </xdr:from>
    <xdr:to>
      <xdr:col>3</xdr:col>
      <xdr:colOff>268288</xdr:colOff>
      <xdr:row>51</xdr:row>
      <xdr:rowOff>84138</xdr:rowOff>
    </xdr:to>
    <xdr:sp macro="" textlink="">
      <xdr:nvSpPr>
        <xdr:cNvPr id="32" name="Freeform 102">
          <a:extLst>
            <a:ext uri="{FF2B5EF4-FFF2-40B4-BE49-F238E27FC236}">
              <a16:creationId xmlns:a16="http://schemas.microsoft.com/office/drawing/2014/main" id="{11D1ED93-1A1E-4A9B-A3F4-5AFDEE919567}"/>
            </a:ext>
          </a:extLst>
        </xdr:cNvPr>
        <xdr:cNvSpPr>
          <a:spLocks noChangeAspect="1"/>
        </xdr:cNvSpPr>
      </xdr:nvSpPr>
      <xdr:spPr bwMode="gray">
        <a:xfrm>
          <a:off x="3281363" y="8918575"/>
          <a:ext cx="273050" cy="233363"/>
        </a:xfrm>
        <a:custGeom>
          <a:avLst/>
          <a:gdLst>
            <a:gd name="T0" fmla="*/ 528 w 97"/>
            <a:gd name="T1" fmla="*/ 148 h 37"/>
            <a:gd name="T2" fmla="*/ 540 w 97"/>
            <a:gd name="T3" fmla="*/ 96 h 37"/>
            <a:gd name="T4" fmla="*/ 551 w 97"/>
            <a:gd name="T5" fmla="*/ 51 h 37"/>
            <a:gd name="T6" fmla="*/ 528 w 97"/>
            <a:gd name="T7" fmla="*/ 28 h 37"/>
            <a:gd name="T8" fmla="*/ 494 w 97"/>
            <a:gd name="T9" fmla="*/ 40 h 37"/>
            <a:gd name="T10" fmla="*/ 466 w 97"/>
            <a:gd name="T11" fmla="*/ 74 h 37"/>
            <a:gd name="T12" fmla="*/ 437 w 97"/>
            <a:gd name="T13" fmla="*/ 74 h 37"/>
            <a:gd name="T14" fmla="*/ 398 w 97"/>
            <a:gd name="T15" fmla="*/ 85 h 37"/>
            <a:gd name="T16" fmla="*/ 364 w 97"/>
            <a:gd name="T17" fmla="*/ 108 h 37"/>
            <a:gd name="T18" fmla="*/ 335 w 97"/>
            <a:gd name="T19" fmla="*/ 62 h 37"/>
            <a:gd name="T20" fmla="*/ 364 w 97"/>
            <a:gd name="T21" fmla="*/ 28 h 37"/>
            <a:gd name="T22" fmla="*/ 335 w 97"/>
            <a:gd name="T23" fmla="*/ 6 h 37"/>
            <a:gd name="T24" fmla="*/ 301 w 97"/>
            <a:gd name="T25" fmla="*/ 28 h 37"/>
            <a:gd name="T26" fmla="*/ 267 w 97"/>
            <a:gd name="T27" fmla="*/ 62 h 37"/>
            <a:gd name="T28" fmla="*/ 233 w 97"/>
            <a:gd name="T29" fmla="*/ 28 h 37"/>
            <a:gd name="T30" fmla="*/ 210 w 97"/>
            <a:gd name="T31" fmla="*/ 23 h 37"/>
            <a:gd name="T32" fmla="*/ 187 w 97"/>
            <a:gd name="T33" fmla="*/ 57 h 37"/>
            <a:gd name="T34" fmla="*/ 153 w 97"/>
            <a:gd name="T35" fmla="*/ 17 h 37"/>
            <a:gd name="T36" fmla="*/ 119 w 97"/>
            <a:gd name="T37" fmla="*/ 6 h 37"/>
            <a:gd name="T38" fmla="*/ 85 w 97"/>
            <a:gd name="T39" fmla="*/ 17 h 37"/>
            <a:gd name="T40" fmla="*/ 57 w 97"/>
            <a:gd name="T41" fmla="*/ 28 h 37"/>
            <a:gd name="T42" fmla="*/ 57 w 97"/>
            <a:gd name="T43" fmla="*/ 74 h 37"/>
            <a:gd name="T44" fmla="*/ 23 w 97"/>
            <a:gd name="T45" fmla="*/ 96 h 37"/>
            <a:gd name="T46" fmla="*/ 0 w 97"/>
            <a:gd name="T47" fmla="*/ 119 h 37"/>
            <a:gd name="T48" fmla="*/ 23 w 97"/>
            <a:gd name="T49" fmla="*/ 148 h 37"/>
            <a:gd name="T50" fmla="*/ 40 w 97"/>
            <a:gd name="T51" fmla="*/ 182 h 37"/>
            <a:gd name="T52" fmla="*/ 74 w 97"/>
            <a:gd name="T53" fmla="*/ 210 h 37"/>
            <a:gd name="T54" fmla="*/ 108 w 97"/>
            <a:gd name="T55" fmla="*/ 165 h 37"/>
            <a:gd name="T56" fmla="*/ 148 w 97"/>
            <a:gd name="T57" fmla="*/ 136 h 37"/>
            <a:gd name="T58" fmla="*/ 187 w 97"/>
            <a:gd name="T59" fmla="*/ 136 h 37"/>
            <a:gd name="T60" fmla="*/ 222 w 97"/>
            <a:gd name="T61" fmla="*/ 148 h 37"/>
            <a:gd name="T62" fmla="*/ 250 w 97"/>
            <a:gd name="T63" fmla="*/ 182 h 37"/>
            <a:gd name="T64" fmla="*/ 278 w 97"/>
            <a:gd name="T65" fmla="*/ 165 h 37"/>
            <a:gd name="T66" fmla="*/ 312 w 97"/>
            <a:gd name="T67" fmla="*/ 165 h 37"/>
            <a:gd name="T68" fmla="*/ 347 w 97"/>
            <a:gd name="T69" fmla="*/ 210 h 37"/>
            <a:gd name="T70" fmla="*/ 381 w 97"/>
            <a:gd name="T71" fmla="*/ 210 h 37"/>
            <a:gd name="T72" fmla="*/ 415 w 97"/>
            <a:gd name="T73" fmla="*/ 193 h 37"/>
            <a:gd name="T74" fmla="*/ 449 w 97"/>
            <a:gd name="T75" fmla="*/ 159 h 37"/>
            <a:gd name="T76" fmla="*/ 489 w 97"/>
            <a:gd name="T77" fmla="*/ 159 h 37"/>
            <a:gd name="T78" fmla="*/ 523 w 97"/>
            <a:gd name="T79" fmla="*/ 165 h 37"/>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7" h="37">
              <a:moveTo>
                <a:pt x="92" y="30"/>
              </a:moveTo>
              <a:lnTo>
                <a:pt x="93" y="26"/>
              </a:lnTo>
              <a:lnTo>
                <a:pt x="93" y="21"/>
              </a:lnTo>
              <a:lnTo>
                <a:pt x="95" y="17"/>
              </a:lnTo>
              <a:lnTo>
                <a:pt x="95" y="14"/>
              </a:lnTo>
              <a:lnTo>
                <a:pt x="97" y="9"/>
              </a:lnTo>
              <a:lnTo>
                <a:pt x="97" y="5"/>
              </a:lnTo>
              <a:lnTo>
                <a:pt x="93" y="5"/>
              </a:lnTo>
              <a:lnTo>
                <a:pt x="91" y="5"/>
              </a:lnTo>
              <a:lnTo>
                <a:pt x="87" y="7"/>
              </a:lnTo>
              <a:lnTo>
                <a:pt x="86" y="11"/>
              </a:lnTo>
              <a:lnTo>
                <a:pt x="82" y="13"/>
              </a:lnTo>
              <a:lnTo>
                <a:pt x="79" y="13"/>
              </a:lnTo>
              <a:lnTo>
                <a:pt x="77" y="13"/>
              </a:lnTo>
              <a:lnTo>
                <a:pt x="73" y="13"/>
              </a:lnTo>
              <a:lnTo>
                <a:pt x="70" y="15"/>
              </a:lnTo>
              <a:lnTo>
                <a:pt x="67" y="19"/>
              </a:lnTo>
              <a:lnTo>
                <a:pt x="64" y="19"/>
              </a:lnTo>
              <a:lnTo>
                <a:pt x="61" y="15"/>
              </a:lnTo>
              <a:lnTo>
                <a:pt x="59" y="11"/>
              </a:lnTo>
              <a:lnTo>
                <a:pt x="63" y="9"/>
              </a:lnTo>
              <a:lnTo>
                <a:pt x="64" y="5"/>
              </a:lnTo>
              <a:lnTo>
                <a:pt x="63" y="1"/>
              </a:lnTo>
              <a:lnTo>
                <a:pt x="59" y="1"/>
              </a:lnTo>
              <a:lnTo>
                <a:pt x="57" y="2"/>
              </a:lnTo>
              <a:lnTo>
                <a:pt x="53" y="5"/>
              </a:lnTo>
              <a:lnTo>
                <a:pt x="50" y="9"/>
              </a:lnTo>
              <a:lnTo>
                <a:pt x="47" y="11"/>
              </a:lnTo>
              <a:lnTo>
                <a:pt x="44" y="9"/>
              </a:lnTo>
              <a:lnTo>
                <a:pt x="41" y="5"/>
              </a:lnTo>
              <a:lnTo>
                <a:pt x="40" y="4"/>
              </a:lnTo>
              <a:lnTo>
                <a:pt x="37" y="4"/>
              </a:lnTo>
              <a:lnTo>
                <a:pt x="35" y="9"/>
              </a:lnTo>
              <a:lnTo>
                <a:pt x="33" y="10"/>
              </a:lnTo>
              <a:lnTo>
                <a:pt x="30" y="7"/>
              </a:lnTo>
              <a:lnTo>
                <a:pt x="27" y="3"/>
              </a:lnTo>
              <a:lnTo>
                <a:pt x="24" y="1"/>
              </a:lnTo>
              <a:lnTo>
                <a:pt x="21" y="1"/>
              </a:lnTo>
              <a:lnTo>
                <a:pt x="18" y="3"/>
              </a:lnTo>
              <a:lnTo>
                <a:pt x="15" y="3"/>
              </a:lnTo>
              <a:lnTo>
                <a:pt x="13" y="0"/>
              </a:lnTo>
              <a:lnTo>
                <a:pt x="10" y="5"/>
              </a:lnTo>
              <a:lnTo>
                <a:pt x="10" y="9"/>
              </a:lnTo>
              <a:lnTo>
                <a:pt x="10" y="13"/>
              </a:lnTo>
              <a:lnTo>
                <a:pt x="7" y="17"/>
              </a:lnTo>
              <a:lnTo>
                <a:pt x="4" y="17"/>
              </a:lnTo>
              <a:lnTo>
                <a:pt x="1" y="21"/>
              </a:lnTo>
              <a:lnTo>
                <a:pt x="0" y="21"/>
              </a:lnTo>
              <a:lnTo>
                <a:pt x="2" y="21"/>
              </a:lnTo>
              <a:lnTo>
                <a:pt x="4" y="26"/>
              </a:lnTo>
              <a:lnTo>
                <a:pt x="7" y="28"/>
              </a:lnTo>
              <a:lnTo>
                <a:pt x="7" y="32"/>
              </a:lnTo>
              <a:lnTo>
                <a:pt x="9" y="37"/>
              </a:lnTo>
              <a:lnTo>
                <a:pt x="13" y="37"/>
              </a:lnTo>
              <a:lnTo>
                <a:pt x="16" y="32"/>
              </a:lnTo>
              <a:lnTo>
                <a:pt x="19" y="29"/>
              </a:lnTo>
              <a:lnTo>
                <a:pt x="22" y="26"/>
              </a:lnTo>
              <a:lnTo>
                <a:pt x="26" y="24"/>
              </a:lnTo>
              <a:lnTo>
                <a:pt x="30" y="21"/>
              </a:lnTo>
              <a:lnTo>
                <a:pt x="33" y="24"/>
              </a:lnTo>
              <a:lnTo>
                <a:pt x="36" y="26"/>
              </a:lnTo>
              <a:lnTo>
                <a:pt x="39" y="26"/>
              </a:lnTo>
              <a:lnTo>
                <a:pt x="43" y="28"/>
              </a:lnTo>
              <a:lnTo>
                <a:pt x="44" y="32"/>
              </a:lnTo>
              <a:lnTo>
                <a:pt x="45" y="34"/>
              </a:lnTo>
              <a:lnTo>
                <a:pt x="49" y="29"/>
              </a:lnTo>
              <a:lnTo>
                <a:pt x="52" y="29"/>
              </a:lnTo>
              <a:lnTo>
                <a:pt x="55" y="29"/>
              </a:lnTo>
              <a:lnTo>
                <a:pt x="58" y="34"/>
              </a:lnTo>
              <a:lnTo>
                <a:pt x="61" y="37"/>
              </a:lnTo>
              <a:lnTo>
                <a:pt x="64" y="37"/>
              </a:lnTo>
              <a:lnTo>
                <a:pt x="67" y="37"/>
              </a:lnTo>
              <a:lnTo>
                <a:pt x="70" y="37"/>
              </a:lnTo>
              <a:lnTo>
                <a:pt x="73" y="34"/>
              </a:lnTo>
              <a:lnTo>
                <a:pt x="77" y="32"/>
              </a:lnTo>
              <a:lnTo>
                <a:pt x="79" y="28"/>
              </a:lnTo>
              <a:lnTo>
                <a:pt x="82" y="28"/>
              </a:lnTo>
              <a:lnTo>
                <a:pt x="86" y="28"/>
              </a:lnTo>
              <a:lnTo>
                <a:pt x="89" y="28"/>
              </a:lnTo>
              <a:lnTo>
                <a:pt x="92" y="29"/>
              </a:lnTo>
              <a:lnTo>
                <a:pt x="92" y="30"/>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endParaRPr lang="en-US" sz="1055">
            <a:solidFill>
              <a:prstClr val="black"/>
            </a:solidFill>
            <a:latin typeface="Calibri" panose="020F0502020204030204"/>
          </a:endParaRPr>
        </a:p>
      </xdr:txBody>
    </xdr:sp>
    <xdr:clientData/>
  </xdr:twoCellAnchor>
  <xdr:twoCellAnchor>
    <xdr:from>
      <xdr:col>2</xdr:col>
      <xdr:colOff>1427163</xdr:colOff>
      <xdr:row>49</xdr:row>
      <xdr:rowOff>61913</xdr:rowOff>
    </xdr:from>
    <xdr:to>
      <xdr:col>3</xdr:col>
      <xdr:colOff>268288</xdr:colOff>
      <xdr:row>50</xdr:row>
      <xdr:rowOff>138113</xdr:rowOff>
    </xdr:to>
    <xdr:sp macro="" textlink="">
      <xdr:nvSpPr>
        <xdr:cNvPr id="33" name="Freeform 103">
          <a:extLst>
            <a:ext uri="{FF2B5EF4-FFF2-40B4-BE49-F238E27FC236}">
              <a16:creationId xmlns:a16="http://schemas.microsoft.com/office/drawing/2014/main" id="{DBA19264-074A-4B7E-BC8B-B68953675367}"/>
            </a:ext>
          </a:extLst>
        </xdr:cNvPr>
        <xdr:cNvSpPr>
          <a:spLocks noChangeAspect="1"/>
        </xdr:cNvSpPr>
      </xdr:nvSpPr>
      <xdr:spPr bwMode="gray">
        <a:xfrm>
          <a:off x="3284538" y="8805863"/>
          <a:ext cx="269875" cy="238125"/>
        </a:xfrm>
        <a:custGeom>
          <a:avLst/>
          <a:gdLst>
            <a:gd name="T0" fmla="*/ 0 w 57"/>
            <a:gd name="T1" fmla="*/ 119 h 38"/>
            <a:gd name="T2" fmla="*/ 6 w 57"/>
            <a:gd name="T3" fmla="*/ 108 h 38"/>
            <a:gd name="T4" fmla="*/ 6 w 57"/>
            <a:gd name="T5" fmla="*/ 85 h 38"/>
            <a:gd name="T6" fmla="*/ 11 w 57"/>
            <a:gd name="T7" fmla="*/ 57 h 38"/>
            <a:gd name="T8" fmla="*/ 11 w 57"/>
            <a:gd name="T9" fmla="*/ 34 h 38"/>
            <a:gd name="T10" fmla="*/ 23 w 57"/>
            <a:gd name="T11" fmla="*/ 23 h 38"/>
            <a:gd name="T12" fmla="*/ 40 w 57"/>
            <a:gd name="T13" fmla="*/ 34 h 38"/>
            <a:gd name="T14" fmla="*/ 57 w 57"/>
            <a:gd name="T15" fmla="*/ 23 h 38"/>
            <a:gd name="T16" fmla="*/ 74 w 57"/>
            <a:gd name="T17" fmla="*/ 23 h 38"/>
            <a:gd name="T18" fmla="*/ 97 w 57"/>
            <a:gd name="T19" fmla="*/ 11 h 38"/>
            <a:gd name="T20" fmla="*/ 108 w 57"/>
            <a:gd name="T21" fmla="*/ 0 h 38"/>
            <a:gd name="T22" fmla="*/ 119 w 57"/>
            <a:gd name="T23" fmla="*/ 23 h 38"/>
            <a:gd name="T24" fmla="*/ 102 w 57"/>
            <a:gd name="T25" fmla="*/ 34 h 38"/>
            <a:gd name="T26" fmla="*/ 102 w 57"/>
            <a:gd name="T27" fmla="*/ 57 h 38"/>
            <a:gd name="T28" fmla="*/ 119 w 57"/>
            <a:gd name="T29" fmla="*/ 68 h 38"/>
            <a:gd name="T30" fmla="*/ 136 w 57"/>
            <a:gd name="T31" fmla="*/ 57 h 38"/>
            <a:gd name="T32" fmla="*/ 153 w 57"/>
            <a:gd name="T33" fmla="*/ 68 h 38"/>
            <a:gd name="T34" fmla="*/ 171 w 57"/>
            <a:gd name="T35" fmla="*/ 85 h 38"/>
            <a:gd name="T36" fmla="*/ 182 w 57"/>
            <a:gd name="T37" fmla="*/ 68 h 38"/>
            <a:gd name="T38" fmla="*/ 182 w 57"/>
            <a:gd name="T39" fmla="*/ 45 h 38"/>
            <a:gd name="T40" fmla="*/ 199 w 57"/>
            <a:gd name="T41" fmla="*/ 34 h 38"/>
            <a:gd name="T42" fmla="*/ 216 w 57"/>
            <a:gd name="T43" fmla="*/ 45 h 38"/>
            <a:gd name="T44" fmla="*/ 233 w 57"/>
            <a:gd name="T45" fmla="*/ 45 h 38"/>
            <a:gd name="T46" fmla="*/ 250 w 57"/>
            <a:gd name="T47" fmla="*/ 34 h 38"/>
            <a:gd name="T48" fmla="*/ 267 w 57"/>
            <a:gd name="T49" fmla="*/ 57 h 38"/>
            <a:gd name="T50" fmla="*/ 290 w 57"/>
            <a:gd name="T51" fmla="*/ 57 h 38"/>
            <a:gd name="T52" fmla="*/ 301 w 57"/>
            <a:gd name="T53" fmla="*/ 45 h 38"/>
            <a:gd name="T54" fmla="*/ 301 w 57"/>
            <a:gd name="T55" fmla="*/ 57 h 38"/>
            <a:gd name="T56" fmla="*/ 301 w 57"/>
            <a:gd name="T57" fmla="*/ 45 h 38"/>
            <a:gd name="T58" fmla="*/ 313 w 57"/>
            <a:gd name="T59" fmla="*/ 68 h 38"/>
            <a:gd name="T60" fmla="*/ 324 w 57"/>
            <a:gd name="T61" fmla="*/ 96 h 38"/>
            <a:gd name="T62" fmla="*/ 324 w 57"/>
            <a:gd name="T63" fmla="*/ 119 h 38"/>
            <a:gd name="T64" fmla="*/ 324 w 57"/>
            <a:gd name="T65" fmla="*/ 130 h 38"/>
            <a:gd name="T66" fmla="*/ 301 w 57"/>
            <a:gd name="T67" fmla="*/ 130 h 38"/>
            <a:gd name="T68" fmla="*/ 290 w 57"/>
            <a:gd name="T69" fmla="*/ 130 h 38"/>
            <a:gd name="T70" fmla="*/ 267 w 57"/>
            <a:gd name="T71" fmla="*/ 141 h 38"/>
            <a:gd name="T72" fmla="*/ 261 w 57"/>
            <a:gd name="T73" fmla="*/ 164 h 38"/>
            <a:gd name="T74" fmla="*/ 239 w 57"/>
            <a:gd name="T75" fmla="*/ 181 h 38"/>
            <a:gd name="T76" fmla="*/ 227 w 57"/>
            <a:gd name="T77" fmla="*/ 181 h 38"/>
            <a:gd name="T78" fmla="*/ 210 w 57"/>
            <a:gd name="T79" fmla="*/ 181 h 38"/>
            <a:gd name="T80" fmla="*/ 188 w 57"/>
            <a:gd name="T81" fmla="*/ 181 h 38"/>
            <a:gd name="T82" fmla="*/ 171 w 57"/>
            <a:gd name="T83" fmla="*/ 187 h 38"/>
            <a:gd name="T84" fmla="*/ 153 w 57"/>
            <a:gd name="T85" fmla="*/ 215 h 38"/>
            <a:gd name="T86" fmla="*/ 136 w 57"/>
            <a:gd name="T87" fmla="*/ 215 h 38"/>
            <a:gd name="T88" fmla="*/ 119 w 57"/>
            <a:gd name="T89" fmla="*/ 187 h 38"/>
            <a:gd name="T90" fmla="*/ 108 w 57"/>
            <a:gd name="T91" fmla="*/ 164 h 38"/>
            <a:gd name="T92" fmla="*/ 131 w 57"/>
            <a:gd name="T93" fmla="*/ 158 h 38"/>
            <a:gd name="T94" fmla="*/ 136 w 57"/>
            <a:gd name="T95" fmla="*/ 130 h 38"/>
            <a:gd name="T96" fmla="*/ 131 w 57"/>
            <a:gd name="T97" fmla="*/ 108 h 38"/>
            <a:gd name="T98" fmla="*/ 108 w 57"/>
            <a:gd name="T99" fmla="*/ 108 h 38"/>
            <a:gd name="T100" fmla="*/ 97 w 57"/>
            <a:gd name="T101" fmla="*/ 119 h 38"/>
            <a:gd name="T102" fmla="*/ 74 w 57"/>
            <a:gd name="T103" fmla="*/ 130 h 38"/>
            <a:gd name="T104" fmla="*/ 57 w 57"/>
            <a:gd name="T105" fmla="*/ 158 h 38"/>
            <a:gd name="T106" fmla="*/ 40 w 57"/>
            <a:gd name="T107" fmla="*/ 164 h 38"/>
            <a:gd name="T108" fmla="*/ 23 w 57"/>
            <a:gd name="T109" fmla="*/ 158 h 38"/>
            <a:gd name="T110" fmla="*/ 6 w 57"/>
            <a:gd name="T111" fmla="*/ 130 h 38"/>
            <a:gd name="T112" fmla="*/ 0 w 57"/>
            <a:gd name="T113" fmla="*/ 119 h 3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8">
              <a:moveTo>
                <a:pt x="0" y="21"/>
              </a:moveTo>
              <a:lnTo>
                <a:pt x="1" y="19"/>
              </a:lnTo>
              <a:lnTo>
                <a:pt x="1" y="15"/>
              </a:lnTo>
              <a:lnTo>
                <a:pt x="2" y="10"/>
              </a:lnTo>
              <a:lnTo>
                <a:pt x="2" y="6"/>
              </a:lnTo>
              <a:lnTo>
                <a:pt x="4" y="4"/>
              </a:lnTo>
              <a:lnTo>
                <a:pt x="7" y="6"/>
              </a:lnTo>
              <a:lnTo>
                <a:pt x="10" y="4"/>
              </a:lnTo>
              <a:lnTo>
                <a:pt x="13" y="4"/>
              </a:lnTo>
              <a:lnTo>
                <a:pt x="17" y="2"/>
              </a:lnTo>
              <a:lnTo>
                <a:pt x="19" y="0"/>
              </a:lnTo>
              <a:lnTo>
                <a:pt x="21" y="4"/>
              </a:lnTo>
              <a:lnTo>
                <a:pt x="18" y="6"/>
              </a:lnTo>
              <a:lnTo>
                <a:pt x="18" y="10"/>
              </a:lnTo>
              <a:lnTo>
                <a:pt x="21" y="12"/>
              </a:lnTo>
              <a:lnTo>
                <a:pt x="24" y="10"/>
              </a:lnTo>
              <a:lnTo>
                <a:pt x="27" y="12"/>
              </a:lnTo>
              <a:lnTo>
                <a:pt x="30" y="15"/>
              </a:lnTo>
              <a:lnTo>
                <a:pt x="32" y="12"/>
              </a:lnTo>
              <a:lnTo>
                <a:pt x="32" y="8"/>
              </a:lnTo>
              <a:lnTo>
                <a:pt x="35" y="6"/>
              </a:lnTo>
              <a:lnTo>
                <a:pt x="38" y="8"/>
              </a:lnTo>
              <a:lnTo>
                <a:pt x="41" y="8"/>
              </a:lnTo>
              <a:lnTo>
                <a:pt x="44" y="6"/>
              </a:lnTo>
              <a:lnTo>
                <a:pt x="47" y="10"/>
              </a:lnTo>
              <a:lnTo>
                <a:pt x="51" y="10"/>
              </a:lnTo>
              <a:lnTo>
                <a:pt x="53" y="8"/>
              </a:lnTo>
              <a:lnTo>
                <a:pt x="53" y="10"/>
              </a:lnTo>
              <a:lnTo>
                <a:pt x="53" y="8"/>
              </a:lnTo>
              <a:lnTo>
                <a:pt x="55" y="12"/>
              </a:lnTo>
              <a:lnTo>
                <a:pt x="57" y="17"/>
              </a:lnTo>
              <a:lnTo>
                <a:pt x="57" y="21"/>
              </a:lnTo>
              <a:lnTo>
                <a:pt x="57" y="23"/>
              </a:lnTo>
              <a:lnTo>
                <a:pt x="53" y="23"/>
              </a:lnTo>
              <a:lnTo>
                <a:pt x="51" y="23"/>
              </a:lnTo>
              <a:lnTo>
                <a:pt x="47" y="25"/>
              </a:lnTo>
              <a:lnTo>
                <a:pt x="46" y="29"/>
              </a:lnTo>
              <a:lnTo>
                <a:pt x="42" y="32"/>
              </a:lnTo>
              <a:lnTo>
                <a:pt x="40" y="32"/>
              </a:lnTo>
              <a:lnTo>
                <a:pt x="37" y="32"/>
              </a:lnTo>
              <a:lnTo>
                <a:pt x="33" y="32"/>
              </a:lnTo>
              <a:lnTo>
                <a:pt x="30" y="33"/>
              </a:lnTo>
              <a:lnTo>
                <a:pt x="27" y="38"/>
              </a:lnTo>
              <a:lnTo>
                <a:pt x="24" y="38"/>
              </a:lnTo>
              <a:lnTo>
                <a:pt x="21" y="33"/>
              </a:lnTo>
              <a:lnTo>
                <a:pt x="19" y="29"/>
              </a:lnTo>
              <a:lnTo>
                <a:pt x="23" y="28"/>
              </a:lnTo>
              <a:lnTo>
                <a:pt x="24" y="23"/>
              </a:lnTo>
              <a:lnTo>
                <a:pt x="23" y="19"/>
              </a:lnTo>
              <a:lnTo>
                <a:pt x="19" y="19"/>
              </a:lnTo>
              <a:lnTo>
                <a:pt x="17" y="21"/>
              </a:lnTo>
              <a:lnTo>
                <a:pt x="13" y="23"/>
              </a:lnTo>
              <a:lnTo>
                <a:pt x="10" y="28"/>
              </a:lnTo>
              <a:lnTo>
                <a:pt x="7" y="29"/>
              </a:lnTo>
              <a:lnTo>
                <a:pt x="4" y="28"/>
              </a:lnTo>
              <a:lnTo>
                <a:pt x="1" y="23"/>
              </a:lnTo>
              <a:lnTo>
                <a:pt x="0" y="21"/>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1525588</xdr:colOff>
      <xdr:row>42</xdr:row>
      <xdr:rowOff>88900</xdr:rowOff>
    </xdr:from>
    <xdr:to>
      <xdr:col>2</xdr:col>
      <xdr:colOff>679451</xdr:colOff>
      <xdr:row>50</xdr:row>
      <xdr:rowOff>53975</xdr:rowOff>
    </xdr:to>
    <xdr:sp macro="" textlink="">
      <xdr:nvSpPr>
        <xdr:cNvPr id="34" name="Freeform 104">
          <a:extLst>
            <a:ext uri="{FF2B5EF4-FFF2-40B4-BE49-F238E27FC236}">
              <a16:creationId xmlns:a16="http://schemas.microsoft.com/office/drawing/2014/main" id="{E1139B32-78D6-4337-A430-EF16029FB130}"/>
            </a:ext>
          </a:extLst>
        </xdr:cNvPr>
        <xdr:cNvSpPr>
          <a:spLocks noChangeAspect="1"/>
        </xdr:cNvSpPr>
      </xdr:nvSpPr>
      <xdr:spPr bwMode="gray">
        <a:xfrm>
          <a:off x="1525588" y="7699375"/>
          <a:ext cx="1325563" cy="1260475"/>
        </a:xfrm>
        <a:custGeom>
          <a:avLst/>
          <a:gdLst>
            <a:gd name="T0" fmla="*/ 709 w 197"/>
            <a:gd name="T1" fmla="*/ 233 h 200"/>
            <a:gd name="T2" fmla="*/ 766 w 197"/>
            <a:gd name="T3" fmla="*/ 244 h 200"/>
            <a:gd name="T4" fmla="*/ 840 w 197"/>
            <a:gd name="T5" fmla="*/ 261 h 200"/>
            <a:gd name="T6" fmla="*/ 908 w 197"/>
            <a:gd name="T7" fmla="*/ 261 h 200"/>
            <a:gd name="T8" fmla="*/ 880 w 197"/>
            <a:gd name="T9" fmla="*/ 358 h 200"/>
            <a:gd name="T10" fmla="*/ 925 w 197"/>
            <a:gd name="T11" fmla="*/ 341 h 200"/>
            <a:gd name="T12" fmla="*/ 993 w 197"/>
            <a:gd name="T13" fmla="*/ 295 h 200"/>
            <a:gd name="T14" fmla="*/ 1067 w 197"/>
            <a:gd name="T15" fmla="*/ 329 h 200"/>
            <a:gd name="T16" fmla="*/ 1118 w 197"/>
            <a:gd name="T17" fmla="*/ 341 h 200"/>
            <a:gd name="T18" fmla="*/ 1101 w 197"/>
            <a:gd name="T19" fmla="*/ 437 h 200"/>
            <a:gd name="T20" fmla="*/ 1067 w 197"/>
            <a:gd name="T21" fmla="*/ 522 h 200"/>
            <a:gd name="T22" fmla="*/ 1010 w 197"/>
            <a:gd name="T23" fmla="*/ 602 h 200"/>
            <a:gd name="T24" fmla="*/ 959 w 197"/>
            <a:gd name="T25" fmla="*/ 664 h 200"/>
            <a:gd name="T26" fmla="*/ 891 w 197"/>
            <a:gd name="T27" fmla="*/ 698 h 200"/>
            <a:gd name="T28" fmla="*/ 942 w 197"/>
            <a:gd name="T29" fmla="*/ 743 h 200"/>
            <a:gd name="T30" fmla="*/ 902 w 197"/>
            <a:gd name="T31" fmla="*/ 829 h 200"/>
            <a:gd name="T32" fmla="*/ 840 w 197"/>
            <a:gd name="T33" fmla="*/ 874 h 200"/>
            <a:gd name="T34" fmla="*/ 840 w 197"/>
            <a:gd name="T35" fmla="*/ 970 h 200"/>
            <a:gd name="T36" fmla="*/ 789 w 197"/>
            <a:gd name="T37" fmla="*/ 1050 h 200"/>
            <a:gd name="T38" fmla="*/ 743 w 197"/>
            <a:gd name="T39" fmla="*/ 1124 h 200"/>
            <a:gd name="T40" fmla="*/ 636 w 197"/>
            <a:gd name="T41" fmla="*/ 1135 h 200"/>
            <a:gd name="T42" fmla="*/ 522 w 197"/>
            <a:gd name="T43" fmla="*/ 1124 h 200"/>
            <a:gd name="T44" fmla="*/ 426 w 197"/>
            <a:gd name="T45" fmla="*/ 1124 h 200"/>
            <a:gd name="T46" fmla="*/ 312 w 197"/>
            <a:gd name="T47" fmla="*/ 1124 h 200"/>
            <a:gd name="T48" fmla="*/ 227 w 197"/>
            <a:gd name="T49" fmla="*/ 1124 h 200"/>
            <a:gd name="T50" fmla="*/ 170 w 197"/>
            <a:gd name="T51" fmla="*/ 1061 h 200"/>
            <a:gd name="T52" fmla="*/ 125 w 197"/>
            <a:gd name="T53" fmla="*/ 993 h 200"/>
            <a:gd name="T54" fmla="*/ 102 w 197"/>
            <a:gd name="T55" fmla="*/ 919 h 200"/>
            <a:gd name="T56" fmla="*/ 74 w 197"/>
            <a:gd name="T57" fmla="*/ 840 h 200"/>
            <a:gd name="T58" fmla="*/ 119 w 197"/>
            <a:gd name="T59" fmla="*/ 709 h 200"/>
            <a:gd name="T60" fmla="*/ 182 w 197"/>
            <a:gd name="T61" fmla="*/ 579 h 200"/>
            <a:gd name="T62" fmla="*/ 233 w 197"/>
            <a:gd name="T63" fmla="*/ 437 h 200"/>
            <a:gd name="T64" fmla="*/ 165 w 197"/>
            <a:gd name="T65" fmla="*/ 414 h 200"/>
            <a:gd name="T66" fmla="*/ 114 w 197"/>
            <a:gd name="T67" fmla="*/ 380 h 200"/>
            <a:gd name="T68" fmla="*/ 51 w 197"/>
            <a:gd name="T69" fmla="*/ 329 h 200"/>
            <a:gd name="T70" fmla="*/ 6 w 197"/>
            <a:gd name="T71" fmla="*/ 233 h 200"/>
            <a:gd name="T72" fmla="*/ 6 w 197"/>
            <a:gd name="T73" fmla="*/ 176 h 200"/>
            <a:gd name="T74" fmla="*/ 6 w 197"/>
            <a:gd name="T75" fmla="*/ 131 h 200"/>
            <a:gd name="T76" fmla="*/ 74 w 197"/>
            <a:gd name="T77" fmla="*/ 91 h 200"/>
            <a:gd name="T78" fmla="*/ 148 w 197"/>
            <a:gd name="T79" fmla="*/ 57 h 200"/>
            <a:gd name="T80" fmla="*/ 216 w 197"/>
            <a:gd name="T81" fmla="*/ 68 h 200"/>
            <a:gd name="T82" fmla="*/ 261 w 197"/>
            <a:gd name="T83" fmla="*/ 34 h 200"/>
            <a:gd name="T84" fmla="*/ 312 w 197"/>
            <a:gd name="T85" fmla="*/ 11 h 200"/>
            <a:gd name="T86" fmla="*/ 358 w 197"/>
            <a:gd name="T87" fmla="*/ 23 h 200"/>
            <a:gd name="T88" fmla="*/ 414 w 197"/>
            <a:gd name="T89" fmla="*/ 85 h 200"/>
            <a:gd name="T90" fmla="*/ 477 w 197"/>
            <a:gd name="T91" fmla="*/ 119 h 200"/>
            <a:gd name="T92" fmla="*/ 522 w 197"/>
            <a:gd name="T93" fmla="*/ 199 h 200"/>
            <a:gd name="T94" fmla="*/ 568 w 197"/>
            <a:gd name="T95" fmla="*/ 284 h 200"/>
            <a:gd name="T96" fmla="*/ 624 w 197"/>
            <a:gd name="T97" fmla="*/ 318 h 200"/>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97" h="200">
              <a:moveTo>
                <a:pt x="114" y="49"/>
              </a:moveTo>
              <a:lnTo>
                <a:pt x="118" y="48"/>
              </a:lnTo>
              <a:lnTo>
                <a:pt x="121" y="46"/>
              </a:lnTo>
              <a:lnTo>
                <a:pt x="125" y="41"/>
              </a:lnTo>
              <a:lnTo>
                <a:pt x="127" y="41"/>
              </a:lnTo>
              <a:lnTo>
                <a:pt x="129" y="46"/>
              </a:lnTo>
              <a:lnTo>
                <a:pt x="132" y="46"/>
              </a:lnTo>
              <a:lnTo>
                <a:pt x="135" y="43"/>
              </a:lnTo>
              <a:lnTo>
                <a:pt x="138" y="43"/>
              </a:lnTo>
              <a:lnTo>
                <a:pt x="141" y="46"/>
              </a:lnTo>
              <a:lnTo>
                <a:pt x="145" y="48"/>
              </a:lnTo>
              <a:lnTo>
                <a:pt x="148" y="46"/>
              </a:lnTo>
              <a:lnTo>
                <a:pt x="151" y="43"/>
              </a:lnTo>
              <a:lnTo>
                <a:pt x="154" y="46"/>
              </a:lnTo>
              <a:lnTo>
                <a:pt x="157" y="46"/>
              </a:lnTo>
              <a:lnTo>
                <a:pt x="160" y="46"/>
              </a:lnTo>
              <a:lnTo>
                <a:pt x="162" y="50"/>
              </a:lnTo>
              <a:lnTo>
                <a:pt x="159" y="54"/>
              </a:lnTo>
              <a:lnTo>
                <a:pt x="157" y="58"/>
              </a:lnTo>
              <a:lnTo>
                <a:pt x="155" y="63"/>
              </a:lnTo>
              <a:lnTo>
                <a:pt x="155" y="67"/>
              </a:lnTo>
              <a:lnTo>
                <a:pt x="159" y="67"/>
              </a:lnTo>
              <a:lnTo>
                <a:pt x="162" y="64"/>
              </a:lnTo>
              <a:lnTo>
                <a:pt x="163" y="60"/>
              </a:lnTo>
              <a:lnTo>
                <a:pt x="165" y="56"/>
              </a:lnTo>
              <a:lnTo>
                <a:pt x="168" y="54"/>
              </a:lnTo>
              <a:lnTo>
                <a:pt x="170" y="52"/>
              </a:lnTo>
              <a:lnTo>
                <a:pt x="175" y="52"/>
              </a:lnTo>
              <a:lnTo>
                <a:pt x="178" y="54"/>
              </a:lnTo>
              <a:lnTo>
                <a:pt x="182" y="56"/>
              </a:lnTo>
              <a:lnTo>
                <a:pt x="184" y="56"/>
              </a:lnTo>
              <a:lnTo>
                <a:pt x="188" y="58"/>
              </a:lnTo>
              <a:lnTo>
                <a:pt x="191" y="58"/>
              </a:lnTo>
              <a:lnTo>
                <a:pt x="194" y="58"/>
              </a:lnTo>
              <a:lnTo>
                <a:pt x="197" y="60"/>
              </a:lnTo>
              <a:lnTo>
                <a:pt x="197" y="63"/>
              </a:lnTo>
              <a:lnTo>
                <a:pt x="195" y="67"/>
              </a:lnTo>
              <a:lnTo>
                <a:pt x="195" y="73"/>
              </a:lnTo>
              <a:lnTo>
                <a:pt x="194" y="77"/>
              </a:lnTo>
              <a:lnTo>
                <a:pt x="192" y="81"/>
              </a:lnTo>
              <a:lnTo>
                <a:pt x="189" y="84"/>
              </a:lnTo>
              <a:lnTo>
                <a:pt x="188" y="88"/>
              </a:lnTo>
              <a:lnTo>
                <a:pt x="188" y="92"/>
              </a:lnTo>
              <a:lnTo>
                <a:pt x="186" y="96"/>
              </a:lnTo>
              <a:lnTo>
                <a:pt x="184" y="100"/>
              </a:lnTo>
              <a:lnTo>
                <a:pt x="182" y="104"/>
              </a:lnTo>
              <a:lnTo>
                <a:pt x="178" y="106"/>
              </a:lnTo>
              <a:lnTo>
                <a:pt x="177" y="110"/>
              </a:lnTo>
              <a:lnTo>
                <a:pt x="175" y="114"/>
              </a:lnTo>
              <a:lnTo>
                <a:pt x="172" y="114"/>
              </a:lnTo>
              <a:lnTo>
                <a:pt x="169" y="117"/>
              </a:lnTo>
              <a:lnTo>
                <a:pt x="166" y="117"/>
              </a:lnTo>
              <a:lnTo>
                <a:pt x="163" y="121"/>
              </a:lnTo>
              <a:lnTo>
                <a:pt x="162" y="123"/>
              </a:lnTo>
              <a:lnTo>
                <a:pt x="157" y="123"/>
              </a:lnTo>
              <a:lnTo>
                <a:pt x="157" y="127"/>
              </a:lnTo>
              <a:lnTo>
                <a:pt x="160" y="129"/>
              </a:lnTo>
              <a:lnTo>
                <a:pt x="163" y="129"/>
              </a:lnTo>
              <a:lnTo>
                <a:pt x="166" y="131"/>
              </a:lnTo>
              <a:lnTo>
                <a:pt x="163" y="135"/>
              </a:lnTo>
              <a:lnTo>
                <a:pt x="163" y="140"/>
              </a:lnTo>
              <a:lnTo>
                <a:pt x="160" y="142"/>
              </a:lnTo>
              <a:lnTo>
                <a:pt x="159" y="146"/>
              </a:lnTo>
              <a:lnTo>
                <a:pt x="155" y="150"/>
              </a:lnTo>
              <a:lnTo>
                <a:pt x="152" y="150"/>
              </a:lnTo>
              <a:lnTo>
                <a:pt x="149" y="150"/>
              </a:lnTo>
              <a:lnTo>
                <a:pt x="148" y="154"/>
              </a:lnTo>
              <a:lnTo>
                <a:pt x="149" y="159"/>
              </a:lnTo>
              <a:lnTo>
                <a:pt x="148" y="162"/>
              </a:lnTo>
              <a:lnTo>
                <a:pt x="148" y="167"/>
              </a:lnTo>
              <a:lnTo>
                <a:pt x="148" y="171"/>
              </a:lnTo>
              <a:lnTo>
                <a:pt x="146" y="175"/>
              </a:lnTo>
              <a:lnTo>
                <a:pt x="145" y="179"/>
              </a:lnTo>
              <a:lnTo>
                <a:pt x="143" y="183"/>
              </a:lnTo>
              <a:lnTo>
                <a:pt x="139" y="185"/>
              </a:lnTo>
              <a:lnTo>
                <a:pt x="137" y="190"/>
              </a:lnTo>
              <a:lnTo>
                <a:pt x="135" y="194"/>
              </a:lnTo>
              <a:lnTo>
                <a:pt x="133" y="198"/>
              </a:lnTo>
              <a:lnTo>
                <a:pt x="131" y="198"/>
              </a:lnTo>
              <a:lnTo>
                <a:pt x="126" y="198"/>
              </a:lnTo>
              <a:lnTo>
                <a:pt x="121" y="200"/>
              </a:lnTo>
              <a:lnTo>
                <a:pt x="116" y="200"/>
              </a:lnTo>
              <a:lnTo>
                <a:pt x="112" y="200"/>
              </a:lnTo>
              <a:lnTo>
                <a:pt x="108" y="200"/>
              </a:lnTo>
              <a:lnTo>
                <a:pt x="102" y="198"/>
              </a:lnTo>
              <a:lnTo>
                <a:pt x="98" y="198"/>
              </a:lnTo>
              <a:lnTo>
                <a:pt x="92" y="198"/>
              </a:lnTo>
              <a:lnTo>
                <a:pt x="88" y="198"/>
              </a:lnTo>
              <a:lnTo>
                <a:pt x="83" y="198"/>
              </a:lnTo>
              <a:lnTo>
                <a:pt x="80" y="198"/>
              </a:lnTo>
              <a:lnTo>
                <a:pt x="75" y="198"/>
              </a:lnTo>
              <a:lnTo>
                <a:pt x="70" y="198"/>
              </a:lnTo>
              <a:lnTo>
                <a:pt x="64" y="198"/>
              </a:lnTo>
              <a:lnTo>
                <a:pt x="59" y="198"/>
              </a:lnTo>
              <a:lnTo>
                <a:pt x="55" y="198"/>
              </a:lnTo>
              <a:lnTo>
                <a:pt x="50" y="198"/>
              </a:lnTo>
              <a:lnTo>
                <a:pt x="45" y="196"/>
              </a:lnTo>
              <a:lnTo>
                <a:pt x="43" y="196"/>
              </a:lnTo>
              <a:lnTo>
                <a:pt x="40" y="198"/>
              </a:lnTo>
              <a:lnTo>
                <a:pt x="36" y="196"/>
              </a:lnTo>
              <a:lnTo>
                <a:pt x="35" y="191"/>
              </a:lnTo>
              <a:lnTo>
                <a:pt x="32" y="191"/>
              </a:lnTo>
              <a:lnTo>
                <a:pt x="30" y="187"/>
              </a:lnTo>
              <a:lnTo>
                <a:pt x="27" y="183"/>
              </a:lnTo>
              <a:lnTo>
                <a:pt x="24" y="183"/>
              </a:lnTo>
              <a:lnTo>
                <a:pt x="22" y="179"/>
              </a:lnTo>
              <a:lnTo>
                <a:pt x="22" y="175"/>
              </a:lnTo>
              <a:lnTo>
                <a:pt x="21" y="171"/>
              </a:lnTo>
              <a:lnTo>
                <a:pt x="20" y="167"/>
              </a:lnTo>
              <a:lnTo>
                <a:pt x="18" y="165"/>
              </a:lnTo>
              <a:lnTo>
                <a:pt x="18" y="162"/>
              </a:lnTo>
              <a:lnTo>
                <a:pt x="18" y="160"/>
              </a:lnTo>
              <a:lnTo>
                <a:pt x="16" y="156"/>
              </a:lnTo>
              <a:lnTo>
                <a:pt x="13" y="152"/>
              </a:lnTo>
              <a:lnTo>
                <a:pt x="13" y="148"/>
              </a:lnTo>
              <a:lnTo>
                <a:pt x="15" y="144"/>
              </a:lnTo>
              <a:lnTo>
                <a:pt x="16" y="140"/>
              </a:lnTo>
              <a:lnTo>
                <a:pt x="20" y="131"/>
              </a:lnTo>
              <a:lnTo>
                <a:pt x="21" y="125"/>
              </a:lnTo>
              <a:lnTo>
                <a:pt x="24" y="119"/>
              </a:lnTo>
              <a:lnTo>
                <a:pt x="26" y="114"/>
              </a:lnTo>
              <a:lnTo>
                <a:pt x="29" y="109"/>
              </a:lnTo>
              <a:lnTo>
                <a:pt x="32" y="102"/>
              </a:lnTo>
              <a:lnTo>
                <a:pt x="35" y="94"/>
              </a:lnTo>
              <a:lnTo>
                <a:pt x="36" y="89"/>
              </a:lnTo>
              <a:lnTo>
                <a:pt x="38" y="84"/>
              </a:lnTo>
              <a:lnTo>
                <a:pt x="41" y="77"/>
              </a:lnTo>
              <a:lnTo>
                <a:pt x="41" y="73"/>
              </a:lnTo>
              <a:lnTo>
                <a:pt x="36" y="75"/>
              </a:lnTo>
              <a:lnTo>
                <a:pt x="32" y="75"/>
              </a:lnTo>
              <a:lnTo>
                <a:pt x="29" y="73"/>
              </a:lnTo>
              <a:lnTo>
                <a:pt x="27" y="69"/>
              </a:lnTo>
              <a:lnTo>
                <a:pt x="26" y="67"/>
              </a:lnTo>
              <a:lnTo>
                <a:pt x="22" y="67"/>
              </a:lnTo>
              <a:lnTo>
                <a:pt x="20" y="67"/>
              </a:lnTo>
              <a:lnTo>
                <a:pt x="16" y="67"/>
              </a:lnTo>
              <a:lnTo>
                <a:pt x="12" y="64"/>
              </a:lnTo>
              <a:lnTo>
                <a:pt x="9" y="63"/>
              </a:lnTo>
              <a:lnTo>
                <a:pt x="9" y="58"/>
              </a:lnTo>
              <a:lnTo>
                <a:pt x="6" y="54"/>
              </a:lnTo>
              <a:lnTo>
                <a:pt x="4" y="50"/>
              </a:lnTo>
              <a:lnTo>
                <a:pt x="2" y="46"/>
              </a:lnTo>
              <a:lnTo>
                <a:pt x="1" y="41"/>
              </a:lnTo>
              <a:lnTo>
                <a:pt x="1" y="38"/>
              </a:lnTo>
              <a:lnTo>
                <a:pt x="2" y="37"/>
              </a:lnTo>
              <a:lnTo>
                <a:pt x="3" y="35"/>
              </a:lnTo>
              <a:lnTo>
                <a:pt x="1" y="31"/>
              </a:lnTo>
              <a:lnTo>
                <a:pt x="3" y="29"/>
              </a:lnTo>
              <a:lnTo>
                <a:pt x="1" y="24"/>
              </a:lnTo>
              <a:lnTo>
                <a:pt x="0" y="23"/>
              </a:lnTo>
              <a:lnTo>
                <a:pt x="1" y="23"/>
              </a:lnTo>
              <a:lnTo>
                <a:pt x="4" y="23"/>
              </a:lnTo>
              <a:lnTo>
                <a:pt x="7" y="23"/>
              </a:lnTo>
              <a:lnTo>
                <a:pt x="10" y="21"/>
              </a:lnTo>
              <a:lnTo>
                <a:pt x="13" y="16"/>
              </a:lnTo>
              <a:lnTo>
                <a:pt x="16" y="15"/>
              </a:lnTo>
              <a:lnTo>
                <a:pt x="20" y="15"/>
              </a:lnTo>
              <a:lnTo>
                <a:pt x="22" y="15"/>
              </a:lnTo>
              <a:lnTo>
                <a:pt x="26" y="10"/>
              </a:lnTo>
              <a:lnTo>
                <a:pt x="29" y="10"/>
              </a:lnTo>
              <a:lnTo>
                <a:pt x="32" y="10"/>
              </a:lnTo>
              <a:lnTo>
                <a:pt x="35" y="12"/>
              </a:lnTo>
              <a:lnTo>
                <a:pt x="38" y="12"/>
              </a:lnTo>
              <a:lnTo>
                <a:pt x="41" y="12"/>
              </a:lnTo>
              <a:lnTo>
                <a:pt x="44" y="12"/>
              </a:lnTo>
              <a:lnTo>
                <a:pt x="48" y="10"/>
              </a:lnTo>
              <a:lnTo>
                <a:pt x="46" y="6"/>
              </a:lnTo>
              <a:lnTo>
                <a:pt x="46" y="2"/>
              </a:lnTo>
              <a:lnTo>
                <a:pt x="49" y="2"/>
              </a:lnTo>
              <a:lnTo>
                <a:pt x="52" y="2"/>
              </a:lnTo>
              <a:lnTo>
                <a:pt x="55" y="2"/>
              </a:lnTo>
              <a:lnTo>
                <a:pt x="58" y="0"/>
              </a:lnTo>
              <a:lnTo>
                <a:pt x="61" y="2"/>
              </a:lnTo>
              <a:lnTo>
                <a:pt x="64" y="4"/>
              </a:lnTo>
              <a:lnTo>
                <a:pt x="63" y="4"/>
              </a:lnTo>
              <a:lnTo>
                <a:pt x="67" y="8"/>
              </a:lnTo>
              <a:lnTo>
                <a:pt x="67" y="13"/>
              </a:lnTo>
              <a:lnTo>
                <a:pt x="70" y="13"/>
              </a:lnTo>
              <a:lnTo>
                <a:pt x="73" y="15"/>
              </a:lnTo>
              <a:lnTo>
                <a:pt x="76" y="17"/>
              </a:lnTo>
              <a:lnTo>
                <a:pt x="80" y="17"/>
              </a:lnTo>
              <a:lnTo>
                <a:pt x="81" y="21"/>
              </a:lnTo>
              <a:lnTo>
                <a:pt x="84" y="21"/>
              </a:lnTo>
              <a:lnTo>
                <a:pt x="86" y="25"/>
              </a:lnTo>
              <a:lnTo>
                <a:pt x="89" y="30"/>
              </a:lnTo>
              <a:lnTo>
                <a:pt x="92" y="31"/>
              </a:lnTo>
              <a:lnTo>
                <a:pt x="92" y="35"/>
              </a:lnTo>
              <a:lnTo>
                <a:pt x="92" y="40"/>
              </a:lnTo>
              <a:lnTo>
                <a:pt x="95" y="43"/>
              </a:lnTo>
              <a:lnTo>
                <a:pt x="98" y="46"/>
              </a:lnTo>
              <a:lnTo>
                <a:pt x="100" y="50"/>
              </a:lnTo>
              <a:lnTo>
                <a:pt x="101" y="54"/>
              </a:lnTo>
              <a:lnTo>
                <a:pt x="104" y="59"/>
              </a:lnTo>
              <a:lnTo>
                <a:pt x="107" y="59"/>
              </a:lnTo>
              <a:lnTo>
                <a:pt x="110" y="56"/>
              </a:lnTo>
              <a:lnTo>
                <a:pt x="114" y="49"/>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1</xdr:col>
      <xdr:colOff>592138</xdr:colOff>
      <xdr:row>52</xdr:row>
      <xdr:rowOff>1588</xdr:rowOff>
    </xdr:from>
    <xdr:to>
      <xdr:col>2</xdr:col>
      <xdr:colOff>673101</xdr:colOff>
      <xdr:row>56</xdr:row>
      <xdr:rowOff>33338</xdr:rowOff>
    </xdr:to>
    <xdr:sp macro="" textlink="">
      <xdr:nvSpPr>
        <xdr:cNvPr id="35" name="Freeform 105">
          <a:extLst>
            <a:ext uri="{FF2B5EF4-FFF2-40B4-BE49-F238E27FC236}">
              <a16:creationId xmlns:a16="http://schemas.microsoft.com/office/drawing/2014/main" id="{E2CD0CE3-15C9-4B58-A807-A9EF6309CB11}"/>
            </a:ext>
          </a:extLst>
        </xdr:cNvPr>
        <xdr:cNvSpPr>
          <a:spLocks noChangeAspect="1"/>
        </xdr:cNvSpPr>
      </xdr:nvSpPr>
      <xdr:spPr bwMode="gray">
        <a:xfrm>
          <a:off x="2125663" y="9231313"/>
          <a:ext cx="719138" cy="679450"/>
        </a:xfrm>
        <a:custGeom>
          <a:avLst/>
          <a:gdLst>
            <a:gd name="T0" fmla="*/ 216 w 107"/>
            <a:gd name="T1" fmla="*/ 6 h 108"/>
            <a:gd name="T2" fmla="*/ 221 w 107"/>
            <a:gd name="T3" fmla="*/ 45 h 108"/>
            <a:gd name="T4" fmla="*/ 210 w 107"/>
            <a:gd name="T5" fmla="*/ 85 h 108"/>
            <a:gd name="T6" fmla="*/ 210 w 107"/>
            <a:gd name="T7" fmla="*/ 125 h 108"/>
            <a:gd name="T8" fmla="*/ 187 w 107"/>
            <a:gd name="T9" fmla="*/ 165 h 108"/>
            <a:gd name="T10" fmla="*/ 182 w 107"/>
            <a:gd name="T11" fmla="*/ 204 h 108"/>
            <a:gd name="T12" fmla="*/ 147 w 107"/>
            <a:gd name="T13" fmla="*/ 221 h 108"/>
            <a:gd name="T14" fmla="*/ 125 w 107"/>
            <a:gd name="T15" fmla="*/ 261 h 108"/>
            <a:gd name="T16" fmla="*/ 96 w 107"/>
            <a:gd name="T17" fmla="*/ 284 h 108"/>
            <a:gd name="T18" fmla="*/ 62 w 107"/>
            <a:gd name="T19" fmla="*/ 301 h 108"/>
            <a:gd name="T20" fmla="*/ 40 w 107"/>
            <a:gd name="T21" fmla="*/ 329 h 108"/>
            <a:gd name="T22" fmla="*/ 28 w 107"/>
            <a:gd name="T23" fmla="*/ 375 h 108"/>
            <a:gd name="T24" fmla="*/ 11 w 107"/>
            <a:gd name="T25" fmla="*/ 414 h 108"/>
            <a:gd name="T26" fmla="*/ 6 w 107"/>
            <a:gd name="T27" fmla="*/ 454 h 108"/>
            <a:gd name="T28" fmla="*/ 0 w 107"/>
            <a:gd name="T29" fmla="*/ 482 h 108"/>
            <a:gd name="T30" fmla="*/ 23 w 107"/>
            <a:gd name="T31" fmla="*/ 517 h 108"/>
            <a:gd name="T32" fmla="*/ 57 w 107"/>
            <a:gd name="T33" fmla="*/ 539 h 108"/>
            <a:gd name="T34" fmla="*/ 85 w 107"/>
            <a:gd name="T35" fmla="*/ 556 h 108"/>
            <a:gd name="T36" fmla="*/ 119 w 107"/>
            <a:gd name="T37" fmla="*/ 573 h 108"/>
            <a:gd name="T38" fmla="*/ 153 w 107"/>
            <a:gd name="T39" fmla="*/ 573 h 108"/>
            <a:gd name="T40" fmla="*/ 170 w 107"/>
            <a:gd name="T41" fmla="*/ 602 h 108"/>
            <a:gd name="T42" fmla="*/ 204 w 107"/>
            <a:gd name="T43" fmla="*/ 602 h 108"/>
            <a:gd name="T44" fmla="*/ 216 w 107"/>
            <a:gd name="T45" fmla="*/ 573 h 108"/>
            <a:gd name="T46" fmla="*/ 250 w 107"/>
            <a:gd name="T47" fmla="*/ 545 h 108"/>
            <a:gd name="T48" fmla="*/ 278 w 107"/>
            <a:gd name="T49" fmla="*/ 517 h 108"/>
            <a:gd name="T50" fmla="*/ 318 w 107"/>
            <a:gd name="T51" fmla="*/ 528 h 108"/>
            <a:gd name="T52" fmla="*/ 352 w 107"/>
            <a:gd name="T53" fmla="*/ 522 h 108"/>
            <a:gd name="T54" fmla="*/ 386 w 107"/>
            <a:gd name="T55" fmla="*/ 511 h 108"/>
            <a:gd name="T56" fmla="*/ 425 w 107"/>
            <a:gd name="T57" fmla="*/ 517 h 108"/>
            <a:gd name="T58" fmla="*/ 465 w 107"/>
            <a:gd name="T59" fmla="*/ 505 h 108"/>
            <a:gd name="T60" fmla="*/ 488 w 107"/>
            <a:gd name="T61" fmla="*/ 471 h 108"/>
            <a:gd name="T62" fmla="*/ 477 w 107"/>
            <a:gd name="T63" fmla="*/ 431 h 108"/>
            <a:gd name="T64" fmla="*/ 494 w 107"/>
            <a:gd name="T65" fmla="*/ 392 h 108"/>
            <a:gd name="T66" fmla="*/ 477 w 107"/>
            <a:gd name="T67" fmla="*/ 352 h 108"/>
            <a:gd name="T68" fmla="*/ 488 w 107"/>
            <a:gd name="T69" fmla="*/ 312 h 108"/>
            <a:gd name="T70" fmla="*/ 528 w 107"/>
            <a:gd name="T71" fmla="*/ 289 h 108"/>
            <a:gd name="T72" fmla="*/ 539 w 107"/>
            <a:gd name="T73" fmla="*/ 261 h 108"/>
            <a:gd name="T74" fmla="*/ 550 w 107"/>
            <a:gd name="T75" fmla="*/ 221 h 108"/>
            <a:gd name="T76" fmla="*/ 579 w 107"/>
            <a:gd name="T77" fmla="*/ 210 h 108"/>
            <a:gd name="T78" fmla="*/ 607 w 107"/>
            <a:gd name="T79" fmla="*/ 193 h 108"/>
            <a:gd name="T80" fmla="*/ 601 w 107"/>
            <a:gd name="T81" fmla="*/ 153 h 108"/>
            <a:gd name="T82" fmla="*/ 573 w 107"/>
            <a:gd name="T83" fmla="*/ 131 h 108"/>
            <a:gd name="T84" fmla="*/ 579 w 107"/>
            <a:gd name="T85" fmla="*/ 96 h 108"/>
            <a:gd name="T86" fmla="*/ 584 w 107"/>
            <a:gd name="T87" fmla="*/ 74 h 108"/>
            <a:gd name="T88" fmla="*/ 545 w 107"/>
            <a:gd name="T89" fmla="*/ 68 h 108"/>
            <a:gd name="T90" fmla="*/ 516 w 107"/>
            <a:gd name="T91" fmla="*/ 45 h 108"/>
            <a:gd name="T92" fmla="*/ 482 w 107"/>
            <a:gd name="T93" fmla="*/ 28 h 108"/>
            <a:gd name="T94" fmla="*/ 442 w 107"/>
            <a:gd name="T95" fmla="*/ 28 h 108"/>
            <a:gd name="T96" fmla="*/ 408 w 107"/>
            <a:gd name="T97" fmla="*/ 51 h 108"/>
            <a:gd name="T98" fmla="*/ 386 w 107"/>
            <a:gd name="T99" fmla="*/ 74 h 108"/>
            <a:gd name="T100" fmla="*/ 352 w 107"/>
            <a:gd name="T101" fmla="*/ 68 h 108"/>
            <a:gd name="T102" fmla="*/ 323 w 107"/>
            <a:gd name="T103" fmla="*/ 45 h 108"/>
            <a:gd name="T104" fmla="*/ 301 w 107"/>
            <a:gd name="T105" fmla="*/ 11 h 108"/>
            <a:gd name="T106" fmla="*/ 261 w 107"/>
            <a:gd name="T107" fmla="*/ 0 h 108"/>
            <a:gd name="T108" fmla="*/ 221 w 107"/>
            <a:gd name="T109" fmla="*/ 6 h 10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07" h="108">
              <a:moveTo>
                <a:pt x="44" y="0"/>
              </a:moveTo>
              <a:lnTo>
                <a:pt x="42" y="2"/>
              </a:lnTo>
              <a:lnTo>
                <a:pt x="41" y="2"/>
              </a:lnTo>
              <a:lnTo>
                <a:pt x="40" y="2"/>
              </a:lnTo>
              <a:lnTo>
                <a:pt x="39" y="1"/>
              </a:lnTo>
              <a:lnTo>
                <a:pt x="38" y="1"/>
              </a:lnTo>
              <a:lnTo>
                <a:pt x="38" y="2"/>
              </a:lnTo>
              <a:lnTo>
                <a:pt x="39" y="3"/>
              </a:lnTo>
              <a:lnTo>
                <a:pt x="39" y="5"/>
              </a:lnTo>
              <a:lnTo>
                <a:pt x="39" y="6"/>
              </a:lnTo>
              <a:lnTo>
                <a:pt x="39" y="7"/>
              </a:lnTo>
              <a:lnTo>
                <a:pt x="39" y="8"/>
              </a:lnTo>
              <a:lnTo>
                <a:pt x="39" y="9"/>
              </a:lnTo>
              <a:lnTo>
                <a:pt x="39" y="10"/>
              </a:lnTo>
              <a:lnTo>
                <a:pt x="38" y="12"/>
              </a:lnTo>
              <a:lnTo>
                <a:pt x="38" y="13"/>
              </a:lnTo>
              <a:lnTo>
                <a:pt x="37" y="14"/>
              </a:lnTo>
              <a:lnTo>
                <a:pt x="37" y="15"/>
              </a:lnTo>
              <a:lnTo>
                <a:pt x="37" y="16"/>
              </a:lnTo>
              <a:lnTo>
                <a:pt x="37" y="17"/>
              </a:lnTo>
              <a:lnTo>
                <a:pt x="37" y="19"/>
              </a:lnTo>
              <a:lnTo>
                <a:pt x="37" y="20"/>
              </a:lnTo>
              <a:lnTo>
                <a:pt x="37" y="21"/>
              </a:lnTo>
              <a:lnTo>
                <a:pt x="37" y="22"/>
              </a:lnTo>
              <a:lnTo>
                <a:pt x="37" y="23"/>
              </a:lnTo>
              <a:lnTo>
                <a:pt x="36" y="24"/>
              </a:lnTo>
              <a:lnTo>
                <a:pt x="35" y="26"/>
              </a:lnTo>
              <a:lnTo>
                <a:pt x="34" y="27"/>
              </a:lnTo>
              <a:lnTo>
                <a:pt x="33" y="28"/>
              </a:lnTo>
              <a:lnTo>
                <a:pt x="33" y="29"/>
              </a:lnTo>
              <a:lnTo>
                <a:pt x="33" y="30"/>
              </a:lnTo>
              <a:lnTo>
                <a:pt x="33" y="31"/>
              </a:lnTo>
              <a:lnTo>
                <a:pt x="33" y="33"/>
              </a:lnTo>
              <a:lnTo>
                <a:pt x="33" y="34"/>
              </a:lnTo>
              <a:lnTo>
                <a:pt x="32" y="35"/>
              </a:lnTo>
              <a:lnTo>
                <a:pt x="32" y="36"/>
              </a:lnTo>
              <a:lnTo>
                <a:pt x="30" y="37"/>
              </a:lnTo>
              <a:lnTo>
                <a:pt x="29" y="37"/>
              </a:lnTo>
              <a:lnTo>
                <a:pt x="28" y="37"/>
              </a:lnTo>
              <a:lnTo>
                <a:pt x="27" y="37"/>
              </a:lnTo>
              <a:lnTo>
                <a:pt x="26" y="38"/>
              </a:lnTo>
              <a:lnTo>
                <a:pt x="26" y="39"/>
              </a:lnTo>
              <a:lnTo>
                <a:pt x="25" y="40"/>
              </a:lnTo>
              <a:lnTo>
                <a:pt x="25" y="41"/>
              </a:lnTo>
              <a:lnTo>
                <a:pt x="24" y="42"/>
              </a:lnTo>
              <a:lnTo>
                <a:pt x="23" y="44"/>
              </a:lnTo>
              <a:lnTo>
                <a:pt x="22" y="45"/>
              </a:lnTo>
              <a:lnTo>
                <a:pt x="22" y="46"/>
              </a:lnTo>
              <a:lnTo>
                <a:pt x="22" y="47"/>
              </a:lnTo>
              <a:lnTo>
                <a:pt x="22" y="48"/>
              </a:lnTo>
              <a:lnTo>
                <a:pt x="20" y="49"/>
              </a:lnTo>
              <a:lnTo>
                <a:pt x="19" y="49"/>
              </a:lnTo>
              <a:lnTo>
                <a:pt x="18" y="50"/>
              </a:lnTo>
              <a:lnTo>
                <a:pt x="17" y="50"/>
              </a:lnTo>
              <a:lnTo>
                <a:pt x="16" y="51"/>
              </a:lnTo>
              <a:lnTo>
                <a:pt x="15" y="51"/>
              </a:lnTo>
              <a:lnTo>
                <a:pt x="14" y="51"/>
              </a:lnTo>
              <a:lnTo>
                <a:pt x="13" y="51"/>
              </a:lnTo>
              <a:lnTo>
                <a:pt x="12" y="52"/>
              </a:lnTo>
              <a:lnTo>
                <a:pt x="11" y="53"/>
              </a:lnTo>
              <a:lnTo>
                <a:pt x="10" y="53"/>
              </a:lnTo>
              <a:lnTo>
                <a:pt x="9" y="54"/>
              </a:lnTo>
              <a:lnTo>
                <a:pt x="9" y="55"/>
              </a:lnTo>
              <a:lnTo>
                <a:pt x="8" y="56"/>
              </a:lnTo>
              <a:lnTo>
                <a:pt x="8" y="57"/>
              </a:lnTo>
              <a:lnTo>
                <a:pt x="7" y="58"/>
              </a:lnTo>
              <a:lnTo>
                <a:pt x="7" y="60"/>
              </a:lnTo>
              <a:lnTo>
                <a:pt x="6" y="61"/>
              </a:lnTo>
              <a:lnTo>
                <a:pt x="6" y="62"/>
              </a:lnTo>
              <a:lnTo>
                <a:pt x="5" y="63"/>
              </a:lnTo>
              <a:lnTo>
                <a:pt x="5" y="64"/>
              </a:lnTo>
              <a:lnTo>
                <a:pt x="5" y="66"/>
              </a:lnTo>
              <a:lnTo>
                <a:pt x="5" y="67"/>
              </a:lnTo>
              <a:lnTo>
                <a:pt x="4" y="68"/>
              </a:lnTo>
              <a:lnTo>
                <a:pt x="3" y="69"/>
              </a:lnTo>
              <a:lnTo>
                <a:pt x="3" y="70"/>
              </a:lnTo>
              <a:lnTo>
                <a:pt x="2" y="71"/>
              </a:lnTo>
              <a:lnTo>
                <a:pt x="2" y="73"/>
              </a:lnTo>
              <a:lnTo>
                <a:pt x="2" y="74"/>
              </a:lnTo>
              <a:lnTo>
                <a:pt x="1" y="75"/>
              </a:lnTo>
              <a:lnTo>
                <a:pt x="1" y="76"/>
              </a:lnTo>
              <a:lnTo>
                <a:pt x="0" y="77"/>
              </a:lnTo>
              <a:lnTo>
                <a:pt x="1" y="78"/>
              </a:lnTo>
              <a:lnTo>
                <a:pt x="1" y="80"/>
              </a:lnTo>
              <a:lnTo>
                <a:pt x="2" y="80"/>
              </a:lnTo>
              <a:lnTo>
                <a:pt x="2" y="81"/>
              </a:lnTo>
              <a:lnTo>
                <a:pt x="2" y="83"/>
              </a:lnTo>
              <a:lnTo>
                <a:pt x="2" y="84"/>
              </a:lnTo>
              <a:lnTo>
                <a:pt x="1" y="84"/>
              </a:lnTo>
              <a:lnTo>
                <a:pt x="0" y="85"/>
              </a:lnTo>
              <a:lnTo>
                <a:pt x="0" y="87"/>
              </a:lnTo>
              <a:lnTo>
                <a:pt x="0" y="88"/>
              </a:lnTo>
              <a:lnTo>
                <a:pt x="1" y="89"/>
              </a:lnTo>
              <a:lnTo>
                <a:pt x="2" y="90"/>
              </a:lnTo>
              <a:lnTo>
                <a:pt x="3" y="90"/>
              </a:lnTo>
              <a:lnTo>
                <a:pt x="4" y="91"/>
              </a:lnTo>
              <a:lnTo>
                <a:pt x="5" y="92"/>
              </a:lnTo>
              <a:lnTo>
                <a:pt x="6" y="93"/>
              </a:lnTo>
              <a:lnTo>
                <a:pt x="7" y="93"/>
              </a:lnTo>
              <a:lnTo>
                <a:pt x="8" y="94"/>
              </a:lnTo>
              <a:lnTo>
                <a:pt x="9" y="95"/>
              </a:lnTo>
              <a:lnTo>
                <a:pt x="10" y="95"/>
              </a:lnTo>
              <a:lnTo>
                <a:pt x="11" y="95"/>
              </a:lnTo>
              <a:lnTo>
                <a:pt x="12" y="95"/>
              </a:lnTo>
              <a:lnTo>
                <a:pt x="13" y="95"/>
              </a:lnTo>
              <a:lnTo>
                <a:pt x="14" y="96"/>
              </a:lnTo>
              <a:lnTo>
                <a:pt x="14" y="97"/>
              </a:lnTo>
              <a:lnTo>
                <a:pt x="15" y="98"/>
              </a:lnTo>
              <a:lnTo>
                <a:pt x="16" y="99"/>
              </a:lnTo>
              <a:lnTo>
                <a:pt x="17" y="100"/>
              </a:lnTo>
              <a:lnTo>
                <a:pt x="18" y="101"/>
              </a:lnTo>
              <a:lnTo>
                <a:pt x="19" y="101"/>
              </a:lnTo>
              <a:lnTo>
                <a:pt x="20" y="101"/>
              </a:lnTo>
              <a:lnTo>
                <a:pt x="21" y="101"/>
              </a:lnTo>
              <a:lnTo>
                <a:pt x="22" y="101"/>
              </a:lnTo>
              <a:lnTo>
                <a:pt x="23" y="101"/>
              </a:lnTo>
              <a:lnTo>
                <a:pt x="25" y="101"/>
              </a:lnTo>
              <a:lnTo>
                <a:pt x="26" y="101"/>
              </a:lnTo>
              <a:lnTo>
                <a:pt x="27" y="101"/>
              </a:lnTo>
              <a:lnTo>
                <a:pt x="29" y="101"/>
              </a:lnTo>
              <a:lnTo>
                <a:pt x="29" y="103"/>
              </a:lnTo>
              <a:lnTo>
                <a:pt x="30" y="103"/>
              </a:lnTo>
              <a:lnTo>
                <a:pt x="30" y="104"/>
              </a:lnTo>
              <a:lnTo>
                <a:pt x="30" y="105"/>
              </a:lnTo>
              <a:lnTo>
                <a:pt x="30" y="106"/>
              </a:lnTo>
              <a:lnTo>
                <a:pt x="31" y="107"/>
              </a:lnTo>
              <a:lnTo>
                <a:pt x="32" y="108"/>
              </a:lnTo>
              <a:lnTo>
                <a:pt x="33" y="108"/>
              </a:lnTo>
              <a:lnTo>
                <a:pt x="35" y="108"/>
              </a:lnTo>
              <a:lnTo>
                <a:pt x="36" y="108"/>
              </a:lnTo>
              <a:lnTo>
                <a:pt x="36" y="106"/>
              </a:lnTo>
              <a:lnTo>
                <a:pt x="36" y="105"/>
              </a:lnTo>
              <a:lnTo>
                <a:pt x="36" y="104"/>
              </a:lnTo>
              <a:lnTo>
                <a:pt x="36" y="103"/>
              </a:lnTo>
              <a:lnTo>
                <a:pt x="36" y="102"/>
              </a:lnTo>
              <a:lnTo>
                <a:pt x="37" y="101"/>
              </a:lnTo>
              <a:lnTo>
                <a:pt x="38" y="101"/>
              </a:lnTo>
              <a:lnTo>
                <a:pt x="39" y="99"/>
              </a:lnTo>
              <a:lnTo>
                <a:pt x="40" y="99"/>
              </a:lnTo>
              <a:lnTo>
                <a:pt x="41" y="98"/>
              </a:lnTo>
              <a:lnTo>
                <a:pt x="42" y="97"/>
              </a:lnTo>
              <a:lnTo>
                <a:pt x="43" y="96"/>
              </a:lnTo>
              <a:lnTo>
                <a:pt x="44" y="96"/>
              </a:lnTo>
              <a:lnTo>
                <a:pt x="45" y="95"/>
              </a:lnTo>
              <a:lnTo>
                <a:pt x="46" y="94"/>
              </a:lnTo>
              <a:lnTo>
                <a:pt x="46" y="93"/>
              </a:lnTo>
              <a:lnTo>
                <a:pt x="47" y="92"/>
              </a:lnTo>
              <a:lnTo>
                <a:pt x="48" y="92"/>
              </a:lnTo>
              <a:lnTo>
                <a:pt x="49" y="91"/>
              </a:lnTo>
              <a:lnTo>
                <a:pt x="50" y="91"/>
              </a:lnTo>
              <a:lnTo>
                <a:pt x="52" y="90"/>
              </a:lnTo>
              <a:lnTo>
                <a:pt x="53" y="91"/>
              </a:lnTo>
              <a:lnTo>
                <a:pt x="54" y="91"/>
              </a:lnTo>
              <a:lnTo>
                <a:pt x="55" y="91"/>
              </a:lnTo>
              <a:lnTo>
                <a:pt x="56" y="93"/>
              </a:lnTo>
              <a:lnTo>
                <a:pt x="57" y="94"/>
              </a:lnTo>
              <a:lnTo>
                <a:pt x="58" y="94"/>
              </a:lnTo>
              <a:lnTo>
                <a:pt x="59" y="94"/>
              </a:lnTo>
              <a:lnTo>
                <a:pt x="60" y="94"/>
              </a:lnTo>
              <a:lnTo>
                <a:pt x="61" y="93"/>
              </a:lnTo>
              <a:lnTo>
                <a:pt x="62" y="92"/>
              </a:lnTo>
              <a:lnTo>
                <a:pt x="63" y="92"/>
              </a:lnTo>
              <a:lnTo>
                <a:pt x="64" y="91"/>
              </a:lnTo>
              <a:lnTo>
                <a:pt x="65" y="90"/>
              </a:lnTo>
              <a:lnTo>
                <a:pt x="66" y="90"/>
              </a:lnTo>
              <a:lnTo>
                <a:pt x="67" y="90"/>
              </a:lnTo>
              <a:lnTo>
                <a:pt x="68" y="90"/>
              </a:lnTo>
              <a:lnTo>
                <a:pt x="70" y="90"/>
              </a:lnTo>
              <a:lnTo>
                <a:pt x="71" y="91"/>
              </a:lnTo>
              <a:lnTo>
                <a:pt x="72" y="91"/>
              </a:lnTo>
              <a:lnTo>
                <a:pt x="73" y="91"/>
              </a:lnTo>
              <a:lnTo>
                <a:pt x="74" y="91"/>
              </a:lnTo>
              <a:lnTo>
                <a:pt x="75" y="91"/>
              </a:lnTo>
              <a:lnTo>
                <a:pt x="76" y="90"/>
              </a:lnTo>
              <a:lnTo>
                <a:pt x="77" y="90"/>
              </a:lnTo>
              <a:lnTo>
                <a:pt x="78" y="90"/>
              </a:lnTo>
              <a:lnTo>
                <a:pt x="80" y="89"/>
              </a:lnTo>
              <a:lnTo>
                <a:pt x="82" y="89"/>
              </a:lnTo>
              <a:lnTo>
                <a:pt x="83" y="88"/>
              </a:lnTo>
              <a:lnTo>
                <a:pt x="84" y="87"/>
              </a:lnTo>
              <a:lnTo>
                <a:pt x="84" y="86"/>
              </a:lnTo>
              <a:lnTo>
                <a:pt x="85" y="85"/>
              </a:lnTo>
              <a:lnTo>
                <a:pt x="86" y="84"/>
              </a:lnTo>
              <a:lnTo>
                <a:pt x="86" y="83"/>
              </a:lnTo>
              <a:lnTo>
                <a:pt x="86" y="81"/>
              </a:lnTo>
              <a:lnTo>
                <a:pt x="86" y="80"/>
              </a:lnTo>
              <a:lnTo>
                <a:pt x="87" y="79"/>
              </a:lnTo>
              <a:lnTo>
                <a:pt x="86" y="78"/>
              </a:lnTo>
              <a:lnTo>
                <a:pt x="85" y="77"/>
              </a:lnTo>
              <a:lnTo>
                <a:pt x="84" y="76"/>
              </a:lnTo>
              <a:lnTo>
                <a:pt x="84" y="75"/>
              </a:lnTo>
              <a:lnTo>
                <a:pt x="85" y="73"/>
              </a:lnTo>
              <a:lnTo>
                <a:pt x="85" y="72"/>
              </a:lnTo>
              <a:lnTo>
                <a:pt x="87" y="71"/>
              </a:lnTo>
              <a:lnTo>
                <a:pt x="87" y="70"/>
              </a:lnTo>
              <a:lnTo>
                <a:pt x="87" y="69"/>
              </a:lnTo>
              <a:lnTo>
                <a:pt x="87" y="68"/>
              </a:lnTo>
              <a:lnTo>
                <a:pt x="86" y="67"/>
              </a:lnTo>
              <a:lnTo>
                <a:pt x="86" y="66"/>
              </a:lnTo>
              <a:lnTo>
                <a:pt x="85" y="64"/>
              </a:lnTo>
              <a:lnTo>
                <a:pt x="84" y="63"/>
              </a:lnTo>
              <a:lnTo>
                <a:pt x="84" y="62"/>
              </a:lnTo>
              <a:lnTo>
                <a:pt x="83" y="61"/>
              </a:lnTo>
              <a:lnTo>
                <a:pt x="83" y="60"/>
              </a:lnTo>
              <a:lnTo>
                <a:pt x="84" y="58"/>
              </a:lnTo>
              <a:lnTo>
                <a:pt x="85" y="57"/>
              </a:lnTo>
              <a:lnTo>
                <a:pt x="85" y="56"/>
              </a:lnTo>
              <a:lnTo>
                <a:pt x="86" y="55"/>
              </a:lnTo>
              <a:lnTo>
                <a:pt x="87" y="54"/>
              </a:lnTo>
              <a:lnTo>
                <a:pt x="88" y="53"/>
              </a:lnTo>
              <a:lnTo>
                <a:pt x="89" y="53"/>
              </a:lnTo>
              <a:lnTo>
                <a:pt x="90" y="53"/>
              </a:lnTo>
              <a:lnTo>
                <a:pt x="91" y="52"/>
              </a:lnTo>
              <a:lnTo>
                <a:pt x="93" y="51"/>
              </a:lnTo>
              <a:lnTo>
                <a:pt x="94" y="51"/>
              </a:lnTo>
              <a:lnTo>
                <a:pt x="95" y="50"/>
              </a:lnTo>
              <a:lnTo>
                <a:pt x="95" y="49"/>
              </a:lnTo>
              <a:lnTo>
                <a:pt x="95" y="48"/>
              </a:lnTo>
              <a:lnTo>
                <a:pt x="95" y="47"/>
              </a:lnTo>
              <a:lnTo>
                <a:pt x="95" y="46"/>
              </a:lnTo>
              <a:lnTo>
                <a:pt x="95" y="44"/>
              </a:lnTo>
              <a:lnTo>
                <a:pt x="95" y="43"/>
              </a:lnTo>
              <a:lnTo>
                <a:pt x="95" y="42"/>
              </a:lnTo>
              <a:lnTo>
                <a:pt x="96" y="41"/>
              </a:lnTo>
              <a:lnTo>
                <a:pt x="97" y="40"/>
              </a:lnTo>
              <a:lnTo>
                <a:pt x="97" y="39"/>
              </a:lnTo>
              <a:lnTo>
                <a:pt x="97" y="37"/>
              </a:lnTo>
              <a:lnTo>
                <a:pt x="97" y="36"/>
              </a:lnTo>
              <a:lnTo>
                <a:pt x="99" y="36"/>
              </a:lnTo>
              <a:lnTo>
                <a:pt x="100" y="36"/>
              </a:lnTo>
              <a:lnTo>
                <a:pt x="101" y="36"/>
              </a:lnTo>
              <a:lnTo>
                <a:pt x="102" y="37"/>
              </a:lnTo>
              <a:lnTo>
                <a:pt x="103" y="37"/>
              </a:lnTo>
              <a:lnTo>
                <a:pt x="104" y="37"/>
              </a:lnTo>
              <a:lnTo>
                <a:pt x="105" y="37"/>
              </a:lnTo>
              <a:lnTo>
                <a:pt x="106" y="36"/>
              </a:lnTo>
              <a:lnTo>
                <a:pt x="107" y="35"/>
              </a:lnTo>
              <a:lnTo>
                <a:pt x="107" y="34"/>
              </a:lnTo>
              <a:lnTo>
                <a:pt x="107" y="32"/>
              </a:lnTo>
              <a:lnTo>
                <a:pt x="107" y="31"/>
              </a:lnTo>
              <a:lnTo>
                <a:pt x="107" y="30"/>
              </a:lnTo>
              <a:lnTo>
                <a:pt x="107" y="29"/>
              </a:lnTo>
              <a:lnTo>
                <a:pt x="107" y="28"/>
              </a:lnTo>
              <a:lnTo>
                <a:pt x="106" y="27"/>
              </a:lnTo>
              <a:lnTo>
                <a:pt x="105" y="27"/>
              </a:lnTo>
              <a:lnTo>
                <a:pt x="104" y="27"/>
              </a:lnTo>
              <a:lnTo>
                <a:pt x="103" y="27"/>
              </a:lnTo>
              <a:lnTo>
                <a:pt x="102" y="26"/>
              </a:lnTo>
              <a:lnTo>
                <a:pt x="101" y="24"/>
              </a:lnTo>
              <a:lnTo>
                <a:pt x="101" y="23"/>
              </a:lnTo>
              <a:lnTo>
                <a:pt x="100" y="22"/>
              </a:lnTo>
              <a:lnTo>
                <a:pt x="100" y="21"/>
              </a:lnTo>
              <a:lnTo>
                <a:pt x="100" y="20"/>
              </a:lnTo>
              <a:lnTo>
                <a:pt x="100" y="19"/>
              </a:lnTo>
              <a:lnTo>
                <a:pt x="101" y="17"/>
              </a:lnTo>
              <a:lnTo>
                <a:pt x="102" y="17"/>
              </a:lnTo>
              <a:lnTo>
                <a:pt x="103" y="16"/>
              </a:lnTo>
              <a:lnTo>
                <a:pt x="104" y="16"/>
              </a:lnTo>
              <a:lnTo>
                <a:pt x="105" y="15"/>
              </a:lnTo>
              <a:lnTo>
                <a:pt x="105" y="14"/>
              </a:lnTo>
              <a:lnTo>
                <a:pt x="104" y="13"/>
              </a:lnTo>
              <a:lnTo>
                <a:pt x="103" y="13"/>
              </a:lnTo>
              <a:lnTo>
                <a:pt x="102" y="13"/>
              </a:lnTo>
              <a:lnTo>
                <a:pt x="101" y="13"/>
              </a:lnTo>
              <a:lnTo>
                <a:pt x="100" y="13"/>
              </a:lnTo>
              <a:lnTo>
                <a:pt x="99" y="13"/>
              </a:lnTo>
              <a:lnTo>
                <a:pt x="97" y="12"/>
              </a:lnTo>
              <a:lnTo>
                <a:pt x="96" y="12"/>
              </a:lnTo>
              <a:lnTo>
                <a:pt x="96" y="10"/>
              </a:lnTo>
              <a:lnTo>
                <a:pt x="95" y="9"/>
              </a:lnTo>
              <a:lnTo>
                <a:pt x="94" y="9"/>
              </a:lnTo>
              <a:lnTo>
                <a:pt x="93" y="9"/>
              </a:lnTo>
              <a:lnTo>
                <a:pt x="92" y="8"/>
              </a:lnTo>
              <a:lnTo>
                <a:pt x="91" y="8"/>
              </a:lnTo>
              <a:lnTo>
                <a:pt x="90" y="8"/>
              </a:lnTo>
              <a:lnTo>
                <a:pt x="88" y="8"/>
              </a:lnTo>
              <a:lnTo>
                <a:pt x="87" y="7"/>
              </a:lnTo>
              <a:lnTo>
                <a:pt x="87" y="6"/>
              </a:lnTo>
              <a:lnTo>
                <a:pt x="86" y="5"/>
              </a:lnTo>
              <a:lnTo>
                <a:pt x="85" y="5"/>
              </a:lnTo>
              <a:lnTo>
                <a:pt x="84" y="5"/>
              </a:lnTo>
              <a:lnTo>
                <a:pt x="83" y="4"/>
              </a:lnTo>
              <a:lnTo>
                <a:pt x="82" y="4"/>
              </a:lnTo>
              <a:lnTo>
                <a:pt x="80" y="5"/>
              </a:lnTo>
              <a:lnTo>
                <a:pt x="79" y="5"/>
              </a:lnTo>
              <a:lnTo>
                <a:pt x="78" y="5"/>
              </a:lnTo>
              <a:lnTo>
                <a:pt x="77" y="6"/>
              </a:lnTo>
              <a:lnTo>
                <a:pt x="76" y="6"/>
              </a:lnTo>
              <a:lnTo>
                <a:pt x="74" y="6"/>
              </a:lnTo>
              <a:lnTo>
                <a:pt x="73" y="7"/>
              </a:lnTo>
              <a:lnTo>
                <a:pt x="72" y="7"/>
              </a:lnTo>
              <a:lnTo>
                <a:pt x="72" y="9"/>
              </a:lnTo>
              <a:lnTo>
                <a:pt x="71" y="8"/>
              </a:lnTo>
              <a:lnTo>
                <a:pt x="71" y="10"/>
              </a:lnTo>
              <a:lnTo>
                <a:pt x="70" y="11"/>
              </a:lnTo>
              <a:lnTo>
                <a:pt x="70" y="12"/>
              </a:lnTo>
              <a:lnTo>
                <a:pt x="69" y="13"/>
              </a:lnTo>
              <a:lnTo>
                <a:pt x="68" y="13"/>
              </a:lnTo>
              <a:lnTo>
                <a:pt x="67" y="14"/>
              </a:lnTo>
              <a:lnTo>
                <a:pt x="66" y="14"/>
              </a:lnTo>
              <a:lnTo>
                <a:pt x="64" y="14"/>
              </a:lnTo>
              <a:lnTo>
                <a:pt x="63" y="14"/>
              </a:lnTo>
              <a:lnTo>
                <a:pt x="62" y="13"/>
              </a:lnTo>
              <a:lnTo>
                <a:pt x="62" y="12"/>
              </a:lnTo>
              <a:lnTo>
                <a:pt x="61" y="11"/>
              </a:lnTo>
              <a:lnTo>
                <a:pt x="60" y="11"/>
              </a:lnTo>
              <a:lnTo>
                <a:pt x="59" y="11"/>
              </a:lnTo>
              <a:lnTo>
                <a:pt x="58" y="11"/>
              </a:lnTo>
              <a:lnTo>
                <a:pt x="58" y="10"/>
              </a:lnTo>
              <a:lnTo>
                <a:pt x="57" y="8"/>
              </a:lnTo>
              <a:lnTo>
                <a:pt x="57" y="7"/>
              </a:lnTo>
              <a:lnTo>
                <a:pt x="57" y="6"/>
              </a:lnTo>
              <a:lnTo>
                <a:pt x="56" y="5"/>
              </a:lnTo>
              <a:lnTo>
                <a:pt x="55" y="5"/>
              </a:lnTo>
              <a:lnTo>
                <a:pt x="54" y="4"/>
              </a:lnTo>
              <a:lnTo>
                <a:pt x="53" y="2"/>
              </a:lnTo>
              <a:lnTo>
                <a:pt x="52" y="1"/>
              </a:lnTo>
              <a:lnTo>
                <a:pt x="51" y="1"/>
              </a:lnTo>
              <a:lnTo>
                <a:pt x="50" y="1"/>
              </a:lnTo>
              <a:lnTo>
                <a:pt x="49" y="1"/>
              </a:lnTo>
              <a:lnTo>
                <a:pt x="47" y="1"/>
              </a:lnTo>
              <a:lnTo>
                <a:pt x="46" y="0"/>
              </a:lnTo>
              <a:lnTo>
                <a:pt x="44" y="0"/>
              </a:lnTo>
              <a:lnTo>
                <a:pt x="43" y="0"/>
              </a:lnTo>
              <a:lnTo>
                <a:pt x="42" y="0"/>
              </a:lnTo>
              <a:lnTo>
                <a:pt x="41" y="0"/>
              </a:lnTo>
              <a:lnTo>
                <a:pt x="40" y="0"/>
              </a:lnTo>
              <a:lnTo>
                <a:pt x="39" y="1"/>
              </a:lnTo>
              <a:lnTo>
                <a:pt x="40" y="2"/>
              </a:lnTo>
              <a:lnTo>
                <a:pt x="41" y="2"/>
              </a:lnTo>
              <a:lnTo>
                <a:pt x="44" y="0"/>
              </a:lnTo>
              <a:close/>
            </a:path>
          </a:pathLst>
        </a:custGeom>
        <a:solidFill>
          <a:srgbClr val="0000BF"/>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endParaRPr lang="en-US" sz="1055">
            <a:solidFill>
              <a:prstClr val="black"/>
            </a:solidFill>
            <a:latin typeface="Calibri" panose="020F0502020204030204"/>
          </a:endParaRPr>
        </a:p>
      </xdr:txBody>
    </xdr:sp>
    <xdr:clientData/>
  </xdr:twoCellAnchor>
  <xdr:twoCellAnchor>
    <xdr:from>
      <xdr:col>2</xdr:col>
      <xdr:colOff>203201</xdr:colOff>
      <xdr:row>47</xdr:row>
      <xdr:rowOff>60325</xdr:rowOff>
    </xdr:from>
    <xdr:to>
      <xdr:col>2</xdr:col>
      <xdr:colOff>679451</xdr:colOff>
      <xdr:row>52</xdr:row>
      <xdr:rowOff>88900</xdr:rowOff>
    </xdr:to>
    <xdr:sp macro="" textlink="">
      <xdr:nvSpPr>
        <xdr:cNvPr id="36" name="Freeform 106">
          <a:extLst>
            <a:ext uri="{FF2B5EF4-FFF2-40B4-BE49-F238E27FC236}">
              <a16:creationId xmlns:a16="http://schemas.microsoft.com/office/drawing/2014/main" id="{8594A8D3-4230-4E8A-A2AF-D018F96F4760}"/>
            </a:ext>
          </a:extLst>
        </xdr:cNvPr>
        <xdr:cNvSpPr>
          <a:spLocks noChangeAspect="1"/>
        </xdr:cNvSpPr>
      </xdr:nvSpPr>
      <xdr:spPr bwMode="gray">
        <a:xfrm>
          <a:off x="2374901" y="8480425"/>
          <a:ext cx="476250" cy="838200"/>
        </a:xfrm>
        <a:custGeom>
          <a:avLst/>
          <a:gdLst>
            <a:gd name="T0" fmla="*/ 136 w 71"/>
            <a:gd name="T1" fmla="*/ 153 h 133"/>
            <a:gd name="T2" fmla="*/ 176 w 71"/>
            <a:gd name="T3" fmla="*/ 148 h 133"/>
            <a:gd name="T4" fmla="*/ 193 w 71"/>
            <a:gd name="T5" fmla="*/ 108 h 133"/>
            <a:gd name="T6" fmla="*/ 209 w 71"/>
            <a:gd name="T7" fmla="*/ 74 h 133"/>
            <a:gd name="T8" fmla="*/ 221 w 71"/>
            <a:gd name="T9" fmla="*/ 34 h 133"/>
            <a:gd name="T10" fmla="*/ 187 w 71"/>
            <a:gd name="T11" fmla="*/ 23 h 133"/>
            <a:gd name="T12" fmla="*/ 193 w 71"/>
            <a:gd name="T13" fmla="*/ 0 h 133"/>
            <a:gd name="T14" fmla="*/ 226 w 71"/>
            <a:gd name="T15" fmla="*/ 0 h 133"/>
            <a:gd name="T16" fmla="*/ 255 w 71"/>
            <a:gd name="T17" fmla="*/ 17 h 133"/>
            <a:gd name="T18" fmla="*/ 283 w 71"/>
            <a:gd name="T19" fmla="*/ 45 h 133"/>
            <a:gd name="T20" fmla="*/ 289 w 71"/>
            <a:gd name="T21" fmla="*/ 85 h 133"/>
            <a:gd name="T22" fmla="*/ 289 w 71"/>
            <a:gd name="T23" fmla="*/ 125 h 133"/>
            <a:gd name="T24" fmla="*/ 272 w 71"/>
            <a:gd name="T25" fmla="*/ 165 h 133"/>
            <a:gd name="T26" fmla="*/ 283 w 71"/>
            <a:gd name="T27" fmla="*/ 199 h 133"/>
            <a:gd name="T28" fmla="*/ 311 w 71"/>
            <a:gd name="T29" fmla="*/ 233 h 133"/>
            <a:gd name="T30" fmla="*/ 340 w 71"/>
            <a:gd name="T31" fmla="*/ 250 h 133"/>
            <a:gd name="T32" fmla="*/ 368 w 71"/>
            <a:gd name="T33" fmla="*/ 267 h 133"/>
            <a:gd name="T34" fmla="*/ 345 w 71"/>
            <a:gd name="T35" fmla="*/ 301 h 133"/>
            <a:gd name="T36" fmla="*/ 328 w 71"/>
            <a:gd name="T37" fmla="*/ 341 h 133"/>
            <a:gd name="T38" fmla="*/ 340 w 71"/>
            <a:gd name="T39" fmla="*/ 380 h 133"/>
            <a:gd name="T40" fmla="*/ 362 w 71"/>
            <a:gd name="T41" fmla="*/ 414 h 133"/>
            <a:gd name="T42" fmla="*/ 374 w 71"/>
            <a:gd name="T43" fmla="*/ 443 h 133"/>
            <a:gd name="T44" fmla="*/ 402 w 71"/>
            <a:gd name="T45" fmla="*/ 477 h 133"/>
            <a:gd name="T46" fmla="*/ 379 w 71"/>
            <a:gd name="T47" fmla="*/ 505 h 133"/>
            <a:gd name="T48" fmla="*/ 357 w 71"/>
            <a:gd name="T49" fmla="*/ 545 h 133"/>
            <a:gd name="T50" fmla="*/ 362 w 71"/>
            <a:gd name="T51" fmla="*/ 585 h 133"/>
            <a:gd name="T52" fmla="*/ 391 w 71"/>
            <a:gd name="T53" fmla="*/ 590 h 133"/>
            <a:gd name="T54" fmla="*/ 368 w 71"/>
            <a:gd name="T55" fmla="*/ 619 h 133"/>
            <a:gd name="T56" fmla="*/ 368 w 71"/>
            <a:gd name="T57" fmla="*/ 658 h 133"/>
            <a:gd name="T58" fmla="*/ 379 w 71"/>
            <a:gd name="T59" fmla="*/ 687 h 133"/>
            <a:gd name="T60" fmla="*/ 379 w 71"/>
            <a:gd name="T61" fmla="*/ 727 h 133"/>
            <a:gd name="T62" fmla="*/ 368 w 71"/>
            <a:gd name="T63" fmla="*/ 755 h 133"/>
            <a:gd name="T64" fmla="*/ 334 w 71"/>
            <a:gd name="T65" fmla="*/ 738 h 133"/>
            <a:gd name="T66" fmla="*/ 300 w 71"/>
            <a:gd name="T67" fmla="*/ 715 h 133"/>
            <a:gd name="T68" fmla="*/ 266 w 71"/>
            <a:gd name="T69" fmla="*/ 693 h 133"/>
            <a:gd name="T70" fmla="*/ 232 w 71"/>
            <a:gd name="T71" fmla="*/ 698 h 133"/>
            <a:gd name="T72" fmla="*/ 198 w 71"/>
            <a:gd name="T73" fmla="*/ 715 h 133"/>
            <a:gd name="T74" fmla="*/ 164 w 71"/>
            <a:gd name="T75" fmla="*/ 749 h 133"/>
            <a:gd name="T76" fmla="*/ 130 w 71"/>
            <a:gd name="T77" fmla="*/ 738 h 133"/>
            <a:gd name="T78" fmla="*/ 108 w 71"/>
            <a:gd name="T79" fmla="*/ 704 h 133"/>
            <a:gd name="T80" fmla="*/ 74 w 71"/>
            <a:gd name="T81" fmla="*/ 676 h 133"/>
            <a:gd name="T82" fmla="*/ 34 w 71"/>
            <a:gd name="T83" fmla="*/ 670 h 133"/>
            <a:gd name="T84" fmla="*/ 0 w 71"/>
            <a:gd name="T85" fmla="*/ 676 h 133"/>
            <a:gd name="T86" fmla="*/ 0 w 71"/>
            <a:gd name="T87" fmla="*/ 636 h 133"/>
            <a:gd name="T88" fmla="*/ 0 w 71"/>
            <a:gd name="T89" fmla="*/ 596 h 133"/>
            <a:gd name="T90" fmla="*/ 6 w 71"/>
            <a:gd name="T91" fmla="*/ 562 h 133"/>
            <a:gd name="T92" fmla="*/ 6 w 71"/>
            <a:gd name="T93" fmla="*/ 517 h 133"/>
            <a:gd name="T94" fmla="*/ 17 w 71"/>
            <a:gd name="T95" fmla="*/ 483 h 133"/>
            <a:gd name="T96" fmla="*/ 28 w 71"/>
            <a:gd name="T97" fmla="*/ 443 h 133"/>
            <a:gd name="T98" fmla="*/ 57 w 71"/>
            <a:gd name="T99" fmla="*/ 403 h 133"/>
            <a:gd name="T100" fmla="*/ 68 w 71"/>
            <a:gd name="T101" fmla="*/ 363 h 133"/>
            <a:gd name="T102" fmla="*/ 96 w 71"/>
            <a:gd name="T103" fmla="*/ 341 h 133"/>
            <a:gd name="T104" fmla="*/ 113 w 71"/>
            <a:gd name="T105" fmla="*/ 301 h 133"/>
            <a:gd name="T106" fmla="*/ 119 w 71"/>
            <a:gd name="T107" fmla="*/ 261 h 133"/>
            <a:gd name="T108" fmla="*/ 125 w 71"/>
            <a:gd name="T109" fmla="*/ 216 h 13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71" h="133">
              <a:moveTo>
                <a:pt x="24" y="34"/>
              </a:moveTo>
              <a:lnTo>
                <a:pt x="22" y="30"/>
              </a:lnTo>
              <a:lnTo>
                <a:pt x="22" y="29"/>
              </a:lnTo>
              <a:lnTo>
                <a:pt x="22" y="28"/>
              </a:lnTo>
              <a:lnTo>
                <a:pt x="23" y="28"/>
              </a:lnTo>
              <a:lnTo>
                <a:pt x="24" y="27"/>
              </a:lnTo>
              <a:lnTo>
                <a:pt x="25" y="27"/>
              </a:lnTo>
              <a:lnTo>
                <a:pt x="26" y="27"/>
              </a:lnTo>
              <a:lnTo>
                <a:pt x="27" y="27"/>
              </a:lnTo>
              <a:lnTo>
                <a:pt x="28" y="27"/>
              </a:lnTo>
              <a:lnTo>
                <a:pt x="30" y="26"/>
              </a:lnTo>
              <a:lnTo>
                <a:pt x="31" y="26"/>
              </a:lnTo>
              <a:lnTo>
                <a:pt x="32" y="25"/>
              </a:lnTo>
              <a:lnTo>
                <a:pt x="33" y="24"/>
              </a:lnTo>
              <a:lnTo>
                <a:pt x="33" y="23"/>
              </a:lnTo>
              <a:lnTo>
                <a:pt x="33" y="22"/>
              </a:lnTo>
              <a:lnTo>
                <a:pt x="33" y="20"/>
              </a:lnTo>
              <a:lnTo>
                <a:pt x="34" y="19"/>
              </a:lnTo>
              <a:lnTo>
                <a:pt x="35" y="18"/>
              </a:lnTo>
              <a:lnTo>
                <a:pt x="36" y="17"/>
              </a:lnTo>
              <a:lnTo>
                <a:pt x="37" y="16"/>
              </a:lnTo>
              <a:lnTo>
                <a:pt x="37" y="15"/>
              </a:lnTo>
              <a:lnTo>
                <a:pt x="37" y="14"/>
              </a:lnTo>
              <a:lnTo>
                <a:pt x="37" y="13"/>
              </a:lnTo>
              <a:lnTo>
                <a:pt x="37" y="12"/>
              </a:lnTo>
              <a:lnTo>
                <a:pt x="38" y="10"/>
              </a:lnTo>
              <a:lnTo>
                <a:pt x="39" y="9"/>
              </a:lnTo>
              <a:lnTo>
                <a:pt x="39" y="8"/>
              </a:lnTo>
              <a:lnTo>
                <a:pt x="39" y="7"/>
              </a:lnTo>
              <a:lnTo>
                <a:pt x="39" y="6"/>
              </a:lnTo>
              <a:lnTo>
                <a:pt x="38" y="5"/>
              </a:lnTo>
              <a:lnTo>
                <a:pt x="37" y="5"/>
              </a:lnTo>
              <a:lnTo>
                <a:pt x="35" y="5"/>
              </a:lnTo>
              <a:lnTo>
                <a:pt x="34" y="5"/>
              </a:lnTo>
              <a:lnTo>
                <a:pt x="33" y="4"/>
              </a:lnTo>
              <a:lnTo>
                <a:pt x="32" y="3"/>
              </a:lnTo>
              <a:lnTo>
                <a:pt x="31" y="2"/>
              </a:lnTo>
              <a:lnTo>
                <a:pt x="30" y="1"/>
              </a:lnTo>
              <a:lnTo>
                <a:pt x="31" y="0"/>
              </a:lnTo>
              <a:lnTo>
                <a:pt x="33" y="0"/>
              </a:lnTo>
              <a:lnTo>
                <a:pt x="34" y="0"/>
              </a:lnTo>
              <a:lnTo>
                <a:pt x="35" y="0"/>
              </a:lnTo>
              <a:lnTo>
                <a:pt x="37" y="0"/>
              </a:lnTo>
              <a:lnTo>
                <a:pt x="38" y="0"/>
              </a:lnTo>
              <a:lnTo>
                <a:pt x="39" y="0"/>
              </a:lnTo>
              <a:lnTo>
                <a:pt x="40" y="0"/>
              </a:lnTo>
              <a:lnTo>
                <a:pt x="41" y="0"/>
              </a:lnTo>
              <a:lnTo>
                <a:pt x="42" y="0"/>
              </a:lnTo>
              <a:lnTo>
                <a:pt x="42" y="1"/>
              </a:lnTo>
              <a:lnTo>
                <a:pt x="43" y="2"/>
              </a:lnTo>
              <a:lnTo>
                <a:pt x="44" y="3"/>
              </a:lnTo>
              <a:lnTo>
                <a:pt x="45" y="3"/>
              </a:lnTo>
              <a:lnTo>
                <a:pt x="46" y="4"/>
              </a:lnTo>
              <a:lnTo>
                <a:pt x="47" y="4"/>
              </a:lnTo>
              <a:lnTo>
                <a:pt x="48" y="5"/>
              </a:lnTo>
              <a:lnTo>
                <a:pt x="49" y="5"/>
              </a:lnTo>
              <a:lnTo>
                <a:pt x="50" y="6"/>
              </a:lnTo>
              <a:lnTo>
                <a:pt x="50" y="8"/>
              </a:lnTo>
              <a:lnTo>
                <a:pt x="50" y="9"/>
              </a:lnTo>
              <a:lnTo>
                <a:pt x="50" y="10"/>
              </a:lnTo>
              <a:lnTo>
                <a:pt x="51" y="12"/>
              </a:lnTo>
              <a:lnTo>
                <a:pt x="51" y="13"/>
              </a:lnTo>
              <a:lnTo>
                <a:pt x="51" y="14"/>
              </a:lnTo>
              <a:lnTo>
                <a:pt x="51" y="15"/>
              </a:lnTo>
              <a:lnTo>
                <a:pt x="51" y="16"/>
              </a:lnTo>
              <a:lnTo>
                <a:pt x="51" y="17"/>
              </a:lnTo>
              <a:lnTo>
                <a:pt x="51" y="19"/>
              </a:lnTo>
              <a:lnTo>
                <a:pt x="51" y="20"/>
              </a:lnTo>
              <a:lnTo>
                <a:pt x="51" y="21"/>
              </a:lnTo>
              <a:lnTo>
                <a:pt x="51" y="22"/>
              </a:lnTo>
              <a:lnTo>
                <a:pt x="51" y="23"/>
              </a:lnTo>
              <a:lnTo>
                <a:pt x="51" y="24"/>
              </a:lnTo>
              <a:lnTo>
                <a:pt x="50" y="26"/>
              </a:lnTo>
              <a:lnTo>
                <a:pt x="49" y="27"/>
              </a:lnTo>
              <a:lnTo>
                <a:pt x="49" y="28"/>
              </a:lnTo>
              <a:lnTo>
                <a:pt x="48" y="29"/>
              </a:lnTo>
              <a:lnTo>
                <a:pt x="48" y="30"/>
              </a:lnTo>
              <a:lnTo>
                <a:pt x="47" y="31"/>
              </a:lnTo>
              <a:lnTo>
                <a:pt x="47" y="33"/>
              </a:lnTo>
              <a:lnTo>
                <a:pt x="48" y="34"/>
              </a:lnTo>
              <a:lnTo>
                <a:pt x="49" y="34"/>
              </a:lnTo>
              <a:lnTo>
                <a:pt x="50" y="35"/>
              </a:lnTo>
              <a:lnTo>
                <a:pt x="51" y="36"/>
              </a:lnTo>
              <a:lnTo>
                <a:pt x="52" y="37"/>
              </a:lnTo>
              <a:lnTo>
                <a:pt x="53" y="38"/>
              </a:lnTo>
              <a:lnTo>
                <a:pt x="54" y="40"/>
              </a:lnTo>
              <a:lnTo>
                <a:pt x="55" y="40"/>
              </a:lnTo>
              <a:lnTo>
                <a:pt x="55" y="41"/>
              </a:lnTo>
              <a:lnTo>
                <a:pt x="56" y="43"/>
              </a:lnTo>
              <a:lnTo>
                <a:pt x="56" y="44"/>
              </a:lnTo>
              <a:lnTo>
                <a:pt x="57" y="44"/>
              </a:lnTo>
              <a:lnTo>
                <a:pt x="58" y="44"/>
              </a:lnTo>
              <a:lnTo>
                <a:pt x="59" y="44"/>
              </a:lnTo>
              <a:lnTo>
                <a:pt x="60" y="44"/>
              </a:lnTo>
              <a:lnTo>
                <a:pt x="61" y="45"/>
              </a:lnTo>
              <a:lnTo>
                <a:pt x="62" y="45"/>
              </a:lnTo>
              <a:lnTo>
                <a:pt x="63" y="45"/>
              </a:lnTo>
              <a:lnTo>
                <a:pt x="65" y="45"/>
              </a:lnTo>
              <a:lnTo>
                <a:pt x="65" y="46"/>
              </a:lnTo>
              <a:lnTo>
                <a:pt x="65" y="47"/>
              </a:lnTo>
              <a:lnTo>
                <a:pt x="65" y="48"/>
              </a:lnTo>
              <a:lnTo>
                <a:pt x="65" y="50"/>
              </a:lnTo>
              <a:lnTo>
                <a:pt x="63" y="50"/>
              </a:lnTo>
              <a:lnTo>
                <a:pt x="63" y="51"/>
              </a:lnTo>
              <a:lnTo>
                <a:pt x="62" y="52"/>
              </a:lnTo>
              <a:lnTo>
                <a:pt x="61" y="53"/>
              </a:lnTo>
              <a:lnTo>
                <a:pt x="60" y="54"/>
              </a:lnTo>
              <a:lnTo>
                <a:pt x="59" y="55"/>
              </a:lnTo>
              <a:lnTo>
                <a:pt x="59" y="57"/>
              </a:lnTo>
              <a:lnTo>
                <a:pt x="59" y="58"/>
              </a:lnTo>
              <a:lnTo>
                <a:pt x="58" y="59"/>
              </a:lnTo>
              <a:lnTo>
                <a:pt x="58" y="60"/>
              </a:lnTo>
              <a:lnTo>
                <a:pt x="58" y="61"/>
              </a:lnTo>
              <a:lnTo>
                <a:pt x="58" y="63"/>
              </a:lnTo>
              <a:lnTo>
                <a:pt x="58" y="64"/>
              </a:lnTo>
              <a:lnTo>
                <a:pt x="59" y="65"/>
              </a:lnTo>
              <a:lnTo>
                <a:pt x="60" y="66"/>
              </a:lnTo>
              <a:lnTo>
                <a:pt x="60" y="67"/>
              </a:lnTo>
              <a:lnTo>
                <a:pt x="61" y="68"/>
              </a:lnTo>
              <a:lnTo>
                <a:pt x="61" y="69"/>
              </a:lnTo>
              <a:lnTo>
                <a:pt x="62" y="70"/>
              </a:lnTo>
              <a:lnTo>
                <a:pt x="63" y="71"/>
              </a:lnTo>
              <a:lnTo>
                <a:pt x="64" y="72"/>
              </a:lnTo>
              <a:lnTo>
                <a:pt x="64" y="73"/>
              </a:lnTo>
              <a:lnTo>
                <a:pt x="64" y="74"/>
              </a:lnTo>
              <a:lnTo>
                <a:pt x="64" y="75"/>
              </a:lnTo>
              <a:lnTo>
                <a:pt x="64" y="77"/>
              </a:lnTo>
              <a:lnTo>
                <a:pt x="64" y="78"/>
              </a:lnTo>
              <a:lnTo>
                <a:pt x="65" y="78"/>
              </a:lnTo>
              <a:lnTo>
                <a:pt x="66" y="78"/>
              </a:lnTo>
              <a:lnTo>
                <a:pt x="68" y="79"/>
              </a:lnTo>
              <a:lnTo>
                <a:pt x="68" y="81"/>
              </a:lnTo>
              <a:lnTo>
                <a:pt x="68" y="82"/>
              </a:lnTo>
              <a:lnTo>
                <a:pt x="69" y="83"/>
              </a:lnTo>
              <a:lnTo>
                <a:pt x="70" y="84"/>
              </a:lnTo>
              <a:lnTo>
                <a:pt x="71" y="84"/>
              </a:lnTo>
              <a:lnTo>
                <a:pt x="71" y="85"/>
              </a:lnTo>
              <a:lnTo>
                <a:pt x="70" y="85"/>
              </a:lnTo>
              <a:lnTo>
                <a:pt x="69" y="87"/>
              </a:lnTo>
              <a:lnTo>
                <a:pt x="68" y="88"/>
              </a:lnTo>
              <a:lnTo>
                <a:pt x="67" y="88"/>
              </a:lnTo>
              <a:lnTo>
                <a:pt x="67" y="89"/>
              </a:lnTo>
              <a:lnTo>
                <a:pt x="66" y="91"/>
              </a:lnTo>
              <a:lnTo>
                <a:pt x="66" y="92"/>
              </a:lnTo>
              <a:lnTo>
                <a:pt x="65" y="93"/>
              </a:lnTo>
              <a:lnTo>
                <a:pt x="64" y="94"/>
              </a:lnTo>
              <a:lnTo>
                <a:pt x="64" y="95"/>
              </a:lnTo>
              <a:lnTo>
                <a:pt x="63" y="96"/>
              </a:lnTo>
              <a:lnTo>
                <a:pt x="63" y="97"/>
              </a:lnTo>
              <a:lnTo>
                <a:pt x="63" y="99"/>
              </a:lnTo>
              <a:lnTo>
                <a:pt x="63" y="100"/>
              </a:lnTo>
              <a:lnTo>
                <a:pt x="63" y="101"/>
              </a:lnTo>
              <a:lnTo>
                <a:pt x="63" y="102"/>
              </a:lnTo>
              <a:lnTo>
                <a:pt x="64" y="103"/>
              </a:lnTo>
              <a:lnTo>
                <a:pt x="65" y="103"/>
              </a:lnTo>
              <a:lnTo>
                <a:pt x="66" y="103"/>
              </a:lnTo>
              <a:lnTo>
                <a:pt x="67" y="103"/>
              </a:lnTo>
              <a:lnTo>
                <a:pt x="68" y="103"/>
              </a:lnTo>
              <a:lnTo>
                <a:pt x="69" y="103"/>
              </a:lnTo>
              <a:lnTo>
                <a:pt x="69" y="104"/>
              </a:lnTo>
              <a:lnTo>
                <a:pt x="69" y="106"/>
              </a:lnTo>
              <a:lnTo>
                <a:pt x="68" y="106"/>
              </a:lnTo>
              <a:lnTo>
                <a:pt x="67" y="107"/>
              </a:lnTo>
              <a:lnTo>
                <a:pt x="66" y="107"/>
              </a:lnTo>
              <a:lnTo>
                <a:pt x="65" y="108"/>
              </a:lnTo>
              <a:lnTo>
                <a:pt x="65" y="109"/>
              </a:lnTo>
              <a:lnTo>
                <a:pt x="65" y="110"/>
              </a:lnTo>
              <a:lnTo>
                <a:pt x="66" y="112"/>
              </a:lnTo>
              <a:lnTo>
                <a:pt x="67" y="113"/>
              </a:lnTo>
              <a:lnTo>
                <a:pt x="66" y="114"/>
              </a:lnTo>
              <a:lnTo>
                <a:pt x="66" y="115"/>
              </a:lnTo>
              <a:lnTo>
                <a:pt x="65" y="116"/>
              </a:lnTo>
              <a:lnTo>
                <a:pt x="64" y="116"/>
              </a:lnTo>
              <a:lnTo>
                <a:pt x="64" y="117"/>
              </a:lnTo>
              <a:lnTo>
                <a:pt x="65" y="118"/>
              </a:lnTo>
              <a:lnTo>
                <a:pt x="66" y="119"/>
              </a:lnTo>
              <a:lnTo>
                <a:pt x="66" y="120"/>
              </a:lnTo>
              <a:lnTo>
                <a:pt x="67" y="121"/>
              </a:lnTo>
              <a:lnTo>
                <a:pt x="67" y="122"/>
              </a:lnTo>
              <a:lnTo>
                <a:pt x="68" y="123"/>
              </a:lnTo>
              <a:lnTo>
                <a:pt x="68" y="124"/>
              </a:lnTo>
              <a:lnTo>
                <a:pt x="68" y="126"/>
              </a:lnTo>
              <a:lnTo>
                <a:pt x="67" y="127"/>
              </a:lnTo>
              <a:lnTo>
                <a:pt x="67" y="128"/>
              </a:lnTo>
              <a:lnTo>
                <a:pt x="67" y="129"/>
              </a:lnTo>
              <a:lnTo>
                <a:pt x="68" y="130"/>
              </a:lnTo>
              <a:lnTo>
                <a:pt x="68" y="132"/>
              </a:lnTo>
              <a:lnTo>
                <a:pt x="68" y="133"/>
              </a:lnTo>
              <a:lnTo>
                <a:pt x="66" y="133"/>
              </a:lnTo>
              <a:lnTo>
                <a:pt x="65" y="133"/>
              </a:lnTo>
              <a:lnTo>
                <a:pt x="64" y="132"/>
              </a:lnTo>
              <a:lnTo>
                <a:pt x="63" y="132"/>
              </a:lnTo>
              <a:lnTo>
                <a:pt x="62" y="131"/>
              </a:lnTo>
              <a:lnTo>
                <a:pt x="61" y="131"/>
              </a:lnTo>
              <a:lnTo>
                <a:pt x="60" y="131"/>
              </a:lnTo>
              <a:lnTo>
                <a:pt x="59" y="130"/>
              </a:lnTo>
              <a:lnTo>
                <a:pt x="58" y="129"/>
              </a:lnTo>
              <a:lnTo>
                <a:pt x="58" y="127"/>
              </a:lnTo>
              <a:lnTo>
                <a:pt x="57" y="127"/>
              </a:lnTo>
              <a:lnTo>
                <a:pt x="56" y="127"/>
              </a:lnTo>
              <a:lnTo>
                <a:pt x="54" y="127"/>
              </a:lnTo>
              <a:lnTo>
                <a:pt x="53" y="126"/>
              </a:lnTo>
              <a:lnTo>
                <a:pt x="52" y="126"/>
              </a:lnTo>
              <a:lnTo>
                <a:pt x="51" y="125"/>
              </a:lnTo>
              <a:lnTo>
                <a:pt x="50" y="125"/>
              </a:lnTo>
              <a:lnTo>
                <a:pt x="49" y="124"/>
              </a:lnTo>
              <a:lnTo>
                <a:pt x="48" y="123"/>
              </a:lnTo>
              <a:lnTo>
                <a:pt x="47" y="122"/>
              </a:lnTo>
              <a:lnTo>
                <a:pt x="46" y="122"/>
              </a:lnTo>
              <a:lnTo>
                <a:pt x="45" y="122"/>
              </a:lnTo>
              <a:lnTo>
                <a:pt x="44" y="122"/>
              </a:lnTo>
              <a:lnTo>
                <a:pt x="43" y="122"/>
              </a:lnTo>
              <a:lnTo>
                <a:pt x="42" y="123"/>
              </a:lnTo>
              <a:lnTo>
                <a:pt x="41" y="123"/>
              </a:lnTo>
              <a:lnTo>
                <a:pt x="40" y="123"/>
              </a:lnTo>
              <a:lnTo>
                <a:pt x="39" y="124"/>
              </a:lnTo>
              <a:lnTo>
                <a:pt x="38" y="124"/>
              </a:lnTo>
              <a:lnTo>
                <a:pt x="37" y="125"/>
              </a:lnTo>
              <a:lnTo>
                <a:pt x="35" y="125"/>
              </a:lnTo>
              <a:lnTo>
                <a:pt x="35" y="126"/>
              </a:lnTo>
              <a:lnTo>
                <a:pt x="34" y="127"/>
              </a:lnTo>
              <a:lnTo>
                <a:pt x="33" y="128"/>
              </a:lnTo>
              <a:lnTo>
                <a:pt x="32" y="130"/>
              </a:lnTo>
              <a:lnTo>
                <a:pt x="31" y="131"/>
              </a:lnTo>
              <a:lnTo>
                <a:pt x="30" y="132"/>
              </a:lnTo>
              <a:lnTo>
                <a:pt x="29" y="132"/>
              </a:lnTo>
              <a:lnTo>
                <a:pt x="28" y="132"/>
              </a:lnTo>
              <a:lnTo>
                <a:pt x="27" y="132"/>
              </a:lnTo>
              <a:lnTo>
                <a:pt x="26" y="132"/>
              </a:lnTo>
              <a:lnTo>
                <a:pt x="25" y="132"/>
              </a:lnTo>
              <a:lnTo>
                <a:pt x="24" y="130"/>
              </a:lnTo>
              <a:lnTo>
                <a:pt x="23" y="130"/>
              </a:lnTo>
              <a:lnTo>
                <a:pt x="22" y="130"/>
              </a:lnTo>
              <a:lnTo>
                <a:pt x="21" y="128"/>
              </a:lnTo>
              <a:lnTo>
                <a:pt x="21" y="127"/>
              </a:lnTo>
              <a:lnTo>
                <a:pt x="21" y="126"/>
              </a:lnTo>
              <a:lnTo>
                <a:pt x="19" y="125"/>
              </a:lnTo>
              <a:lnTo>
                <a:pt x="19" y="124"/>
              </a:lnTo>
              <a:lnTo>
                <a:pt x="18" y="123"/>
              </a:lnTo>
              <a:lnTo>
                <a:pt x="17" y="123"/>
              </a:lnTo>
              <a:lnTo>
                <a:pt x="16" y="122"/>
              </a:lnTo>
              <a:lnTo>
                <a:pt x="15" y="121"/>
              </a:lnTo>
              <a:lnTo>
                <a:pt x="15" y="120"/>
              </a:lnTo>
              <a:lnTo>
                <a:pt x="13" y="119"/>
              </a:lnTo>
              <a:lnTo>
                <a:pt x="12" y="118"/>
              </a:lnTo>
              <a:lnTo>
                <a:pt x="11" y="119"/>
              </a:lnTo>
              <a:lnTo>
                <a:pt x="10" y="119"/>
              </a:lnTo>
              <a:lnTo>
                <a:pt x="9" y="119"/>
              </a:lnTo>
              <a:lnTo>
                <a:pt x="7" y="119"/>
              </a:lnTo>
              <a:lnTo>
                <a:pt x="6" y="118"/>
              </a:lnTo>
              <a:lnTo>
                <a:pt x="5" y="118"/>
              </a:lnTo>
              <a:lnTo>
                <a:pt x="4" y="118"/>
              </a:lnTo>
              <a:lnTo>
                <a:pt x="2" y="118"/>
              </a:lnTo>
              <a:lnTo>
                <a:pt x="1" y="119"/>
              </a:lnTo>
              <a:lnTo>
                <a:pt x="0" y="120"/>
              </a:lnTo>
              <a:lnTo>
                <a:pt x="0" y="119"/>
              </a:lnTo>
              <a:lnTo>
                <a:pt x="0" y="118"/>
              </a:lnTo>
              <a:lnTo>
                <a:pt x="0" y="117"/>
              </a:lnTo>
              <a:lnTo>
                <a:pt x="0" y="115"/>
              </a:lnTo>
              <a:lnTo>
                <a:pt x="0" y="114"/>
              </a:lnTo>
              <a:lnTo>
                <a:pt x="0" y="113"/>
              </a:lnTo>
              <a:lnTo>
                <a:pt x="0" y="112"/>
              </a:lnTo>
              <a:lnTo>
                <a:pt x="0" y="111"/>
              </a:lnTo>
              <a:lnTo>
                <a:pt x="0" y="109"/>
              </a:lnTo>
              <a:lnTo>
                <a:pt x="0" y="108"/>
              </a:lnTo>
              <a:lnTo>
                <a:pt x="0" y="107"/>
              </a:lnTo>
              <a:lnTo>
                <a:pt x="0" y="106"/>
              </a:lnTo>
              <a:lnTo>
                <a:pt x="0" y="105"/>
              </a:lnTo>
              <a:lnTo>
                <a:pt x="1" y="103"/>
              </a:lnTo>
              <a:lnTo>
                <a:pt x="2" y="103"/>
              </a:lnTo>
              <a:lnTo>
                <a:pt x="2" y="102"/>
              </a:lnTo>
              <a:lnTo>
                <a:pt x="2" y="101"/>
              </a:lnTo>
              <a:lnTo>
                <a:pt x="2" y="100"/>
              </a:lnTo>
              <a:lnTo>
                <a:pt x="1" y="99"/>
              </a:lnTo>
              <a:lnTo>
                <a:pt x="1" y="97"/>
              </a:lnTo>
              <a:lnTo>
                <a:pt x="1" y="96"/>
              </a:lnTo>
              <a:lnTo>
                <a:pt x="1" y="95"/>
              </a:lnTo>
              <a:lnTo>
                <a:pt x="1" y="94"/>
              </a:lnTo>
              <a:lnTo>
                <a:pt x="1" y="93"/>
              </a:lnTo>
              <a:lnTo>
                <a:pt x="1" y="91"/>
              </a:lnTo>
              <a:lnTo>
                <a:pt x="0" y="90"/>
              </a:lnTo>
              <a:lnTo>
                <a:pt x="0" y="89"/>
              </a:lnTo>
              <a:lnTo>
                <a:pt x="1" y="88"/>
              </a:lnTo>
              <a:lnTo>
                <a:pt x="2" y="87"/>
              </a:lnTo>
              <a:lnTo>
                <a:pt x="2" y="85"/>
              </a:lnTo>
              <a:lnTo>
                <a:pt x="3" y="85"/>
              </a:lnTo>
              <a:lnTo>
                <a:pt x="5" y="84"/>
              </a:lnTo>
              <a:lnTo>
                <a:pt x="5" y="83"/>
              </a:lnTo>
              <a:lnTo>
                <a:pt x="5" y="82"/>
              </a:lnTo>
              <a:lnTo>
                <a:pt x="5" y="80"/>
              </a:lnTo>
              <a:lnTo>
                <a:pt x="5" y="79"/>
              </a:lnTo>
              <a:lnTo>
                <a:pt x="5" y="78"/>
              </a:lnTo>
              <a:lnTo>
                <a:pt x="6" y="77"/>
              </a:lnTo>
              <a:lnTo>
                <a:pt x="7" y="76"/>
              </a:lnTo>
              <a:lnTo>
                <a:pt x="8" y="75"/>
              </a:lnTo>
              <a:lnTo>
                <a:pt x="9" y="73"/>
              </a:lnTo>
              <a:lnTo>
                <a:pt x="9" y="72"/>
              </a:lnTo>
              <a:lnTo>
                <a:pt x="10" y="71"/>
              </a:lnTo>
              <a:lnTo>
                <a:pt x="10" y="70"/>
              </a:lnTo>
              <a:lnTo>
                <a:pt x="10" y="69"/>
              </a:lnTo>
              <a:lnTo>
                <a:pt x="10" y="67"/>
              </a:lnTo>
              <a:lnTo>
                <a:pt x="10" y="66"/>
              </a:lnTo>
              <a:lnTo>
                <a:pt x="11" y="65"/>
              </a:lnTo>
              <a:lnTo>
                <a:pt x="12" y="64"/>
              </a:lnTo>
              <a:lnTo>
                <a:pt x="12" y="63"/>
              </a:lnTo>
              <a:lnTo>
                <a:pt x="13" y="63"/>
              </a:lnTo>
              <a:lnTo>
                <a:pt x="14" y="61"/>
              </a:lnTo>
              <a:lnTo>
                <a:pt x="15" y="61"/>
              </a:lnTo>
              <a:lnTo>
                <a:pt x="16" y="60"/>
              </a:lnTo>
              <a:lnTo>
                <a:pt x="17" y="60"/>
              </a:lnTo>
              <a:lnTo>
                <a:pt x="18" y="58"/>
              </a:lnTo>
              <a:lnTo>
                <a:pt x="19" y="57"/>
              </a:lnTo>
              <a:lnTo>
                <a:pt x="19" y="56"/>
              </a:lnTo>
              <a:lnTo>
                <a:pt x="19" y="55"/>
              </a:lnTo>
              <a:lnTo>
                <a:pt x="20" y="54"/>
              </a:lnTo>
              <a:lnTo>
                <a:pt x="20" y="53"/>
              </a:lnTo>
              <a:lnTo>
                <a:pt x="21" y="51"/>
              </a:lnTo>
              <a:lnTo>
                <a:pt x="21" y="50"/>
              </a:lnTo>
              <a:lnTo>
                <a:pt x="21" y="49"/>
              </a:lnTo>
              <a:lnTo>
                <a:pt x="21" y="48"/>
              </a:lnTo>
              <a:lnTo>
                <a:pt x="21" y="47"/>
              </a:lnTo>
              <a:lnTo>
                <a:pt x="21" y="46"/>
              </a:lnTo>
              <a:lnTo>
                <a:pt x="21" y="44"/>
              </a:lnTo>
              <a:lnTo>
                <a:pt x="22" y="43"/>
              </a:lnTo>
              <a:lnTo>
                <a:pt x="22" y="42"/>
              </a:lnTo>
              <a:lnTo>
                <a:pt x="22" y="41"/>
              </a:lnTo>
              <a:lnTo>
                <a:pt x="22" y="40"/>
              </a:lnTo>
              <a:lnTo>
                <a:pt x="22" y="38"/>
              </a:lnTo>
              <a:lnTo>
                <a:pt x="23" y="37"/>
              </a:lnTo>
              <a:lnTo>
                <a:pt x="24" y="36"/>
              </a:lnTo>
              <a:lnTo>
                <a:pt x="24" y="34"/>
              </a:lnTo>
              <a:lnTo>
                <a:pt x="23" y="33"/>
              </a:lnTo>
              <a:lnTo>
                <a:pt x="24" y="34"/>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1462088</xdr:colOff>
      <xdr:row>50</xdr:row>
      <xdr:rowOff>111125</xdr:rowOff>
    </xdr:from>
    <xdr:to>
      <xdr:col>3</xdr:col>
      <xdr:colOff>60326</xdr:colOff>
      <xdr:row>51</xdr:row>
      <xdr:rowOff>93663</xdr:rowOff>
    </xdr:to>
    <xdr:sp macro="" textlink="">
      <xdr:nvSpPr>
        <xdr:cNvPr id="37" name="Freeform 108">
          <a:extLst>
            <a:ext uri="{FF2B5EF4-FFF2-40B4-BE49-F238E27FC236}">
              <a16:creationId xmlns:a16="http://schemas.microsoft.com/office/drawing/2014/main" id="{2CF0AC1C-4434-47F0-90B6-4C08454106A0}"/>
            </a:ext>
          </a:extLst>
        </xdr:cNvPr>
        <xdr:cNvSpPr>
          <a:spLocks noChangeAspect="1"/>
        </xdr:cNvSpPr>
      </xdr:nvSpPr>
      <xdr:spPr bwMode="gray">
        <a:xfrm>
          <a:off x="3281363" y="9017000"/>
          <a:ext cx="65088" cy="144463"/>
        </a:xfrm>
        <a:custGeom>
          <a:avLst/>
          <a:gdLst>
            <a:gd name="T0" fmla="*/ 40 w 21"/>
            <a:gd name="T1" fmla="*/ 0 h 23"/>
            <a:gd name="T2" fmla="*/ 17 w 21"/>
            <a:gd name="T3" fmla="*/ 51 h 23"/>
            <a:gd name="T4" fmla="*/ 0 w 21"/>
            <a:gd name="T5" fmla="*/ 51 h 23"/>
            <a:gd name="T6" fmla="*/ 0 w 21"/>
            <a:gd name="T7" fmla="*/ 90 h 23"/>
            <a:gd name="T8" fmla="*/ 28 w 21"/>
            <a:gd name="T9" fmla="*/ 113 h 23"/>
            <a:gd name="T10" fmla="*/ 68 w 21"/>
            <a:gd name="T11" fmla="*/ 130 h 23"/>
            <a:gd name="T12" fmla="*/ 79 w 21"/>
            <a:gd name="T13" fmla="*/ 107 h 23"/>
            <a:gd name="T14" fmla="*/ 119 w 21"/>
            <a:gd name="T15" fmla="*/ 62 h 23"/>
            <a:gd name="T16" fmla="*/ 85 w 21"/>
            <a:gd name="T17" fmla="*/ 28 h 23"/>
            <a:gd name="T18" fmla="*/ 51 w 21"/>
            <a:gd name="T19" fmla="*/ 6 h 23"/>
            <a:gd name="T20" fmla="*/ 40 w 21"/>
            <a:gd name="T21" fmla="*/ 0 h 2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1" h="23">
              <a:moveTo>
                <a:pt x="7" y="0"/>
              </a:moveTo>
              <a:lnTo>
                <a:pt x="3" y="9"/>
              </a:lnTo>
              <a:lnTo>
                <a:pt x="0" y="9"/>
              </a:lnTo>
              <a:lnTo>
                <a:pt x="0" y="16"/>
              </a:lnTo>
              <a:lnTo>
                <a:pt x="5" y="20"/>
              </a:lnTo>
              <a:lnTo>
                <a:pt x="12" y="23"/>
              </a:lnTo>
              <a:lnTo>
                <a:pt x="14" y="19"/>
              </a:lnTo>
              <a:lnTo>
                <a:pt x="21" y="11"/>
              </a:lnTo>
              <a:lnTo>
                <a:pt x="15" y="5"/>
              </a:lnTo>
              <a:lnTo>
                <a:pt x="9" y="1"/>
              </a:lnTo>
              <a:lnTo>
                <a:pt x="7" y="0"/>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1196976</xdr:colOff>
      <xdr:row>56</xdr:row>
      <xdr:rowOff>60325</xdr:rowOff>
    </xdr:from>
    <xdr:to>
      <xdr:col>2</xdr:col>
      <xdr:colOff>1425576</xdr:colOff>
      <xdr:row>58</xdr:row>
      <xdr:rowOff>63500</xdr:rowOff>
    </xdr:to>
    <xdr:sp macro="" textlink="">
      <xdr:nvSpPr>
        <xdr:cNvPr id="38" name="Freeform 109">
          <a:extLst>
            <a:ext uri="{FF2B5EF4-FFF2-40B4-BE49-F238E27FC236}">
              <a16:creationId xmlns:a16="http://schemas.microsoft.com/office/drawing/2014/main" id="{D9CCA6AE-2CD6-4B94-A109-9C9FD6A5C520}"/>
            </a:ext>
          </a:extLst>
        </xdr:cNvPr>
        <xdr:cNvSpPr>
          <a:spLocks noChangeAspect="1"/>
        </xdr:cNvSpPr>
      </xdr:nvSpPr>
      <xdr:spPr bwMode="gray">
        <a:xfrm>
          <a:off x="3282951" y="9937750"/>
          <a:ext cx="0" cy="327025"/>
        </a:xfrm>
        <a:custGeom>
          <a:avLst/>
          <a:gdLst>
            <a:gd name="T0" fmla="*/ 79 w 34"/>
            <a:gd name="T1" fmla="*/ 284 h 52"/>
            <a:gd name="T2" fmla="*/ 108 w 34"/>
            <a:gd name="T3" fmla="*/ 267 h 52"/>
            <a:gd name="T4" fmla="*/ 125 w 34"/>
            <a:gd name="T5" fmla="*/ 244 h 52"/>
            <a:gd name="T6" fmla="*/ 125 w 34"/>
            <a:gd name="T7" fmla="*/ 221 h 52"/>
            <a:gd name="T8" fmla="*/ 136 w 34"/>
            <a:gd name="T9" fmla="*/ 199 h 52"/>
            <a:gd name="T10" fmla="*/ 153 w 34"/>
            <a:gd name="T11" fmla="*/ 176 h 52"/>
            <a:gd name="T12" fmla="*/ 170 w 34"/>
            <a:gd name="T13" fmla="*/ 165 h 52"/>
            <a:gd name="T14" fmla="*/ 187 w 34"/>
            <a:gd name="T15" fmla="*/ 142 h 52"/>
            <a:gd name="T16" fmla="*/ 176 w 34"/>
            <a:gd name="T17" fmla="*/ 113 h 52"/>
            <a:gd name="T18" fmla="*/ 176 w 34"/>
            <a:gd name="T19" fmla="*/ 96 h 52"/>
            <a:gd name="T20" fmla="*/ 176 w 34"/>
            <a:gd name="T21" fmla="*/ 68 h 52"/>
            <a:gd name="T22" fmla="*/ 187 w 34"/>
            <a:gd name="T23" fmla="*/ 45 h 52"/>
            <a:gd name="T24" fmla="*/ 193 w 34"/>
            <a:gd name="T25" fmla="*/ 45 h 52"/>
            <a:gd name="T26" fmla="*/ 170 w 34"/>
            <a:gd name="T27" fmla="*/ 23 h 52"/>
            <a:gd name="T28" fmla="*/ 159 w 34"/>
            <a:gd name="T29" fmla="*/ 0 h 52"/>
            <a:gd name="T30" fmla="*/ 148 w 34"/>
            <a:gd name="T31" fmla="*/ 0 h 52"/>
            <a:gd name="T32" fmla="*/ 153 w 34"/>
            <a:gd name="T33" fmla="*/ 0 h 52"/>
            <a:gd name="T34" fmla="*/ 136 w 34"/>
            <a:gd name="T35" fmla="*/ 0 h 52"/>
            <a:gd name="T36" fmla="*/ 119 w 34"/>
            <a:gd name="T37" fmla="*/ 0 h 52"/>
            <a:gd name="T38" fmla="*/ 97 w 34"/>
            <a:gd name="T39" fmla="*/ 6 h 52"/>
            <a:gd name="T40" fmla="*/ 85 w 34"/>
            <a:gd name="T41" fmla="*/ 34 h 52"/>
            <a:gd name="T42" fmla="*/ 85 w 34"/>
            <a:gd name="T43" fmla="*/ 51 h 52"/>
            <a:gd name="T44" fmla="*/ 85 w 34"/>
            <a:gd name="T45" fmla="*/ 79 h 52"/>
            <a:gd name="T46" fmla="*/ 85 w 34"/>
            <a:gd name="T47" fmla="*/ 102 h 52"/>
            <a:gd name="T48" fmla="*/ 85 w 34"/>
            <a:gd name="T49" fmla="*/ 130 h 52"/>
            <a:gd name="T50" fmla="*/ 79 w 34"/>
            <a:gd name="T51" fmla="*/ 148 h 52"/>
            <a:gd name="T52" fmla="*/ 62 w 34"/>
            <a:gd name="T53" fmla="*/ 165 h 52"/>
            <a:gd name="T54" fmla="*/ 51 w 34"/>
            <a:gd name="T55" fmla="*/ 187 h 52"/>
            <a:gd name="T56" fmla="*/ 34 w 34"/>
            <a:gd name="T57" fmla="*/ 210 h 52"/>
            <a:gd name="T58" fmla="*/ 11 w 34"/>
            <a:gd name="T59" fmla="*/ 199 h 52"/>
            <a:gd name="T60" fmla="*/ 0 w 34"/>
            <a:gd name="T61" fmla="*/ 221 h 52"/>
            <a:gd name="T62" fmla="*/ 0 w 34"/>
            <a:gd name="T63" fmla="*/ 244 h 52"/>
            <a:gd name="T64" fmla="*/ 0 w 34"/>
            <a:gd name="T65" fmla="*/ 261 h 52"/>
            <a:gd name="T66" fmla="*/ 6 w 34"/>
            <a:gd name="T67" fmla="*/ 284 h 52"/>
            <a:gd name="T68" fmla="*/ 34 w 34"/>
            <a:gd name="T69" fmla="*/ 295 h 52"/>
            <a:gd name="T70" fmla="*/ 51 w 34"/>
            <a:gd name="T71" fmla="*/ 295 h 52"/>
            <a:gd name="T72" fmla="*/ 62 w 34"/>
            <a:gd name="T73" fmla="*/ 295 h 52"/>
            <a:gd name="T74" fmla="*/ 68 w 34"/>
            <a:gd name="T75" fmla="*/ 295 h 52"/>
            <a:gd name="T76" fmla="*/ 79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4" y="50"/>
              </a:moveTo>
              <a:lnTo>
                <a:pt x="19" y="47"/>
              </a:lnTo>
              <a:lnTo>
                <a:pt x="22" y="43"/>
              </a:lnTo>
              <a:lnTo>
                <a:pt x="22" y="39"/>
              </a:lnTo>
              <a:lnTo>
                <a:pt x="24" y="35"/>
              </a:lnTo>
              <a:lnTo>
                <a:pt x="27" y="31"/>
              </a:lnTo>
              <a:lnTo>
                <a:pt x="30" y="29"/>
              </a:lnTo>
              <a:lnTo>
                <a:pt x="33" y="25"/>
              </a:lnTo>
              <a:lnTo>
                <a:pt x="31" y="20"/>
              </a:lnTo>
              <a:lnTo>
                <a:pt x="31" y="17"/>
              </a:lnTo>
              <a:lnTo>
                <a:pt x="31" y="12"/>
              </a:lnTo>
              <a:lnTo>
                <a:pt x="33" y="8"/>
              </a:lnTo>
              <a:lnTo>
                <a:pt x="34" y="8"/>
              </a:lnTo>
              <a:lnTo>
                <a:pt x="30" y="4"/>
              </a:lnTo>
              <a:lnTo>
                <a:pt x="28" y="0"/>
              </a:lnTo>
              <a:lnTo>
                <a:pt x="26" y="0"/>
              </a:lnTo>
              <a:lnTo>
                <a:pt x="27" y="0"/>
              </a:lnTo>
              <a:lnTo>
                <a:pt x="24" y="0"/>
              </a:lnTo>
              <a:lnTo>
                <a:pt x="21" y="0"/>
              </a:lnTo>
              <a:lnTo>
                <a:pt x="17" y="1"/>
              </a:lnTo>
              <a:lnTo>
                <a:pt x="15" y="6"/>
              </a:lnTo>
              <a:lnTo>
                <a:pt x="15" y="9"/>
              </a:lnTo>
              <a:lnTo>
                <a:pt x="15" y="14"/>
              </a:lnTo>
              <a:lnTo>
                <a:pt x="15" y="18"/>
              </a:lnTo>
              <a:lnTo>
                <a:pt x="15" y="23"/>
              </a:lnTo>
              <a:lnTo>
                <a:pt x="14" y="26"/>
              </a:lnTo>
              <a:lnTo>
                <a:pt x="11" y="29"/>
              </a:lnTo>
              <a:lnTo>
                <a:pt x="9" y="33"/>
              </a:lnTo>
              <a:lnTo>
                <a:pt x="6" y="37"/>
              </a:lnTo>
              <a:lnTo>
                <a:pt x="2" y="35"/>
              </a:lnTo>
              <a:lnTo>
                <a:pt x="0" y="39"/>
              </a:lnTo>
              <a:lnTo>
                <a:pt x="0" y="43"/>
              </a:lnTo>
              <a:lnTo>
                <a:pt x="0" y="46"/>
              </a:lnTo>
              <a:lnTo>
                <a:pt x="1" y="50"/>
              </a:lnTo>
              <a:lnTo>
                <a:pt x="6" y="52"/>
              </a:lnTo>
              <a:lnTo>
                <a:pt x="9" y="52"/>
              </a:lnTo>
              <a:lnTo>
                <a:pt x="11" y="52"/>
              </a:lnTo>
              <a:lnTo>
                <a:pt x="12" y="52"/>
              </a:lnTo>
              <a:lnTo>
                <a:pt x="14" y="50"/>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415926</xdr:colOff>
      <xdr:row>53</xdr:row>
      <xdr:rowOff>157163</xdr:rowOff>
    </xdr:from>
    <xdr:to>
      <xdr:col>2</xdr:col>
      <xdr:colOff>512763</xdr:colOff>
      <xdr:row>54</xdr:row>
      <xdr:rowOff>52388</xdr:rowOff>
    </xdr:to>
    <xdr:sp macro="" textlink="">
      <xdr:nvSpPr>
        <xdr:cNvPr id="39" name="Retângulo 38">
          <a:extLst>
            <a:ext uri="{FF2B5EF4-FFF2-40B4-BE49-F238E27FC236}">
              <a16:creationId xmlns:a16="http://schemas.microsoft.com/office/drawing/2014/main" id="{55AD75D8-B9E4-4211-9B4F-C908870B652C}"/>
            </a:ext>
          </a:extLst>
        </xdr:cNvPr>
        <xdr:cNvSpPr/>
      </xdr:nvSpPr>
      <xdr:spPr bwMode="auto">
        <a:xfrm>
          <a:off x="2587626" y="9548813"/>
          <a:ext cx="96837" cy="57150"/>
        </a:xfrm>
        <a:prstGeom prst="rect">
          <a:avLst/>
        </a:prstGeom>
        <a:solidFill>
          <a:schemeClr val="bg1">
            <a:lumMod val="85000"/>
          </a:schemeClr>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1</xdr:col>
      <xdr:colOff>419101</xdr:colOff>
      <xdr:row>45</xdr:row>
      <xdr:rowOff>147638</xdr:rowOff>
    </xdr:from>
    <xdr:to>
      <xdr:col>2</xdr:col>
      <xdr:colOff>638176</xdr:colOff>
      <xdr:row>47</xdr:row>
      <xdr:rowOff>123825</xdr:rowOff>
    </xdr:to>
    <xdr:sp macro="" textlink="">
      <xdr:nvSpPr>
        <xdr:cNvPr id="40" name="CaixaDeTexto 43">
          <a:extLst>
            <a:ext uri="{FF2B5EF4-FFF2-40B4-BE49-F238E27FC236}">
              <a16:creationId xmlns:a16="http://schemas.microsoft.com/office/drawing/2014/main" id="{4DB3A0E3-1C6B-4F07-8EE0-4D876A68C227}"/>
            </a:ext>
          </a:extLst>
        </xdr:cNvPr>
        <xdr:cNvSpPr txBox="1"/>
      </xdr:nvSpPr>
      <xdr:spPr>
        <a:xfrm>
          <a:off x="1952626" y="8243888"/>
          <a:ext cx="857250" cy="300037"/>
        </a:xfrm>
        <a:prstGeom prst="rect">
          <a:avLst/>
        </a:prstGeom>
        <a:noFill/>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Salto do Rio Verdinho</a:t>
          </a:r>
        </a:p>
      </xdr:txBody>
    </xdr:sp>
    <xdr:clientData/>
  </xdr:twoCellAnchor>
  <xdr:twoCellAnchor editAs="oneCell">
    <xdr:from>
      <xdr:col>1</xdr:col>
      <xdr:colOff>485776</xdr:colOff>
      <xdr:row>47</xdr:row>
      <xdr:rowOff>68263</xdr:rowOff>
    </xdr:from>
    <xdr:to>
      <xdr:col>2</xdr:col>
      <xdr:colOff>654051</xdr:colOff>
      <xdr:row>50</xdr:row>
      <xdr:rowOff>120650</xdr:rowOff>
    </xdr:to>
    <xdr:pic>
      <xdr:nvPicPr>
        <xdr:cNvPr id="41" name="Imagem 40">
          <a:extLst>
            <a:ext uri="{FF2B5EF4-FFF2-40B4-BE49-F238E27FC236}">
              <a16:creationId xmlns:a16="http://schemas.microsoft.com/office/drawing/2014/main" id="{784867EC-0CEF-48E5-BFD1-D5B4440D7454}"/>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19301" y="8488363"/>
          <a:ext cx="806450" cy="538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617538</xdr:colOff>
      <xdr:row>50</xdr:row>
      <xdr:rowOff>92075</xdr:rowOff>
    </xdr:from>
    <xdr:to>
      <xdr:col>5</xdr:col>
      <xdr:colOff>212726</xdr:colOff>
      <xdr:row>51</xdr:row>
      <xdr:rowOff>125413</xdr:rowOff>
    </xdr:to>
    <xdr:sp macro="" textlink="">
      <xdr:nvSpPr>
        <xdr:cNvPr id="42" name="Retângulo 41">
          <a:extLst>
            <a:ext uri="{FF2B5EF4-FFF2-40B4-BE49-F238E27FC236}">
              <a16:creationId xmlns:a16="http://schemas.microsoft.com/office/drawing/2014/main" id="{3B694B07-EBD1-4796-A7A7-B72B257642F1}"/>
            </a:ext>
          </a:extLst>
        </xdr:cNvPr>
        <xdr:cNvSpPr/>
      </xdr:nvSpPr>
      <xdr:spPr>
        <a:xfrm>
          <a:off x="5018088" y="8997950"/>
          <a:ext cx="709613" cy="195263"/>
        </a:xfrm>
        <a:prstGeom prst="rect">
          <a:avLst/>
        </a:prstGeom>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Sobragi</a:t>
          </a:r>
        </a:p>
      </xdr:txBody>
    </xdr:sp>
    <xdr:clientData/>
  </xdr:twoCellAnchor>
  <xdr:twoCellAnchor editAs="oneCell">
    <xdr:from>
      <xdr:col>4</xdr:col>
      <xdr:colOff>693738</xdr:colOff>
      <xdr:row>51</xdr:row>
      <xdr:rowOff>92075</xdr:rowOff>
    </xdr:from>
    <xdr:to>
      <xdr:col>5</xdr:col>
      <xdr:colOff>392113</xdr:colOff>
      <xdr:row>54</xdr:row>
      <xdr:rowOff>142875</xdr:rowOff>
    </xdr:to>
    <xdr:pic>
      <xdr:nvPicPr>
        <xdr:cNvPr id="43" name="Imagem 42">
          <a:extLst>
            <a:ext uri="{FF2B5EF4-FFF2-40B4-BE49-F238E27FC236}">
              <a16:creationId xmlns:a16="http://schemas.microsoft.com/office/drawing/2014/main" id="{A803E238-8D2F-4EB6-8FEB-3A63E68284F6}"/>
            </a:ext>
          </a:extLst>
        </xdr:cNvPr>
        <xdr:cNvPicPr preferRelativeResize="0">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4288" y="9159875"/>
          <a:ext cx="812800" cy="53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985838</xdr:colOff>
      <xdr:row>53</xdr:row>
      <xdr:rowOff>36513</xdr:rowOff>
    </xdr:from>
    <xdr:to>
      <xdr:col>1</xdr:col>
      <xdr:colOff>258763</xdr:colOff>
      <xdr:row>56</xdr:row>
      <xdr:rowOff>87313</xdr:rowOff>
    </xdr:to>
    <xdr:pic>
      <xdr:nvPicPr>
        <xdr:cNvPr id="44" name="Imagem 43">
          <a:extLst>
            <a:ext uri="{FF2B5EF4-FFF2-40B4-BE49-F238E27FC236}">
              <a16:creationId xmlns:a16="http://schemas.microsoft.com/office/drawing/2014/main" id="{1163AACF-34BA-4A4B-93D8-7C63DAB7DAF7}"/>
            </a:ext>
          </a:extLst>
        </xdr:cNvPr>
        <xdr:cNvPicPr preferRelativeResize="0">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85838" y="9428163"/>
          <a:ext cx="806450" cy="53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928688</xdr:colOff>
      <xdr:row>52</xdr:row>
      <xdr:rowOff>44450</xdr:rowOff>
    </xdr:from>
    <xdr:to>
      <xdr:col>1</xdr:col>
      <xdr:colOff>33338</xdr:colOff>
      <xdr:row>53</xdr:row>
      <xdr:rowOff>79375</xdr:rowOff>
    </xdr:to>
    <xdr:sp macro="" textlink="">
      <xdr:nvSpPr>
        <xdr:cNvPr id="45" name="Retângulo 44">
          <a:extLst>
            <a:ext uri="{FF2B5EF4-FFF2-40B4-BE49-F238E27FC236}">
              <a16:creationId xmlns:a16="http://schemas.microsoft.com/office/drawing/2014/main" id="{BE205651-519A-4463-B20C-E61A0B64DCBD}"/>
            </a:ext>
          </a:extLst>
        </xdr:cNvPr>
        <xdr:cNvSpPr/>
      </xdr:nvSpPr>
      <xdr:spPr>
        <a:xfrm>
          <a:off x="928688" y="9274175"/>
          <a:ext cx="638175" cy="196850"/>
        </a:xfrm>
        <a:prstGeom prst="rect">
          <a:avLst/>
        </a:prstGeom>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Piraju</a:t>
          </a:r>
        </a:p>
      </xdr:txBody>
    </xdr:sp>
    <xdr:clientData/>
  </xdr:twoCellAnchor>
  <xdr:twoCellAnchor editAs="oneCell">
    <xdr:from>
      <xdr:col>0</xdr:col>
      <xdr:colOff>977901</xdr:colOff>
      <xdr:row>57</xdr:row>
      <xdr:rowOff>84138</xdr:rowOff>
    </xdr:from>
    <xdr:to>
      <xdr:col>1</xdr:col>
      <xdr:colOff>257176</xdr:colOff>
      <xdr:row>60</xdr:row>
      <xdr:rowOff>141288</xdr:rowOff>
    </xdr:to>
    <xdr:pic>
      <xdr:nvPicPr>
        <xdr:cNvPr id="46" name="Imagem 45">
          <a:extLst>
            <a:ext uri="{FF2B5EF4-FFF2-40B4-BE49-F238E27FC236}">
              <a16:creationId xmlns:a16="http://schemas.microsoft.com/office/drawing/2014/main" id="{55A06C53-CEBF-41C3-AD80-4B454D52B708}"/>
            </a:ext>
          </a:extLst>
        </xdr:cNvPr>
        <xdr:cNvPicPr preferRelativeResize="0">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77901" y="10123488"/>
          <a:ext cx="8128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915988</xdr:colOff>
      <xdr:row>56</xdr:row>
      <xdr:rowOff>90488</xdr:rowOff>
    </xdr:from>
    <xdr:to>
      <xdr:col>1</xdr:col>
      <xdr:colOff>157163</xdr:colOff>
      <xdr:row>57</xdr:row>
      <xdr:rowOff>125413</xdr:rowOff>
    </xdr:to>
    <xdr:sp macro="" textlink="">
      <xdr:nvSpPr>
        <xdr:cNvPr id="47" name="Retângulo 46">
          <a:extLst>
            <a:ext uri="{FF2B5EF4-FFF2-40B4-BE49-F238E27FC236}">
              <a16:creationId xmlns:a16="http://schemas.microsoft.com/office/drawing/2014/main" id="{1D220A09-F98C-4FDD-8C51-97E5D492D921}"/>
            </a:ext>
          </a:extLst>
        </xdr:cNvPr>
        <xdr:cNvSpPr/>
      </xdr:nvSpPr>
      <xdr:spPr>
        <a:xfrm>
          <a:off x="915988" y="9967913"/>
          <a:ext cx="774700" cy="196850"/>
        </a:xfrm>
        <a:prstGeom prst="rect">
          <a:avLst/>
        </a:prstGeom>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Ourinhos</a:t>
          </a:r>
        </a:p>
      </xdr:txBody>
    </xdr:sp>
    <xdr:clientData/>
  </xdr:twoCellAnchor>
  <xdr:twoCellAnchor editAs="oneCell">
    <xdr:from>
      <xdr:col>2</xdr:col>
      <xdr:colOff>1120776</xdr:colOff>
      <xdr:row>56</xdr:row>
      <xdr:rowOff>160338</xdr:rowOff>
    </xdr:from>
    <xdr:to>
      <xdr:col>3</xdr:col>
      <xdr:colOff>809626</xdr:colOff>
      <xdr:row>60</xdr:row>
      <xdr:rowOff>53975</xdr:rowOff>
    </xdr:to>
    <xdr:pic>
      <xdr:nvPicPr>
        <xdr:cNvPr id="48" name="Imagem 47" descr="FranÃ§a (UHE)">
          <a:extLst>
            <a:ext uri="{FF2B5EF4-FFF2-40B4-BE49-F238E27FC236}">
              <a16:creationId xmlns:a16="http://schemas.microsoft.com/office/drawing/2014/main" id="{E8172065-31F2-4251-AF75-41A16627E80F}"/>
            </a:ext>
          </a:extLst>
        </xdr:cNvPr>
        <xdr:cNvPicPr preferRelativeResize="0">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282951" y="10037763"/>
          <a:ext cx="812800" cy="541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67583</xdr:colOff>
      <xdr:row>56</xdr:row>
      <xdr:rowOff>9979</xdr:rowOff>
    </xdr:from>
    <xdr:to>
      <xdr:col>3</xdr:col>
      <xdr:colOff>861785</xdr:colOff>
      <xdr:row>57</xdr:row>
      <xdr:rowOff>44696</xdr:rowOff>
    </xdr:to>
    <xdr:sp macro="" textlink="">
      <xdr:nvSpPr>
        <xdr:cNvPr id="49" name="Retângulo 48">
          <a:extLst>
            <a:ext uri="{FF2B5EF4-FFF2-40B4-BE49-F238E27FC236}">
              <a16:creationId xmlns:a16="http://schemas.microsoft.com/office/drawing/2014/main" id="{77BCAECB-9073-44AA-B43C-711E7D79CEE9}"/>
            </a:ext>
          </a:extLst>
        </xdr:cNvPr>
        <xdr:cNvSpPr/>
      </xdr:nvSpPr>
      <xdr:spPr>
        <a:xfrm>
          <a:off x="3353708" y="9887404"/>
          <a:ext cx="794202" cy="196642"/>
        </a:xfrm>
        <a:prstGeom prst="rect">
          <a:avLst/>
        </a:prstGeom>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França</a:t>
          </a:r>
        </a:p>
      </xdr:txBody>
    </xdr:sp>
    <xdr:clientData/>
  </xdr:twoCellAnchor>
  <xdr:twoCellAnchor>
    <xdr:from>
      <xdr:col>3</xdr:col>
      <xdr:colOff>940028</xdr:colOff>
      <xdr:row>56</xdr:row>
      <xdr:rowOff>907</xdr:rowOff>
    </xdr:from>
    <xdr:to>
      <xdr:col>4</xdr:col>
      <xdr:colOff>477839</xdr:colOff>
      <xdr:row>57</xdr:row>
      <xdr:rowOff>34245</xdr:rowOff>
    </xdr:to>
    <xdr:sp macro="" textlink="">
      <xdr:nvSpPr>
        <xdr:cNvPr id="50" name="Retângulo 49">
          <a:extLst>
            <a:ext uri="{FF2B5EF4-FFF2-40B4-BE49-F238E27FC236}">
              <a16:creationId xmlns:a16="http://schemas.microsoft.com/office/drawing/2014/main" id="{0D275252-DE12-43B9-8D8A-AB6740EB4D5A}"/>
            </a:ext>
          </a:extLst>
        </xdr:cNvPr>
        <xdr:cNvSpPr/>
      </xdr:nvSpPr>
      <xdr:spPr>
        <a:xfrm>
          <a:off x="4226153" y="9878332"/>
          <a:ext cx="652236" cy="195263"/>
        </a:xfrm>
        <a:prstGeom prst="rect">
          <a:avLst/>
        </a:prstGeom>
        <a:noFill/>
        <a:ln>
          <a:noFill/>
        </a:ln>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Fumaça</a:t>
          </a:r>
        </a:p>
      </xdr:txBody>
    </xdr:sp>
    <xdr:clientData/>
  </xdr:twoCellAnchor>
  <xdr:twoCellAnchor editAs="oneCell">
    <xdr:from>
      <xdr:col>4</xdr:col>
      <xdr:colOff>599174</xdr:colOff>
      <xdr:row>56</xdr:row>
      <xdr:rowOff>160338</xdr:rowOff>
    </xdr:from>
    <xdr:to>
      <xdr:col>5</xdr:col>
      <xdr:colOff>235410</xdr:colOff>
      <xdr:row>60</xdr:row>
      <xdr:rowOff>53975</xdr:rowOff>
    </xdr:to>
    <xdr:pic>
      <xdr:nvPicPr>
        <xdr:cNvPr id="51" name="Imagem 50">
          <a:extLst>
            <a:ext uri="{FF2B5EF4-FFF2-40B4-BE49-F238E27FC236}">
              <a16:creationId xmlns:a16="http://schemas.microsoft.com/office/drawing/2014/main" id="{3A5FCECD-FEA0-4376-9EEA-9633DB961921}"/>
            </a:ext>
          </a:extLst>
        </xdr:cNvPr>
        <xdr:cNvPicPr preferRelativeResize="0">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999724" y="10037763"/>
          <a:ext cx="750661" cy="541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769484</xdr:colOff>
      <xdr:row>56</xdr:row>
      <xdr:rowOff>9979</xdr:rowOff>
    </xdr:from>
    <xdr:to>
      <xdr:col>5</xdr:col>
      <xdr:colOff>219983</xdr:colOff>
      <xdr:row>57</xdr:row>
      <xdr:rowOff>43317</xdr:rowOff>
    </xdr:to>
    <xdr:sp macro="" textlink="">
      <xdr:nvSpPr>
        <xdr:cNvPr id="52" name="Retângulo 51">
          <a:extLst>
            <a:ext uri="{FF2B5EF4-FFF2-40B4-BE49-F238E27FC236}">
              <a16:creationId xmlns:a16="http://schemas.microsoft.com/office/drawing/2014/main" id="{B5908E2B-9D5C-4205-A03F-D0CBF879C509}"/>
            </a:ext>
          </a:extLst>
        </xdr:cNvPr>
        <xdr:cNvSpPr/>
      </xdr:nvSpPr>
      <xdr:spPr>
        <a:xfrm>
          <a:off x="5170034" y="9887404"/>
          <a:ext cx="564924" cy="195263"/>
        </a:xfrm>
        <a:prstGeom prst="rect">
          <a:avLst/>
        </a:prstGeom>
        <a:noFill/>
        <a:ln>
          <a:noFill/>
        </a:ln>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Barra</a:t>
          </a:r>
        </a:p>
      </xdr:txBody>
    </xdr:sp>
    <xdr:clientData/>
  </xdr:twoCellAnchor>
  <xdr:twoCellAnchor editAs="oneCell">
    <xdr:from>
      <xdr:col>5</xdr:col>
      <xdr:colOff>268747</xdr:colOff>
      <xdr:row>56</xdr:row>
      <xdr:rowOff>160338</xdr:rowOff>
    </xdr:from>
    <xdr:to>
      <xdr:col>6</xdr:col>
      <xdr:colOff>7036</xdr:colOff>
      <xdr:row>60</xdr:row>
      <xdr:rowOff>53975</xdr:rowOff>
    </xdr:to>
    <xdr:pic>
      <xdr:nvPicPr>
        <xdr:cNvPr id="53" name="Imagem 52">
          <a:extLst>
            <a:ext uri="{FF2B5EF4-FFF2-40B4-BE49-F238E27FC236}">
              <a16:creationId xmlns:a16="http://schemas.microsoft.com/office/drawing/2014/main" id="{646D62E8-FF02-4499-8961-CD2C7969BB8D}"/>
            </a:ext>
          </a:extLst>
        </xdr:cNvPr>
        <xdr:cNvPicPr preferRelativeResize="0">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783722" y="10037763"/>
          <a:ext cx="852714" cy="541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368981</xdr:colOff>
      <xdr:row>55</xdr:row>
      <xdr:rowOff>146050</xdr:rowOff>
    </xdr:from>
    <xdr:to>
      <xdr:col>6</xdr:col>
      <xdr:colOff>108630</xdr:colOff>
      <xdr:row>57</xdr:row>
      <xdr:rowOff>16102</xdr:rowOff>
    </xdr:to>
    <xdr:sp macro="" textlink="">
      <xdr:nvSpPr>
        <xdr:cNvPr id="54" name="Retângulo 53">
          <a:extLst>
            <a:ext uri="{FF2B5EF4-FFF2-40B4-BE49-F238E27FC236}">
              <a16:creationId xmlns:a16="http://schemas.microsoft.com/office/drawing/2014/main" id="{2F00892E-AABF-464D-812C-49DA3D769674}"/>
            </a:ext>
          </a:extLst>
        </xdr:cNvPr>
        <xdr:cNvSpPr/>
      </xdr:nvSpPr>
      <xdr:spPr>
        <a:xfrm>
          <a:off x="5883956" y="9861550"/>
          <a:ext cx="854074" cy="193902"/>
        </a:xfrm>
        <a:prstGeom prst="rect">
          <a:avLst/>
        </a:prstGeom>
        <a:noFill/>
        <a:ln>
          <a:noFill/>
        </a:ln>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PCH Porto Raso</a:t>
          </a:r>
        </a:p>
      </xdr:txBody>
    </xdr:sp>
    <xdr:clientData/>
  </xdr:twoCellAnchor>
  <xdr:twoCellAnchor editAs="oneCell">
    <xdr:from>
      <xdr:col>5</xdr:col>
      <xdr:colOff>1161149</xdr:colOff>
      <xdr:row>56</xdr:row>
      <xdr:rowOff>160338</xdr:rowOff>
    </xdr:from>
    <xdr:to>
      <xdr:col>6</xdr:col>
      <xdr:colOff>854761</xdr:colOff>
      <xdr:row>60</xdr:row>
      <xdr:rowOff>53975</xdr:rowOff>
    </xdr:to>
    <xdr:pic>
      <xdr:nvPicPr>
        <xdr:cNvPr id="55" name="Imagem 54">
          <a:extLst>
            <a:ext uri="{FF2B5EF4-FFF2-40B4-BE49-F238E27FC236}">
              <a16:creationId xmlns:a16="http://schemas.microsoft.com/office/drawing/2014/main" id="{7E0849FC-D1E5-4A12-9538-CF1796222F33}"/>
            </a:ext>
          </a:extLst>
        </xdr:cNvPr>
        <xdr:cNvPicPr preferRelativeResize="0">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28499" y="10037763"/>
          <a:ext cx="855662" cy="541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150359</xdr:colOff>
      <xdr:row>55</xdr:row>
      <xdr:rowOff>155122</xdr:rowOff>
    </xdr:from>
    <xdr:to>
      <xdr:col>6</xdr:col>
      <xdr:colOff>917349</xdr:colOff>
      <xdr:row>57</xdr:row>
      <xdr:rowOff>25174</xdr:rowOff>
    </xdr:to>
    <xdr:sp macro="" textlink="">
      <xdr:nvSpPr>
        <xdr:cNvPr id="56" name="Retângulo 55">
          <a:extLst>
            <a:ext uri="{FF2B5EF4-FFF2-40B4-BE49-F238E27FC236}">
              <a16:creationId xmlns:a16="http://schemas.microsoft.com/office/drawing/2014/main" id="{71912950-A3B9-4F1E-B78C-182337F2BCF2}"/>
            </a:ext>
          </a:extLst>
        </xdr:cNvPr>
        <xdr:cNvSpPr/>
      </xdr:nvSpPr>
      <xdr:spPr>
        <a:xfrm>
          <a:off x="6779759" y="9870622"/>
          <a:ext cx="766990" cy="193902"/>
        </a:xfrm>
        <a:prstGeom prst="rect">
          <a:avLst/>
        </a:prstGeom>
        <a:noFill/>
        <a:ln>
          <a:noFill/>
        </a:ln>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Alecrim</a:t>
          </a:r>
        </a:p>
      </xdr:txBody>
    </xdr:sp>
    <xdr:clientData/>
  </xdr:twoCellAnchor>
  <xdr:twoCellAnchor editAs="oneCell">
    <xdr:from>
      <xdr:col>6</xdr:col>
      <xdr:colOff>884924</xdr:colOff>
      <xdr:row>56</xdr:row>
      <xdr:rowOff>160338</xdr:rowOff>
    </xdr:from>
    <xdr:to>
      <xdr:col>6</xdr:col>
      <xdr:colOff>1691374</xdr:colOff>
      <xdr:row>60</xdr:row>
      <xdr:rowOff>53975</xdr:rowOff>
    </xdr:to>
    <xdr:pic>
      <xdr:nvPicPr>
        <xdr:cNvPr id="57" name="Imagem 56" descr="Serraria (UHE)">
          <a:extLst>
            <a:ext uri="{FF2B5EF4-FFF2-40B4-BE49-F238E27FC236}">
              <a16:creationId xmlns:a16="http://schemas.microsoft.com/office/drawing/2014/main" id="{451CA5B0-9F3B-4636-BD95-BBAB7011019F}"/>
            </a:ext>
          </a:extLst>
        </xdr:cNvPr>
        <xdr:cNvPicPr preferRelativeResize="0">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514324" y="10037763"/>
          <a:ext cx="806450" cy="541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982437</xdr:colOff>
      <xdr:row>56</xdr:row>
      <xdr:rowOff>907</xdr:rowOff>
    </xdr:from>
    <xdr:to>
      <xdr:col>6</xdr:col>
      <xdr:colOff>1709512</xdr:colOff>
      <xdr:row>57</xdr:row>
      <xdr:rowOff>34245</xdr:rowOff>
    </xdr:to>
    <xdr:sp macro="" textlink="">
      <xdr:nvSpPr>
        <xdr:cNvPr id="58" name="Retângulo 57">
          <a:extLst>
            <a:ext uri="{FF2B5EF4-FFF2-40B4-BE49-F238E27FC236}">
              <a16:creationId xmlns:a16="http://schemas.microsoft.com/office/drawing/2014/main" id="{36FC8874-7176-45E1-BE08-0767D210A0C3}"/>
            </a:ext>
          </a:extLst>
        </xdr:cNvPr>
        <xdr:cNvSpPr/>
      </xdr:nvSpPr>
      <xdr:spPr>
        <a:xfrm>
          <a:off x="7611837" y="9878332"/>
          <a:ext cx="727075" cy="195263"/>
        </a:xfrm>
        <a:prstGeom prst="rect">
          <a:avLst/>
        </a:prstGeom>
        <a:noFill/>
        <a:ln>
          <a:noFill/>
        </a:ln>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Serraria</a:t>
          </a:r>
        </a:p>
      </xdr:txBody>
    </xdr:sp>
    <xdr:clientData/>
  </xdr:twoCellAnchor>
  <xdr:twoCellAnchor editAs="oneCell">
    <xdr:from>
      <xdr:col>6</xdr:col>
      <xdr:colOff>1719949</xdr:colOff>
      <xdr:row>56</xdr:row>
      <xdr:rowOff>160338</xdr:rowOff>
    </xdr:from>
    <xdr:to>
      <xdr:col>7</xdr:col>
      <xdr:colOff>640449</xdr:colOff>
      <xdr:row>60</xdr:row>
      <xdr:rowOff>53975</xdr:rowOff>
    </xdr:to>
    <xdr:pic>
      <xdr:nvPicPr>
        <xdr:cNvPr id="59" name="Imagem 58">
          <a:extLst>
            <a:ext uri="{FF2B5EF4-FFF2-40B4-BE49-F238E27FC236}">
              <a16:creationId xmlns:a16="http://schemas.microsoft.com/office/drawing/2014/main" id="{DBB6F3C9-D89F-40A9-842C-8024FC465511}"/>
            </a:ext>
          </a:extLst>
        </xdr:cNvPr>
        <xdr:cNvPicPr preferRelativeResize="0">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349349" y="10037763"/>
          <a:ext cx="806450" cy="541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1763033</xdr:colOff>
      <xdr:row>55</xdr:row>
      <xdr:rowOff>155121</xdr:rowOff>
    </xdr:from>
    <xdr:to>
      <xdr:col>8</xdr:col>
      <xdr:colOff>735920</xdr:colOff>
      <xdr:row>57</xdr:row>
      <xdr:rowOff>25173</xdr:rowOff>
    </xdr:to>
    <xdr:sp macro="" textlink="">
      <xdr:nvSpPr>
        <xdr:cNvPr id="60" name="Retângulo 59">
          <a:extLst>
            <a:ext uri="{FF2B5EF4-FFF2-40B4-BE49-F238E27FC236}">
              <a16:creationId xmlns:a16="http://schemas.microsoft.com/office/drawing/2014/main" id="{D23DE9A9-5E56-420C-9F79-D09309FAB189}"/>
            </a:ext>
          </a:extLst>
        </xdr:cNvPr>
        <xdr:cNvSpPr/>
      </xdr:nvSpPr>
      <xdr:spPr>
        <a:xfrm>
          <a:off x="8392433" y="9870621"/>
          <a:ext cx="2744787" cy="193902"/>
        </a:xfrm>
        <a:prstGeom prst="rect">
          <a:avLst/>
        </a:prstGeom>
        <a:noFill/>
        <a:ln>
          <a:noFill/>
        </a:ln>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S. Iporanga</a:t>
          </a:r>
        </a:p>
      </xdr:txBody>
    </xdr:sp>
    <xdr:clientData/>
  </xdr:twoCellAnchor>
  <xdr:twoCellAnchor>
    <xdr:from>
      <xdr:col>6</xdr:col>
      <xdr:colOff>1867586</xdr:colOff>
      <xdr:row>59</xdr:row>
      <xdr:rowOff>88900</xdr:rowOff>
    </xdr:from>
    <xdr:to>
      <xdr:col>7</xdr:col>
      <xdr:colOff>453577</xdr:colOff>
      <xdr:row>60</xdr:row>
      <xdr:rowOff>54428</xdr:rowOff>
    </xdr:to>
    <xdr:sp macro="" textlink="">
      <xdr:nvSpPr>
        <xdr:cNvPr id="61" name="Retângulo 60">
          <a:extLst>
            <a:ext uri="{FF2B5EF4-FFF2-40B4-BE49-F238E27FC236}">
              <a16:creationId xmlns:a16="http://schemas.microsoft.com/office/drawing/2014/main" id="{CC5A4FE5-8F7D-4870-B221-80C5C3A0DE39}"/>
            </a:ext>
          </a:extLst>
        </xdr:cNvPr>
        <xdr:cNvSpPr/>
      </xdr:nvSpPr>
      <xdr:spPr>
        <a:xfrm>
          <a:off x="8496986" y="10452100"/>
          <a:ext cx="471941" cy="12745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37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editAs="oneCell">
    <xdr:from>
      <xdr:col>3</xdr:col>
      <xdr:colOff>19051</xdr:colOff>
      <xdr:row>61</xdr:row>
      <xdr:rowOff>115888</xdr:rowOff>
    </xdr:from>
    <xdr:to>
      <xdr:col>3</xdr:col>
      <xdr:colOff>827088</xdr:colOff>
      <xdr:row>65</xdr:row>
      <xdr:rowOff>11113</xdr:rowOff>
    </xdr:to>
    <xdr:pic>
      <xdr:nvPicPr>
        <xdr:cNvPr id="62" name="Imagem 61">
          <a:extLst>
            <a:ext uri="{FF2B5EF4-FFF2-40B4-BE49-F238E27FC236}">
              <a16:creationId xmlns:a16="http://schemas.microsoft.com/office/drawing/2014/main" id="{73E511CD-9F26-409F-B450-C4FC96EBA855}"/>
            </a:ext>
          </a:extLst>
        </xdr:cNvPr>
        <xdr:cNvPicPr preferRelativeResize="0">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305176" y="10802938"/>
          <a:ext cx="808037"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1482726</xdr:colOff>
      <xdr:row>60</xdr:row>
      <xdr:rowOff>134938</xdr:rowOff>
    </xdr:from>
    <xdr:to>
      <xdr:col>3</xdr:col>
      <xdr:colOff>873126</xdr:colOff>
      <xdr:row>62</xdr:row>
      <xdr:rowOff>7938</xdr:rowOff>
    </xdr:to>
    <xdr:sp macro="" textlink="">
      <xdr:nvSpPr>
        <xdr:cNvPr id="63" name="Retângulo 62">
          <a:extLst>
            <a:ext uri="{FF2B5EF4-FFF2-40B4-BE49-F238E27FC236}">
              <a16:creationId xmlns:a16="http://schemas.microsoft.com/office/drawing/2014/main" id="{0A1FC265-8316-481F-BE4A-A511A8F65DC9}"/>
            </a:ext>
          </a:extLst>
        </xdr:cNvPr>
        <xdr:cNvSpPr/>
      </xdr:nvSpPr>
      <xdr:spPr>
        <a:xfrm>
          <a:off x="3282951" y="10660063"/>
          <a:ext cx="876300" cy="196850"/>
        </a:xfrm>
        <a:prstGeom prst="rect">
          <a:avLst/>
        </a:prstGeom>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Itupararanga</a:t>
          </a:r>
        </a:p>
      </xdr:txBody>
    </xdr:sp>
    <xdr:clientData/>
  </xdr:twoCellAnchor>
  <xdr:twoCellAnchor>
    <xdr:from>
      <xdr:col>2</xdr:col>
      <xdr:colOff>471488</xdr:colOff>
      <xdr:row>58</xdr:row>
      <xdr:rowOff>111125</xdr:rowOff>
    </xdr:from>
    <xdr:to>
      <xdr:col>2</xdr:col>
      <xdr:colOff>531813</xdr:colOff>
      <xdr:row>59</xdr:row>
      <xdr:rowOff>15875</xdr:rowOff>
    </xdr:to>
    <xdr:sp macro="" textlink="">
      <xdr:nvSpPr>
        <xdr:cNvPr id="64" name="Elipse 63">
          <a:extLst>
            <a:ext uri="{FF2B5EF4-FFF2-40B4-BE49-F238E27FC236}">
              <a16:creationId xmlns:a16="http://schemas.microsoft.com/office/drawing/2014/main" id="{3A12FA5C-F7BB-41FC-8B35-47662CF58C52}"/>
            </a:ext>
          </a:extLst>
        </xdr:cNvPr>
        <xdr:cNvSpPr/>
      </xdr:nvSpPr>
      <xdr:spPr>
        <a:xfrm>
          <a:off x="2643188" y="10312400"/>
          <a:ext cx="60325" cy="66675"/>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endParaRPr lang="en-US" sz="1055">
            <a:solidFill>
              <a:prstClr val="white"/>
            </a:solidFill>
          </a:endParaRPr>
        </a:p>
      </xdr:txBody>
    </xdr:sp>
    <xdr:clientData/>
  </xdr:twoCellAnchor>
  <xdr:twoCellAnchor>
    <xdr:from>
      <xdr:col>2</xdr:col>
      <xdr:colOff>1257301</xdr:colOff>
      <xdr:row>60</xdr:row>
      <xdr:rowOff>115888</xdr:rowOff>
    </xdr:from>
    <xdr:to>
      <xdr:col>8</xdr:col>
      <xdr:colOff>180976</xdr:colOff>
      <xdr:row>60</xdr:row>
      <xdr:rowOff>134938</xdr:rowOff>
    </xdr:to>
    <xdr:cxnSp macro="">
      <xdr:nvCxnSpPr>
        <xdr:cNvPr id="65" name="Conector reto 64">
          <a:extLst>
            <a:ext uri="{FF2B5EF4-FFF2-40B4-BE49-F238E27FC236}">
              <a16:creationId xmlns:a16="http://schemas.microsoft.com/office/drawing/2014/main" id="{79F24B06-C484-46DE-9248-C1FBB98CE984}"/>
            </a:ext>
          </a:extLst>
        </xdr:cNvPr>
        <xdr:cNvCxnSpPr>
          <a:cxnSpLocks/>
        </xdr:cNvCxnSpPr>
      </xdr:nvCxnSpPr>
      <xdr:spPr>
        <a:xfrm flipH="1" flipV="1">
          <a:off x="3286126" y="10641013"/>
          <a:ext cx="7296150" cy="19050"/>
        </a:xfrm>
        <a:prstGeom prst="line">
          <a:avLst/>
        </a:prstGeom>
        <a:solidFill>
          <a:schemeClr val="bg1"/>
        </a:solidFill>
        <a:ln w="63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2</xdr:col>
      <xdr:colOff>193676</xdr:colOff>
      <xdr:row>58</xdr:row>
      <xdr:rowOff>9525</xdr:rowOff>
    </xdr:from>
    <xdr:to>
      <xdr:col>2</xdr:col>
      <xdr:colOff>254001</xdr:colOff>
      <xdr:row>58</xdr:row>
      <xdr:rowOff>76200</xdr:rowOff>
    </xdr:to>
    <xdr:sp macro="" textlink="">
      <xdr:nvSpPr>
        <xdr:cNvPr id="66" name="Elipse 65">
          <a:extLst>
            <a:ext uri="{FF2B5EF4-FFF2-40B4-BE49-F238E27FC236}">
              <a16:creationId xmlns:a16="http://schemas.microsoft.com/office/drawing/2014/main" id="{01948E07-CF39-450C-AF6B-E3B5A9631D01}"/>
            </a:ext>
          </a:extLst>
        </xdr:cNvPr>
        <xdr:cNvSpPr/>
      </xdr:nvSpPr>
      <xdr:spPr>
        <a:xfrm>
          <a:off x="2365376" y="10210800"/>
          <a:ext cx="60325" cy="66675"/>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endParaRPr lang="en-US" sz="1055">
            <a:solidFill>
              <a:prstClr val="white"/>
            </a:solidFill>
          </a:endParaRPr>
        </a:p>
      </xdr:txBody>
    </xdr:sp>
    <xdr:clientData/>
  </xdr:twoCellAnchor>
  <xdr:twoCellAnchor>
    <xdr:from>
      <xdr:col>1</xdr:col>
      <xdr:colOff>325438</xdr:colOff>
      <xdr:row>53</xdr:row>
      <xdr:rowOff>44450</xdr:rowOff>
    </xdr:from>
    <xdr:to>
      <xdr:col>1</xdr:col>
      <xdr:colOff>325438</xdr:colOff>
      <xdr:row>61</xdr:row>
      <xdr:rowOff>9525</xdr:rowOff>
    </xdr:to>
    <xdr:cxnSp macro="">
      <xdr:nvCxnSpPr>
        <xdr:cNvPr id="67" name="Conector reto 66">
          <a:extLst>
            <a:ext uri="{FF2B5EF4-FFF2-40B4-BE49-F238E27FC236}">
              <a16:creationId xmlns:a16="http://schemas.microsoft.com/office/drawing/2014/main" id="{A17009C3-9674-4FD6-B4D4-F35A5CB55F93}"/>
            </a:ext>
          </a:extLst>
        </xdr:cNvPr>
        <xdr:cNvCxnSpPr>
          <a:cxnSpLocks/>
        </xdr:cNvCxnSpPr>
      </xdr:nvCxnSpPr>
      <xdr:spPr>
        <a:xfrm>
          <a:off x="1858963" y="9436100"/>
          <a:ext cx="0" cy="1260475"/>
        </a:xfrm>
        <a:prstGeom prst="line">
          <a:avLst/>
        </a:prstGeom>
        <a:solidFill>
          <a:schemeClr val="bg1"/>
        </a:solidFill>
        <a:ln w="63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1</xdr:col>
      <xdr:colOff>335238</xdr:colOff>
      <xdr:row>57</xdr:row>
      <xdr:rowOff>3118</xdr:rowOff>
    </xdr:from>
    <xdr:to>
      <xdr:col>2</xdr:col>
      <xdr:colOff>223839</xdr:colOff>
      <xdr:row>58</xdr:row>
      <xdr:rowOff>9525</xdr:rowOff>
    </xdr:to>
    <xdr:cxnSp macro="">
      <xdr:nvCxnSpPr>
        <xdr:cNvPr id="68" name="Conector angulado 162">
          <a:extLst>
            <a:ext uri="{FF2B5EF4-FFF2-40B4-BE49-F238E27FC236}">
              <a16:creationId xmlns:a16="http://schemas.microsoft.com/office/drawing/2014/main" id="{FADBE594-D672-4632-BE05-CFC7BED044B2}"/>
            </a:ext>
          </a:extLst>
        </xdr:cNvPr>
        <xdr:cNvCxnSpPr>
          <a:cxnSpLocks/>
          <a:stCxn id="27" idx="37"/>
          <a:endCxn id="66" idx="0"/>
        </xdr:cNvCxnSpPr>
      </xdr:nvCxnSpPr>
      <xdr:spPr>
        <a:xfrm>
          <a:off x="1868763" y="10042468"/>
          <a:ext cx="526776" cy="168332"/>
        </a:xfrm>
        <a:prstGeom prst="bentConnector2">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223838</xdr:colOff>
      <xdr:row>55</xdr:row>
      <xdr:rowOff>88900</xdr:rowOff>
    </xdr:from>
    <xdr:to>
      <xdr:col>2</xdr:col>
      <xdr:colOff>284163</xdr:colOff>
      <xdr:row>55</xdr:row>
      <xdr:rowOff>155575</xdr:rowOff>
    </xdr:to>
    <xdr:sp macro="" textlink="">
      <xdr:nvSpPr>
        <xdr:cNvPr id="69" name="Elipse 68">
          <a:extLst>
            <a:ext uri="{FF2B5EF4-FFF2-40B4-BE49-F238E27FC236}">
              <a16:creationId xmlns:a16="http://schemas.microsoft.com/office/drawing/2014/main" id="{63DB2879-7DD2-408E-ABED-1678C550D7E9}"/>
            </a:ext>
          </a:extLst>
        </xdr:cNvPr>
        <xdr:cNvSpPr/>
      </xdr:nvSpPr>
      <xdr:spPr>
        <a:xfrm>
          <a:off x="2395538" y="9804400"/>
          <a:ext cx="60325" cy="66675"/>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endParaRPr lang="en-US" sz="1055">
            <a:solidFill>
              <a:prstClr val="white"/>
            </a:solidFill>
          </a:endParaRPr>
        </a:p>
      </xdr:txBody>
    </xdr:sp>
    <xdr:clientData/>
  </xdr:twoCellAnchor>
  <xdr:twoCellAnchor>
    <xdr:from>
      <xdr:col>2</xdr:col>
      <xdr:colOff>252413</xdr:colOff>
      <xdr:row>50</xdr:row>
      <xdr:rowOff>123825</xdr:rowOff>
    </xdr:from>
    <xdr:to>
      <xdr:col>2</xdr:col>
      <xdr:colOff>254000</xdr:colOff>
      <xdr:row>55</xdr:row>
      <xdr:rowOff>88900</xdr:rowOff>
    </xdr:to>
    <xdr:cxnSp macro="">
      <xdr:nvCxnSpPr>
        <xdr:cNvPr id="70" name="Conector angulado 160">
          <a:extLst>
            <a:ext uri="{FF2B5EF4-FFF2-40B4-BE49-F238E27FC236}">
              <a16:creationId xmlns:a16="http://schemas.microsoft.com/office/drawing/2014/main" id="{9D3FCE56-5624-43D8-8628-891E5D9BE926}"/>
            </a:ext>
          </a:extLst>
        </xdr:cNvPr>
        <xdr:cNvCxnSpPr>
          <a:cxnSpLocks/>
          <a:stCxn id="41" idx="2"/>
          <a:endCxn id="69" idx="0"/>
        </xdr:cNvCxnSpPr>
      </xdr:nvCxnSpPr>
      <xdr:spPr>
        <a:xfrm rot="16200000" flipH="1">
          <a:off x="2037557" y="9416256"/>
          <a:ext cx="774700" cy="1587"/>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884238</xdr:colOff>
      <xdr:row>57</xdr:row>
      <xdr:rowOff>69850</xdr:rowOff>
    </xdr:from>
    <xdr:to>
      <xdr:col>2</xdr:col>
      <xdr:colOff>946151</xdr:colOff>
      <xdr:row>57</xdr:row>
      <xdr:rowOff>136525</xdr:rowOff>
    </xdr:to>
    <xdr:sp macro="" textlink="">
      <xdr:nvSpPr>
        <xdr:cNvPr id="71" name="Elipse 70">
          <a:extLst>
            <a:ext uri="{FF2B5EF4-FFF2-40B4-BE49-F238E27FC236}">
              <a16:creationId xmlns:a16="http://schemas.microsoft.com/office/drawing/2014/main" id="{35895868-4471-4636-8E50-77BE3E619650}"/>
            </a:ext>
          </a:extLst>
        </xdr:cNvPr>
        <xdr:cNvSpPr/>
      </xdr:nvSpPr>
      <xdr:spPr>
        <a:xfrm>
          <a:off x="3055938" y="10109200"/>
          <a:ext cx="61913" cy="66675"/>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endParaRPr lang="en-US" sz="1055">
            <a:solidFill>
              <a:prstClr val="white"/>
            </a:solidFill>
          </a:endParaRPr>
        </a:p>
      </xdr:txBody>
    </xdr:sp>
    <xdr:clientData/>
  </xdr:twoCellAnchor>
  <xdr:twoCellAnchor>
    <xdr:from>
      <xdr:col>2</xdr:col>
      <xdr:colOff>915195</xdr:colOff>
      <xdr:row>54</xdr:row>
      <xdr:rowOff>146051</xdr:rowOff>
    </xdr:from>
    <xdr:to>
      <xdr:col>4</xdr:col>
      <xdr:colOff>1098551</xdr:colOff>
      <xdr:row>57</xdr:row>
      <xdr:rowOff>69851</xdr:rowOff>
    </xdr:to>
    <xdr:cxnSp macro="">
      <xdr:nvCxnSpPr>
        <xdr:cNvPr id="72" name="Conector angulado 203">
          <a:extLst>
            <a:ext uri="{FF2B5EF4-FFF2-40B4-BE49-F238E27FC236}">
              <a16:creationId xmlns:a16="http://schemas.microsoft.com/office/drawing/2014/main" id="{565CF55F-F2F3-4AF6-AFF0-9A987854EA53}"/>
            </a:ext>
          </a:extLst>
        </xdr:cNvPr>
        <xdr:cNvCxnSpPr>
          <a:cxnSpLocks/>
          <a:stCxn id="71" idx="0"/>
          <a:endCxn id="43" idx="2"/>
        </xdr:cNvCxnSpPr>
      </xdr:nvCxnSpPr>
      <xdr:spPr>
        <a:xfrm rot="5400000" flipH="1" flipV="1">
          <a:off x="4088210" y="8698311"/>
          <a:ext cx="409575" cy="2412206"/>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501651</xdr:colOff>
      <xdr:row>59</xdr:row>
      <xdr:rowOff>15875</xdr:rowOff>
    </xdr:from>
    <xdr:to>
      <xdr:col>3</xdr:col>
      <xdr:colOff>6351</xdr:colOff>
      <xdr:row>59</xdr:row>
      <xdr:rowOff>79375</xdr:rowOff>
    </xdr:to>
    <xdr:cxnSp macro="">
      <xdr:nvCxnSpPr>
        <xdr:cNvPr id="73" name="Conector angulado 140">
          <a:extLst>
            <a:ext uri="{FF2B5EF4-FFF2-40B4-BE49-F238E27FC236}">
              <a16:creationId xmlns:a16="http://schemas.microsoft.com/office/drawing/2014/main" id="{2577E503-5D2D-475B-933C-7B8D13CCD319}"/>
            </a:ext>
          </a:extLst>
        </xdr:cNvPr>
        <xdr:cNvCxnSpPr>
          <a:cxnSpLocks/>
          <a:stCxn id="64" idx="4"/>
        </xdr:cNvCxnSpPr>
      </xdr:nvCxnSpPr>
      <xdr:spPr>
        <a:xfrm rot="16200000" flipH="1">
          <a:off x="2951164" y="10101262"/>
          <a:ext cx="63500" cy="619125"/>
        </a:xfrm>
        <a:prstGeom prst="bentConnector2">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857251</xdr:colOff>
      <xdr:row>60</xdr:row>
      <xdr:rowOff>117475</xdr:rowOff>
    </xdr:from>
    <xdr:to>
      <xdr:col>4</xdr:col>
      <xdr:colOff>509588</xdr:colOff>
      <xdr:row>61</xdr:row>
      <xdr:rowOff>150813</xdr:rowOff>
    </xdr:to>
    <xdr:sp macro="" textlink="">
      <xdr:nvSpPr>
        <xdr:cNvPr id="74" name="Retângulo 73">
          <a:extLst>
            <a:ext uri="{FF2B5EF4-FFF2-40B4-BE49-F238E27FC236}">
              <a16:creationId xmlns:a16="http://schemas.microsoft.com/office/drawing/2014/main" id="{F627EC4D-61AD-4880-BF2D-E0A466E0EE6E}"/>
            </a:ext>
          </a:extLst>
        </xdr:cNvPr>
        <xdr:cNvSpPr/>
      </xdr:nvSpPr>
      <xdr:spPr>
        <a:xfrm>
          <a:off x="4143376" y="10642600"/>
          <a:ext cx="766762" cy="195263"/>
        </a:xfrm>
        <a:prstGeom prst="rect">
          <a:avLst/>
        </a:prstGeom>
        <a:noFill/>
        <a:ln>
          <a:noFill/>
        </a:ln>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Jurupara</a:t>
          </a:r>
        </a:p>
      </xdr:txBody>
    </xdr:sp>
    <xdr:clientData/>
  </xdr:twoCellAnchor>
  <xdr:twoCellAnchor editAs="oneCell">
    <xdr:from>
      <xdr:col>4</xdr:col>
      <xdr:colOff>595313</xdr:colOff>
      <xdr:row>61</xdr:row>
      <xdr:rowOff>98425</xdr:rowOff>
    </xdr:from>
    <xdr:to>
      <xdr:col>5</xdr:col>
      <xdr:colOff>293688</xdr:colOff>
      <xdr:row>64</xdr:row>
      <xdr:rowOff>152400</xdr:rowOff>
    </xdr:to>
    <xdr:pic>
      <xdr:nvPicPr>
        <xdr:cNvPr id="75" name="Imagem 74">
          <a:extLst>
            <a:ext uri="{FF2B5EF4-FFF2-40B4-BE49-F238E27FC236}">
              <a16:creationId xmlns:a16="http://schemas.microsoft.com/office/drawing/2014/main" id="{5FED0860-01F5-4BC7-B016-D9FEA220E1AA}"/>
            </a:ext>
          </a:extLst>
        </xdr:cNvPr>
        <xdr:cNvPicPr preferRelativeResize="0">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995863" y="10785475"/>
          <a:ext cx="812800" cy="53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541338</xdr:colOff>
      <xdr:row>60</xdr:row>
      <xdr:rowOff>117475</xdr:rowOff>
    </xdr:from>
    <xdr:to>
      <xdr:col>5</xdr:col>
      <xdr:colOff>266701</xdr:colOff>
      <xdr:row>61</xdr:row>
      <xdr:rowOff>150813</xdr:rowOff>
    </xdr:to>
    <xdr:sp macro="" textlink="">
      <xdr:nvSpPr>
        <xdr:cNvPr id="76" name="Retângulo 75">
          <a:extLst>
            <a:ext uri="{FF2B5EF4-FFF2-40B4-BE49-F238E27FC236}">
              <a16:creationId xmlns:a16="http://schemas.microsoft.com/office/drawing/2014/main" id="{8B6F35BD-91DE-4F0A-A28C-EB1BCF9C8BA5}"/>
            </a:ext>
          </a:extLst>
        </xdr:cNvPr>
        <xdr:cNvSpPr/>
      </xdr:nvSpPr>
      <xdr:spPr>
        <a:xfrm>
          <a:off x="4941888" y="10642600"/>
          <a:ext cx="839788" cy="195263"/>
        </a:xfrm>
        <a:prstGeom prst="rect">
          <a:avLst/>
        </a:prstGeom>
        <a:noFill/>
        <a:ln>
          <a:noFill/>
        </a:ln>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CGH Sta Helena</a:t>
          </a:r>
        </a:p>
      </xdr:txBody>
    </xdr:sp>
    <xdr:clientData/>
  </xdr:twoCellAnchor>
  <xdr:twoCellAnchor>
    <xdr:from>
      <xdr:col>4</xdr:col>
      <xdr:colOff>601663</xdr:colOff>
      <xdr:row>64</xdr:row>
      <xdr:rowOff>17463</xdr:rowOff>
    </xdr:from>
    <xdr:to>
      <xdr:col>4</xdr:col>
      <xdr:colOff>1006476</xdr:colOff>
      <xdr:row>64</xdr:row>
      <xdr:rowOff>152400</xdr:rowOff>
    </xdr:to>
    <xdr:sp macro="" textlink="">
      <xdr:nvSpPr>
        <xdr:cNvPr id="77" name="Retângulo 76">
          <a:extLst>
            <a:ext uri="{FF2B5EF4-FFF2-40B4-BE49-F238E27FC236}">
              <a16:creationId xmlns:a16="http://schemas.microsoft.com/office/drawing/2014/main" id="{29A93EAB-815A-44B7-967A-91E46AB131A4}"/>
            </a:ext>
          </a:extLst>
        </xdr:cNvPr>
        <xdr:cNvSpPr/>
      </xdr:nvSpPr>
      <xdr:spPr>
        <a:xfrm>
          <a:off x="5002213" y="11190288"/>
          <a:ext cx="404813" cy="13493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600" b="1">
              <a:solidFill>
                <a:srgbClr val="0070C0"/>
              </a:solidFill>
              <a:latin typeface="Votorantim Sans" panose="02010503030202050203" pitchFamily="2" charset="0"/>
            </a:rPr>
            <a:t>37 </a:t>
          </a:r>
          <a:r>
            <a:rPr lang="pt-BR" sz="450" b="1">
              <a:solidFill>
                <a:srgbClr val="0070C0"/>
              </a:solidFill>
              <a:latin typeface="Votorantim Sans" panose="02010503030202050203" pitchFamily="2" charset="0"/>
            </a:rPr>
            <a:t>MW</a:t>
          </a:r>
          <a:endParaRPr lang="en-US" sz="450" b="1">
            <a:solidFill>
              <a:srgbClr val="0070C0"/>
            </a:solidFill>
            <a:latin typeface="Votorantim Sans" panose="02010503030202050203" pitchFamily="2" charset="0"/>
          </a:endParaRPr>
        </a:p>
      </xdr:txBody>
    </xdr:sp>
    <xdr:clientData/>
  </xdr:twoCellAnchor>
  <xdr:twoCellAnchor>
    <xdr:from>
      <xdr:col>5</xdr:col>
      <xdr:colOff>244476</xdr:colOff>
      <xdr:row>60</xdr:row>
      <xdr:rowOff>117475</xdr:rowOff>
    </xdr:from>
    <xdr:to>
      <xdr:col>6</xdr:col>
      <xdr:colOff>9526</xdr:colOff>
      <xdr:row>61</xdr:row>
      <xdr:rowOff>150813</xdr:rowOff>
    </xdr:to>
    <xdr:sp macro="" textlink="">
      <xdr:nvSpPr>
        <xdr:cNvPr id="78" name="Retângulo 77">
          <a:extLst>
            <a:ext uri="{FF2B5EF4-FFF2-40B4-BE49-F238E27FC236}">
              <a16:creationId xmlns:a16="http://schemas.microsoft.com/office/drawing/2014/main" id="{C35BF5DB-C2D8-41D0-B161-AC3FB7C73CCE}"/>
            </a:ext>
          </a:extLst>
        </xdr:cNvPr>
        <xdr:cNvSpPr/>
      </xdr:nvSpPr>
      <xdr:spPr>
        <a:xfrm>
          <a:off x="5759451" y="10642600"/>
          <a:ext cx="879475" cy="195263"/>
        </a:xfrm>
        <a:prstGeom prst="rect">
          <a:avLst/>
        </a:prstGeom>
        <a:noFill/>
        <a:ln>
          <a:noFill/>
        </a:ln>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CGH Votorantim</a:t>
          </a:r>
        </a:p>
      </xdr:txBody>
    </xdr:sp>
    <xdr:clientData/>
  </xdr:twoCellAnchor>
  <xdr:twoCellAnchor editAs="oneCell">
    <xdr:from>
      <xdr:col>4</xdr:col>
      <xdr:colOff>596901</xdr:colOff>
      <xdr:row>61</xdr:row>
      <xdr:rowOff>109538</xdr:rowOff>
    </xdr:from>
    <xdr:to>
      <xdr:col>5</xdr:col>
      <xdr:colOff>295276</xdr:colOff>
      <xdr:row>65</xdr:row>
      <xdr:rowOff>1588</xdr:rowOff>
    </xdr:to>
    <xdr:pic>
      <xdr:nvPicPr>
        <xdr:cNvPr id="79" name="Imagem 78">
          <a:extLst>
            <a:ext uri="{FF2B5EF4-FFF2-40B4-BE49-F238E27FC236}">
              <a16:creationId xmlns:a16="http://schemas.microsoft.com/office/drawing/2014/main" id="{1404685B-FF6D-4B7D-A84D-54657BC581AA}"/>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997451" y="10796588"/>
          <a:ext cx="812800" cy="53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465138</xdr:colOff>
      <xdr:row>59</xdr:row>
      <xdr:rowOff>153988</xdr:rowOff>
    </xdr:from>
    <xdr:to>
      <xdr:col>1</xdr:col>
      <xdr:colOff>471488</xdr:colOff>
      <xdr:row>59</xdr:row>
      <xdr:rowOff>153988</xdr:rowOff>
    </xdr:to>
    <xdr:sp macro="" textlink="">
      <xdr:nvSpPr>
        <xdr:cNvPr id="80" name="Rectangle 81">
          <a:extLst>
            <a:ext uri="{FF2B5EF4-FFF2-40B4-BE49-F238E27FC236}">
              <a16:creationId xmlns:a16="http://schemas.microsoft.com/office/drawing/2014/main" id="{9B52F3D3-768E-49FB-A33F-F84886891742}"/>
            </a:ext>
          </a:extLst>
        </xdr:cNvPr>
        <xdr:cNvSpPr>
          <a:spLocks noChangeAspect="1" noChangeArrowheads="1"/>
        </xdr:cNvSpPr>
      </xdr:nvSpPr>
      <xdr:spPr bwMode="gray">
        <a:xfrm>
          <a:off x="1998663" y="10517188"/>
          <a:ext cx="6350"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6</xdr:col>
      <xdr:colOff>1016686</xdr:colOff>
      <xdr:row>59</xdr:row>
      <xdr:rowOff>93663</xdr:rowOff>
    </xdr:from>
    <xdr:to>
      <xdr:col>6</xdr:col>
      <xdr:colOff>1497699</xdr:colOff>
      <xdr:row>60</xdr:row>
      <xdr:rowOff>53975</xdr:rowOff>
    </xdr:to>
    <xdr:sp macro="" textlink="">
      <xdr:nvSpPr>
        <xdr:cNvPr id="81" name="Retângulo 80">
          <a:extLst>
            <a:ext uri="{FF2B5EF4-FFF2-40B4-BE49-F238E27FC236}">
              <a16:creationId xmlns:a16="http://schemas.microsoft.com/office/drawing/2014/main" id="{83161F52-A745-4286-B92A-787738BEEE58}"/>
            </a:ext>
          </a:extLst>
        </xdr:cNvPr>
        <xdr:cNvSpPr/>
      </xdr:nvSpPr>
      <xdr:spPr>
        <a:xfrm>
          <a:off x="7646086" y="10456863"/>
          <a:ext cx="481013" cy="12223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24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6</xdr:col>
      <xdr:colOff>119521</xdr:colOff>
      <xdr:row>59</xdr:row>
      <xdr:rowOff>85725</xdr:rowOff>
    </xdr:from>
    <xdr:to>
      <xdr:col>6</xdr:col>
      <xdr:colOff>654736</xdr:colOff>
      <xdr:row>60</xdr:row>
      <xdr:rowOff>47625</xdr:rowOff>
    </xdr:to>
    <xdr:sp macro="" textlink="">
      <xdr:nvSpPr>
        <xdr:cNvPr id="82" name="Retângulo 81">
          <a:extLst>
            <a:ext uri="{FF2B5EF4-FFF2-40B4-BE49-F238E27FC236}">
              <a16:creationId xmlns:a16="http://schemas.microsoft.com/office/drawing/2014/main" id="{A5789B8E-BF56-4F61-830B-4ABA34C88CFC}"/>
            </a:ext>
          </a:extLst>
        </xdr:cNvPr>
        <xdr:cNvSpPr/>
      </xdr:nvSpPr>
      <xdr:spPr>
        <a:xfrm>
          <a:off x="6748921" y="10448925"/>
          <a:ext cx="535215" cy="123825"/>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72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5</xdr:col>
      <xdr:colOff>465824</xdr:colOff>
      <xdr:row>59</xdr:row>
      <xdr:rowOff>88900</xdr:rowOff>
    </xdr:from>
    <xdr:to>
      <xdr:col>5</xdr:col>
      <xdr:colOff>945249</xdr:colOff>
      <xdr:row>60</xdr:row>
      <xdr:rowOff>50800</xdr:rowOff>
    </xdr:to>
    <xdr:sp macro="" textlink="">
      <xdr:nvSpPr>
        <xdr:cNvPr id="83" name="Retângulo 82">
          <a:extLst>
            <a:ext uri="{FF2B5EF4-FFF2-40B4-BE49-F238E27FC236}">
              <a16:creationId xmlns:a16="http://schemas.microsoft.com/office/drawing/2014/main" id="{7AAA677B-1B86-41EC-8CA8-81C10E676002}"/>
            </a:ext>
          </a:extLst>
        </xdr:cNvPr>
        <xdr:cNvSpPr/>
      </xdr:nvSpPr>
      <xdr:spPr>
        <a:xfrm>
          <a:off x="5980799" y="10452100"/>
          <a:ext cx="479425" cy="123825"/>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28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4</xdr:col>
      <xdr:colOff>730936</xdr:colOff>
      <xdr:row>59</xdr:row>
      <xdr:rowOff>84138</xdr:rowOff>
    </xdr:from>
    <xdr:to>
      <xdr:col>5</xdr:col>
      <xdr:colOff>41735</xdr:colOff>
      <xdr:row>60</xdr:row>
      <xdr:rowOff>46038</xdr:rowOff>
    </xdr:to>
    <xdr:sp macro="" textlink="">
      <xdr:nvSpPr>
        <xdr:cNvPr id="84" name="Retângulo 83">
          <a:extLst>
            <a:ext uri="{FF2B5EF4-FFF2-40B4-BE49-F238E27FC236}">
              <a16:creationId xmlns:a16="http://schemas.microsoft.com/office/drawing/2014/main" id="{FA5095D8-4C04-46A8-BB5E-232FAB171BC4}"/>
            </a:ext>
          </a:extLst>
        </xdr:cNvPr>
        <xdr:cNvSpPr/>
      </xdr:nvSpPr>
      <xdr:spPr>
        <a:xfrm>
          <a:off x="5131486" y="10447338"/>
          <a:ext cx="425224" cy="123825"/>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40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3</xdr:col>
      <xdr:colOff>1010336</xdr:colOff>
      <xdr:row>59</xdr:row>
      <xdr:rowOff>85725</xdr:rowOff>
    </xdr:from>
    <xdr:to>
      <xdr:col>4</xdr:col>
      <xdr:colOff>321135</xdr:colOff>
      <xdr:row>60</xdr:row>
      <xdr:rowOff>46038</xdr:rowOff>
    </xdr:to>
    <xdr:sp macro="" textlink="">
      <xdr:nvSpPr>
        <xdr:cNvPr id="85" name="Retângulo 84">
          <a:extLst>
            <a:ext uri="{FF2B5EF4-FFF2-40B4-BE49-F238E27FC236}">
              <a16:creationId xmlns:a16="http://schemas.microsoft.com/office/drawing/2014/main" id="{A4861E01-CF24-4FD8-9ABB-24F77A2D66D8}"/>
            </a:ext>
          </a:extLst>
        </xdr:cNvPr>
        <xdr:cNvSpPr/>
      </xdr:nvSpPr>
      <xdr:spPr>
        <a:xfrm>
          <a:off x="4296461" y="10448925"/>
          <a:ext cx="425224" cy="12223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36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3</xdr:col>
      <xdr:colOff>159884</xdr:colOff>
      <xdr:row>59</xdr:row>
      <xdr:rowOff>70531</xdr:rowOff>
    </xdr:from>
    <xdr:to>
      <xdr:col>3</xdr:col>
      <xdr:colOff>607785</xdr:colOff>
      <xdr:row>60</xdr:row>
      <xdr:rowOff>45357</xdr:rowOff>
    </xdr:to>
    <xdr:sp macro="" textlink="">
      <xdr:nvSpPr>
        <xdr:cNvPr id="86" name="Retângulo 85">
          <a:extLst>
            <a:ext uri="{FF2B5EF4-FFF2-40B4-BE49-F238E27FC236}">
              <a16:creationId xmlns:a16="http://schemas.microsoft.com/office/drawing/2014/main" id="{CDE18CEA-6D3D-486C-8878-DE6B0B079E81}"/>
            </a:ext>
          </a:extLst>
        </xdr:cNvPr>
        <xdr:cNvSpPr/>
      </xdr:nvSpPr>
      <xdr:spPr>
        <a:xfrm>
          <a:off x="3446009" y="10433731"/>
          <a:ext cx="447901" cy="136751"/>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29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3</xdr:col>
      <xdr:colOff>20638</xdr:colOff>
      <xdr:row>64</xdr:row>
      <xdr:rowOff>47625</xdr:rowOff>
    </xdr:from>
    <xdr:to>
      <xdr:col>3</xdr:col>
      <xdr:colOff>500063</xdr:colOff>
      <xdr:row>65</xdr:row>
      <xdr:rowOff>7938</xdr:rowOff>
    </xdr:to>
    <xdr:sp macro="" textlink="">
      <xdr:nvSpPr>
        <xdr:cNvPr id="87" name="Retângulo 86">
          <a:extLst>
            <a:ext uri="{FF2B5EF4-FFF2-40B4-BE49-F238E27FC236}">
              <a16:creationId xmlns:a16="http://schemas.microsoft.com/office/drawing/2014/main" id="{465E7DC7-0B8C-4BFD-98C6-E63005F54C01}"/>
            </a:ext>
          </a:extLst>
        </xdr:cNvPr>
        <xdr:cNvSpPr/>
      </xdr:nvSpPr>
      <xdr:spPr>
        <a:xfrm>
          <a:off x="3306763" y="11220450"/>
          <a:ext cx="479425" cy="12223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55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3</xdr:col>
      <xdr:colOff>890588</xdr:colOff>
      <xdr:row>64</xdr:row>
      <xdr:rowOff>50800</xdr:rowOff>
    </xdr:from>
    <xdr:to>
      <xdr:col>4</xdr:col>
      <xdr:colOff>257176</xdr:colOff>
      <xdr:row>65</xdr:row>
      <xdr:rowOff>11113</xdr:rowOff>
    </xdr:to>
    <xdr:sp macro="" textlink="">
      <xdr:nvSpPr>
        <xdr:cNvPr id="88" name="Retângulo 87">
          <a:extLst>
            <a:ext uri="{FF2B5EF4-FFF2-40B4-BE49-F238E27FC236}">
              <a16:creationId xmlns:a16="http://schemas.microsoft.com/office/drawing/2014/main" id="{B1660BA2-DDE4-41E1-935C-D354C0E1B6B8}"/>
            </a:ext>
          </a:extLst>
        </xdr:cNvPr>
        <xdr:cNvSpPr/>
      </xdr:nvSpPr>
      <xdr:spPr>
        <a:xfrm>
          <a:off x="4176713" y="11223625"/>
          <a:ext cx="481013" cy="12223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7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4</xdr:col>
      <xdr:colOff>606426</xdr:colOff>
      <xdr:row>64</xdr:row>
      <xdr:rowOff>33338</xdr:rowOff>
    </xdr:from>
    <xdr:to>
      <xdr:col>4</xdr:col>
      <xdr:colOff>1085851</xdr:colOff>
      <xdr:row>64</xdr:row>
      <xdr:rowOff>157163</xdr:rowOff>
    </xdr:to>
    <xdr:sp macro="" textlink="">
      <xdr:nvSpPr>
        <xdr:cNvPr id="89" name="Retângulo 88">
          <a:extLst>
            <a:ext uri="{FF2B5EF4-FFF2-40B4-BE49-F238E27FC236}">
              <a16:creationId xmlns:a16="http://schemas.microsoft.com/office/drawing/2014/main" id="{7697BD92-F994-4161-B3E9-AB25633E8543}"/>
            </a:ext>
          </a:extLst>
        </xdr:cNvPr>
        <xdr:cNvSpPr/>
      </xdr:nvSpPr>
      <xdr:spPr>
        <a:xfrm>
          <a:off x="5006976" y="11206163"/>
          <a:ext cx="479425" cy="123825"/>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2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5</xdr:col>
      <xdr:colOff>342901</xdr:colOff>
      <xdr:row>64</xdr:row>
      <xdr:rowOff>23813</xdr:rowOff>
    </xdr:from>
    <xdr:to>
      <xdr:col>5</xdr:col>
      <xdr:colOff>823913</xdr:colOff>
      <xdr:row>64</xdr:row>
      <xdr:rowOff>147638</xdr:rowOff>
    </xdr:to>
    <xdr:sp macro="" textlink="">
      <xdr:nvSpPr>
        <xdr:cNvPr id="90" name="Retângulo 89">
          <a:extLst>
            <a:ext uri="{FF2B5EF4-FFF2-40B4-BE49-F238E27FC236}">
              <a16:creationId xmlns:a16="http://schemas.microsoft.com/office/drawing/2014/main" id="{8C7DEE60-A570-4170-8D71-DE5BF52172EA}"/>
            </a:ext>
          </a:extLst>
        </xdr:cNvPr>
        <xdr:cNvSpPr/>
      </xdr:nvSpPr>
      <xdr:spPr>
        <a:xfrm>
          <a:off x="5857876" y="11196638"/>
          <a:ext cx="481012" cy="123825"/>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3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4</xdr:col>
      <xdr:colOff>704851</xdr:colOff>
      <xdr:row>54</xdr:row>
      <xdr:rowOff>19050</xdr:rowOff>
    </xdr:from>
    <xdr:to>
      <xdr:col>5</xdr:col>
      <xdr:colOff>71438</xdr:colOff>
      <xdr:row>54</xdr:row>
      <xdr:rowOff>141288</xdr:rowOff>
    </xdr:to>
    <xdr:sp macro="" textlink="">
      <xdr:nvSpPr>
        <xdr:cNvPr id="91" name="Retângulo 90">
          <a:extLst>
            <a:ext uri="{FF2B5EF4-FFF2-40B4-BE49-F238E27FC236}">
              <a16:creationId xmlns:a16="http://schemas.microsoft.com/office/drawing/2014/main" id="{E2A186B8-2F74-487C-AB1B-0BA8A44BCD33}"/>
            </a:ext>
          </a:extLst>
        </xdr:cNvPr>
        <xdr:cNvSpPr/>
      </xdr:nvSpPr>
      <xdr:spPr>
        <a:xfrm>
          <a:off x="5105401" y="9572625"/>
          <a:ext cx="481012" cy="12223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60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1</xdr:col>
      <xdr:colOff>493713</xdr:colOff>
      <xdr:row>49</xdr:row>
      <xdr:rowOff>152400</xdr:rowOff>
    </xdr:from>
    <xdr:to>
      <xdr:col>2</xdr:col>
      <xdr:colOff>336551</xdr:colOff>
      <xdr:row>50</xdr:row>
      <xdr:rowOff>112713</xdr:rowOff>
    </xdr:to>
    <xdr:sp macro="" textlink="">
      <xdr:nvSpPr>
        <xdr:cNvPr id="92" name="Retângulo 91">
          <a:extLst>
            <a:ext uri="{FF2B5EF4-FFF2-40B4-BE49-F238E27FC236}">
              <a16:creationId xmlns:a16="http://schemas.microsoft.com/office/drawing/2014/main" id="{3B946763-5AA6-4373-9F42-A8B389C355B3}"/>
            </a:ext>
          </a:extLst>
        </xdr:cNvPr>
        <xdr:cNvSpPr/>
      </xdr:nvSpPr>
      <xdr:spPr>
        <a:xfrm>
          <a:off x="2027238" y="8896350"/>
          <a:ext cx="481013" cy="12223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93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0</xdr:col>
      <xdr:colOff>993776</xdr:colOff>
      <xdr:row>55</xdr:row>
      <xdr:rowOff>127000</xdr:rowOff>
    </xdr:from>
    <xdr:to>
      <xdr:col>0</xdr:col>
      <xdr:colOff>1474788</xdr:colOff>
      <xdr:row>56</xdr:row>
      <xdr:rowOff>87313</xdr:rowOff>
    </xdr:to>
    <xdr:sp macro="" textlink="">
      <xdr:nvSpPr>
        <xdr:cNvPr id="93" name="Retângulo 92">
          <a:extLst>
            <a:ext uri="{FF2B5EF4-FFF2-40B4-BE49-F238E27FC236}">
              <a16:creationId xmlns:a16="http://schemas.microsoft.com/office/drawing/2014/main" id="{C09D39D1-9DA7-42B7-AA07-47E6663C3678}"/>
            </a:ext>
          </a:extLst>
        </xdr:cNvPr>
        <xdr:cNvSpPr/>
      </xdr:nvSpPr>
      <xdr:spPr>
        <a:xfrm>
          <a:off x="993776" y="9842500"/>
          <a:ext cx="481012" cy="12223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80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0</xdr:col>
      <xdr:colOff>982663</xdr:colOff>
      <xdr:row>60</xdr:row>
      <xdr:rowOff>9525</xdr:rowOff>
    </xdr:from>
    <xdr:to>
      <xdr:col>0</xdr:col>
      <xdr:colOff>1463676</xdr:colOff>
      <xdr:row>60</xdr:row>
      <xdr:rowOff>133350</xdr:rowOff>
    </xdr:to>
    <xdr:sp macro="" textlink="">
      <xdr:nvSpPr>
        <xdr:cNvPr id="94" name="Retângulo 93">
          <a:extLst>
            <a:ext uri="{FF2B5EF4-FFF2-40B4-BE49-F238E27FC236}">
              <a16:creationId xmlns:a16="http://schemas.microsoft.com/office/drawing/2014/main" id="{DC70E81A-5F05-4DDE-AA90-FC8DF0C904B7}"/>
            </a:ext>
          </a:extLst>
        </xdr:cNvPr>
        <xdr:cNvSpPr/>
      </xdr:nvSpPr>
      <xdr:spPr>
        <a:xfrm>
          <a:off x="982663" y="10534650"/>
          <a:ext cx="481013" cy="123825"/>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44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9523</xdr:colOff>
      <xdr:row>0</xdr:row>
      <xdr:rowOff>0</xdr:rowOff>
    </xdr:from>
    <xdr:to>
      <xdr:col>20</xdr:col>
      <xdr:colOff>10583</xdr:colOff>
      <xdr:row>3</xdr:row>
      <xdr:rowOff>247650</xdr:rowOff>
    </xdr:to>
    <xdr:sp macro="" textlink="">
      <xdr:nvSpPr>
        <xdr:cNvPr id="2" name="Retângulo 6">
          <a:extLst>
            <a:ext uri="{FF2B5EF4-FFF2-40B4-BE49-F238E27FC236}">
              <a16:creationId xmlns:a16="http://schemas.microsoft.com/office/drawing/2014/main" id="{0CF30EAB-0A80-4B48-93BB-3E92CBA66630}"/>
            </a:ext>
          </a:extLst>
        </xdr:cNvPr>
        <xdr:cNvSpPr>
          <a:spLocks noChangeArrowheads="1"/>
        </xdr:cNvSpPr>
      </xdr:nvSpPr>
      <xdr:spPr bwMode="auto">
        <a:xfrm>
          <a:off x="9523" y="0"/>
          <a:ext cx="13600643" cy="72390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847750" cy="296620"/>
    <xdr:sp macro="" textlink="">
      <xdr:nvSpPr>
        <xdr:cNvPr id="3" name="Text Box 2">
          <a:extLst>
            <a:ext uri="{FF2B5EF4-FFF2-40B4-BE49-F238E27FC236}">
              <a16:creationId xmlns:a16="http://schemas.microsoft.com/office/drawing/2014/main" id="{20AE216D-01C4-4D3B-9E35-BA7270F2BEDD}"/>
            </a:ext>
          </a:extLst>
        </xdr:cNvPr>
        <xdr:cNvSpPr txBox="1">
          <a:spLocks noChangeArrowheads="1"/>
        </xdr:cNvSpPr>
      </xdr:nvSpPr>
      <xdr:spPr bwMode="auto">
        <a:xfrm>
          <a:off x="142450" y="436726"/>
          <a:ext cx="184775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4. Volume de Vendas</a:t>
          </a:r>
        </a:p>
      </xdr:txBody>
    </xdr:sp>
    <xdr:clientData/>
  </xdr:oneCellAnchor>
  <xdr:twoCellAnchor>
    <xdr:from>
      <xdr:col>20</xdr:col>
      <xdr:colOff>159104</xdr:colOff>
      <xdr:row>0</xdr:row>
      <xdr:rowOff>72672</xdr:rowOff>
    </xdr:from>
    <xdr:to>
      <xdr:col>21</xdr:col>
      <xdr:colOff>433565</xdr:colOff>
      <xdr:row>3</xdr:row>
      <xdr:rowOff>196497</xdr:rowOff>
    </xdr:to>
    <xdr:grpSp>
      <xdr:nvGrpSpPr>
        <xdr:cNvPr id="4" name="Agrupar 4">
          <a:hlinkClick xmlns:r="http://schemas.openxmlformats.org/officeDocument/2006/relationships" r:id="rId1"/>
          <a:extLst>
            <a:ext uri="{FF2B5EF4-FFF2-40B4-BE49-F238E27FC236}">
              <a16:creationId xmlns:a16="http://schemas.microsoft.com/office/drawing/2014/main" id="{9B4894DE-4A6F-46D3-8DE0-B7A5684AB07C}"/>
            </a:ext>
          </a:extLst>
        </xdr:cNvPr>
        <xdr:cNvGrpSpPr>
          <a:grpSpLocks/>
        </xdr:cNvGrpSpPr>
      </xdr:nvGrpSpPr>
      <xdr:grpSpPr bwMode="auto">
        <a:xfrm>
          <a:off x="15039271" y="72672"/>
          <a:ext cx="916516" cy="610658"/>
          <a:chOff x="11133666" y="131229"/>
          <a:chExt cx="928738" cy="609603"/>
        </a:xfrm>
      </xdr:grpSpPr>
      <xdr:sp macro="" textlink="">
        <xdr:nvSpPr>
          <xdr:cNvPr id="5" name="Seta: Curva para Cima 4" descr="Menu">
            <a:extLst>
              <a:ext uri="{FF2B5EF4-FFF2-40B4-BE49-F238E27FC236}">
                <a16:creationId xmlns:a16="http://schemas.microsoft.com/office/drawing/2014/main" id="{5E1C6438-43D9-4E10-8162-C5BA9854994C}"/>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19C176AF-39FC-4874-B11D-A6AD55ED6938}"/>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0</xdr:rowOff>
    </xdr:from>
    <xdr:to>
      <xdr:col>1</xdr:col>
      <xdr:colOff>1328209</xdr:colOff>
      <xdr:row>2</xdr:row>
      <xdr:rowOff>114300</xdr:rowOff>
    </xdr:to>
    <xdr:pic>
      <xdr:nvPicPr>
        <xdr:cNvPr id="7" name="Picture 2">
          <a:extLst>
            <a:ext uri="{FF2B5EF4-FFF2-40B4-BE49-F238E27FC236}">
              <a16:creationId xmlns:a16="http://schemas.microsoft.com/office/drawing/2014/main" id="{2968650C-4E37-47F1-9792-B87B6F7954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0</xdr:row>
      <xdr:rowOff>0</xdr:rowOff>
    </xdr:from>
    <xdr:to>
      <xdr:col>19</xdr:col>
      <xdr:colOff>603250</xdr:colOff>
      <xdr:row>4</xdr:row>
      <xdr:rowOff>85725</xdr:rowOff>
    </xdr:to>
    <xdr:sp macro="" textlink="">
      <xdr:nvSpPr>
        <xdr:cNvPr id="2" name="Retângulo 6">
          <a:extLst>
            <a:ext uri="{FF2B5EF4-FFF2-40B4-BE49-F238E27FC236}">
              <a16:creationId xmlns:a16="http://schemas.microsoft.com/office/drawing/2014/main" id="{A8FFB459-E418-4B17-9ACE-5BD7D09FBD3F}"/>
            </a:ext>
          </a:extLst>
        </xdr:cNvPr>
        <xdr:cNvSpPr>
          <a:spLocks noChangeArrowheads="1"/>
        </xdr:cNvSpPr>
      </xdr:nvSpPr>
      <xdr:spPr bwMode="auto">
        <a:xfrm>
          <a:off x="9525" y="0"/>
          <a:ext cx="12563475" cy="7207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66284</xdr:colOff>
      <xdr:row>2</xdr:row>
      <xdr:rowOff>92808</xdr:rowOff>
    </xdr:from>
    <xdr:ext cx="789960" cy="296620"/>
    <xdr:sp macro="" textlink="">
      <xdr:nvSpPr>
        <xdr:cNvPr id="3" name="Text Box 12">
          <a:extLst>
            <a:ext uri="{FF2B5EF4-FFF2-40B4-BE49-F238E27FC236}">
              <a16:creationId xmlns:a16="http://schemas.microsoft.com/office/drawing/2014/main" id="{5CE2BECE-2244-442E-978B-8F022FBD5A8E}"/>
            </a:ext>
          </a:extLst>
        </xdr:cNvPr>
        <xdr:cNvSpPr txBox="1">
          <a:spLocks noChangeArrowheads="1"/>
        </xdr:cNvSpPr>
      </xdr:nvSpPr>
      <xdr:spPr bwMode="auto">
        <a:xfrm>
          <a:off x="209159" y="416658"/>
          <a:ext cx="78996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5. Dívida</a:t>
          </a:r>
        </a:p>
      </xdr:txBody>
    </xdr:sp>
    <xdr:clientData/>
  </xdr:oneCellAnchor>
  <xdr:twoCellAnchor>
    <xdr:from>
      <xdr:col>20</xdr:col>
      <xdr:colOff>171451</xdr:colOff>
      <xdr:row>0</xdr:row>
      <xdr:rowOff>65616</xdr:rowOff>
    </xdr:from>
    <xdr:to>
      <xdr:col>21</xdr:col>
      <xdr:colOff>447675</xdr:colOff>
      <xdr:row>4</xdr:row>
      <xdr:rowOff>27516</xdr:rowOff>
    </xdr:to>
    <xdr:grpSp>
      <xdr:nvGrpSpPr>
        <xdr:cNvPr id="4" name="Agrupar 10">
          <a:hlinkClick xmlns:r="http://schemas.openxmlformats.org/officeDocument/2006/relationships" r:id="rId1"/>
          <a:extLst>
            <a:ext uri="{FF2B5EF4-FFF2-40B4-BE49-F238E27FC236}">
              <a16:creationId xmlns:a16="http://schemas.microsoft.com/office/drawing/2014/main" id="{75867EC7-2A7E-4525-9C43-F7A7A5CECC70}"/>
            </a:ext>
          </a:extLst>
        </xdr:cNvPr>
        <xdr:cNvGrpSpPr>
          <a:grpSpLocks/>
        </xdr:cNvGrpSpPr>
      </xdr:nvGrpSpPr>
      <xdr:grpSpPr bwMode="auto">
        <a:xfrm>
          <a:off x="14092062" y="65616"/>
          <a:ext cx="918280" cy="611011"/>
          <a:chOff x="11133666" y="131229"/>
          <a:chExt cx="928738" cy="609603"/>
        </a:xfrm>
      </xdr:grpSpPr>
      <xdr:sp macro="" textlink="">
        <xdr:nvSpPr>
          <xdr:cNvPr id="5" name="Seta: Curva para Cima 4" descr="Menu">
            <a:extLst>
              <a:ext uri="{FF2B5EF4-FFF2-40B4-BE49-F238E27FC236}">
                <a16:creationId xmlns:a16="http://schemas.microsoft.com/office/drawing/2014/main" id="{7C1D8392-5A76-4FD4-8C49-3859631E4A6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FA4A81B-08AD-4811-ADDA-1377B293A025}"/>
              </a:ext>
            </a:extLst>
          </xdr:cNvPr>
          <xdr:cNvSpPr txBox="1"/>
        </xdr:nvSpPr>
        <xdr:spPr>
          <a:xfrm rot="600355">
            <a:off x="11213557" y="207429"/>
            <a:ext cx="848847"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66675</xdr:colOff>
      <xdr:row>0</xdr:row>
      <xdr:rowOff>9525</xdr:rowOff>
    </xdr:from>
    <xdr:to>
      <xdr:col>1</xdr:col>
      <xdr:colOff>1323975</xdr:colOff>
      <xdr:row>2</xdr:row>
      <xdr:rowOff>133350</xdr:rowOff>
    </xdr:to>
    <xdr:pic>
      <xdr:nvPicPr>
        <xdr:cNvPr id="7" name="Picture 2">
          <a:extLst>
            <a:ext uri="{FF2B5EF4-FFF2-40B4-BE49-F238E27FC236}">
              <a16:creationId xmlns:a16="http://schemas.microsoft.com/office/drawing/2014/main" id="{CF5EEBCE-9F83-452B-985B-7DCEBB703B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525"/>
          <a:ext cx="1257300"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xdr:rowOff>
    </xdr:from>
    <xdr:to>
      <xdr:col>20</xdr:col>
      <xdr:colOff>10583</xdr:colOff>
      <xdr:row>3</xdr:row>
      <xdr:rowOff>201083</xdr:rowOff>
    </xdr:to>
    <xdr:sp macro="" textlink="">
      <xdr:nvSpPr>
        <xdr:cNvPr id="2" name="Retângulo 6">
          <a:extLst>
            <a:ext uri="{FF2B5EF4-FFF2-40B4-BE49-F238E27FC236}">
              <a16:creationId xmlns:a16="http://schemas.microsoft.com/office/drawing/2014/main" id="{ADEE6F05-52BA-49C3-801A-63BC444E96BA}"/>
            </a:ext>
          </a:extLst>
        </xdr:cNvPr>
        <xdr:cNvSpPr>
          <a:spLocks noChangeArrowheads="1"/>
        </xdr:cNvSpPr>
      </xdr:nvSpPr>
      <xdr:spPr bwMode="auto">
        <a:xfrm>
          <a:off x="0" y="1"/>
          <a:ext cx="15017750" cy="77258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106907</xdr:colOff>
      <xdr:row>2</xdr:row>
      <xdr:rowOff>79056</xdr:rowOff>
    </xdr:from>
    <xdr:ext cx="1655646" cy="296620"/>
    <xdr:sp macro="" textlink="">
      <xdr:nvSpPr>
        <xdr:cNvPr id="3" name="Text Box 5">
          <a:extLst>
            <a:ext uri="{FF2B5EF4-FFF2-40B4-BE49-F238E27FC236}">
              <a16:creationId xmlns:a16="http://schemas.microsoft.com/office/drawing/2014/main" id="{9A187A96-2571-40AB-9754-8AE73A9069B4}"/>
            </a:ext>
          </a:extLst>
        </xdr:cNvPr>
        <xdr:cNvSpPr txBox="1">
          <a:spLocks noChangeArrowheads="1"/>
        </xdr:cNvSpPr>
      </xdr:nvSpPr>
      <xdr:spPr bwMode="auto">
        <a:xfrm>
          <a:off x="106907" y="407139"/>
          <a:ext cx="1655646"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6. Demonstrativos</a:t>
          </a:r>
          <a:r>
            <a:rPr lang="en-US" sz="1600" b="1" i="0" u="none" strike="noStrike" baseline="0">
              <a:solidFill>
                <a:srgbClr val="000080"/>
              </a:solidFill>
              <a:latin typeface="Votorantim Sans Black" panose="02010A03030202050203"/>
            </a:rPr>
            <a:t> </a:t>
          </a:r>
        </a:p>
      </xdr:txBody>
    </xdr:sp>
    <xdr:clientData/>
  </xdr:oneCellAnchor>
  <xdr:twoCellAnchor>
    <xdr:from>
      <xdr:col>20</xdr:col>
      <xdr:colOff>204610</xdr:colOff>
      <xdr:row>0</xdr:row>
      <xdr:rowOff>74436</xdr:rowOff>
    </xdr:from>
    <xdr:to>
      <xdr:col>21</xdr:col>
      <xdr:colOff>455082</xdr:colOff>
      <xdr:row>3</xdr:row>
      <xdr:rowOff>254000</xdr:rowOff>
    </xdr:to>
    <xdr:grpSp>
      <xdr:nvGrpSpPr>
        <xdr:cNvPr id="4" name="Agrupar 9">
          <a:hlinkClick xmlns:r="http://schemas.openxmlformats.org/officeDocument/2006/relationships" r:id="rId1"/>
          <a:extLst>
            <a:ext uri="{FF2B5EF4-FFF2-40B4-BE49-F238E27FC236}">
              <a16:creationId xmlns:a16="http://schemas.microsoft.com/office/drawing/2014/main" id="{0F507453-BDD5-4368-8154-C2EA8D469CE3}"/>
            </a:ext>
          </a:extLst>
        </xdr:cNvPr>
        <xdr:cNvGrpSpPr>
          <a:grpSpLocks/>
        </xdr:cNvGrpSpPr>
      </xdr:nvGrpSpPr>
      <xdr:grpSpPr bwMode="auto">
        <a:xfrm>
          <a:off x="16587610" y="74436"/>
          <a:ext cx="934861" cy="765175"/>
          <a:chOff x="11133666" y="131229"/>
          <a:chExt cx="928738" cy="609603"/>
        </a:xfrm>
      </xdr:grpSpPr>
      <xdr:sp macro="" textlink="">
        <xdr:nvSpPr>
          <xdr:cNvPr id="5" name="Seta: Curva para Cima 4" descr="Menu">
            <a:extLst>
              <a:ext uri="{FF2B5EF4-FFF2-40B4-BE49-F238E27FC236}">
                <a16:creationId xmlns:a16="http://schemas.microsoft.com/office/drawing/2014/main" id="{12889F2E-FA3A-420E-BD40-3025A0E27D09}"/>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AE9B73-029D-4BBF-9330-50779DCDBE58}"/>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0</xdr:col>
      <xdr:colOff>114300</xdr:colOff>
      <xdr:row>0</xdr:row>
      <xdr:rowOff>0</xdr:rowOff>
    </xdr:from>
    <xdr:to>
      <xdr:col>1</xdr:col>
      <xdr:colOff>1228725</xdr:colOff>
      <xdr:row>2</xdr:row>
      <xdr:rowOff>104775</xdr:rowOff>
    </xdr:to>
    <xdr:pic>
      <xdr:nvPicPr>
        <xdr:cNvPr id="7" name="Picture 2">
          <a:extLst>
            <a:ext uri="{FF2B5EF4-FFF2-40B4-BE49-F238E27FC236}">
              <a16:creationId xmlns:a16="http://schemas.microsoft.com/office/drawing/2014/main" id="{3ECBB59A-EAB0-462E-AEB7-6E00A0ADE7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20</xdr:col>
      <xdr:colOff>10583</xdr:colOff>
      <xdr:row>4</xdr:row>
      <xdr:rowOff>28575</xdr:rowOff>
    </xdr:to>
    <xdr:sp macro="" textlink="">
      <xdr:nvSpPr>
        <xdr:cNvPr id="2" name="Retângulo 6">
          <a:extLst>
            <a:ext uri="{FF2B5EF4-FFF2-40B4-BE49-F238E27FC236}">
              <a16:creationId xmlns:a16="http://schemas.microsoft.com/office/drawing/2014/main" id="{4EDDF9E8-7642-43A7-8F1B-B919B328E027}"/>
            </a:ext>
          </a:extLst>
        </xdr:cNvPr>
        <xdr:cNvSpPr>
          <a:spLocks noChangeArrowheads="1"/>
        </xdr:cNvSpPr>
      </xdr:nvSpPr>
      <xdr:spPr bwMode="auto">
        <a:xfrm>
          <a:off x="0" y="0"/>
          <a:ext cx="13620750" cy="74824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142502</xdr:colOff>
      <xdr:row>2</xdr:row>
      <xdr:rowOff>55308</xdr:rowOff>
    </xdr:from>
    <xdr:ext cx="3053674" cy="296620"/>
    <xdr:sp macro="" textlink="">
      <xdr:nvSpPr>
        <xdr:cNvPr id="3" name="Text Box 4">
          <a:extLst>
            <a:ext uri="{FF2B5EF4-FFF2-40B4-BE49-F238E27FC236}">
              <a16:creationId xmlns:a16="http://schemas.microsoft.com/office/drawing/2014/main" id="{ADA2B877-0920-4A04-99A0-E91C593B81E5}"/>
            </a:ext>
          </a:extLst>
        </xdr:cNvPr>
        <xdr:cNvSpPr txBox="1">
          <a:spLocks noChangeArrowheads="1"/>
        </xdr:cNvSpPr>
      </xdr:nvSpPr>
      <xdr:spPr bwMode="auto">
        <a:xfrm>
          <a:off x="142502" y="410908"/>
          <a:ext cx="3053674"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7. Resultados por negócio</a:t>
          </a:r>
        </a:p>
      </xdr:txBody>
    </xdr:sp>
    <xdr:clientData/>
  </xdr:oneCellAnchor>
  <xdr:twoCellAnchor>
    <xdr:from>
      <xdr:col>20</xdr:col>
      <xdr:colOff>115358</xdr:colOff>
      <xdr:row>0</xdr:row>
      <xdr:rowOff>56797</xdr:rowOff>
    </xdr:from>
    <xdr:to>
      <xdr:col>21</xdr:col>
      <xdr:colOff>296333</xdr:colOff>
      <xdr:row>3</xdr:row>
      <xdr:rowOff>142522</xdr:rowOff>
    </xdr:to>
    <xdr:grpSp>
      <xdr:nvGrpSpPr>
        <xdr:cNvPr id="4" name="Agrupar 6">
          <a:hlinkClick xmlns:r="http://schemas.openxmlformats.org/officeDocument/2006/relationships" r:id="rId1"/>
          <a:extLst>
            <a:ext uri="{FF2B5EF4-FFF2-40B4-BE49-F238E27FC236}">
              <a16:creationId xmlns:a16="http://schemas.microsoft.com/office/drawing/2014/main" id="{936665EA-5FAC-444B-933B-CACEEB49029A}"/>
            </a:ext>
          </a:extLst>
        </xdr:cNvPr>
        <xdr:cNvGrpSpPr>
          <a:grpSpLocks/>
        </xdr:cNvGrpSpPr>
      </xdr:nvGrpSpPr>
      <xdr:grpSpPr bwMode="auto">
        <a:xfrm>
          <a:off x="15073136" y="56797"/>
          <a:ext cx="823030" cy="614892"/>
          <a:chOff x="11133666" y="131229"/>
          <a:chExt cx="928738" cy="609603"/>
        </a:xfrm>
      </xdr:grpSpPr>
      <xdr:sp macro="" textlink="">
        <xdr:nvSpPr>
          <xdr:cNvPr id="5" name="Seta: Curva para Cima 4" descr="Menu">
            <a:extLst>
              <a:ext uri="{FF2B5EF4-FFF2-40B4-BE49-F238E27FC236}">
                <a16:creationId xmlns:a16="http://schemas.microsoft.com/office/drawing/2014/main" id="{871AACFA-D77F-4391-8791-85D30F83C04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074B146-CA7E-48C2-97ED-894F6F7782C3}"/>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0</xdr:colOff>
      <xdr:row>0</xdr:row>
      <xdr:rowOff>0</xdr:rowOff>
    </xdr:from>
    <xdr:to>
      <xdr:col>1</xdr:col>
      <xdr:colOff>1266825</xdr:colOff>
      <xdr:row>2</xdr:row>
      <xdr:rowOff>85725</xdr:rowOff>
    </xdr:to>
    <xdr:pic>
      <xdr:nvPicPr>
        <xdr:cNvPr id="7" name="Picture 2">
          <a:extLst>
            <a:ext uri="{FF2B5EF4-FFF2-40B4-BE49-F238E27FC236}">
              <a16:creationId xmlns:a16="http://schemas.microsoft.com/office/drawing/2014/main" id="{9795C6B1-C76E-4EBA-AB8F-9D835D3E16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20</xdr:col>
      <xdr:colOff>9525</xdr:colOff>
      <xdr:row>3</xdr:row>
      <xdr:rowOff>247650</xdr:rowOff>
    </xdr:to>
    <xdr:sp macro="" textlink="">
      <xdr:nvSpPr>
        <xdr:cNvPr id="286818" name="Retângulo 6">
          <a:extLst>
            <a:ext uri="{FF2B5EF4-FFF2-40B4-BE49-F238E27FC236}">
              <a16:creationId xmlns:a16="http://schemas.microsoft.com/office/drawing/2014/main" id="{964EDA3C-9B26-477E-BD1B-E20E5AE9B260}"/>
            </a:ext>
          </a:extLst>
        </xdr:cNvPr>
        <xdr:cNvSpPr>
          <a:spLocks noChangeArrowheads="1"/>
        </xdr:cNvSpPr>
      </xdr:nvSpPr>
      <xdr:spPr bwMode="auto">
        <a:xfrm>
          <a:off x="0" y="0"/>
          <a:ext cx="126587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21505" name="Text Box 1">
          <a:extLst>
            <a:ext uri="{FF2B5EF4-FFF2-40B4-BE49-F238E27FC236}">
              <a16:creationId xmlns:a16="http://schemas.microsoft.com/office/drawing/2014/main" id="{9126133E-8F2C-4A8D-85C1-91A7F2D1D82B}"/>
            </a:ext>
          </a:extLst>
        </xdr:cNvPr>
        <xdr:cNvSpPr txBox="1">
          <a:spLocks noChangeArrowheads="1"/>
        </xdr:cNvSpPr>
      </xdr:nvSpPr>
      <xdr:spPr bwMode="auto">
        <a:xfrm>
          <a:off x="171450" y="423757"/>
          <a:ext cx="3238288"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8. Custos </a:t>
          </a:r>
        </a:p>
      </xdr:txBody>
    </xdr:sp>
    <xdr:clientData/>
  </xdr:oneCellAnchor>
  <xdr:twoCellAnchor>
    <xdr:from>
      <xdr:col>20</xdr:col>
      <xdr:colOff>180975</xdr:colOff>
      <xdr:row>0</xdr:row>
      <xdr:rowOff>57150</xdr:rowOff>
    </xdr:from>
    <xdr:to>
      <xdr:col>21</xdr:col>
      <xdr:colOff>0</xdr:colOff>
      <xdr:row>3</xdr:row>
      <xdr:rowOff>180975</xdr:rowOff>
    </xdr:to>
    <xdr:grpSp>
      <xdr:nvGrpSpPr>
        <xdr:cNvPr id="286820" name="Agrupar 6">
          <a:hlinkClick xmlns:r="http://schemas.openxmlformats.org/officeDocument/2006/relationships" r:id="rId1"/>
          <a:extLst>
            <a:ext uri="{FF2B5EF4-FFF2-40B4-BE49-F238E27FC236}">
              <a16:creationId xmlns:a16="http://schemas.microsoft.com/office/drawing/2014/main" id="{CF2C6975-62BD-41F0-93E0-B9FD97DFD335}"/>
            </a:ext>
          </a:extLst>
        </xdr:cNvPr>
        <xdr:cNvGrpSpPr>
          <a:grpSpLocks/>
        </xdr:cNvGrpSpPr>
      </xdr:nvGrpSpPr>
      <xdr:grpSpPr bwMode="auto">
        <a:xfrm>
          <a:off x="13134975" y="57150"/>
          <a:ext cx="461081" cy="617714"/>
          <a:chOff x="11133666" y="131229"/>
          <a:chExt cx="928738" cy="609603"/>
        </a:xfrm>
      </xdr:grpSpPr>
      <xdr:sp macro="" textlink="">
        <xdr:nvSpPr>
          <xdr:cNvPr id="8" name="Seta: Curva para Cima 7" descr="Menu">
            <a:extLst>
              <a:ext uri="{FF2B5EF4-FFF2-40B4-BE49-F238E27FC236}">
                <a16:creationId xmlns:a16="http://schemas.microsoft.com/office/drawing/2014/main" id="{C5377B1C-B66B-4BD3-A9AE-B74C4AC05CE4}"/>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9" name="CaixaDeTexto 8">
            <a:extLst>
              <a:ext uri="{FF2B5EF4-FFF2-40B4-BE49-F238E27FC236}">
                <a16:creationId xmlns:a16="http://schemas.microsoft.com/office/drawing/2014/main" id="{936C791B-67DB-4952-8E74-9CB27C793309}"/>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2</xdr:col>
      <xdr:colOff>202141</xdr:colOff>
      <xdr:row>2</xdr:row>
      <xdr:rowOff>114300</xdr:rowOff>
    </xdr:to>
    <xdr:pic>
      <xdr:nvPicPr>
        <xdr:cNvPr id="286821" name="Picture 2">
          <a:extLst>
            <a:ext uri="{FF2B5EF4-FFF2-40B4-BE49-F238E27FC236}">
              <a16:creationId xmlns:a16="http://schemas.microsoft.com/office/drawing/2014/main" id="{5557D347-33A7-4FA8-8E52-9E830B7F4E9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Votorantim\Planejamento%20Financeiro_DO\12%20-%20DESPESAS%20CORPORATIVAS\2018\01.%20Janeiro\Gera&#231;&#227;o\VE_OBZ_Acompanhamento%20OBZ%2003%20(RF%20Entidades).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71534%20-%20GCE%20-%20Ger&#234;ncia%20de%20Comercializa&#231;&#227;o%20de%20Energia\Gest&#227;o%20Energia\2015\Gest&#227;o%20de%20Clientes\6%20-%20Relat&#243;rios%20Externos\MODELOS%20RELAT&#211;RIOS_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ção"/>
      <sheetName val="Centros de Custo"/>
      <sheetName val="Pacotes"/>
      <sheetName val="Contas Contábeis"/>
      <sheetName val="Emails"/>
      <sheetName val="Check"/>
      <sheetName val="Log"/>
      <sheetName val="Acompanhamento Financeiro"/>
      <sheetName val="Acompanhamento Iniciativas"/>
      <sheetName val="Iniciativas"/>
      <sheetName val="Ações Corretivas"/>
      <sheetName val="Controle de Deliberações"/>
      <sheetName val="Evolução do Disponível"/>
      <sheetName val="Cálculo de Capturas"/>
      <sheetName val="Base Orçamento"/>
      <sheetName val="Base BPC"/>
      <sheetName val="Base Forecast"/>
      <sheetName val="Base SAP"/>
      <sheetName val="Base Comentários"/>
      <sheetName val="Relatório Resumo"/>
      <sheetName val="Output BPC"/>
      <sheetName val="Consórcios"/>
      <sheetName val="SLIDE DESEMPENHO ORÇ VS. RF"/>
      <sheetName val="SLIDE DESEMPENHO ENTIDADE"/>
      <sheetName val="PROJETOS VE"/>
      <sheetName val="SLIDES COMITÊ."/>
      <sheetName val="SLIDES COMITÊ. (DISPERSÃO)"/>
      <sheetName val="ANÁLISE CBA"/>
      <sheetName val="Contrato O&amp;M"/>
      <sheetName val="Check Tableau"/>
      <sheetName val="Aux"/>
      <sheetName val="Output BPC Forecast"/>
      <sheetName val="Output BPC SAP"/>
      <sheetName val="Diretoria"/>
      <sheetName val="Validação Templ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L vs. ACR"/>
      <sheetName val="Desconto Garantido"/>
      <sheetName val="Gerencial"/>
      <sheetName val="Acompanhamento CCEE"/>
      <sheetName val="Gestão"/>
      <sheetName val="Fechamento de Lastro"/>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ri.cba.com.br/Show/Processo-Produtivo?=orH58N8G/Nby57IHVX/H0A=="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D1:R19"/>
  <sheetViews>
    <sheetView showGridLines="0" tabSelected="1" zoomScaleNormal="100" workbookViewId="0"/>
  </sheetViews>
  <sheetFormatPr defaultColWidth="9.1796875" defaultRowHeight="15"/>
  <cols>
    <col min="1" max="2" width="9.1796875" style="1"/>
    <col min="3" max="3" width="9.1796875" style="1" customWidth="1"/>
    <col min="4" max="4" width="9.1796875" style="1"/>
    <col min="5" max="5" width="10.54296875" style="1" customWidth="1"/>
    <col min="6" max="6" width="9.1796875" style="1"/>
    <col min="7" max="7" width="7.81640625" style="1" customWidth="1"/>
    <col min="8" max="8" width="5.54296875" style="1" customWidth="1"/>
    <col min="9" max="9" width="6.81640625" style="1" customWidth="1"/>
    <col min="10" max="10" width="31" style="1" customWidth="1"/>
    <col min="11" max="16384" width="9.1796875" style="1"/>
  </cols>
  <sheetData>
    <row r="1" spans="4:18" ht="15.65" customHeight="1">
      <c r="N1" s="14"/>
    </row>
    <row r="2" spans="4:18" ht="15.65" customHeight="1">
      <c r="Q2" s="6"/>
      <c r="R2" s="8"/>
    </row>
    <row r="3" spans="4:18" ht="15.65" customHeight="1">
      <c r="N3" s="18" t="s">
        <v>0</v>
      </c>
      <c r="Q3" s="6"/>
      <c r="R3" s="8"/>
    </row>
    <row r="4" spans="4:18" ht="15.65" customHeight="1">
      <c r="Q4" s="6"/>
      <c r="R4" s="8"/>
    </row>
    <row r="5" spans="4:18" ht="15.65" customHeight="1">
      <c r="N5" s="15" t="s">
        <v>1</v>
      </c>
      <c r="O5" s="16"/>
      <c r="P5" s="7"/>
      <c r="Q5" s="6"/>
      <c r="R5" s="8"/>
    </row>
    <row r="6" spans="4:18" ht="15.65" customHeight="1">
      <c r="N6" s="15" t="s">
        <v>2</v>
      </c>
      <c r="O6" s="17"/>
      <c r="P6" s="7"/>
      <c r="Q6" s="6"/>
      <c r="R6" s="8"/>
    </row>
    <row r="7" spans="4:18" ht="15.65" customHeight="1">
      <c r="N7" s="15" t="s">
        <v>3</v>
      </c>
      <c r="O7" s="17"/>
      <c r="P7" s="7"/>
      <c r="Q7" s="6"/>
      <c r="R7" s="8"/>
    </row>
    <row r="8" spans="4:18" ht="15.65" customHeight="1">
      <c r="E8" s="2"/>
      <c r="N8" s="15" t="s">
        <v>4</v>
      </c>
      <c r="O8" s="17"/>
      <c r="P8" s="7"/>
      <c r="Q8" s="6"/>
      <c r="R8" s="8"/>
    </row>
    <row r="9" spans="4:18" ht="15.65" customHeight="1">
      <c r="E9" s="2"/>
      <c r="N9" s="15" t="s">
        <v>5</v>
      </c>
      <c r="O9" s="17"/>
      <c r="P9" s="7"/>
      <c r="Q9" s="6"/>
      <c r="R9" s="8"/>
    </row>
    <row r="10" spans="4:18" ht="15.65" customHeight="1">
      <c r="E10" s="2"/>
      <c r="N10" s="15" t="s">
        <v>6</v>
      </c>
      <c r="O10" s="17"/>
      <c r="P10" s="7"/>
      <c r="Q10" s="6"/>
      <c r="R10" s="9"/>
    </row>
    <row r="11" spans="4:18" ht="15.65" customHeight="1">
      <c r="E11" s="2"/>
      <c r="N11" s="15" t="s">
        <v>7</v>
      </c>
      <c r="O11" s="17"/>
      <c r="P11" s="7"/>
      <c r="Q11" s="11"/>
      <c r="R11" s="10"/>
    </row>
    <row r="12" spans="4:18" ht="15.65" customHeight="1">
      <c r="E12" s="2"/>
      <c r="N12" s="15" t="s">
        <v>8</v>
      </c>
      <c r="O12" s="16"/>
      <c r="P12" s="6"/>
      <c r="Q12" s="12"/>
      <c r="R12" s="10"/>
    </row>
    <row r="13" spans="4:18" ht="18.5">
      <c r="N13" s="15" t="s">
        <v>9</v>
      </c>
      <c r="O13" s="16"/>
      <c r="P13" s="6"/>
      <c r="Q13" s="12"/>
      <c r="R13" s="10"/>
    </row>
    <row r="14" spans="4:18" ht="18.5">
      <c r="N14" s="15" t="s">
        <v>10</v>
      </c>
      <c r="O14" s="12"/>
      <c r="P14" s="12"/>
      <c r="Q14" s="12"/>
      <c r="R14" s="10"/>
    </row>
    <row r="15" spans="4:18" ht="18.5">
      <c r="N15" s="15" t="s">
        <v>11</v>
      </c>
      <c r="O15" s="12"/>
      <c r="P15" s="12"/>
      <c r="Q15" s="12"/>
      <c r="R15" s="10"/>
    </row>
    <row r="16" spans="4:18" ht="18.5">
      <c r="D16" s="3"/>
      <c r="E16" s="4"/>
      <c r="J16" s="5"/>
      <c r="N16" s="15" t="s">
        <v>12</v>
      </c>
      <c r="O16" s="12"/>
      <c r="P16" s="12"/>
      <c r="Q16" s="12"/>
      <c r="R16" s="10"/>
    </row>
    <row r="17" spans="4:18" ht="18.5">
      <c r="D17" s="3"/>
      <c r="E17" s="4"/>
      <c r="J17" s="5"/>
      <c r="N17" s="13"/>
      <c r="O17" s="12"/>
      <c r="P17" s="12"/>
      <c r="Q17" s="12"/>
      <c r="R17" s="10"/>
    </row>
    <row r="18" spans="4:18" ht="18.5">
      <c r="D18" s="3"/>
      <c r="E18" s="4"/>
      <c r="J18" s="5"/>
      <c r="N18" s="13"/>
      <c r="O18" s="12"/>
      <c r="P18" s="12"/>
      <c r="Q18" s="12"/>
      <c r="R18" s="10"/>
    </row>
    <row r="19" spans="4:18" ht="18.5">
      <c r="D19" s="3"/>
      <c r="E19" s="4"/>
      <c r="J19" s="5"/>
      <c r="N19" s="13"/>
      <c r="O19" s="12"/>
      <c r="P19" s="12"/>
      <c r="Q19" s="12"/>
      <c r="R19" s="10"/>
    </row>
  </sheetData>
  <phoneticPr fontId="0" type="noConversion"/>
  <hyperlinks>
    <hyperlink ref="N12" location="'8 - Custos'!Area_de_impressao" display="8.  Custos " xr:uid="{00000000-0004-0000-0000-000000000000}"/>
    <hyperlink ref="N11" location="'7 - Resultados por negócio'!Area_de_impressao" display="7.  Resultados por negócio" xr:uid="{00000000-0004-0000-0000-000001000000}"/>
    <hyperlink ref="N10" location="'6 - Demonstrativos Financeiros'!Area_de_impressao" display="6.  Demonstrativos Financeiros" xr:uid="{00000000-0004-0000-0000-000002000000}"/>
    <hyperlink ref="N9" location="'5 - Dívida '!Area_de_impressao" display="5.  Dívida" xr:uid="{00000000-0004-0000-0000-000003000000}"/>
    <hyperlink ref="N8" location="'4 - Volume de Vendas Final'!Area_de_impressao" display="4.  Volume de Vendas" xr:uid="{00000000-0004-0000-0000-000004000000}"/>
    <hyperlink ref="N6" location="'2 - Processo Produtivo'!Area_de_impressao" display="2.  Processo Produtivo" xr:uid="{00000000-0004-0000-0000-000005000000}"/>
    <hyperlink ref="N5" location="'1 - Premissas'!Area_de_impressao" display="1.  Premissas" xr:uid="{00000000-0004-0000-0000-000006000000}"/>
    <hyperlink ref="N14" location="'10 - CAPEX'!A1" display="10. CAPEX" xr:uid="{19D9895C-EEB4-4749-BC8F-9A5C239DDE39}"/>
    <hyperlink ref="N13" location="'9 - Composição Custos'!Area_de_impressao" display="9.  Composição Custos" xr:uid="{7D3167A8-D5A4-4D16-9D4E-04DB6D7EF23D}"/>
    <hyperlink ref="N7" location="'3 - Energia'!A1" display="3.  Energia" xr:uid="{F37AD7C1-5923-4BE6-A85B-CD16D2787406}"/>
    <hyperlink ref="N15" location="'10 - CAPEX'!A1" display="10. CAPEX" xr:uid="{677B9D43-2F1E-40C4-A4B5-C82ED1E5C89D}"/>
    <hyperlink ref="N16" location="'10 - CAPEX'!A1" display="10. CAPEX" xr:uid="{CD53F671-7CA8-40C2-9F72-1D9DF39D0E03}"/>
  </hyperlinks>
  <pageMargins left="0.78740157480314965" right="0.78740157480314965" top="0.98425196850393704" bottom="0.98425196850393704" header="0.51181102362204722" footer="0.51181102362204722"/>
  <pageSetup paperSize="9" scale="5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48014-673D-4963-B4C6-42742FD54D3D}">
  <sheetPr>
    <pageSetUpPr fitToPage="1"/>
  </sheetPr>
  <dimension ref="A1:U70"/>
  <sheetViews>
    <sheetView showGridLines="0" zoomScale="90" zoomScaleNormal="90" zoomScaleSheetLayoutView="90" workbookViewId="0">
      <selection activeCell="N9" sqref="N9"/>
    </sheetView>
  </sheetViews>
  <sheetFormatPr defaultColWidth="9.1796875" defaultRowHeight="12.5"/>
  <cols>
    <col min="1" max="1" width="2.1796875" style="42" customWidth="1"/>
    <col min="2" max="2" width="40.7265625" style="42" bestFit="1" customWidth="1"/>
    <col min="3" max="12" width="8.7265625" style="42" customWidth="1"/>
    <col min="13" max="16384" width="9.1796875" style="42"/>
  </cols>
  <sheetData>
    <row r="1" spans="1:14">
      <c r="A1" s="19"/>
      <c r="B1" s="41"/>
    </row>
    <row r="2" spans="1:14">
      <c r="A2" s="19"/>
      <c r="B2" s="41"/>
    </row>
    <row r="3" spans="1:14">
      <c r="A3" s="19"/>
      <c r="B3" s="41"/>
    </row>
    <row r="4" spans="1:14" ht="21" customHeight="1">
      <c r="A4" s="19"/>
      <c r="B4" s="43"/>
    </row>
    <row r="5" spans="1:14" ht="13">
      <c r="B5" s="70"/>
      <c r="C5" s="206"/>
      <c r="D5" s="206"/>
      <c r="E5" s="206"/>
      <c r="F5" s="206"/>
      <c r="G5" s="206"/>
      <c r="H5" s="206"/>
      <c r="I5" s="206"/>
      <c r="J5" s="206"/>
    </row>
    <row r="6" spans="1:14" s="34" customFormat="1" ht="14.25" customHeight="1" thickBot="1">
      <c r="B6" s="60" t="s">
        <v>253</v>
      </c>
      <c r="C6" s="61" t="s">
        <v>112</v>
      </c>
      <c r="D6" s="61" t="s">
        <v>113</v>
      </c>
      <c r="E6" s="61" t="s">
        <v>114</v>
      </c>
      <c r="F6" s="61" t="s">
        <v>115</v>
      </c>
      <c r="G6" s="61" t="s">
        <v>116</v>
      </c>
      <c r="H6" s="61" t="s">
        <v>117</v>
      </c>
      <c r="I6" s="61" t="s">
        <v>118</v>
      </c>
      <c r="J6" s="61" t="s">
        <v>119</v>
      </c>
      <c r="K6" s="61" t="s">
        <v>120</v>
      </c>
      <c r="L6" s="61" t="s">
        <v>121</v>
      </c>
    </row>
    <row r="7" spans="1:14" ht="14.25" customHeight="1" thickTop="1">
      <c r="B7" s="45"/>
      <c r="D7" s="113"/>
    </row>
    <row r="8" spans="1:14" ht="14.25" customHeight="1" thickBot="1">
      <c r="B8" s="66" t="s">
        <v>254</v>
      </c>
      <c r="C8" s="67">
        <f t="shared" ref="C8:J8" si="0">SUM(C9:C14)</f>
        <v>6299.1521599968</v>
      </c>
      <c r="D8" s="67">
        <f t="shared" si="0"/>
        <v>6656.3298933347087</v>
      </c>
      <c r="E8" s="67">
        <f t="shared" si="0"/>
        <v>6925.1271216895448</v>
      </c>
      <c r="F8" s="67">
        <f t="shared" si="0"/>
        <v>7365.0042710935559</v>
      </c>
      <c r="G8" s="67">
        <f t="shared" si="0"/>
        <v>7033.1031063665368</v>
      </c>
      <c r="H8" s="67">
        <f t="shared" si="0"/>
        <v>7382.2246150528581</v>
      </c>
      <c r="I8" s="67">
        <f t="shared" si="0"/>
        <v>8729.5719868550459</v>
      </c>
      <c r="J8" s="67">
        <f t="shared" si="0"/>
        <v>9096.126943351228</v>
      </c>
      <c r="K8" s="67">
        <f t="shared" ref="K8:L8" si="1">SUM(K9:K14)</f>
        <v>8895.9399474776619</v>
      </c>
      <c r="L8" s="67">
        <f t="shared" si="1"/>
        <v>9801.493175396281</v>
      </c>
    </row>
    <row r="9" spans="1:14" ht="14">
      <c r="B9" s="91" t="s">
        <v>134</v>
      </c>
      <c r="C9" s="65">
        <v>2547.415873228033</v>
      </c>
      <c r="D9" s="65">
        <v>2457.9244625049264</v>
      </c>
      <c r="E9" s="65">
        <v>2391.3826231024741</v>
      </c>
      <c r="F9" s="65">
        <v>2475.0842806840878</v>
      </c>
      <c r="G9" s="65">
        <v>2507.4289222523876</v>
      </c>
      <c r="H9" s="65">
        <v>2512.5677629821694</v>
      </c>
      <c r="I9" s="65">
        <v>2628.3254078339442</v>
      </c>
      <c r="J9" s="65">
        <v>2841.4209267557235</v>
      </c>
      <c r="K9" s="65">
        <v>3251.6983634936764</v>
      </c>
      <c r="L9" s="65">
        <v>3558.8698497506593</v>
      </c>
    </row>
    <row r="10" spans="1:14" ht="14">
      <c r="B10" s="89" t="s">
        <v>255</v>
      </c>
      <c r="C10" s="68">
        <v>1022.7875892395779</v>
      </c>
      <c r="D10" s="68">
        <v>1122.1625629089547</v>
      </c>
      <c r="E10" s="68">
        <v>1274.3703651368348</v>
      </c>
      <c r="F10" s="68">
        <v>1282.5869274210336</v>
      </c>
      <c r="G10" s="68">
        <v>1264.1244278163647</v>
      </c>
      <c r="H10" s="68">
        <v>1457.9295237393558</v>
      </c>
      <c r="I10" s="68">
        <v>1659.8912021197943</v>
      </c>
      <c r="J10" s="68">
        <v>2051.4174903212879</v>
      </c>
      <c r="K10" s="68">
        <v>2077.3831185579638</v>
      </c>
      <c r="L10" s="68">
        <v>2325.522928883192</v>
      </c>
    </row>
    <row r="11" spans="1:14" ht="14">
      <c r="B11" s="89" t="s">
        <v>256</v>
      </c>
      <c r="C11" s="68">
        <v>947.77264281013299</v>
      </c>
      <c r="D11" s="68">
        <v>1037.1796758894861</v>
      </c>
      <c r="E11" s="68">
        <v>1337.725754159703</v>
      </c>
      <c r="F11" s="68">
        <v>1430.7595059626044</v>
      </c>
      <c r="G11" s="68">
        <v>1410.3301674969709</v>
      </c>
      <c r="H11" s="68">
        <v>1550.2439097803233</v>
      </c>
      <c r="I11" s="68">
        <v>2384.5944984892649</v>
      </c>
      <c r="J11" s="68">
        <v>2232.2805504492353</v>
      </c>
      <c r="K11" s="68">
        <v>1390.1616006069755</v>
      </c>
      <c r="L11" s="68">
        <v>1721.598038863531</v>
      </c>
    </row>
    <row r="12" spans="1:14" ht="14">
      <c r="B12" s="89" t="s">
        <v>257</v>
      </c>
      <c r="C12" s="68">
        <v>216.49658012815254</v>
      </c>
      <c r="D12" s="68">
        <v>201.59753605064273</v>
      </c>
      <c r="E12" s="68">
        <v>282.56220284015166</v>
      </c>
      <c r="F12" s="68">
        <v>285.30969313503141</v>
      </c>
      <c r="G12" s="68">
        <v>255.10034094748326</v>
      </c>
      <c r="H12" s="68">
        <v>255.64743264321248</v>
      </c>
      <c r="I12" s="68">
        <v>304.57774917391777</v>
      </c>
      <c r="J12" s="68">
        <v>314.251855749237</v>
      </c>
      <c r="K12" s="68">
        <v>331.28797512910057</v>
      </c>
      <c r="L12" s="68">
        <v>387.14301215981538</v>
      </c>
      <c r="M12" s="224"/>
      <c r="N12" s="224"/>
    </row>
    <row r="13" spans="1:14" ht="14">
      <c r="B13" s="89" t="s">
        <v>258</v>
      </c>
      <c r="C13" s="68">
        <v>802.48626527025613</v>
      </c>
      <c r="D13" s="68">
        <v>839.04217605237386</v>
      </c>
      <c r="E13" s="68">
        <v>808.61835496284164</v>
      </c>
      <c r="F13" s="68">
        <v>898.02021342072601</v>
      </c>
      <c r="G13" s="68">
        <v>760.36825349817718</v>
      </c>
      <c r="H13" s="68">
        <v>716.74897346782245</v>
      </c>
      <c r="I13" s="68">
        <v>752.97644789492904</v>
      </c>
      <c r="J13" s="68">
        <v>799.24755641472905</v>
      </c>
      <c r="K13" s="68">
        <v>890.52951967113529</v>
      </c>
      <c r="L13" s="68">
        <v>975.41448134922791</v>
      </c>
      <c r="M13" s="224"/>
      <c r="N13" s="224"/>
    </row>
    <row r="14" spans="1:14" ht="14">
      <c r="B14" s="89" t="s">
        <v>245</v>
      </c>
      <c r="C14" s="68">
        <v>762.19320932064795</v>
      </c>
      <c r="D14" s="68">
        <v>998.42347992832515</v>
      </c>
      <c r="E14" s="68">
        <v>830.46782148753994</v>
      </c>
      <c r="F14" s="68">
        <v>993.24365047007382</v>
      </c>
      <c r="G14" s="68">
        <v>835.75099435515313</v>
      </c>
      <c r="H14" s="68">
        <v>889.08701243997439</v>
      </c>
      <c r="I14" s="68">
        <v>999.20668134319419</v>
      </c>
      <c r="J14" s="68">
        <v>857.50856366101414</v>
      </c>
      <c r="K14" s="68">
        <v>954.87937001881005</v>
      </c>
      <c r="L14" s="68">
        <v>832.94486438985643</v>
      </c>
    </row>
    <row r="15" spans="1:14" ht="14.5" thickBot="1">
      <c r="B15" s="66" t="s">
        <v>122</v>
      </c>
      <c r="C15" s="67">
        <f t="shared" ref="C15:J15" si="2">SUM(C16:C20)</f>
        <v>7293.1681516866356</v>
      </c>
      <c r="D15" s="67">
        <f t="shared" si="2"/>
        <v>7221.6231371067188</v>
      </c>
      <c r="E15" s="67">
        <f t="shared" si="2"/>
        <v>7529.0293614029752</v>
      </c>
      <c r="F15" s="67">
        <f t="shared" si="2"/>
        <v>8086.5073291608223</v>
      </c>
      <c r="G15" s="67">
        <f t="shared" si="2"/>
        <v>8138.8161433581936</v>
      </c>
      <c r="H15" s="67">
        <f t="shared" si="2"/>
        <v>8891.8907820241038</v>
      </c>
      <c r="I15" s="67">
        <f t="shared" si="2"/>
        <v>9785.6565983827677</v>
      </c>
      <c r="J15" s="67">
        <f t="shared" si="2"/>
        <v>10565.82305442381</v>
      </c>
      <c r="K15" s="67">
        <f t="shared" ref="K15:L15" si="3">SUM(K16:K20)</f>
        <v>10434.629665614139</v>
      </c>
      <c r="L15" s="67">
        <f t="shared" si="3"/>
        <v>10894.504433525095</v>
      </c>
    </row>
    <row r="16" spans="1:14" ht="14">
      <c r="B16" s="91" t="s">
        <v>254</v>
      </c>
      <c r="C16" s="65">
        <v>4243.3553785919457</v>
      </c>
      <c r="D16" s="65">
        <v>4476.5266177894518</v>
      </c>
      <c r="E16" s="65">
        <v>4651.4757597384623</v>
      </c>
      <c r="F16" s="65">
        <v>4942.3832660710941</v>
      </c>
      <c r="G16" s="65">
        <v>4996.5947034264336</v>
      </c>
      <c r="H16" s="65">
        <v>5432.7192948453458</v>
      </c>
      <c r="I16" s="65">
        <v>6475.750245570257</v>
      </c>
      <c r="J16" s="65">
        <v>6928.1177294861682</v>
      </c>
      <c r="K16" s="65">
        <v>6857.860245510099</v>
      </c>
      <c r="L16" s="65">
        <v>8559.6430165531183</v>
      </c>
    </row>
    <row r="17" spans="2:12" ht="14">
      <c r="B17" s="89" t="s">
        <v>259</v>
      </c>
      <c r="C17" s="68">
        <v>1940.7887547764337</v>
      </c>
      <c r="D17" s="68">
        <v>1463.0090936012823</v>
      </c>
      <c r="E17" s="68">
        <v>1792.837201107701</v>
      </c>
      <c r="F17" s="68">
        <v>1879.6485062660026</v>
      </c>
      <c r="G17" s="68">
        <v>1990.6598622076388</v>
      </c>
      <c r="H17" s="68">
        <v>2187.296634907007</v>
      </c>
      <c r="I17" s="68">
        <v>1913.6081965227531</v>
      </c>
      <c r="J17" s="68">
        <v>2319.3376904163997</v>
      </c>
      <c r="K17" s="68">
        <v>1956.0280479451674</v>
      </c>
      <c r="L17" s="68">
        <v>720.73952100587542</v>
      </c>
    </row>
    <row r="18" spans="2:12" ht="14">
      <c r="B18" s="89" t="s">
        <v>260</v>
      </c>
      <c r="C18" s="68">
        <v>199.08161596916</v>
      </c>
      <c r="D18" s="68">
        <v>152.85561384714342</v>
      </c>
      <c r="E18" s="68">
        <v>137.29683853581807</v>
      </c>
      <c r="F18" s="68">
        <v>150.65569233415366</v>
      </c>
      <c r="G18" s="68">
        <v>121.0964940739704</v>
      </c>
      <c r="H18" s="68">
        <v>222.50731332427628</v>
      </c>
      <c r="I18" s="68">
        <v>240.6188938264209</v>
      </c>
      <c r="J18" s="68">
        <v>273.34566202026343</v>
      </c>
      <c r="K18" s="68">
        <v>312.70748002274212</v>
      </c>
      <c r="L18" s="68">
        <v>296.5142549916726</v>
      </c>
    </row>
    <row r="19" spans="2:12" ht="14">
      <c r="B19" s="89" t="s">
        <v>261</v>
      </c>
      <c r="C19" s="68">
        <v>249.78668091315163</v>
      </c>
      <c r="D19" s="68">
        <v>260.04583118475767</v>
      </c>
      <c r="E19" s="68">
        <v>244.20816627896249</v>
      </c>
      <c r="F19" s="68">
        <v>267.43909432408867</v>
      </c>
      <c r="G19" s="68">
        <v>247.03215820773116</v>
      </c>
      <c r="H19" s="68">
        <v>241.98656497574135</v>
      </c>
      <c r="I19" s="68">
        <v>250.70069444723973</v>
      </c>
      <c r="J19" s="68">
        <v>254.99174726201883</v>
      </c>
      <c r="K19" s="68">
        <v>286.76989571927612</v>
      </c>
      <c r="L19" s="68">
        <v>326.14402175661104</v>
      </c>
    </row>
    <row r="20" spans="2:12" ht="14">
      <c r="B20" s="89" t="s">
        <v>245</v>
      </c>
      <c r="C20" s="68">
        <v>660.15572143594352</v>
      </c>
      <c r="D20" s="68">
        <v>869.18598068408403</v>
      </c>
      <c r="E20" s="68">
        <v>703.21139574203187</v>
      </c>
      <c r="F20" s="68">
        <v>846.3807701654822</v>
      </c>
      <c r="G20" s="68">
        <v>783.43292544241967</v>
      </c>
      <c r="H20" s="68">
        <v>807.3809739717334</v>
      </c>
      <c r="I20" s="68">
        <v>904.97856801609885</v>
      </c>
      <c r="J20" s="68">
        <v>790.03022523896095</v>
      </c>
      <c r="K20" s="68">
        <v>1021.2639964168536</v>
      </c>
      <c r="L20" s="68">
        <v>991.46361921781931</v>
      </c>
    </row>
    <row r="21" spans="2:12" ht="14.5" thickBot="1">
      <c r="B21" s="66" t="s">
        <v>125</v>
      </c>
      <c r="C21" s="67">
        <f t="shared" ref="C21:J21" si="4">SUM(C22:C26)</f>
        <v>13088.285413827907</v>
      </c>
      <c r="D21" s="67">
        <f t="shared" si="4"/>
        <v>13155.473572396235</v>
      </c>
      <c r="E21" s="67">
        <f t="shared" si="4"/>
        <v>13006.839445989628</v>
      </c>
      <c r="F21" s="67">
        <f t="shared" si="4"/>
        <v>13340.788389252823</v>
      </c>
      <c r="G21" s="67">
        <f t="shared" si="4"/>
        <v>13722.636907328157</v>
      </c>
      <c r="H21" s="67">
        <f t="shared" si="4"/>
        <v>14208.544063842999</v>
      </c>
      <c r="I21" s="67">
        <f t="shared" si="4"/>
        <v>15757.234814378156</v>
      </c>
      <c r="J21" s="67">
        <f t="shared" si="4"/>
        <v>17109.143993479422</v>
      </c>
      <c r="K21" s="67">
        <f t="shared" ref="K21:L21" si="5">SUM(K22:K26)</f>
        <v>18650.903508733201</v>
      </c>
      <c r="L21" s="67">
        <f t="shared" si="5"/>
        <v>19152.88875926816</v>
      </c>
    </row>
    <row r="22" spans="2:12" ht="14">
      <c r="B22" s="91" t="s">
        <v>254</v>
      </c>
      <c r="C22" s="68">
        <v>3322.8158183751084</v>
      </c>
      <c r="D22" s="68">
        <v>3230.5958065701725</v>
      </c>
      <c r="E22" s="68">
        <v>3081.3161096158938</v>
      </c>
      <c r="F22" s="68">
        <v>3142.7149165433093</v>
      </c>
      <c r="G22" s="68">
        <v>2937.1515373071725</v>
      </c>
      <c r="H22" s="68">
        <v>3401.9169204995128</v>
      </c>
      <c r="I22" s="68">
        <v>4264.5343117185967</v>
      </c>
      <c r="J22" s="68">
        <v>4872.8323376999206</v>
      </c>
      <c r="K22" s="68">
        <v>5050.5103522973586</v>
      </c>
      <c r="L22" s="68">
        <v>5638.6055388786999</v>
      </c>
    </row>
    <row r="23" spans="2:12" ht="14">
      <c r="B23" s="89" t="s">
        <v>259</v>
      </c>
      <c r="C23" s="68">
        <v>4412.7186741665791</v>
      </c>
      <c r="D23" s="68">
        <v>4056.8339948169996</v>
      </c>
      <c r="E23" s="68">
        <v>5109.4370653792685</v>
      </c>
      <c r="F23" s="68">
        <v>5135.9122511774785</v>
      </c>
      <c r="G23" s="68">
        <v>6191.3184198095287</v>
      </c>
      <c r="H23" s="68">
        <v>5982.9527391877873</v>
      </c>
      <c r="I23" s="68">
        <v>6122.2252460747495</v>
      </c>
      <c r="J23" s="68">
        <v>6395.0577931964071</v>
      </c>
      <c r="K23" s="68">
        <v>7372.7727842137647</v>
      </c>
      <c r="L23" s="68">
        <v>7282.8221867380234</v>
      </c>
    </row>
    <row r="24" spans="2:12" ht="14">
      <c r="B24" s="89" t="s">
        <v>260</v>
      </c>
      <c r="C24" s="68">
        <v>1518.3754583404657</v>
      </c>
      <c r="D24" s="68">
        <v>1604.3267430995281</v>
      </c>
      <c r="E24" s="68">
        <v>1498.3445720672335</v>
      </c>
      <c r="F24" s="68">
        <v>1436.8998875449856</v>
      </c>
      <c r="G24" s="68">
        <v>1498.6260771330737</v>
      </c>
      <c r="H24" s="68">
        <v>1700.1246204359138</v>
      </c>
      <c r="I24" s="68">
        <v>2001.9107328387518</v>
      </c>
      <c r="J24" s="68">
        <v>2132.9364424879964</v>
      </c>
      <c r="K24" s="68">
        <v>2245.208620199176</v>
      </c>
      <c r="L24" s="68">
        <v>2257.1095773381344</v>
      </c>
    </row>
    <row r="25" spans="2:12" ht="14">
      <c r="B25" s="89" t="s">
        <v>261</v>
      </c>
      <c r="C25" s="68">
        <v>2699.3612698432594</v>
      </c>
      <c r="D25" s="68">
        <v>2941.3689687313376</v>
      </c>
      <c r="E25" s="68">
        <v>2315.0122587481719</v>
      </c>
      <c r="F25" s="68">
        <v>2572.0611113801165</v>
      </c>
      <c r="G25" s="68">
        <v>2197.8230499555257</v>
      </c>
      <c r="H25" s="68">
        <v>2129.1411970999252</v>
      </c>
      <c r="I25" s="68">
        <v>2267.6561935580521</v>
      </c>
      <c r="J25" s="68">
        <v>2615.2687452066284</v>
      </c>
      <c r="K25" s="68">
        <v>2750.983196137684</v>
      </c>
      <c r="L25" s="68">
        <v>2854.2252004385132</v>
      </c>
    </row>
    <row r="26" spans="2:12" ht="14">
      <c r="B26" s="89" t="s">
        <v>245</v>
      </c>
      <c r="C26" s="68">
        <v>1135.0141931024962</v>
      </c>
      <c r="D26" s="68">
        <v>1322.3480591781979</v>
      </c>
      <c r="E26" s="68">
        <v>1002.7294401790618</v>
      </c>
      <c r="F26" s="68">
        <v>1053.2002226069324</v>
      </c>
      <c r="G26" s="68">
        <v>897.71782312285802</v>
      </c>
      <c r="H26" s="68">
        <v>994.40858661986067</v>
      </c>
      <c r="I26" s="68">
        <v>1100.9083301880071</v>
      </c>
      <c r="J26" s="68">
        <v>1093.0486748884689</v>
      </c>
      <c r="K26" s="68">
        <v>1231.4285558852162</v>
      </c>
      <c r="L26" s="68">
        <v>1120.1262558747928</v>
      </c>
    </row>
    <row r="27" spans="2:12" ht="14">
      <c r="B27" s="89"/>
      <c r="C27" s="68"/>
      <c r="D27" s="68"/>
      <c r="E27" s="68"/>
      <c r="F27" s="68"/>
      <c r="G27" s="68"/>
      <c r="H27" s="68"/>
      <c r="I27" s="68"/>
      <c r="J27" s="68"/>
      <c r="K27" s="68"/>
      <c r="L27" s="68"/>
    </row>
    <row r="28" spans="2:12" ht="14.5" thickBot="1">
      <c r="B28" s="66" t="s">
        <v>262</v>
      </c>
      <c r="C28" s="67">
        <f t="shared" ref="C28:J28" si="6">SUM(C29:C31)</f>
        <v>161.27436600000001</v>
      </c>
      <c r="D28" s="67">
        <f t="shared" si="6"/>
        <v>161.376162502</v>
      </c>
      <c r="E28" s="67">
        <f t="shared" si="6"/>
        <v>181.64663899999999</v>
      </c>
      <c r="F28" s="67">
        <f t="shared" si="6"/>
        <v>193.447865111</v>
      </c>
      <c r="G28" s="67">
        <f t="shared" si="6"/>
        <v>196.21373000100002</v>
      </c>
      <c r="H28" s="67">
        <f t="shared" si="6"/>
        <v>202.10549281900001</v>
      </c>
      <c r="I28" s="67">
        <f t="shared" si="6"/>
        <v>199.22940149300001</v>
      </c>
      <c r="J28" s="67">
        <f t="shared" si="6"/>
        <v>196.31945432499998</v>
      </c>
      <c r="K28" s="67">
        <f t="shared" ref="K28:L28" si="7">SUM(K29:K31)</f>
        <v>182.447001443</v>
      </c>
      <c r="L28" s="67">
        <f t="shared" si="7"/>
        <v>184.84109272000001</v>
      </c>
    </row>
    <row r="29" spans="2:12" ht="14">
      <c r="B29" s="91" t="s">
        <v>254</v>
      </c>
      <c r="C29" s="218">
        <v>72.272445000000005</v>
      </c>
      <c r="D29" s="218">
        <v>72.227784501999992</v>
      </c>
      <c r="E29" s="218">
        <v>79.473219999999998</v>
      </c>
      <c r="F29" s="218">
        <v>83.346918111000008</v>
      </c>
      <c r="G29" s="218">
        <v>84.548930001000002</v>
      </c>
      <c r="H29" s="218">
        <v>86.888590002000001</v>
      </c>
      <c r="I29" s="218">
        <v>87.091770006000004</v>
      </c>
      <c r="J29" s="218">
        <v>86.400676505999996</v>
      </c>
      <c r="K29" s="218">
        <v>83.667260000000013</v>
      </c>
      <c r="L29" s="218">
        <v>85.175390499999992</v>
      </c>
    </row>
    <row r="30" spans="2:12" ht="14">
      <c r="B30" s="89" t="s">
        <v>122</v>
      </c>
      <c r="C30" s="218">
        <v>63.037610000000001</v>
      </c>
      <c r="D30" s="218">
        <v>62.985299000000005</v>
      </c>
      <c r="E30" s="218">
        <v>68.960170000000005</v>
      </c>
      <c r="F30" s="218">
        <v>73.689449999999994</v>
      </c>
      <c r="G30" s="218">
        <v>72.463149999999999</v>
      </c>
      <c r="H30" s="218">
        <v>75.94041</v>
      </c>
      <c r="I30" s="218">
        <v>73.380390000000006</v>
      </c>
      <c r="J30" s="218">
        <v>73.417880000000011</v>
      </c>
      <c r="K30" s="218">
        <v>64.611249360000002</v>
      </c>
      <c r="L30" s="218">
        <v>64.368763999999999</v>
      </c>
    </row>
    <row r="31" spans="2:12" ht="14">
      <c r="B31" s="219" t="s">
        <v>125</v>
      </c>
      <c r="C31" s="220">
        <v>25.964311000000002</v>
      </c>
      <c r="D31" s="220">
        <v>26.163078999999996</v>
      </c>
      <c r="E31" s="220">
        <v>33.213248999999998</v>
      </c>
      <c r="F31" s="220">
        <v>36.411497000000004</v>
      </c>
      <c r="G31" s="220">
        <v>39.201650000000001</v>
      </c>
      <c r="H31" s="220">
        <v>39.276492817000005</v>
      </c>
      <c r="I31" s="220">
        <v>38.757241487000002</v>
      </c>
      <c r="J31" s="220">
        <v>36.500897819000002</v>
      </c>
      <c r="K31" s="220">
        <v>34.168492082999997</v>
      </c>
      <c r="L31" s="220">
        <v>35.296938220000001</v>
      </c>
    </row>
    <row r="32" spans="2:12" ht="14">
      <c r="B32" s="221"/>
      <c r="C32" s="65"/>
      <c r="D32" s="65"/>
      <c r="E32" s="65"/>
      <c r="F32" s="65"/>
      <c r="G32" s="65"/>
      <c r="H32" s="65"/>
      <c r="I32" s="65"/>
      <c r="J32" s="65"/>
      <c r="K32" s="65"/>
      <c r="L32" s="65"/>
    </row>
    <row r="33" spans="1:21" ht="14">
      <c r="B33" s="91"/>
      <c r="C33" s="65"/>
      <c r="D33" s="65"/>
      <c r="E33" s="65"/>
      <c r="F33" s="65"/>
      <c r="G33" s="65"/>
      <c r="H33" s="65"/>
      <c r="I33" s="65"/>
      <c r="J33" s="65"/>
      <c r="K33" s="65"/>
      <c r="L33" s="65"/>
    </row>
    <row r="34" spans="1:21" ht="14.5" thickBot="1">
      <c r="B34" s="77" t="s">
        <v>230</v>
      </c>
      <c r="C34" s="61" t="s">
        <v>112</v>
      </c>
      <c r="D34" s="61" t="s">
        <v>113</v>
      </c>
      <c r="E34" s="61" t="s">
        <v>114</v>
      </c>
      <c r="F34" s="61" t="s">
        <v>115</v>
      </c>
      <c r="G34" s="61" t="s">
        <v>116</v>
      </c>
      <c r="H34" s="61" t="s">
        <v>117</v>
      </c>
      <c r="I34" s="61" t="s">
        <v>118</v>
      </c>
      <c r="J34" s="61" t="s">
        <v>119</v>
      </c>
      <c r="K34" s="61" t="s">
        <v>120</v>
      </c>
      <c r="L34" s="61" t="str">
        <f>L6</f>
        <v>2T22</v>
      </c>
    </row>
    <row r="35" spans="1:21" ht="14.25" customHeight="1" thickTop="1">
      <c r="B35" s="45"/>
      <c r="D35" s="113"/>
    </row>
    <row r="36" spans="1:21" s="34" customFormat="1" ht="14.5" thickBot="1">
      <c r="B36" s="66" t="s">
        <v>91</v>
      </c>
      <c r="C36" s="67">
        <f>SUM(C37:C38)</f>
        <v>257.0148306836154</v>
      </c>
      <c r="D36" s="67">
        <f t="shared" ref="D36:J36" si="8">SUM(D37:D38)</f>
        <v>234.25802908974217</v>
      </c>
      <c r="E36" s="67">
        <f t="shared" si="8"/>
        <v>289.21935207391061</v>
      </c>
      <c r="F36" s="67">
        <f t="shared" si="8"/>
        <v>374.76262896323374</v>
      </c>
      <c r="G36" s="67">
        <f t="shared" si="8"/>
        <v>415.52722624156172</v>
      </c>
      <c r="H36" s="67">
        <f t="shared" si="8"/>
        <v>414.45236635587469</v>
      </c>
      <c r="I36" s="67">
        <f t="shared" si="8"/>
        <v>666.63779163909066</v>
      </c>
      <c r="J36" s="67">
        <f t="shared" si="8"/>
        <v>711.97076493422014</v>
      </c>
      <c r="K36" s="67">
        <f t="shared" ref="K36:L36" si="9">SUM(K37:K38)</f>
        <v>550.47058903801474</v>
      </c>
      <c r="L36" s="67">
        <f t="shared" si="9"/>
        <v>467.67918228698909</v>
      </c>
    </row>
    <row r="37" spans="1:21" ht="14.5" thickBot="1">
      <c r="B37" s="92" t="s">
        <v>129</v>
      </c>
      <c r="C37" s="93">
        <v>81.434300853942773</v>
      </c>
      <c r="D37" s="93">
        <v>50.74784324783267</v>
      </c>
      <c r="E37" s="93">
        <v>87.98157277411218</v>
      </c>
      <c r="F37" s="93">
        <v>104.18744450970667</v>
      </c>
      <c r="G37" s="93">
        <v>92.492754424862966</v>
      </c>
      <c r="H37" s="93">
        <v>99.268639492147145</v>
      </c>
      <c r="I37" s="93">
        <v>118.72318004768745</v>
      </c>
      <c r="J37" s="93">
        <v>133.47393628483206</v>
      </c>
      <c r="K37" s="93">
        <v>187.7215562676987</v>
      </c>
      <c r="L37" s="93">
        <v>207.35587113103355</v>
      </c>
    </row>
    <row r="38" spans="1:21" ht="14.5" thickBot="1">
      <c r="B38" s="66" t="s">
        <v>132</v>
      </c>
      <c r="C38" s="67">
        <f t="shared" ref="C38:J38" si="10">SUM(C39:C40)</f>
        <v>175.58052982967263</v>
      </c>
      <c r="D38" s="67">
        <f t="shared" si="10"/>
        <v>183.5101858419095</v>
      </c>
      <c r="E38" s="67">
        <f t="shared" si="10"/>
        <v>201.2377792997984</v>
      </c>
      <c r="F38" s="67">
        <f t="shared" si="10"/>
        <v>270.57518445352707</v>
      </c>
      <c r="G38" s="67">
        <f t="shared" si="10"/>
        <v>323.03447181669878</v>
      </c>
      <c r="H38" s="67">
        <f t="shared" si="10"/>
        <v>315.18372686372754</v>
      </c>
      <c r="I38" s="67">
        <f t="shared" si="10"/>
        <v>547.91461159140317</v>
      </c>
      <c r="J38" s="67">
        <f t="shared" si="10"/>
        <v>578.49682864938814</v>
      </c>
      <c r="K38" s="67">
        <f t="shared" ref="K38:L38" si="11">SUM(K39:K40)</f>
        <v>362.74903277031603</v>
      </c>
      <c r="L38" s="67">
        <f t="shared" si="11"/>
        <v>260.32331115595554</v>
      </c>
    </row>
    <row r="39" spans="1:21" ht="14">
      <c r="B39" s="90" t="s">
        <v>263</v>
      </c>
      <c r="C39" s="69">
        <v>84.862527243991707</v>
      </c>
      <c r="D39" s="69">
        <v>62.882023593812583</v>
      </c>
      <c r="E39" s="69">
        <v>68.468145201584719</v>
      </c>
      <c r="F39" s="69">
        <v>219.44085254714949</v>
      </c>
      <c r="G39" s="69">
        <v>197.64347105148386</v>
      </c>
      <c r="H39" s="69">
        <v>230.75597492445826</v>
      </c>
      <c r="I39" s="69">
        <v>363.10689621469049</v>
      </c>
      <c r="J39" s="69">
        <v>431.09158147269142</v>
      </c>
      <c r="K39" s="69">
        <v>231.56955576660584</v>
      </c>
      <c r="L39" s="69">
        <v>8.1503125334999531</v>
      </c>
    </row>
    <row r="40" spans="1:21" ht="14">
      <c r="B40" s="90" t="s">
        <v>135</v>
      </c>
      <c r="C40" s="69">
        <v>90.718002585680935</v>
      </c>
      <c r="D40" s="69">
        <v>120.62816224809691</v>
      </c>
      <c r="E40" s="69">
        <v>132.76963409821369</v>
      </c>
      <c r="F40" s="69">
        <v>51.134331906377611</v>
      </c>
      <c r="G40" s="69">
        <v>125.39100076521493</v>
      </c>
      <c r="H40" s="69">
        <v>84.427751939269299</v>
      </c>
      <c r="I40" s="69">
        <v>184.80771537671274</v>
      </c>
      <c r="J40" s="69">
        <v>147.40524717669666</v>
      </c>
      <c r="K40" s="69">
        <v>131.17947700371016</v>
      </c>
      <c r="L40" s="69">
        <v>252.17299862245557</v>
      </c>
    </row>
    <row r="41" spans="1:21">
      <c r="B41" s="222"/>
      <c r="C41" s="206"/>
      <c r="D41" s="206"/>
      <c r="E41" s="206"/>
      <c r="F41" s="206"/>
      <c r="G41" s="206"/>
      <c r="H41" s="206"/>
      <c r="I41" s="206"/>
      <c r="J41" s="206"/>
    </row>
    <row r="42" spans="1:21" ht="14.5" thickBot="1">
      <c r="B42" s="71" t="s">
        <v>247</v>
      </c>
      <c r="C42" s="71"/>
      <c r="D42" s="71"/>
      <c r="E42" s="71"/>
      <c r="F42" s="71"/>
      <c r="G42" s="71"/>
      <c r="H42" s="71"/>
      <c r="I42" s="71"/>
      <c r="J42" s="71"/>
      <c r="K42" s="71"/>
      <c r="L42" s="71"/>
      <c r="M42" s="71"/>
      <c r="N42" s="71"/>
      <c r="O42" s="71"/>
      <c r="P42" s="71"/>
      <c r="Q42" s="71"/>
      <c r="R42" s="71"/>
      <c r="S42" s="225"/>
      <c r="T42" s="225"/>
      <c r="U42" s="225"/>
    </row>
    <row r="43" spans="1:21" ht="14.5" thickTop="1">
      <c r="B43" s="227" t="s">
        <v>264</v>
      </c>
      <c r="C43" s="228"/>
      <c r="D43" s="229"/>
      <c r="E43" s="229"/>
      <c r="F43" s="229"/>
      <c r="G43" s="229"/>
      <c r="H43" s="229"/>
      <c r="I43" s="229"/>
      <c r="J43" s="229"/>
      <c r="K43" s="229"/>
      <c r="L43" s="229"/>
      <c r="M43" s="229"/>
      <c r="N43" s="229"/>
      <c r="O43" s="229"/>
      <c r="P43" s="229"/>
      <c r="Q43" s="229"/>
      <c r="R43" s="229"/>
      <c r="S43" s="226"/>
      <c r="T43" s="226"/>
      <c r="U43" s="226"/>
    </row>
    <row r="44" spans="1:21" s="286" customFormat="1" ht="14">
      <c r="A44" s="42"/>
      <c r="B44" s="229" t="s">
        <v>265</v>
      </c>
      <c r="C44" s="229" t="s">
        <v>315</v>
      </c>
      <c r="D44" s="229"/>
      <c r="E44" s="229"/>
      <c r="F44" s="229"/>
      <c r="G44" s="229"/>
      <c r="H44" s="229"/>
      <c r="I44" s="229"/>
      <c r="J44" s="229"/>
      <c r="K44" s="229"/>
      <c r="L44" s="229"/>
      <c r="M44" s="229"/>
      <c r="N44" s="229"/>
      <c r="O44" s="229"/>
      <c r="P44" s="229"/>
      <c r="Q44" s="229"/>
      <c r="R44" s="229"/>
      <c r="S44" s="226"/>
      <c r="T44" s="226"/>
      <c r="U44" s="226"/>
    </row>
    <row r="45" spans="1:21" ht="14">
      <c r="B45" s="229" t="s">
        <v>266</v>
      </c>
      <c r="C45" s="228" t="s">
        <v>267</v>
      </c>
      <c r="D45" s="229"/>
      <c r="E45" s="229"/>
      <c r="F45" s="229"/>
      <c r="G45" s="229"/>
      <c r="H45" s="229"/>
      <c r="I45" s="229"/>
      <c r="J45" s="229"/>
      <c r="K45" s="229"/>
      <c r="L45" s="229"/>
      <c r="M45" s="229"/>
      <c r="N45" s="229"/>
      <c r="O45" s="229"/>
      <c r="P45" s="229"/>
      <c r="Q45" s="229"/>
      <c r="R45" s="229"/>
      <c r="S45" s="226"/>
      <c r="T45" s="226"/>
      <c r="U45" s="226"/>
    </row>
    <row r="46" spans="1:21" ht="14">
      <c r="B46" s="228" t="s">
        <v>268</v>
      </c>
      <c r="C46" s="228" t="s">
        <v>269</v>
      </c>
      <c r="D46" s="228"/>
      <c r="E46" s="228"/>
      <c r="F46" s="228"/>
      <c r="G46" s="228"/>
      <c r="H46" s="228"/>
      <c r="I46" s="228"/>
      <c r="J46" s="228"/>
      <c r="K46" s="228"/>
      <c r="L46" s="228"/>
      <c r="M46" s="228"/>
      <c r="N46" s="228"/>
      <c r="O46" s="229"/>
      <c r="P46" s="229"/>
      <c r="Q46" s="229"/>
      <c r="R46" s="229"/>
      <c r="S46" s="226"/>
      <c r="T46" s="226"/>
      <c r="U46" s="226"/>
    </row>
    <row r="47" spans="1:21" ht="14">
      <c r="B47" s="229" t="s">
        <v>270</v>
      </c>
      <c r="C47" s="228" t="s">
        <v>271</v>
      </c>
      <c r="D47" s="229"/>
      <c r="E47" s="229"/>
      <c r="F47" s="229"/>
      <c r="G47" s="229"/>
      <c r="H47" s="229"/>
      <c r="I47" s="229"/>
      <c r="J47" s="229"/>
      <c r="K47" s="229"/>
      <c r="L47" s="229"/>
      <c r="M47" s="229"/>
      <c r="N47" s="229"/>
      <c r="O47" s="229"/>
      <c r="P47" s="229"/>
      <c r="Q47" s="229"/>
      <c r="R47" s="229"/>
      <c r="S47" s="226"/>
      <c r="T47" s="226"/>
      <c r="U47" s="226"/>
    </row>
    <row r="48" spans="1:21" ht="14">
      <c r="B48" s="229" t="s">
        <v>272</v>
      </c>
      <c r="C48" s="228" t="s">
        <v>273</v>
      </c>
      <c r="D48" s="229"/>
      <c r="E48" s="229"/>
      <c r="F48" s="229"/>
      <c r="G48" s="229"/>
      <c r="H48" s="229"/>
      <c r="I48" s="229"/>
      <c r="J48" s="229"/>
      <c r="K48" s="229"/>
      <c r="L48" s="229"/>
      <c r="M48" s="229"/>
      <c r="N48" s="229"/>
      <c r="O48" s="229"/>
      <c r="P48" s="229"/>
      <c r="Q48" s="229"/>
      <c r="R48" s="229"/>
      <c r="S48" s="226"/>
      <c r="T48" s="226"/>
      <c r="U48" s="226"/>
    </row>
    <row r="49" spans="2:21" ht="14">
      <c r="B49" s="229" t="s">
        <v>274</v>
      </c>
      <c r="C49" s="228" t="s">
        <v>275</v>
      </c>
      <c r="D49" s="229"/>
      <c r="E49" s="229"/>
      <c r="F49" s="229"/>
      <c r="G49" s="229"/>
      <c r="H49" s="229"/>
      <c r="I49" s="229"/>
      <c r="J49" s="229"/>
      <c r="K49" s="229"/>
      <c r="L49" s="229"/>
      <c r="M49" s="229"/>
      <c r="N49" s="229"/>
      <c r="O49" s="229"/>
      <c r="P49" s="229"/>
      <c r="Q49" s="229"/>
      <c r="R49" s="229"/>
      <c r="S49" s="226"/>
      <c r="T49" s="226"/>
      <c r="U49" s="226"/>
    </row>
    <row r="50" spans="2:21" ht="14">
      <c r="B50" s="229"/>
      <c r="C50" s="228"/>
      <c r="D50" s="229"/>
      <c r="E50" s="229"/>
      <c r="F50" s="229"/>
      <c r="G50" s="229"/>
      <c r="H50" s="229"/>
      <c r="I50" s="229"/>
      <c r="J50" s="229"/>
      <c r="K50" s="229"/>
      <c r="L50" s="229"/>
      <c r="M50" s="229"/>
      <c r="N50" s="229"/>
      <c r="O50" s="229"/>
      <c r="P50" s="229"/>
      <c r="Q50" s="229"/>
      <c r="R50" s="229"/>
      <c r="S50" s="226"/>
      <c r="T50" s="226"/>
      <c r="U50" s="226"/>
    </row>
    <row r="51" spans="2:21" ht="14">
      <c r="B51" s="227" t="s">
        <v>122</v>
      </c>
      <c r="C51" s="228"/>
      <c r="D51" s="229"/>
      <c r="E51" s="229"/>
      <c r="F51" s="229"/>
      <c r="G51" s="229"/>
      <c r="H51" s="229"/>
      <c r="I51" s="229"/>
      <c r="J51" s="229"/>
      <c r="K51" s="229"/>
      <c r="L51" s="229"/>
      <c r="M51" s="229"/>
      <c r="N51" s="229"/>
      <c r="O51" s="229"/>
      <c r="P51" s="229"/>
      <c r="Q51" s="229"/>
      <c r="R51" s="229"/>
      <c r="S51" s="226"/>
      <c r="T51" s="226"/>
      <c r="U51" s="226"/>
    </row>
    <row r="52" spans="2:21" ht="14">
      <c r="B52" s="229" t="s">
        <v>276</v>
      </c>
      <c r="C52" s="283" t="s">
        <v>277</v>
      </c>
      <c r="D52" s="283"/>
      <c r="E52" s="283"/>
      <c r="F52" s="283"/>
      <c r="G52" s="283"/>
      <c r="H52" s="283"/>
      <c r="I52" s="283"/>
      <c r="J52" s="283"/>
      <c r="K52" s="283"/>
      <c r="L52" s="283"/>
      <c r="M52" s="283"/>
      <c r="N52" s="283"/>
      <c r="O52" s="283"/>
      <c r="P52" s="283"/>
      <c r="Q52" s="283"/>
      <c r="R52" s="283"/>
      <c r="S52" s="226"/>
      <c r="T52" s="226"/>
      <c r="U52" s="226"/>
    </row>
    <row r="53" spans="2:21" ht="14">
      <c r="B53" s="229" t="s">
        <v>278</v>
      </c>
      <c r="C53" s="228" t="s">
        <v>279</v>
      </c>
      <c r="D53" s="228"/>
      <c r="E53" s="228"/>
      <c r="F53" s="228"/>
      <c r="G53" s="228"/>
      <c r="H53" s="228"/>
      <c r="I53" s="228"/>
      <c r="J53" s="228"/>
      <c r="K53" s="228"/>
      <c r="L53" s="228"/>
      <c r="M53" s="228"/>
      <c r="N53" s="228"/>
      <c r="O53" s="228"/>
      <c r="P53" s="228"/>
      <c r="Q53" s="228"/>
      <c r="R53" s="228"/>
      <c r="S53" s="226"/>
      <c r="T53" s="226"/>
      <c r="U53" s="226"/>
    </row>
    <row r="54" spans="2:21" ht="14">
      <c r="B54" s="229" t="s">
        <v>270</v>
      </c>
      <c r="C54" s="228" t="s">
        <v>280</v>
      </c>
      <c r="D54" s="228"/>
      <c r="E54" s="228"/>
      <c r="F54" s="228"/>
      <c r="G54" s="228"/>
      <c r="H54" s="228"/>
      <c r="I54" s="228"/>
      <c r="J54" s="228"/>
      <c r="K54" s="228"/>
      <c r="L54" s="228"/>
      <c r="M54" s="228"/>
      <c r="N54" s="228"/>
      <c r="O54" s="228"/>
      <c r="P54" s="228"/>
      <c r="Q54" s="228"/>
      <c r="R54" s="228"/>
      <c r="S54" s="226"/>
      <c r="T54" s="226"/>
      <c r="U54" s="226"/>
    </row>
    <row r="55" spans="2:21" ht="14">
      <c r="B55" s="229" t="s">
        <v>281</v>
      </c>
      <c r="C55" s="228" t="s">
        <v>282</v>
      </c>
      <c r="D55" s="228"/>
      <c r="E55" s="228"/>
      <c r="F55" s="228"/>
      <c r="G55" s="228"/>
      <c r="H55" s="228"/>
      <c r="I55" s="228"/>
      <c r="J55" s="228"/>
      <c r="K55" s="228"/>
      <c r="L55" s="228"/>
      <c r="M55" s="228"/>
      <c r="N55" s="228"/>
      <c r="O55" s="228"/>
      <c r="P55" s="228"/>
      <c r="Q55" s="228"/>
      <c r="R55" s="228"/>
      <c r="S55" s="226"/>
      <c r="T55" s="226"/>
      <c r="U55" s="226"/>
    </row>
    <row r="56" spans="2:21" s="19" customFormat="1" ht="14">
      <c r="B56" s="228" t="s">
        <v>283</v>
      </c>
      <c r="C56" s="228" t="s">
        <v>284</v>
      </c>
      <c r="D56" s="228"/>
      <c r="E56" s="228"/>
      <c r="F56" s="228"/>
      <c r="G56" s="228"/>
      <c r="H56" s="228"/>
      <c r="I56" s="228"/>
      <c r="J56" s="228"/>
      <c r="K56" s="228"/>
      <c r="L56" s="228"/>
      <c r="M56" s="228"/>
      <c r="N56" s="228"/>
      <c r="O56" s="228"/>
      <c r="P56" s="228"/>
      <c r="Q56" s="228"/>
      <c r="R56" s="228"/>
      <c r="S56" s="85"/>
      <c r="T56" s="85"/>
      <c r="U56" s="85"/>
    </row>
    <row r="57" spans="2:21" ht="14">
      <c r="B57" s="229"/>
      <c r="C57" s="228"/>
      <c r="D57" s="228"/>
      <c r="E57" s="228"/>
      <c r="F57" s="228"/>
      <c r="G57" s="228"/>
      <c r="H57" s="228"/>
      <c r="I57" s="228"/>
      <c r="J57" s="228"/>
      <c r="K57" s="228"/>
      <c r="L57" s="228"/>
      <c r="M57" s="228"/>
      <c r="N57" s="228"/>
      <c r="O57" s="228"/>
      <c r="P57" s="228"/>
      <c r="Q57" s="228"/>
      <c r="R57" s="228"/>
      <c r="S57" s="226"/>
      <c r="T57" s="226"/>
      <c r="U57" s="226"/>
    </row>
    <row r="58" spans="2:21" ht="14">
      <c r="B58" s="227" t="s">
        <v>125</v>
      </c>
      <c r="C58" s="228"/>
      <c r="D58" s="228"/>
      <c r="E58" s="228"/>
      <c r="F58" s="228"/>
      <c r="G58" s="228"/>
      <c r="H58" s="228"/>
      <c r="I58" s="228"/>
      <c r="J58" s="228"/>
      <c r="K58" s="228"/>
      <c r="L58" s="228"/>
      <c r="M58" s="228"/>
      <c r="N58" s="228"/>
      <c r="O58" s="228"/>
      <c r="P58" s="228"/>
      <c r="Q58" s="228"/>
      <c r="R58" s="228"/>
      <c r="S58" s="226"/>
      <c r="T58" s="226"/>
      <c r="U58" s="226"/>
    </row>
    <row r="59" spans="2:21" ht="14">
      <c r="B59" s="229" t="s">
        <v>276</v>
      </c>
      <c r="C59" s="283" t="s">
        <v>285</v>
      </c>
      <c r="D59" s="283"/>
      <c r="E59" s="283"/>
      <c r="F59" s="283"/>
      <c r="G59" s="283"/>
      <c r="H59" s="283"/>
      <c r="I59" s="283"/>
      <c r="J59" s="283"/>
      <c r="K59" s="283"/>
      <c r="L59" s="283"/>
      <c r="M59" s="283"/>
      <c r="N59" s="283"/>
      <c r="O59" s="283"/>
      <c r="P59" s="283"/>
      <c r="Q59" s="283"/>
      <c r="R59" s="283"/>
      <c r="S59" s="226"/>
      <c r="T59" s="226"/>
      <c r="U59" s="226"/>
    </row>
    <row r="60" spans="2:21" ht="14">
      <c r="B60" s="229" t="s">
        <v>278</v>
      </c>
      <c r="C60" s="228" t="s">
        <v>279</v>
      </c>
      <c r="D60" s="230"/>
      <c r="E60" s="230"/>
      <c r="F60" s="230"/>
      <c r="G60" s="230"/>
      <c r="H60" s="230"/>
      <c r="I60" s="230"/>
      <c r="J60" s="230"/>
      <c r="K60" s="230"/>
      <c r="L60" s="230"/>
      <c r="M60" s="230"/>
      <c r="N60" s="230"/>
      <c r="O60" s="230"/>
      <c r="P60" s="230"/>
      <c r="Q60" s="230"/>
      <c r="R60" s="230"/>
      <c r="S60" s="226"/>
      <c r="T60" s="226"/>
      <c r="U60" s="226"/>
    </row>
    <row r="61" spans="2:21" ht="14">
      <c r="B61" s="229" t="s">
        <v>270</v>
      </c>
      <c r="C61" s="228" t="s">
        <v>286</v>
      </c>
      <c r="D61" s="229"/>
      <c r="E61" s="229"/>
      <c r="F61" s="229"/>
      <c r="G61" s="229"/>
      <c r="H61" s="229"/>
      <c r="I61" s="229"/>
      <c r="J61" s="229"/>
      <c r="K61" s="229"/>
      <c r="L61" s="229"/>
      <c r="M61" s="229"/>
      <c r="N61" s="229"/>
      <c r="O61" s="229"/>
      <c r="P61" s="229"/>
      <c r="Q61" s="229"/>
      <c r="R61" s="229"/>
      <c r="S61" s="226"/>
      <c r="T61" s="226"/>
      <c r="U61" s="226"/>
    </row>
    <row r="62" spans="2:21" ht="14">
      <c r="B62" s="229" t="s">
        <v>281</v>
      </c>
      <c r="C62" s="228" t="s">
        <v>287</v>
      </c>
      <c r="D62" s="229"/>
      <c r="E62" s="229"/>
      <c r="F62" s="229"/>
      <c r="G62" s="229"/>
      <c r="H62" s="229"/>
      <c r="I62" s="229"/>
      <c r="J62" s="229"/>
      <c r="K62" s="229"/>
      <c r="L62" s="229"/>
      <c r="M62" s="229"/>
      <c r="N62" s="229"/>
      <c r="O62" s="229"/>
      <c r="P62" s="229"/>
      <c r="Q62" s="229"/>
      <c r="R62" s="229"/>
      <c r="S62" s="226"/>
      <c r="T62" s="226"/>
      <c r="U62" s="226"/>
    </row>
    <row r="63" spans="2:21" s="19" customFormat="1" ht="14">
      <c r="B63" s="228" t="s">
        <v>283</v>
      </c>
      <c r="C63" s="228" t="s">
        <v>284</v>
      </c>
      <c r="D63" s="228"/>
      <c r="E63" s="228"/>
      <c r="F63" s="228"/>
      <c r="G63" s="228"/>
      <c r="H63" s="228"/>
      <c r="I63" s="228"/>
      <c r="J63" s="228"/>
      <c r="K63" s="228"/>
      <c r="L63" s="228"/>
      <c r="M63" s="228"/>
      <c r="N63" s="228"/>
      <c r="O63" s="228"/>
      <c r="P63" s="228"/>
      <c r="Q63" s="228"/>
      <c r="R63" s="228"/>
      <c r="S63" s="85"/>
      <c r="T63" s="85"/>
      <c r="U63" s="85"/>
    </row>
    <row r="64" spans="2:21" ht="14">
      <c r="B64" s="229"/>
      <c r="C64" s="228"/>
      <c r="D64" s="229"/>
      <c r="E64" s="229"/>
      <c r="F64" s="229"/>
      <c r="G64" s="229"/>
      <c r="H64" s="229"/>
      <c r="I64" s="229"/>
      <c r="J64" s="229"/>
      <c r="K64" s="229"/>
      <c r="L64" s="229"/>
      <c r="M64" s="229"/>
      <c r="N64" s="229"/>
      <c r="O64" s="229"/>
      <c r="P64" s="229"/>
      <c r="Q64" s="229"/>
      <c r="R64" s="229"/>
      <c r="S64" s="226"/>
      <c r="T64" s="226"/>
      <c r="U64" s="226"/>
    </row>
    <row r="65" spans="2:21" ht="14">
      <c r="B65" s="227" t="s">
        <v>129</v>
      </c>
      <c r="C65" s="228"/>
      <c r="D65" s="229"/>
      <c r="E65" s="229"/>
      <c r="F65" s="229"/>
      <c r="G65" s="229"/>
      <c r="H65" s="229"/>
      <c r="I65" s="229"/>
      <c r="J65" s="229"/>
      <c r="K65" s="229"/>
      <c r="L65" s="229"/>
      <c r="M65" s="229"/>
      <c r="N65" s="229"/>
      <c r="O65" s="229"/>
      <c r="P65" s="229"/>
      <c r="Q65" s="229"/>
      <c r="R65" s="229"/>
      <c r="S65" s="226"/>
      <c r="T65" s="226"/>
      <c r="U65" s="226"/>
    </row>
    <row r="66" spans="2:21" ht="14">
      <c r="B66" s="229" t="s">
        <v>288</v>
      </c>
      <c r="C66" s="228" t="s">
        <v>289</v>
      </c>
      <c r="D66" s="229"/>
      <c r="E66" s="229"/>
      <c r="F66" s="229"/>
      <c r="G66" s="229"/>
      <c r="H66" s="229"/>
      <c r="I66" s="229"/>
      <c r="J66" s="229"/>
      <c r="K66" s="229"/>
      <c r="L66" s="229"/>
      <c r="M66" s="229"/>
      <c r="N66" s="229"/>
      <c r="O66" s="229"/>
      <c r="P66" s="229"/>
      <c r="Q66" s="229"/>
      <c r="R66" s="229"/>
      <c r="S66" s="226"/>
      <c r="T66" s="226"/>
      <c r="U66" s="226"/>
    </row>
    <row r="67" spans="2:21" ht="14">
      <c r="B67" s="229"/>
      <c r="C67" s="228"/>
      <c r="D67" s="229"/>
      <c r="E67" s="229"/>
      <c r="F67" s="229"/>
      <c r="G67" s="229"/>
      <c r="H67" s="229"/>
      <c r="I67" s="229"/>
      <c r="J67" s="229"/>
      <c r="K67" s="229"/>
      <c r="L67" s="229"/>
      <c r="M67" s="229"/>
      <c r="N67" s="229"/>
      <c r="O67" s="229"/>
      <c r="P67" s="229"/>
      <c r="Q67" s="229"/>
      <c r="R67" s="229"/>
      <c r="S67" s="226"/>
      <c r="T67" s="226"/>
      <c r="U67" s="226"/>
    </row>
    <row r="68" spans="2:21" ht="14">
      <c r="B68" s="227" t="s">
        <v>132</v>
      </c>
      <c r="C68" s="228"/>
      <c r="D68" s="229"/>
      <c r="E68" s="229"/>
      <c r="F68" s="229"/>
      <c r="G68" s="229"/>
      <c r="H68" s="229"/>
      <c r="I68" s="229"/>
      <c r="J68" s="229"/>
      <c r="K68" s="229"/>
      <c r="L68" s="229"/>
      <c r="M68" s="229"/>
      <c r="N68" s="229"/>
      <c r="O68" s="229"/>
      <c r="P68" s="229"/>
      <c r="Q68" s="229"/>
      <c r="R68" s="229"/>
      <c r="S68" s="226"/>
      <c r="T68" s="226"/>
      <c r="U68" s="226"/>
    </row>
    <row r="69" spans="2:21" ht="14">
      <c r="B69" s="229" t="s">
        <v>290</v>
      </c>
      <c r="C69" s="228" t="s">
        <v>291</v>
      </c>
      <c r="D69" s="229"/>
      <c r="E69" s="229"/>
      <c r="F69" s="229"/>
      <c r="G69" s="229"/>
      <c r="H69" s="229"/>
      <c r="I69" s="229"/>
      <c r="J69" s="229"/>
      <c r="K69" s="229"/>
      <c r="L69" s="229"/>
      <c r="M69" s="229"/>
      <c r="N69" s="229"/>
      <c r="O69" s="229"/>
      <c r="P69" s="229"/>
      <c r="Q69" s="229"/>
      <c r="R69" s="229"/>
      <c r="S69" s="226"/>
      <c r="T69" s="226"/>
      <c r="U69" s="226"/>
    </row>
    <row r="70" spans="2:21" ht="14.5">
      <c r="B70" s="229" t="s">
        <v>292</v>
      </c>
      <c r="C70" s="228" t="s">
        <v>293</v>
      </c>
      <c r="D70" s="229"/>
      <c r="E70" s="229"/>
      <c r="F70" s="229"/>
      <c r="G70" s="229"/>
      <c r="H70" s="229"/>
      <c r="I70" s="229"/>
      <c r="J70" s="229"/>
      <c r="K70" s="229"/>
      <c r="L70" s="229"/>
      <c r="M70" s="229"/>
      <c r="N70" s="229"/>
      <c r="O70" s="229"/>
      <c r="P70" s="229"/>
      <c r="Q70" s="229"/>
      <c r="R70" s="229"/>
      <c r="S70" s="226"/>
      <c r="T70" s="226"/>
      <c r="U70" s="226"/>
    </row>
  </sheetData>
  <mergeCells count="2">
    <mergeCell ref="C52:R52"/>
    <mergeCell ref="C59:R59"/>
  </mergeCells>
  <pageMargins left="0.33" right="0.28999999999999998" top="0.984251969" bottom="0.984251969" header="0.49212598499999999" footer="0.49212598499999999"/>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352DE-64DF-4C17-AD9E-A74731D03175}">
  <sheetPr>
    <pageSetUpPr fitToPage="1"/>
  </sheetPr>
  <dimension ref="B2:AA11"/>
  <sheetViews>
    <sheetView showGridLines="0" zoomScale="90" zoomScaleNormal="90" workbookViewId="0">
      <pane xSplit="2" ySplit="6" topLeftCell="L7" activePane="bottomRight" state="frozen"/>
      <selection pane="topRight" activeCell="N12" sqref="N12"/>
      <selection pane="bottomLeft" activeCell="N12" sqref="N12"/>
      <selection pane="bottomRight"/>
    </sheetView>
  </sheetViews>
  <sheetFormatPr defaultColWidth="9.1796875" defaultRowHeight="12.5"/>
  <cols>
    <col min="1" max="1" width="2.1796875" style="42" customWidth="1"/>
    <col min="2" max="2" width="32.1796875" style="42" customWidth="1"/>
    <col min="3" max="20" width="9.7265625" style="42" customWidth="1"/>
    <col min="21" max="22" width="9.1796875" style="42"/>
    <col min="23" max="27" width="9.81640625" style="42" bestFit="1" customWidth="1"/>
    <col min="28" max="16384" width="9.1796875" style="42"/>
  </cols>
  <sheetData>
    <row r="2" spans="2:27" ht="13.5" customHeight="1"/>
    <row r="4" spans="2:27" ht="20.25" customHeight="1"/>
    <row r="5" spans="2:27" ht="13">
      <c r="B5" s="59"/>
    </row>
    <row r="6" spans="2:27" s="19" customFormat="1" ht="14.25" customHeight="1" thickBot="1">
      <c r="B6" s="60" t="s">
        <v>294</v>
      </c>
      <c r="C6" s="79" t="s">
        <v>104</v>
      </c>
      <c r="D6" s="79" t="s">
        <v>105</v>
      </c>
      <c r="E6" s="79" t="s">
        <v>106</v>
      </c>
      <c r="F6" s="79" t="s">
        <v>107</v>
      </c>
      <c r="G6" s="79" t="s">
        <v>108</v>
      </c>
      <c r="H6" s="79" t="s">
        <v>109</v>
      </c>
      <c r="I6" s="79" t="s">
        <v>110</v>
      </c>
      <c r="J6" s="79" t="s">
        <v>111</v>
      </c>
      <c r="K6" s="79" t="s">
        <v>112</v>
      </c>
      <c r="L6" s="79" t="s">
        <v>113</v>
      </c>
      <c r="M6" s="79" t="s">
        <v>114</v>
      </c>
      <c r="N6" s="79" t="s">
        <v>115</v>
      </c>
      <c r="O6" s="79" t="s">
        <v>116</v>
      </c>
      <c r="P6" s="79" t="s">
        <v>117</v>
      </c>
      <c r="Q6" s="79" t="s">
        <v>118</v>
      </c>
      <c r="R6" s="79" t="s">
        <v>119</v>
      </c>
      <c r="S6" s="79" t="s">
        <v>120</v>
      </c>
      <c r="T6" s="79" t="s">
        <v>121</v>
      </c>
      <c r="W6" s="79">
        <v>2018</v>
      </c>
      <c r="X6" s="79">
        <v>2019</v>
      </c>
      <c r="Y6" s="79">
        <v>2020</v>
      </c>
      <c r="Z6" s="79">
        <v>2021</v>
      </c>
      <c r="AA6" s="79">
        <v>2022</v>
      </c>
    </row>
    <row r="7" spans="2:27" s="19" customFormat="1" ht="14.25" customHeight="1" thickTop="1">
      <c r="B7" s="75" t="s">
        <v>295</v>
      </c>
      <c r="C7" s="149">
        <v>3475.1692026476303</v>
      </c>
      <c r="D7" s="149">
        <v>1999.8556016330122</v>
      </c>
      <c r="E7" s="149">
        <v>5643.7309160939622</v>
      </c>
      <c r="F7" s="149">
        <v>36811.23227962535</v>
      </c>
      <c r="G7" s="149">
        <v>5711.3846610599976</v>
      </c>
      <c r="H7" s="149">
        <v>6621.8033512799993</v>
      </c>
      <c r="I7" s="149">
        <v>9864.8503189080002</v>
      </c>
      <c r="J7" s="149">
        <v>42464.33455846399</v>
      </c>
      <c r="K7" s="149">
        <v>15570.548193095998</v>
      </c>
      <c r="L7" s="149">
        <v>20261.394220988001</v>
      </c>
      <c r="M7" s="149">
        <v>18181.756396284007</v>
      </c>
      <c r="N7" s="149">
        <v>12685.462189631999</v>
      </c>
      <c r="O7" s="149">
        <v>11376.9548</v>
      </c>
      <c r="P7" s="149">
        <v>13302.90792</v>
      </c>
      <c r="Q7" s="149">
        <v>18972.104629999998</v>
      </c>
      <c r="R7" s="149">
        <v>53376.798699999999</v>
      </c>
      <c r="S7" s="149">
        <v>66194.416310000015</v>
      </c>
      <c r="T7" s="149">
        <v>114957</v>
      </c>
      <c r="W7" s="149">
        <f>SUM(C7:F7)</f>
        <v>47929.987999999954</v>
      </c>
      <c r="X7" s="149">
        <f>SUM(G7:J7)</f>
        <v>64662.372889711987</v>
      </c>
      <c r="Y7" s="149">
        <f>SUM(K7:N7)</f>
        <v>66699.161000000007</v>
      </c>
      <c r="Z7" s="149">
        <f>SUM(O7:R7)</f>
        <v>97028.766049999991</v>
      </c>
      <c r="AA7" s="149">
        <f>SUM(S7:T7)</f>
        <v>181151.41631</v>
      </c>
    </row>
    <row r="8" spans="2:27" s="19" customFormat="1" ht="14.25" customHeight="1">
      <c r="B8" s="76" t="s">
        <v>244</v>
      </c>
      <c r="C8" s="149">
        <v>17235.073036531809</v>
      </c>
      <c r="D8" s="149">
        <v>22282.829516112808</v>
      </c>
      <c r="E8" s="149">
        <v>35744.262024069874</v>
      </c>
      <c r="F8" s="149">
        <v>53327.498033285476</v>
      </c>
      <c r="G8" s="149">
        <v>32104.058741162517</v>
      </c>
      <c r="H8" s="149">
        <v>33177.024944685742</v>
      </c>
      <c r="I8" s="149">
        <v>34298.031829075917</v>
      </c>
      <c r="J8" s="149">
        <v>103255.28785478818</v>
      </c>
      <c r="K8" s="149">
        <v>21975.299440442395</v>
      </c>
      <c r="L8" s="149">
        <v>15282.6962855736</v>
      </c>
      <c r="M8" s="149">
        <v>42164.805361829196</v>
      </c>
      <c r="N8" s="149">
        <v>84283.850912154987</v>
      </c>
      <c r="O8" s="149">
        <v>19888.411315999994</v>
      </c>
      <c r="P8" s="149">
        <v>25346.336642000002</v>
      </c>
      <c r="Q8" s="149">
        <v>43119.176951999994</v>
      </c>
      <c r="R8" s="149">
        <v>111279.60913435367</v>
      </c>
      <c r="S8" s="149">
        <v>33503.709909999998</v>
      </c>
      <c r="T8" s="149">
        <v>33197</v>
      </c>
      <c r="W8" s="149">
        <f t="shared" ref="W8:W10" si="0">SUM(C8:F8)</f>
        <v>128589.66260999997</v>
      </c>
      <c r="X8" s="149">
        <f t="shared" ref="X8:X10" si="1">SUM(G8:J8)</f>
        <v>202834.40336971235</v>
      </c>
      <c r="Y8" s="149">
        <f t="shared" ref="Y8:Y10" si="2">SUM(K8:N8)</f>
        <v>163706.65200000018</v>
      </c>
      <c r="Z8" s="149">
        <f t="shared" ref="Z8:Z10" si="3">SUM(O8:R8)</f>
        <v>199633.53404435364</v>
      </c>
      <c r="AA8" s="149">
        <f>SUM(S8:T8)</f>
        <v>66700.709910000005</v>
      </c>
    </row>
    <row r="9" spans="2:27" s="19" customFormat="1" ht="14.25" customHeight="1">
      <c r="B9" s="76" t="s">
        <v>296</v>
      </c>
      <c r="C9" s="132">
        <v>11336.325279395029</v>
      </c>
      <c r="D9" s="132">
        <v>15449.04884947541</v>
      </c>
      <c r="E9" s="132">
        <v>25361.631329043586</v>
      </c>
      <c r="F9" s="132">
        <v>31665.303932085983</v>
      </c>
      <c r="G9" s="132">
        <v>17591.243292947984</v>
      </c>
      <c r="H9" s="132">
        <v>30067.678797780012</v>
      </c>
      <c r="I9" s="132">
        <v>41291.312696400004</v>
      </c>
      <c r="J9" s="132">
        <v>22752.917732871982</v>
      </c>
      <c r="K9" s="132">
        <v>21799.665828095996</v>
      </c>
      <c r="L9" s="132">
        <v>28188.455677824</v>
      </c>
      <c r="M9" s="132">
        <v>23055.789278495991</v>
      </c>
      <c r="N9" s="132">
        <v>48270.269215583983</v>
      </c>
      <c r="O9" s="149">
        <v>17213.225599999994</v>
      </c>
      <c r="P9" s="149">
        <v>53864.744979999959</v>
      </c>
      <c r="Q9" s="149">
        <v>65632.899650000007</v>
      </c>
      <c r="R9" s="149">
        <v>36316.183140000045</v>
      </c>
      <c r="S9" s="149">
        <v>46435.458849999981</v>
      </c>
      <c r="T9" s="149">
        <v>60091</v>
      </c>
      <c r="W9" s="149">
        <f t="shared" si="0"/>
        <v>83812.309390000009</v>
      </c>
      <c r="X9" s="149">
        <f t="shared" si="1"/>
        <v>111703.15251999997</v>
      </c>
      <c r="Y9" s="149">
        <f t="shared" si="2"/>
        <v>121314.17999999996</v>
      </c>
      <c r="Z9" s="149">
        <f t="shared" si="3"/>
        <v>173027.05336999998</v>
      </c>
      <c r="AA9" s="149">
        <f>SUM(S9:T9)</f>
        <v>106526.45884999998</v>
      </c>
    </row>
    <row r="10" spans="2:27" ht="14.5" thickBot="1">
      <c r="B10" s="74" t="s">
        <v>297</v>
      </c>
      <c r="C10" s="217">
        <f t="shared" ref="C10:T10" si="4">SUM(C7:C9)</f>
        <v>32046.567518574469</v>
      </c>
      <c r="D10" s="217">
        <f t="shared" si="4"/>
        <v>39731.733967221226</v>
      </c>
      <c r="E10" s="217">
        <f t="shared" si="4"/>
        <v>66749.624269207416</v>
      </c>
      <c r="F10" s="217">
        <f t="shared" si="4"/>
        <v>121804.03424499682</v>
      </c>
      <c r="G10" s="217">
        <f t="shared" si="4"/>
        <v>55406.686695170501</v>
      </c>
      <c r="H10" s="217">
        <f t="shared" si="4"/>
        <v>69866.507093745749</v>
      </c>
      <c r="I10" s="217">
        <f t="shared" si="4"/>
        <v>85454.194844383921</v>
      </c>
      <c r="J10" s="217">
        <f t="shared" si="4"/>
        <v>168472.54014612417</v>
      </c>
      <c r="K10" s="217">
        <f t="shared" si="4"/>
        <v>59345.513461634386</v>
      </c>
      <c r="L10" s="217">
        <f t="shared" si="4"/>
        <v>63732.546184385603</v>
      </c>
      <c r="M10" s="217">
        <f t="shared" si="4"/>
        <v>83402.351036609194</v>
      </c>
      <c r="N10" s="217">
        <f t="shared" si="4"/>
        <v>145239.58231737098</v>
      </c>
      <c r="O10" s="217">
        <f t="shared" si="4"/>
        <v>48478.591715999988</v>
      </c>
      <c r="P10" s="217">
        <f t="shared" si="4"/>
        <v>92513.989541999967</v>
      </c>
      <c r="Q10" s="217">
        <f t="shared" si="4"/>
        <v>127724.181232</v>
      </c>
      <c r="R10" s="217">
        <f t="shared" si="4"/>
        <v>200972.59097435372</v>
      </c>
      <c r="S10" s="217">
        <f t="shared" ref="S10" si="5">SUM(S7:S9)</f>
        <v>146133.58506999997</v>
      </c>
      <c r="T10" s="217">
        <f t="shared" si="4"/>
        <v>208245</v>
      </c>
      <c r="W10" s="217">
        <f t="shared" si="0"/>
        <v>260331.95999999993</v>
      </c>
      <c r="X10" s="217">
        <f t="shared" si="1"/>
        <v>379199.92877942434</v>
      </c>
      <c r="Y10" s="217">
        <f t="shared" si="2"/>
        <v>351719.99300000013</v>
      </c>
      <c r="Z10" s="217">
        <f t="shared" si="3"/>
        <v>469689.35346435371</v>
      </c>
      <c r="AA10" s="217">
        <f>SUM(S10:T10)</f>
        <v>354378.58506999997</v>
      </c>
    </row>
    <row r="11" spans="2:27" ht="14">
      <c r="B11" s="72"/>
      <c r="C11" s="114"/>
      <c r="D11" s="114"/>
      <c r="E11" s="114"/>
      <c r="F11" s="114"/>
      <c r="G11" s="114"/>
      <c r="H11" s="114"/>
      <c r="I11" s="114"/>
      <c r="J11" s="114"/>
      <c r="K11" s="114"/>
      <c r="L11" s="114"/>
      <c r="M11" s="114"/>
      <c r="N11" s="114"/>
      <c r="O11" s="114"/>
      <c r="P11" s="114"/>
      <c r="Q11" s="114"/>
      <c r="R11" s="114"/>
      <c r="S11" s="114"/>
      <c r="T11" s="114"/>
    </row>
  </sheetData>
  <pageMargins left="0.19685039370078741" right="0.19685039370078741" top="0.19685039370078741" bottom="0.19685039370078741" header="0.51181102362204722" footer="0.51181102362204722"/>
  <pageSetup paperSize="9" scale="83" orientation="landscape" r:id="rId1"/>
  <headerFooter alignWithMargins="0"/>
  <ignoredErrors>
    <ignoredError sqref="W7:Z10"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3E647-86D6-4761-8207-92DB1B79BC4C}">
  <dimension ref="A1:AA15"/>
  <sheetViews>
    <sheetView showGridLines="0" topLeftCell="F1" zoomScale="90" zoomScaleNormal="90" workbookViewId="0">
      <selection activeCell="R12" sqref="R12"/>
    </sheetView>
  </sheetViews>
  <sheetFormatPr defaultRowHeight="12.5"/>
  <cols>
    <col min="1" max="1" width="1.81640625" customWidth="1"/>
    <col min="2" max="2" width="32.26953125" bestFit="1" customWidth="1"/>
    <col min="3" max="14" width="9.1796875" customWidth="1"/>
  </cols>
  <sheetData>
    <row r="1" spans="1:27" s="42" customFormat="1"/>
    <row r="2" spans="1:27" s="42" customFormat="1" ht="13.5" customHeight="1"/>
    <row r="3" spans="1:27" s="42" customFormat="1"/>
    <row r="4" spans="1:27" s="42" customFormat="1" ht="20.25" customHeight="1"/>
    <row r="5" spans="1:27" s="42" customFormat="1" ht="13">
      <c r="B5" s="59"/>
    </row>
    <row r="6" spans="1:27" s="19" customFormat="1" ht="14.25" customHeight="1" thickBot="1">
      <c r="B6" s="60" t="s">
        <v>298</v>
      </c>
      <c r="C6" s="79" t="s">
        <v>104</v>
      </c>
      <c r="D6" s="79" t="s">
        <v>105</v>
      </c>
      <c r="E6" s="79" t="s">
        <v>106</v>
      </c>
      <c r="F6" s="79" t="s">
        <v>107</v>
      </c>
      <c r="G6" s="79" t="s">
        <v>108</v>
      </c>
      <c r="H6" s="79" t="s">
        <v>109</v>
      </c>
      <c r="I6" s="79" t="s">
        <v>110</v>
      </c>
      <c r="J6" s="79" t="s">
        <v>111</v>
      </c>
      <c r="K6" s="79" t="s">
        <v>112</v>
      </c>
      <c r="L6" s="79" t="s">
        <v>113</v>
      </c>
      <c r="M6" s="79" t="s">
        <v>114</v>
      </c>
      <c r="N6" s="79" t="s">
        <v>115</v>
      </c>
      <c r="O6" s="79" t="s">
        <v>116</v>
      </c>
      <c r="P6" s="79" t="s">
        <v>117</v>
      </c>
      <c r="Q6" s="79" t="s">
        <v>118</v>
      </c>
      <c r="R6" s="79" t="s">
        <v>119</v>
      </c>
      <c r="S6" s="79" t="s">
        <v>120</v>
      </c>
      <c r="T6" s="79" t="s">
        <v>121</v>
      </c>
    </row>
    <row r="7" spans="1:27" s="40" customFormat="1" ht="4.5" customHeight="1" thickTop="1">
      <c r="A7" s="53"/>
      <c r="B7" s="48"/>
      <c r="C7" s="54"/>
      <c r="D7" s="54"/>
      <c r="E7" s="54"/>
      <c r="F7" s="54"/>
      <c r="G7" s="54"/>
      <c r="H7" s="54"/>
      <c r="I7" s="54"/>
      <c r="J7" s="54"/>
      <c r="K7" s="54"/>
      <c r="L7" s="54"/>
      <c r="M7" s="54"/>
      <c r="N7" s="54"/>
      <c r="O7" s="54"/>
      <c r="P7" s="54"/>
      <c r="Q7" s="54"/>
      <c r="R7" s="54"/>
      <c r="S7" s="54"/>
      <c r="T7" s="54"/>
      <c r="W7" s="54"/>
      <c r="X7" s="54"/>
      <c r="Y7" s="54"/>
      <c r="Z7" s="54"/>
      <c r="AA7" s="54"/>
    </row>
    <row r="8" spans="1:27" ht="14">
      <c r="B8" s="75" t="s">
        <v>299</v>
      </c>
      <c r="C8" s="149">
        <f>'6 - Demonstrativos Financeiros'!C43</f>
        <v>409.36599999999999</v>
      </c>
      <c r="D8" s="149">
        <f>'6 - Demonstrativos Financeiros'!D43</f>
        <v>450.74299999999999</v>
      </c>
      <c r="E8" s="149">
        <f>'6 - Demonstrativos Financeiros'!E43</f>
        <v>530.66999999999996</v>
      </c>
      <c r="F8" s="149">
        <f>'6 - Demonstrativos Financeiros'!F43</f>
        <v>489.70800000000003</v>
      </c>
      <c r="G8" s="149">
        <f>'6 - Demonstrativos Financeiros'!G43</f>
        <v>525.09400000000005</v>
      </c>
      <c r="H8" s="149">
        <f>'6 - Demonstrativos Financeiros'!H43</f>
        <v>598.84100000000001</v>
      </c>
      <c r="I8" s="149">
        <f>'6 - Demonstrativos Financeiros'!I43</f>
        <v>501.78899999999999</v>
      </c>
      <c r="J8" s="149">
        <f>'6 - Demonstrativos Financeiros'!J43</f>
        <v>404.29599999999999</v>
      </c>
      <c r="K8" s="149">
        <f>'6 - Demonstrativos Financeiros'!K43</f>
        <v>544.07799999999997</v>
      </c>
      <c r="L8" s="149">
        <f>'6 - Demonstrativos Financeiros'!L43</f>
        <v>511.23</v>
      </c>
      <c r="M8" s="149">
        <f>'6 - Demonstrativos Financeiros'!M43</f>
        <v>611.29999999999995</v>
      </c>
      <c r="N8" s="149">
        <f>'6 - Demonstrativos Financeiros'!N43</f>
        <v>474.71499999999997</v>
      </c>
      <c r="O8" s="149">
        <f>'6 - Demonstrativos Financeiros'!O43</f>
        <v>643.79300000000001</v>
      </c>
      <c r="P8" s="149">
        <f>'6 - Demonstrativos Financeiros'!P43</f>
        <v>667</v>
      </c>
      <c r="Q8" s="149">
        <f>'6 - Demonstrativos Financeiros'!Q43</f>
        <v>758</v>
      </c>
      <c r="R8" s="149">
        <f>'6 - Demonstrativos Financeiros'!R43</f>
        <v>698.24900000000002</v>
      </c>
      <c r="S8" s="149">
        <f>'6 - Demonstrativos Financeiros'!S43</f>
        <v>684.94799999999998</v>
      </c>
      <c r="T8" s="149">
        <f>'6 - Demonstrativos Financeiros'!T43</f>
        <v>571</v>
      </c>
    </row>
    <row r="9" spans="1:27" ht="14">
      <c r="B9" s="76" t="s">
        <v>188</v>
      </c>
      <c r="C9" s="149">
        <f>'6 - Demonstrativos Financeiros'!C44</f>
        <v>661.90200000000004</v>
      </c>
      <c r="D9" s="149">
        <f>'6 - Demonstrativos Financeiros'!D44</f>
        <v>768.14200000000005</v>
      </c>
      <c r="E9" s="149">
        <f>'6 - Demonstrativos Financeiros'!E44</f>
        <v>929.98099999999999</v>
      </c>
      <c r="F9" s="149">
        <f>'6 - Demonstrativos Financeiros'!F44</f>
        <v>827.46699999999998</v>
      </c>
      <c r="G9" s="149">
        <f>'6 - Demonstrativos Financeiros'!G44</f>
        <v>788.16200000000003</v>
      </c>
      <c r="H9" s="149">
        <f>'6 - Demonstrativos Financeiros'!H44</f>
        <v>896.423</v>
      </c>
      <c r="I9" s="149">
        <f>'6 - Demonstrativos Financeiros'!I44</f>
        <v>930.60900000000004</v>
      </c>
      <c r="J9" s="149">
        <f>'6 - Demonstrativos Financeiros'!J44</f>
        <v>928.14200000000005</v>
      </c>
      <c r="K9" s="149">
        <f>'6 - Demonstrativos Financeiros'!K44</f>
        <v>1108.298</v>
      </c>
      <c r="L9" s="149">
        <f>'6 - Demonstrativos Financeiros'!L44</f>
        <v>1161.558</v>
      </c>
      <c r="M9" s="149">
        <f>'6 - Demonstrativos Financeiros'!M44</f>
        <v>1036.377</v>
      </c>
      <c r="N9" s="149">
        <f>'6 - Demonstrativos Financeiros'!N44</f>
        <v>1069.8800000000001</v>
      </c>
      <c r="O9" s="149">
        <f>'6 - Demonstrativos Financeiros'!O44</f>
        <v>1243.9280000000001</v>
      </c>
      <c r="P9" s="149">
        <f>'6 - Demonstrativos Financeiros'!P44</f>
        <v>1579</v>
      </c>
      <c r="Q9" s="149">
        <f>'6 - Demonstrativos Financeiros'!Q44</f>
        <v>1631</v>
      </c>
      <c r="R9" s="149">
        <f>'6 - Demonstrativos Financeiros'!R44</f>
        <v>1592.3119999999999</v>
      </c>
      <c r="S9" s="149">
        <f>'6 - Demonstrativos Financeiros'!S44</f>
        <v>1640.8630000000001</v>
      </c>
      <c r="T9" s="149">
        <f>'6 - Demonstrativos Financeiros'!T44</f>
        <v>1797</v>
      </c>
    </row>
    <row r="10" spans="1:27" ht="14">
      <c r="B10" s="76" t="s">
        <v>208</v>
      </c>
      <c r="C10" s="149">
        <f>'6 - Demonstrativos Financeiros'!C71</f>
        <v>454.84100000000001</v>
      </c>
      <c r="D10" s="149">
        <f>'6 - Demonstrativos Financeiros'!D71</f>
        <v>564.04399999999998</v>
      </c>
      <c r="E10" s="149">
        <f>'6 - Demonstrativos Financeiros'!E71</f>
        <v>533.87199999999996</v>
      </c>
      <c r="F10" s="149">
        <f>'6 - Demonstrativos Financeiros'!F71</f>
        <v>390.81599999999997</v>
      </c>
      <c r="G10" s="149">
        <f>'6 - Demonstrativos Financeiros'!G71</f>
        <v>396.88499999999999</v>
      </c>
      <c r="H10" s="149">
        <f>'6 - Demonstrativos Financeiros'!H71</f>
        <v>423.47500000000002</v>
      </c>
      <c r="I10" s="149">
        <f>'6 - Demonstrativos Financeiros'!I71</f>
        <v>424.26799999999997</v>
      </c>
      <c r="J10" s="149">
        <f>'6 - Demonstrativos Financeiros'!J71</f>
        <v>407.21499999999997</v>
      </c>
      <c r="K10" s="149">
        <f>'6 - Demonstrativos Financeiros'!K71</f>
        <v>518.76700000000005</v>
      </c>
      <c r="L10" s="149">
        <f>'6 - Demonstrativos Financeiros'!L71</f>
        <v>442.89100000000002</v>
      </c>
      <c r="M10" s="149">
        <f>'6 - Demonstrativos Financeiros'!M71</f>
        <v>460.11799999999999</v>
      </c>
      <c r="N10" s="149">
        <f>'6 - Demonstrativos Financeiros'!N71</f>
        <v>425.95100000000002</v>
      </c>
      <c r="O10" s="149">
        <f>'6 - Demonstrativos Financeiros'!O71</f>
        <v>511.291</v>
      </c>
      <c r="P10" s="149">
        <f>'6 - Demonstrativos Financeiros'!P71</f>
        <v>523</v>
      </c>
      <c r="Q10" s="149">
        <f>'6 - Demonstrativos Financeiros'!Q71</f>
        <v>640</v>
      </c>
      <c r="R10" s="149">
        <f>'6 - Demonstrativos Financeiros'!R71</f>
        <v>655.62599999999998</v>
      </c>
      <c r="S10" s="149">
        <f>'6 - Demonstrativos Financeiros'!S71</f>
        <v>646.98299999999995</v>
      </c>
      <c r="T10" s="149">
        <f>'6 - Demonstrativos Financeiros'!T71</f>
        <v>748</v>
      </c>
    </row>
    <row r="11" spans="1:27" ht="14">
      <c r="B11" s="75" t="s">
        <v>300</v>
      </c>
      <c r="C11" s="149">
        <f>'6 - Demonstrativos Financeiros'!C70</f>
        <v>44.372</v>
      </c>
      <c r="D11" s="149">
        <f>'6 - Demonstrativos Financeiros'!D70</f>
        <v>28.062000000000001</v>
      </c>
      <c r="E11" s="149">
        <f>'6 - Demonstrativos Financeiros'!E70</f>
        <v>158.61799999999999</v>
      </c>
      <c r="F11" s="149">
        <f>'6 - Demonstrativos Financeiros'!F70</f>
        <v>256.64499999999998</v>
      </c>
      <c r="G11" s="149">
        <f>'6 - Demonstrativos Financeiros'!G70</f>
        <v>260.55500000000001</v>
      </c>
      <c r="H11" s="149">
        <f>'6 - Demonstrativos Financeiros'!H70</f>
        <v>387.101</v>
      </c>
      <c r="I11" s="149">
        <f>'6 - Demonstrativos Financeiros'!I70</f>
        <v>360.32799999999997</v>
      </c>
      <c r="J11" s="149">
        <f>'6 - Demonstrativos Financeiros'!J70</f>
        <v>335.13</v>
      </c>
      <c r="K11" s="149">
        <f>'6 - Demonstrativos Financeiros'!K70</f>
        <v>416.798</v>
      </c>
      <c r="L11" s="149">
        <f>'6 - Demonstrativos Financeiros'!L70</f>
        <v>347.41199999999998</v>
      </c>
      <c r="M11" s="149">
        <f>'6 - Demonstrativos Financeiros'!M70</f>
        <v>412.73500000000001</v>
      </c>
      <c r="N11" s="149">
        <f>'6 - Demonstrativos Financeiros'!N70</f>
        <v>594.58100000000002</v>
      </c>
      <c r="O11" s="149">
        <f>'6 - Demonstrativos Financeiros'!O70</f>
        <v>589.87900000000002</v>
      </c>
      <c r="P11" s="149">
        <f>'6 - Demonstrativos Financeiros'!P70</f>
        <v>614</v>
      </c>
      <c r="Q11" s="149">
        <f>'6 - Demonstrativos Financeiros'!Q70</f>
        <v>387</v>
      </c>
      <c r="R11" s="149">
        <f>'6 - Demonstrativos Financeiros'!R70</f>
        <v>558.01700000000005</v>
      </c>
      <c r="S11" s="149">
        <f>'6 - Demonstrativos Financeiros'!S70</f>
        <v>272.87900000000002</v>
      </c>
      <c r="T11" s="149">
        <f>'6 - Demonstrativos Financeiros'!T70</f>
        <v>109</v>
      </c>
    </row>
    <row r="12" spans="1:27" ht="14">
      <c r="B12" s="271" t="s">
        <v>301</v>
      </c>
      <c r="C12" s="157">
        <f>C9+C8-C10-C11</f>
        <v>572.05500000000006</v>
      </c>
      <c r="D12" s="157">
        <f t="shared" ref="D12:S12" si="0">D9+D8-D10-D11</f>
        <v>626.779</v>
      </c>
      <c r="E12" s="157">
        <f t="shared" si="0"/>
        <v>768.16099999999983</v>
      </c>
      <c r="F12" s="157">
        <f t="shared" si="0"/>
        <v>669.71399999999994</v>
      </c>
      <c r="G12" s="157">
        <f t="shared" si="0"/>
        <v>655.81600000000003</v>
      </c>
      <c r="H12" s="157">
        <f t="shared" si="0"/>
        <v>684.68800000000022</v>
      </c>
      <c r="I12" s="157">
        <f t="shared" si="0"/>
        <v>647.80200000000013</v>
      </c>
      <c r="J12" s="157">
        <f t="shared" si="0"/>
        <v>590.09300000000019</v>
      </c>
      <c r="K12" s="157">
        <f t="shared" si="0"/>
        <v>716.81099999999992</v>
      </c>
      <c r="L12" s="157">
        <f t="shared" si="0"/>
        <v>882.4849999999999</v>
      </c>
      <c r="M12" s="157">
        <f t="shared" si="0"/>
        <v>774.82399999999996</v>
      </c>
      <c r="N12" s="157">
        <f t="shared" si="0"/>
        <v>524.06299999999999</v>
      </c>
      <c r="O12" s="157">
        <f>O9+O8-O10-O11</f>
        <v>786.55100000000004</v>
      </c>
      <c r="P12" s="157">
        <f>P9+P8-P10-P11</f>
        <v>1109</v>
      </c>
      <c r="Q12" s="157">
        <f t="shared" si="0"/>
        <v>1362</v>
      </c>
      <c r="R12" s="157">
        <f t="shared" si="0"/>
        <v>1076.9179999999997</v>
      </c>
      <c r="S12" s="157">
        <f t="shared" si="0"/>
        <v>1405.9490000000001</v>
      </c>
      <c r="T12" s="157">
        <f>T9+T8-T10-T11</f>
        <v>1511</v>
      </c>
    </row>
    <row r="13" spans="1:27" ht="14">
      <c r="B13" s="76" t="s">
        <v>131</v>
      </c>
      <c r="C13" s="149">
        <f>'6 - Demonstrativos Financeiros'!C7</f>
        <v>1165.088</v>
      </c>
      <c r="D13" s="149">
        <f>'6 - Demonstrativos Financeiros'!D7</f>
        <v>1316.9949999999999</v>
      </c>
      <c r="E13" s="149">
        <f>'6 - Demonstrativos Financeiros'!E7</f>
        <v>1438.836</v>
      </c>
      <c r="F13" s="149">
        <f>'6 - Demonstrativos Financeiros'!F7</f>
        <v>1496.5569999999993</v>
      </c>
      <c r="G13" s="149">
        <f>'6 - Demonstrativos Financeiros'!G7</f>
        <v>1327.079</v>
      </c>
      <c r="H13" s="149">
        <f>'6 - Demonstrativos Financeiros'!H7</f>
        <v>1365.954</v>
      </c>
      <c r="I13" s="149">
        <f>'6 - Demonstrativos Financeiros'!I7</f>
        <v>1313.2519999999995</v>
      </c>
      <c r="J13" s="149">
        <f>'6 - Demonstrativos Financeiros'!J7</f>
        <v>1257.3990000000013</v>
      </c>
      <c r="K13" s="149">
        <f>'6 - Demonstrativos Financeiros'!K7</f>
        <v>1252.7380000000001</v>
      </c>
      <c r="L13" s="149">
        <f>'6 - Demonstrativos Financeiros'!L7</f>
        <v>1101.9179999999999</v>
      </c>
      <c r="M13" s="149">
        <f>'6 - Demonstrativos Financeiros'!M7</f>
        <v>1485.6209999999999</v>
      </c>
      <c r="N13" s="149">
        <f>'6 - Demonstrativos Financeiros'!N7</f>
        <v>1571.105</v>
      </c>
      <c r="O13" s="149">
        <f>'6 - Demonstrativos Financeiros'!O7</f>
        <v>1792.8239999999998</v>
      </c>
      <c r="P13" s="149">
        <f>'6 - Demonstrativos Financeiros'!P7</f>
        <v>1913.0839999999996</v>
      </c>
      <c r="Q13" s="149">
        <f>'6 - Demonstrativos Financeiros'!Q7</f>
        <v>2300.0440000000008</v>
      </c>
      <c r="R13" s="149">
        <f>'6 - Demonstrativos Financeiros'!R7</f>
        <v>2417.2279999999996</v>
      </c>
      <c r="S13" s="149">
        <f>'6 - Demonstrativos Financeiros'!S7</f>
        <v>2291.665</v>
      </c>
      <c r="T13" s="149">
        <f>'6 - Demonstrativos Financeiros'!T7</f>
        <v>2331</v>
      </c>
    </row>
    <row r="14" spans="1:27" ht="14.5" thickBot="1">
      <c r="B14" s="269" t="s">
        <v>302</v>
      </c>
      <c r="C14" s="273">
        <f>31+28+31</f>
        <v>90</v>
      </c>
      <c r="D14" s="273">
        <f>30+31+30</f>
        <v>91</v>
      </c>
      <c r="E14" s="273">
        <f>31+31+30</f>
        <v>92</v>
      </c>
      <c r="F14" s="273">
        <f>31+30+31</f>
        <v>92</v>
      </c>
      <c r="G14" s="273">
        <f>31+28+31</f>
        <v>90</v>
      </c>
      <c r="H14" s="273">
        <f>30+31+30</f>
        <v>91</v>
      </c>
      <c r="I14" s="273">
        <f>31+31+30</f>
        <v>92</v>
      </c>
      <c r="J14" s="273">
        <f>31+30+31</f>
        <v>92</v>
      </c>
      <c r="K14" s="273">
        <f>31+29+31</f>
        <v>91</v>
      </c>
      <c r="L14" s="273">
        <f>30+31+30</f>
        <v>91</v>
      </c>
      <c r="M14" s="273">
        <f>31+31+30</f>
        <v>92</v>
      </c>
      <c r="N14" s="273">
        <f>31+30+31</f>
        <v>92</v>
      </c>
      <c r="O14" s="270">
        <f>31+28+31</f>
        <v>90</v>
      </c>
      <c r="P14" s="273">
        <f>30+31+30</f>
        <v>91</v>
      </c>
      <c r="Q14" s="273">
        <f>31+31+30</f>
        <v>92</v>
      </c>
      <c r="R14" s="273">
        <f>31+30+31</f>
        <v>92</v>
      </c>
      <c r="S14" s="273">
        <f>31+28+31</f>
        <v>90</v>
      </c>
      <c r="T14" s="273">
        <f>30+31+30</f>
        <v>91</v>
      </c>
    </row>
    <row r="15" spans="1:27" ht="14.5" thickBot="1">
      <c r="B15" s="268" t="s">
        <v>303</v>
      </c>
      <c r="C15" s="272">
        <f t="shared" ref="C15:N15" si="1">(C12*C14)/C13</f>
        <v>44.18975219039249</v>
      </c>
      <c r="D15" s="272">
        <f t="shared" si="1"/>
        <v>43.308356523752941</v>
      </c>
      <c r="E15" s="272">
        <f t="shared" si="1"/>
        <v>49.116655407565553</v>
      </c>
      <c r="F15" s="272">
        <f t="shared" si="1"/>
        <v>41.170291542520616</v>
      </c>
      <c r="G15" s="272">
        <f t="shared" si="1"/>
        <v>44.476206766891799</v>
      </c>
      <c r="H15" s="272">
        <f t="shared" si="1"/>
        <v>45.613987001026409</v>
      </c>
      <c r="I15" s="272">
        <f t="shared" si="1"/>
        <v>45.381833798844426</v>
      </c>
      <c r="J15" s="272">
        <f t="shared" si="1"/>
        <v>43.175281672722789</v>
      </c>
      <c r="K15" s="272">
        <f t="shared" si="1"/>
        <v>52.069787138252366</v>
      </c>
      <c r="L15" s="272">
        <f t="shared" si="1"/>
        <v>72.878503663611994</v>
      </c>
      <c r="M15" s="272">
        <f t="shared" si="1"/>
        <v>47.982498901132928</v>
      </c>
      <c r="N15" s="272">
        <f t="shared" si="1"/>
        <v>30.687825447694458</v>
      </c>
      <c r="O15" s="272">
        <f>(O12*O14)/O13</f>
        <v>39.484963387370996</v>
      </c>
      <c r="P15" s="272">
        <f t="shared" ref="P15:S15" si="2">(P12*P14)/P13</f>
        <v>52.751996253170283</v>
      </c>
      <c r="Q15" s="272">
        <f t="shared" si="2"/>
        <v>54.478957793850881</v>
      </c>
      <c r="R15" s="272">
        <f t="shared" si="2"/>
        <v>40.987633768928703</v>
      </c>
      <c r="S15" s="272">
        <f t="shared" si="2"/>
        <v>55.215491793084944</v>
      </c>
      <c r="T15" s="272">
        <f>(T12*T14)/T13</f>
        <v>58.987987987987985</v>
      </c>
    </row>
  </sheetData>
  <pageMargins left="0.511811024" right="0.511811024" top="0.78740157499999996" bottom="0.78740157499999996" header="0.31496062000000002" footer="0.31496062000000002"/>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621B7-98FC-4F0B-B318-3C3AF61DF5D5}">
  <dimension ref="A1:AA20"/>
  <sheetViews>
    <sheetView showGridLines="0" zoomScale="90" zoomScaleNormal="90" workbookViewId="0">
      <selection activeCell="E19" sqref="E19"/>
    </sheetView>
  </sheetViews>
  <sheetFormatPr defaultRowHeight="12.5"/>
  <cols>
    <col min="1" max="1" width="2.1796875" customWidth="1"/>
    <col min="2" max="2" width="23.54296875" bestFit="1" customWidth="1"/>
  </cols>
  <sheetData>
    <row r="1" spans="1:27" s="42" customFormat="1"/>
    <row r="2" spans="1:27" s="42" customFormat="1" ht="13.5" customHeight="1"/>
    <row r="3" spans="1:27" s="42" customFormat="1"/>
    <row r="4" spans="1:27" s="42" customFormat="1" ht="20.25" customHeight="1"/>
    <row r="5" spans="1:27" s="42" customFormat="1" ht="13">
      <c r="B5" s="59"/>
    </row>
    <row r="6" spans="1:27" s="19" customFormat="1" ht="14.25" customHeight="1" thickBot="1">
      <c r="B6" s="60" t="s">
        <v>304</v>
      </c>
      <c r="C6" s="79" t="s">
        <v>116</v>
      </c>
      <c r="D6" s="79" t="s">
        <v>117</v>
      </c>
      <c r="E6" s="79" t="s">
        <v>118</v>
      </c>
      <c r="F6" s="79" t="s">
        <v>119</v>
      </c>
      <c r="G6" s="79" t="s">
        <v>120</v>
      </c>
      <c r="H6" s="79" t="s">
        <v>121</v>
      </c>
    </row>
    <row r="7" spans="1:27" s="40" customFormat="1" ht="4.5" customHeight="1" thickTop="1">
      <c r="A7" s="53"/>
      <c r="B7" s="48"/>
      <c r="C7" s="54"/>
      <c r="D7" s="54"/>
      <c r="E7" s="54"/>
      <c r="F7" s="54"/>
      <c r="G7" s="54"/>
      <c r="H7" s="54"/>
      <c r="I7"/>
      <c r="J7"/>
      <c r="K7"/>
      <c r="L7"/>
      <c r="M7" s="54"/>
      <c r="N7" s="54"/>
      <c r="O7" s="54"/>
      <c r="P7" s="54"/>
      <c r="Q7" s="54"/>
      <c r="R7" s="54"/>
      <c r="S7" s="54"/>
      <c r="T7" s="54"/>
      <c r="W7" s="54"/>
      <c r="X7" s="54"/>
      <c r="Y7" s="54"/>
      <c r="Z7" s="54"/>
      <c r="AA7" s="54"/>
    </row>
    <row r="8" spans="1:27" s="42" customFormat="1" ht="14.25" customHeight="1" thickBot="1">
      <c r="B8" s="66" t="s">
        <v>180</v>
      </c>
      <c r="C8" s="67">
        <f>'6 - Demonstrativos Financeiros'!O33</f>
        <v>360.42100000000011</v>
      </c>
      <c r="D8" s="67">
        <f>'6 - Demonstrativos Financeiros'!P33</f>
        <v>362.67900000000003</v>
      </c>
      <c r="E8" s="67">
        <f>'6 - Demonstrativos Financeiros'!Q33</f>
        <v>313.71800000000081</v>
      </c>
      <c r="F8" s="67">
        <f>'6 - Demonstrativos Financeiros'!R33</f>
        <v>500.678</v>
      </c>
      <c r="G8" s="67">
        <f>'6 - Demonstrativos Financeiros'!S33</f>
        <v>552.33500000000004</v>
      </c>
      <c r="H8" s="67">
        <f>'6 - Demonstrativos Financeiros'!T33</f>
        <v>641</v>
      </c>
      <c r="I8"/>
      <c r="J8"/>
      <c r="K8"/>
      <c r="L8"/>
    </row>
    <row r="9" spans="1:27" ht="14">
      <c r="B9" s="76" t="s">
        <v>305</v>
      </c>
      <c r="C9" s="149">
        <v>-195</v>
      </c>
      <c r="D9" s="149">
        <v>-254</v>
      </c>
      <c r="E9" s="149">
        <v>51</v>
      </c>
      <c r="F9" s="149">
        <v>179.5</v>
      </c>
      <c r="G9" s="149">
        <v>-308.79700000000003</v>
      </c>
      <c r="H9" s="149">
        <v>-191.24038703999963</v>
      </c>
    </row>
    <row r="10" spans="1:27" ht="14">
      <c r="B10" s="76" t="s">
        <v>306</v>
      </c>
      <c r="C10" s="149">
        <v>-50</v>
      </c>
      <c r="D10" s="149">
        <v>0</v>
      </c>
      <c r="E10" s="149">
        <v>-72</v>
      </c>
      <c r="F10" s="149">
        <v>-19.5</v>
      </c>
      <c r="G10" s="149">
        <v>-77.283000000000001</v>
      </c>
      <c r="H10" s="149">
        <v>-94.908000000000001</v>
      </c>
    </row>
    <row r="11" spans="1:27" ht="14">
      <c r="B11" s="75" t="s">
        <v>307</v>
      </c>
      <c r="C11" s="149">
        <v>-84</v>
      </c>
      <c r="D11" s="149">
        <v>-106</v>
      </c>
      <c r="E11" s="149">
        <v>-185</v>
      </c>
      <c r="F11" s="149">
        <v>-185</v>
      </c>
      <c r="G11" s="149">
        <v>-148.566</v>
      </c>
      <c r="H11" s="149">
        <v>-177.45099999999999</v>
      </c>
    </row>
    <row r="12" spans="1:27" ht="14">
      <c r="B12" s="75" t="s">
        <v>308</v>
      </c>
      <c r="C12" s="149">
        <v>-16</v>
      </c>
      <c r="D12" s="149">
        <v>-57</v>
      </c>
      <c r="E12" s="149">
        <v>-44</v>
      </c>
      <c r="F12" s="149">
        <v>-86.5</v>
      </c>
      <c r="G12" s="149">
        <v>-86.14100000000002</v>
      </c>
      <c r="H12" s="149">
        <v>-1.0580000000000043</v>
      </c>
    </row>
    <row r="13" spans="1:27" ht="14">
      <c r="B13" s="76" t="s">
        <v>309</v>
      </c>
      <c r="C13" s="149">
        <v>-380.5</v>
      </c>
      <c r="D13" s="149">
        <v>-33</v>
      </c>
      <c r="E13" s="149">
        <v>-11</v>
      </c>
      <c r="F13" s="149">
        <v>0</v>
      </c>
      <c r="G13" s="149"/>
      <c r="H13" s="149">
        <v>-217.24107218000006</v>
      </c>
    </row>
    <row r="14" spans="1:27" ht="14">
      <c r="B14" s="289" t="s">
        <v>317</v>
      </c>
      <c r="C14" s="149">
        <v>0</v>
      </c>
      <c r="D14" s="149">
        <v>-37</v>
      </c>
      <c r="E14" s="149">
        <v>0</v>
      </c>
      <c r="F14" s="149">
        <v>0</v>
      </c>
      <c r="G14" s="149">
        <v>-129.61399999999998</v>
      </c>
      <c r="H14" s="149">
        <v>0</v>
      </c>
    </row>
    <row r="15" spans="1:27" ht="14.5" thickBot="1">
      <c r="B15" s="269" t="s">
        <v>310</v>
      </c>
      <c r="C15" s="270">
        <v>0</v>
      </c>
      <c r="D15" s="270">
        <v>0</v>
      </c>
      <c r="E15" s="270">
        <v>657</v>
      </c>
      <c r="F15" s="270">
        <v>0</v>
      </c>
      <c r="G15" s="270">
        <v>0</v>
      </c>
      <c r="H15" s="270">
        <v>0</v>
      </c>
    </row>
    <row r="16" spans="1:27" s="42" customFormat="1" ht="14.25" customHeight="1" thickBot="1">
      <c r="B16" s="66" t="s">
        <v>311</v>
      </c>
      <c r="C16" s="67">
        <f>SUM(C8:C15)</f>
        <v>-365.07899999999989</v>
      </c>
      <c r="D16" s="67">
        <f t="shared" ref="D16:H16" si="0">SUM(D8:D15)</f>
        <v>-124.32099999999997</v>
      </c>
      <c r="E16" s="67">
        <f t="shared" si="0"/>
        <v>709.71800000000076</v>
      </c>
      <c r="F16" s="67">
        <f t="shared" si="0"/>
        <v>389.178</v>
      </c>
      <c r="G16" s="67">
        <f t="shared" si="0"/>
        <v>-198.066</v>
      </c>
      <c r="H16" s="67">
        <f t="shared" si="0"/>
        <v>-40.898459219999694</v>
      </c>
      <c r="I16"/>
      <c r="J16"/>
      <c r="K16"/>
      <c r="L16"/>
    </row>
    <row r="18" spans="2:2" ht="13">
      <c r="B18" s="216" t="s">
        <v>312</v>
      </c>
    </row>
    <row r="19" spans="2:2" ht="13">
      <c r="B19" s="216" t="s">
        <v>316</v>
      </c>
    </row>
    <row r="20" spans="2:2" ht="13">
      <c r="B20" s="290" t="s">
        <v>318</v>
      </c>
    </row>
  </sheetData>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4:M27"/>
  <sheetViews>
    <sheetView showGridLines="0" zoomScaleNormal="100" workbookViewId="0">
      <selection sqref="A1:Q27"/>
    </sheetView>
  </sheetViews>
  <sheetFormatPr defaultColWidth="9.1796875" defaultRowHeight="12.5"/>
  <cols>
    <col min="1" max="1" width="2.1796875" style="19" customWidth="1"/>
    <col min="2" max="2" width="23" style="19" customWidth="1"/>
    <col min="3" max="3" width="11.453125" style="19" customWidth="1"/>
    <col min="4" max="11" width="9.1796875" style="19"/>
    <col min="12" max="12" width="12.54296875" style="19" bestFit="1" customWidth="1"/>
    <col min="13" max="16384" width="9.1796875" style="19"/>
  </cols>
  <sheetData>
    <row r="4" spans="2:13" ht="26.25" customHeight="1"/>
    <row r="5" spans="2:13" ht="16.5" customHeight="1"/>
    <row r="6" spans="2:13" ht="19.5" customHeight="1">
      <c r="B6" s="88" t="s">
        <v>13</v>
      </c>
      <c r="C6" s="81"/>
      <c r="D6" s="81"/>
      <c r="E6" s="20"/>
      <c r="F6" s="20"/>
      <c r="G6" s="20"/>
      <c r="H6" s="20"/>
      <c r="I6" s="20"/>
      <c r="J6" s="21"/>
      <c r="K6" s="21"/>
      <c r="L6" s="21"/>
      <c r="M6" s="21"/>
    </row>
    <row r="7" spans="2:13" ht="16.5" customHeight="1">
      <c r="B7" s="83" t="s">
        <v>14</v>
      </c>
      <c r="C7" s="82"/>
      <c r="D7" s="82"/>
      <c r="E7" s="82"/>
      <c r="F7" s="82"/>
      <c r="G7" s="22"/>
      <c r="H7" s="22"/>
      <c r="I7" s="22"/>
      <c r="J7" s="21"/>
      <c r="K7" s="21"/>
      <c r="L7" s="21"/>
      <c r="M7" s="21"/>
    </row>
    <row r="8" spans="2:13" ht="18.75" customHeight="1">
      <c r="B8" s="83" t="s">
        <v>15</v>
      </c>
      <c r="C8" s="82"/>
      <c r="D8" s="82"/>
      <c r="E8" s="82"/>
      <c r="F8" s="82"/>
      <c r="G8" s="22"/>
      <c r="H8" s="22"/>
      <c r="I8" s="22"/>
      <c r="J8" s="21"/>
      <c r="K8" s="21"/>
      <c r="L8" s="21"/>
      <c r="M8" s="21"/>
    </row>
    <row r="9" spans="2:13" ht="19.5" customHeight="1">
      <c r="B9" s="83" t="s">
        <v>16</v>
      </c>
      <c r="C9" s="82"/>
      <c r="D9" s="82"/>
      <c r="E9" s="82"/>
      <c r="F9" s="82"/>
      <c r="G9" s="22"/>
      <c r="H9" s="22"/>
      <c r="I9" s="22"/>
      <c r="J9" s="21"/>
      <c r="K9" s="21"/>
      <c r="L9" s="21"/>
      <c r="M9" s="21"/>
    </row>
    <row r="10" spans="2:13" ht="18" customHeight="1">
      <c r="B10" s="83" t="s">
        <v>17</v>
      </c>
      <c r="C10" s="82"/>
      <c r="D10" s="82"/>
      <c r="E10" s="82"/>
      <c r="F10" s="82"/>
      <c r="G10" s="22"/>
      <c r="H10" s="22"/>
      <c r="I10" s="22"/>
      <c r="J10" s="21"/>
      <c r="K10" s="21"/>
      <c r="L10" s="21"/>
      <c r="M10" s="21"/>
    </row>
    <row r="11" spans="2:13" ht="19.5" customHeight="1">
      <c r="B11" s="83" t="s">
        <v>18</v>
      </c>
      <c r="C11" s="82"/>
      <c r="D11" s="82"/>
      <c r="E11" s="82"/>
      <c r="F11" s="82"/>
      <c r="G11" s="22"/>
      <c r="H11" s="22"/>
      <c r="I11" s="22"/>
      <c r="J11" s="21"/>
      <c r="K11" s="21"/>
      <c r="L11" s="24"/>
      <c r="M11" s="21"/>
    </row>
    <row r="12" spans="2:13" ht="16.5" customHeight="1">
      <c r="B12" s="84"/>
      <c r="C12" s="85"/>
      <c r="D12" s="85"/>
      <c r="E12" s="85"/>
      <c r="F12" s="85"/>
      <c r="G12" s="25"/>
      <c r="H12" s="25"/>
      <c r="I12" s="25"/>
      <c r="J12" s="26"/>
      <c r="K12" s="26"/>
      <c r="L12" s="26"/>
      <c r="M12" s="26"/>
    </row>
    <row r="13" spans="2:13" ht="21" customHeight="1">
      <c r="B13" s="80" t="s">
        <v>19</v>
      </c>
      <c r="C13" s="86"/>
      <c r="D13" s="87"/>
      <c r="E13" s="87"/>
      <c r="F13" s="87"/>
      <c r="G13" s="28"/>
      <c r="H13" s="28"/>
      <c r="I13" s="28"/>
    </row>
    <row r="14" spans="2:13" ht="15.75" customHeight="1">
      <c r="B14" s="29"/>
      <c r="C14" s="27"/>
      <c r="D14" s="28"/>
      <c r="E14" s="28"/>
      <c r="F14" s="28"/>
      <c r="G14" s="28"/>
      <c r="H14" s="28"/>
      <c r="I14" s="28"/>
    </row>
    <row r="15" spans="2:13">
      <c r="B15" s="29"/>
      <c r="C15" s="27"/>
      <c r="D15" s="28"/>
      <c r="E15" s="28"/>
      <c r="F15" s="30"/>
      <c r="G15" s="28"/>
      <c r="H15" s="28"/>
      <c r="I15" s="28"/>
    </row>
    <row r="16" spans="2:13" ht="18" customHeight="1">
      <c r="B16" s="29"/>
      <c r="C16" s="31" t="s">
        <v>20</v>
      </c>
      <c r="D16" s="27"/>
      <c r="E16" s="28"/>
      <c r="F16" s="28"/>
      <c r="G16" s="28"/>
      <c r="H16" s="28"/>
      <c r="I16" s="28"/>
      <c r="J16" s="28"/>
    </row>
    <row r="17" spans="2:13" ht="8.5" customHeight="1">
      <c r="B17" s="28"/>
      <c r="C17" s="32"/>
      <c r="D17" s="28"/>
      <c r="E17" s="28"/>
      <c r="F17" s="28"/>
      <c r="G17" s="28"/>
      <c r="H17" s="28"/>
      <c r="I17" s="28"/>
    </row>
    <row r="18" spans="2:13" ht="13">
      <c r="B18" s="33"/>
      <c r="C18" s="32"/>
      <c r="D18" s="28"/>
      <c r="E18" s="28"/>
      <c r="F18" s="28"/>
      <c r="G18" s="28"/>
      <c r="H18" s="28"/>
      <c r="I18" s="28"/>
    </row>
    <row r="19" spans="2:13" ht="13.5" customHeight="1">
      <c r="B19" s="34"/>
      <c r="C19" s="34"/>
      <c r="D19" s="34"/>
      <c r="E19" s="34"/>
      <c r="F19" s="34"/>
      <c r="G19" s="34"/>
      <c r="H19" s="34"/>
      <c r="I19" s="34"/>
    </row>
    <row r="20" spans="2:13" ht="14.25" customHeight="1">
      <c r="B20" s="34"/>
      <c r="C20" s="34"/>
      <c r="D20" s="34"/>
      <c r="E20" s="34"/>
      <c r="F20" s="34"/>
      <c r="G20" s="34"/>
      <c r="H20" s="34"/>
      <c r="I20" s="34"/>
    </row>
    <row r="21" spans="2:13">
      <c r="B21" s="34"/>
      <c r="C21" s="34"/>
      <c r="D21" s="34"/>
      <c r="E21" s="34"/>
      <c r="F21" s="34"/>
      <c r="G21" s="34"/>
      <c r="H21" s="34"/>
      <c r="I21" s="34"/>
    </row>
    <row r="22" spans="2:13" ht="12" customHeight="1">
      <c r="B22" s="34"/>
      <c r="C22" s="34"/>
      <c r="D22" s="34"/>
      <c r="E22" s="34"/>
      <c r="F22" s="34"/>
      <c r="G22" s="34"/>
      <c r="H22" s="34"/>
      <c r="I22" s="34"/>
    </row>
    <row r="23" spans="2:13" ht="19.399999999999999" customHeight="1">
      <c r="B23" s="28"/>
      <c r="C23" s="35"/>
      <c r="D23" s="35"/>
      <c r="E23" s="35"/>
      <c r="F23" s="35"/>
      <c r="G23" s="35"/>
      <c r="H23" s="35"/>
      <c r="I23" s="35"/>
      <c r="J23" s="35"/>
      <c r="K23" s="35"/>
      <c r="L23" s="35"/>
      <c r="M23" s="35"/>
    </row>
    <row r="24" spans="2:13">
      <c r="B24" s="35"/>
      <c r="C24" s="35"/>
      <c r="D24" s="35"/>
      <c r="E24" s="35"/>
      <c r="F24" s="35"/>
      <c r="G24" s="35"/>
      <c r="H24" s="35"/>
      <c r="I24" s="35"/>
      <c r="J24" s="35"/>
      <c r="K24" s="35"/>
      <c r="L24" s="35"/>
      <c r="M24" s="35"/>
    </row>
    <row r="25" spans="2:13">
      <c r="B25" s="35"/>
      <c r="C25" s="35"/>
      <c r="D25" s="35"/>
      <c r="E25" s="35"/>
      <c r="F25" s="35"/>
      <c r="G25" s="35"/>
      <c r="H25" s="35"/>
      <c r="I25" s="35"/>
      <c r="J25" s="35"/>
      <c r="K25" s="35"/>
      <c r="L25" s="35"/>
      <c r="M25" s="35"/>
    </row>
    <row r="26" spans="2:13">
      <c r="B26" s="35"/>
      <c r="C26" s="35"/>
      <c r="D26" s="35"/>
      <c r="E26" s="35"/>
      <c r="F26" s="35"/>
      <c r="G26" s="35"/>
      <c r="H26" s="35"/>
      <c r="I26" s="35"/>
      <c r="J26" s="35"/>
      <c r="K26" s="35"/>
      <c r="L26" s="35"/>
      <c r="M26" s="35"/>
    </row>
    <row r="27" spans="2:13" ht="20.5" customHeight="1">
      <c r="B27" s="34"/>
      <c r="C27" s="34"/>
      <c r="D27" s="34"/>
      <c r="E27" s="34"/>
      <c r="F27" s="34"/>
      <c r="G27" s="34"/>
      <c r="H27" s="34"/>
      <c r="I27" s="34"/>
      <c r="J27" s="34"/>
      <c r="K27" s="34"/>
      <c r="L27" s="34"/>
      <c r="M27" s="34"/>
    </row>
  </sheetData>
  <phoneticPr fontId="2" type="noConversion"/>
  <pageMargins left="0.78740157480314965" right="0.78740157480314965" top="0.98425196850393704" bottom="0.98425196850393704" header="0.51181102362204722" footer="0.51181102362204722"/>
  <pageSetup paperSize="9" scale="61" orientation="landscape" r:id="rId1"/>
  <headerFooter alignWithMargins="0"/>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3:L49"/>
  <sheetViews>
    <sheetView showGridLines="0" zoomScaleNormal="100" workbookViewId="0">
      <selection sqref="A1:M49"/>
    </sheetView>
  </sheetViews>
  <sheetFormatPr defaultColWidth="9.1796875" defaultRowHeight="12.5"/>
  <cols>
    <col min="1" max="1" width="10.1796875" style="19" customWidth="1"/>
    <col min="2" max="2" width="23.1796875" style="19" customWidth="1"/>
    <col min="3" max="3" width="12.1796875" style="19" customWidth="1"/>
    <col min="4" max="4" width="8.1796875" style="19" customWidth="1"/>
    <col min="5" max="5" width="22.453125" style="19" customWidth="1"/>
    <col min="6" max="6" width="6.81640625" style="19" customWidth="1"/>
    <col min="7" max="7" width="13.81640625" style="19" customWidth="1"/>
    <col min="8" max="8" width="7" style="19" customWidth="1"/>
    <col min="9" max="9" width="9.1796875" style="19"/>
    <col min="10" max="10" width="5.7265625" style="19" customWidth="1"/>
    <col min="11" max="16384" width="9.1796875" style="19"/>
  </cols>
  <sheetData>
    <row r="3" spans="2:12" ht="58.5" customHeight="1"/>
    <row r="4" spans="2:12" ht="15" customHeight="1">
      <c r="B4" s="23" t="s">
        <v>21</v>
      </c>
    </row>
    <row r="7" spans="2:12" ht="18.75" customHeight="1"/>
    <row r="8" spans="2:12">
      <c r="L8" s="36"/>
    </row>
    <row r="17" ht="6" customHeight="1"/>
    <row r="33" spans="1:11" ht="15.5">
      <c r="B33" s="104" t="s">
        <v>22</v>
      </c>
    </row>
    <row r="34" spans="1:11" ht="66.650000000000006" customHeight="1">
      <c r="B34" s="278" t="s">
        <v>23</v>
      </c>
      <c r="C34" s="278"/>
      <c r="D34" s="278"/>
      <c r="E34" s="278"/>
      <c r="F34" s="278"/>
      <c r="G34" s="278"/>
      <c r="H34" s="278"/>
      <c r="I34" s="278"/>
      <c r="J34" s="278"/>
      <c r="K34" s="105"/>
    </row>
    <row r="35" spans="1:11" ht="15.5">
      <c r="B35" s="104" t="s">
        <v>24</v>
      </c>
    </row>
    <row r="36" spans="1:11" ht="69" customHeight="1">
      <c r="B36" s="278" t="s">
        <v>25</v>
      </c>
      <c r="C36" s="278"/>
      <c r="D36" s="278"/>
      <c r="E36" s="278"/>
      <c r="F36" s="278"/>
      <c r="G36" s="278"/>
      <c r="H36" s="278"/>
      <c r="I36" s="278"/>
      <c r="J36" s="278"/>
    </row>
    <row r="37" spans="1:11" ht="15.5">
      <c r="B37" s="104" t="s">
        <v>26</v>
      </c>
    </row>
    <row r="38" spans="1:11" ht="93.75" customHeight="1">
      <c r="B38" s="278" t="s">
        <v>27</v>
      </c>
      <c r="C38" s="278"/>
      <c r="D38" s="278"/>
      <c r="E38" s="278"/>
      <c r="F38" s="278"/>
      <c r="G38" s="278"/>
      <c r="H38" s="278"/>
      <c r="I38" s="278"/>
      <c r="J38" s="278"/>
    </row>
    <row r="39" spans="1:11" ht="15.5">
      <c r="B39" s="104" t="s">
        <v>28</v>
      </c>
    </row>
    <row r="40" spans="1:11" ht="47.15" customHeight="1">
      <c r="B40" s="278" t="s">
        <v>29</v>
      </c>
      <c r="C40" s="278"/>
      <c r="D40" s="278"/>
      <c r="E40" s="278"/>
      <c r="F40" s="278"/>
      <c r="G40" s="278"/>
      <c r="H40" s="278"/>
      <c r="I40" s="278"/>
      <c r="J40" s="278"/>
    </row>
    <row r="41" spans="1:11" ht="15.5">
      <c r="B41" s="104" t="s">
        <v>30</v>
      </c>
    </row>
    <row r="42" spans="1:11" ht="32.5" customHeight="1">
      <c r="B42" s="278" t="s">
        <v>31</v>
      </c>
      <c r="C42" s="278"/>
      <c r="D42" s="278"/>
      <c r="E42" s="278"/>
      <c r="F42" s="278"/>
      <c r="G42" s="278"/>
      <c r="H42" s="278"/>
      <c r="I42" s="278"/>
      <c r="J42" s="278"/>
    </row>
    <row r="43" spans="1:11" ht="15.5">
      <c r="B43" s="104" t="s">
        <v>32</v>
      </c>
    </row>
    <row r="44" spans="1:11" ht="105" customHeight="1">
      <c r="B44" s="278" t="s">
        <v>33</v>
      </c>
      <c r="C44" s="278"/>
      <c r="D44" s="278"/>
      <c r="E44" s="278"/>
      <c r="F44" s="278"/>
      <c r="G44" s="278"/>
      <c r="H44" s="278"/>
      <c r="I44" s="278"/>
      <c r="J44" s="278"/>
    </row>
    <row r="45" spans="1:11" ht="26.25" customHeight="1">
      <c r="B45" s="104" t="s">
        <v>34</v>
      </c>
      <c r="G45" s="37"/>
      <c r="H45" s="106" t="s">
        <v>35</v>
      </c>
      <c r="I45" s="106"/>
    </row>
    <row r="46" spans="1:11" ht="24.75" customHeight="1"/>
    <row r="47" spans="1:11" ht="11.25" hidden="1" customHeight="1"/>
    <row r="48" spans="1:11" ht="54" hidden="1" customHeight="1">
      <c r="A48" s="38"/>
      <c r="B48" s="39"/>
    </row>
    <row r="49" spans="2:2" ht="18" hidden="1" customHeight="1">
      <c r="B49" s="23"/>
    </row>
  </sheetData>
  <mergeCells count="6">
    <mergeCell ref="B44:J44"/>
    <mergeCell ref="B34:J34"/>
    <mergeCell ref="B36:J36"/>
    <mergeCell ref="B38:J38"/>
    <mergeCell ref="B40:J40"/>
    <mergeCell ref="B42:J42"/>
  </mergeCells>
  <phoneticPr fontId="2" type="noConversion"/>
  <hyperlinks>
    <hyperlink ref="H45" r:id="rId1" xr:uid="{00000000-0004-0000-0200-000000000000}"/>
  </hyperlinks>
  <pageMargins left="0.35433070866141736" right="0.31496062992125984" top="0.39370078740157483" bottom="0.23622047244094491" header="0.35433070866141736" footer="0.27559055118110237"/>
  <pageSetup paperSize="9" scale="64"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872C-CF4C-4049-A267-6A5063B75177}">
  <sheetPr>
    <pageSetUpPr fitToPage="1"/>
  </sheetPr>
  <dimension ref="A3:I72"/>
  <sheetViews>
    <sheetView showGridLines="0" zoomScale="90" zoomScaleNormal="90" zoomScaleSheetLayoutView="160" workbookViewId="0"/>
  </sheetViews>
  <sheetFormatPr defaultColWidth="9.1796875" defaultRowHeight="12.5"/>
  <cols>
    <col min="1" max="1" width="23" style="19" bestFit="1" customWidth="1"/>
    <col min="2" max="2" width="9.54296875" style="19" customWidth="1"/>
    <col min="3" max="6" width="16.7265625" style="19" customWidth="1"/>
    <col min="7" max="7" width="28.26953125" style="19" bestFit="1" customWidth="1"/>
    <col min="8" max="8" width="28.26953125" style="19" customWidth="1"/>
    <col min="9" max="9" width="20.54296875" style="19" bestFit="1" customWidth="1"/>
    <col min="10" max="16384" width="9.1796875" style="19"/>
  </cols>
  <sheetData>
    <row r="3" spans="1:9" ht="58.5" customHeight="1">
      <c r="A3" s="104" t="s">
        <v>36</v>
      </c>
      <c r="B3" s="104"/>
    </row>
    <row r="4" spans="1:9" ht="12.75" customHeight="1">
      <c r="A4" s="280" t="s">
        <v>37</v>
      </c>
      <c r="B4" s="280"/>
      <c r="C4" s="280"/>
      <c r="D4" s="280"/>
      <c r="E4" s="280"/>
      <c r="F4" s="280"/>
      <c r="G4" s="280"/>
      <c r="H4" s="231"/>
    </row>
    <row r="5" spans="1:9" ht="12.75" customHeight="1">
      <c r="A5" s="280"/>
      <c r="B5" s="280"/>
      <c r="C5" s="280"/>
      <c r="D5" s="280"/>
      <c r="E5" s="280"/>
      <c r="F5" s="280"/>
      <c r="G5" s="280"/>
      <c r="H5" s="231"/>
    </row>
    <row r="6" spans="1:9" ht="12.75" customHeight="1">
      <c r="A6" s="280"/>
      <c r="B6" s="280"/>
      <c r="C6" s="280"/>
      <c r="D6" s="280"/>
      <c r="E6" s="280"/>
      <c r="F6" s="280"/>
      <c r="G6" s="280"/>
      <c r="H6" s="231"/>
    </row>
    <row r="7" spans="1:9" ht="12.75" customHeight="1">
      <c r="A7" s="280"/>
      <c r="B7" s="280"/>
      <c r="C7" s="280"/>
      <c r="D7" s="280"/>
      <c r="E7" s="280"/>
      <c r="F7" s="280"/>
      <c r="G7" s="280"/>
      <c r="H7" s="231"/>
    </row>
    <row r="8" spans="1:9" ht="12.75" customHeight="1">
      <c r="A8" s="281"/>
      <c r="B8" s="281"/>
      <c r="C8" s="281"/>
      <c r="D8" s="281"/>
      <c r="E8" s="281"/>
      <c r="F8" s="281"/>
      <c r="G8" s="281"/>
      <c r="H8" s="232"/>
    </row>
    <row r="9" spans="1:9" ht="28.5" thickBot="1">
      <c r="A9" s="233" t="s">
        <v>38</v>
      </c>
      <c r="B9" s="234" t="s">
        <v>39</v>
      </c>
      <c r="C9" s="235" t="s">
        <v>40</v>
      </c>
      <c r="D9" s="235" t="s">
        <v>41</v>
      </c>
      <c r="E9" s="235" t="s">
        <v>42</v>
      </c>
      <c r="F9" s="235" t="s">
        <v>43</v>
      </c>
      <c r="G9" s="235" t="s">
        <v>44</v>
      </c>
      <c r="H9" s="235" t="s">
        <v>45</v>
      </c>
      <c r="I9" s="235" t="s">
        <v>46</v>
      </c>
    </row>
    <row r="10" spans="1:9" ht="12.75" customHeight="1" thickTop="1">
      <c r="A10" s="236" t="s">
        <v>47</v>
      </c>
      <c r="B10" s="237" t="s">
        <v>48</v>
      </c>
      <c r="C10" s="238">
        <v>1</v>
      </c>
      <c r="D10" s="239">
        <v>72</v>
      </c>
      <c r="E10" s="239">
        <v>46.23</v>
      </c>
      <c r="F10" s="239" t="s">
        <v>49</v>
      </c>
      <c r="G10" s="239" t="s">
        <v>50</v>
      </c>
      <c r="H10" s="239" t="s">
        <v>51</v>
      </c>
      <c r="I10" s="240" t="s">
        <v>52</v>
      </c>
    </row>
    <row r="11" spans="1:9" ht="12.75" customHeight="1">
      <c r="A11" s="241" t="s">
        <v>53</v>
      </c>
      <c r="B11" s="242" t="s">
        <v>48</v>
      </c>
      <c r="C11" s="243">
        <v>1</v>
      </c>
      <c r="D11" s="239">
        <v>40.4</v>
      </c>
      <c r="E11" s="239">
        <v>27.4</v>
      </c>
      <c r="F11" s="239" t="s">
        <v>49</v>
      </c>
      <c r="G11" s="239" t="s">
        <v>50</v>
      </c>
      <c r="H11" s="239" t="s">
        <v>51</v>
      </c>
      <c r="I11" s="240">
        <v>53662</v>
      </c>
    </row>
    <row r="12" spans="1:9" ht="12.75" customHeight="1">
      <c r="A12" s="236" t="s">
        <v>54</v>
      </c>
      <c r="B12" s="237" t="s">
        <v>48</v>
      </c>
      <c r="C12" s="243">
        <v>1</v>
      </c>
      <c r="D12" s="239">
        <v>36.4</v>
      </c>
      <c r="E12" s="239">
        <v>25.11</v>
      </c>
      <c r="F12" s="239" t="s">
        <v>49</v>
      </c>
      <c r="G12" s="239" t="s">
        <v>50</v>
      </c>
      <c r="H12" s="239" t="s">
        <v>51</v>
      </c>
      <c r="I12" s="240">
        <v>53662</v>
      </c>
    </row>
    <row r="13" spans="1:9" ht="12.75" customHeight="1">
      <c r="A13" s="241" t="s">
        <v>55</v>
      </c>
      <c r="B13" s="242" t="s">
        <v>48</v>
      </c>
      <c r="C13" s="243">
        <v>1</v>
      </c>
      <c r="D13" s="239">
        <v>29.5</v>
      </c>
      <c r="E13" s="239">
        <v>17.690000000000001</v>
      </c>
      <c r="F13" s="239" t="s">
        <v>49</v>
      </c>
      <c r="G13" s="239" t="s">
        <v>50</v>
      </c>
      <c r="H13" s="239" t="s">
        <v>51</v>
      </c>
      <c r="I13" s="240">
        <v>53662</v>
      </c>
    </row>
    <row r="14" spans="1:9" ht="12.75" customHeight="1">
      <c r="A14" s="236" t="s">
        <v>56</v>
      </c>
      <c r="B14" s="237" t="s">
        <v>48</v>
      </c>
      <c r="C14" s="243">
        <v>1</v>
      </c>
      <c r="D14" s="239">
        <v>28.4</v>
      </c>
      <c r="E14" s="239">
        <v>19.41</v>
      </c>
      <c r="F14" s="239" t="s">
        <v>49</v>
      </c>
      <c r="G14" s="239" t="s">
        <v>50</v>
      </c>
      <c r="H14" s="239" t="s">
        <v>51</v>
      </c>
      <c r="I14" s="240">
        <v>53662</v>
      </c>
    </row>
    <row r="15" spans="1:9" ht="12.75" customHeight="1">
      <c r="A15" s="241" t="s">
        <v>57</v>
      </c>
      <c r="B15" s="242" t="s">
        <v>48</v>
      </c>
      <c r="C15" s="243">
        <v>1</v>
      </c>
      <c r="D15" s="239">
        <v>24</v>
      </c>
      <c r="E15" s="239">
        <v>16.55</v>
      </c>
      <c r="F15" s="239" t="s">
        <v>49</v>
      </c>
      <c r="G15" s="239" t="s">
        <v>50</v>
      </c>
      <c r="H15" s="239" t="s">
        <v>51</v>
      </c>
      <c r="I15" s="240">
        <v>53662</v>
      </c>
    </row>
    <row r="16" spans="1:9" ht="12.75" customHeight="1">
      <c r="A16" s="236" t="s">
        <v>58</v>
      </c>
      <c r="B16" s="237" t="s">
        <v>48</v>
      </c>
      <c r="C16" s="243">
        <v>1</v>
      </c>
      <c r="D16" s="239">
        <v>36.869999999999997</v>
      </c>
      <c r="E16" s="239">
        <v>26.83</v>
      </c>
      <c r="F16" s="239" t="s">
        <v>49</v>
      </c>
      <c r="G16" s="239" t="s">
        <v>50</v>
      </c>
      <c r="H16" s="239" t="s">
        <v>51</v>
      </c>
      <c r="I16" s="240" t="s">
        <v>59</v>
      </c>
    </row>
    <row r="17" spans="1:9" ht="12.75" customHeight="1">
      <c r="A17" s="241" t="s">
        <v>60</v>
      </c>
      <c r="B17" s="242" t="s">
        <v>48</v>
      </c>
      <c r="C17" s="243">
        <v>1</v>
      </c>
      <c r="D17" s="239">
        <v>55</v>
      </c>
      <c r="E17" s="239">
        <v>17.12</v>
      </c>
      <c r="F17" s="239" t="s">
        <v>49</v>
      </c>
      <c r="G17" s="239" t="s">
        <v>61</v>
      </c>
      <c r="H17" s="239" t="s">
        <v>51</v>
      </c>
      <c r="I17" s="240">
        <v>45323</v>
      </c>
    </row>
    <row r="18" spans="1:9" ht="12.75" customHeight="1">
      <c r="A18" s="236" t="s">
        <v>62</v>
      </c>
      <c r="B18" s="237" t="s">
        <v>48</v>
      </c>
      <c r="C18" s="243">
        <v>1</v>
      </c>
      <c r="D18" s="239">
        <v>7.2</v>
      </c>
      <c r="E18" s="239">
        <v>3.42</v>
      </c>
      <c r="F18" s="239" t="s">
        <v>49</v>
      </c>
      <c r="G18" s="239" t="s">
        <v>61</v>
      </c>
      <c r="H18" s="239" t="s">
        <v>51</v>
      </c>
      <c r="I18" s="240">
        <v>46174</v>
      </c>
    </row>
    <row r="19" spans="1:9" ht="12.75" customHeight="1">
      <c r="A19" s="241" t="s">
        <v>63</v>
      </c>
      <c r="B19" s="242" t="s">
        <v>48</v>
      </c>
      <c r="C19" s="243">
        <v>1</v>
      </c>
      <c r="D19" s="239">
        <v>2.2400000000000002</v>
      </c>
      <c r="E19" s="239">
        <v>1.67</v>
      </c>
      <c r="F19" s="239" t="s">
        <v>49</v>
      </c>
      <c r="G19" s="239" t="s">
        <v>61</v>
      </c>
      <c r="H19" s="239" t="s">
        <v>51</v>
      </c>
      <c r="I19" s="240" t="s">
        <v>64</v>
      </c>
    </row>
    <row r="20" spans="1:9" ht="12.75" customHeight="1">
      <c r="A20" s="236" t="s">
        <v>65</v>
      </c>
      <c r="B20" s="237" t="s">
        <v>48</v>
      </c>
      <c r="C20" s="243">
        <v>1</v>
      </c>
      <c r="D20" s="239">
        <v>3</v>
      </c>
      <c r="E20" s="239">
        <v>2.48</v>
      </c>
      <c r="F20" s="239" t="s">
        <v>49</v>
      </c>
      <c r="G20" s="239" t="s">
        <v>61</v>
      </c>
      <c r="H20" s="239" t="s">
        <v>51</v>
      </c>
      <c r="I20" s="240" t="s">
        <v>64</v>
      </c>
    </row>
    <row r="21" spans="1:9" ht="12.75" customHeight="1">
      <c r="A21" s="241" t="s">
        <v>66</v>
      </c>
      <c r="B21" s="242" t="s">
        <v>67</v>
      </c>
      <c r="C21" s="243">
        <v>1</v>
      </c>
      <c r="D21" s="239">
        <v>60</v>
      </c>
      <c r="E21" s="239">
        <v>37.799999999999997</v>
      </c>
      <c r="F21" s="239" t="s">
        <v>68</v>
      </c>
      <c r="G21" s="239" t="s">
        <v>69</v>
      </c>
      <c r="H21" s="239" t="s">
        <v>51</v>
      </c>
      <c r="I21" s="240">
        <v>45108</v>
      </c>
    </row>
    <row r="22" spans="1:9" ht="12.75" customHeight="1">
      <c r="A22" s="236" t="s">
        <v>70</v>
      </c>
      <c r="B22" s="237" t="s">
        <v>48</v>
      </c>
      <c r="C22" s="243">
        <v>1</v>
      </c>
      <c r="D22" s="239">
        <v>80</v>
      </c>
      <c r="E22" s="239">
        <v>40.4</v>
      </c>
      <c r="F22" s="239" t="s">
        <v>68</v>
      </c>
      <c r="G22" s="239" t="s">
        <v>71</v>
      </c>
      <c r="H22" s="239" t="s">
        <v>51</v>
      </c>
      <c r="I22" s="240">
        <v>12389</v>
      </c>
    </row>
    <row r="23" spans="1:9" ht="12.75" customHeight="1">
      <c r="A23" s="241" t="s">
        <v>72</v>
      </c>
      <c r="B23" s="242" t="s">
        <v>48</v>
      </c>
      <c r="C23" s="243">
        <v>1</v>
      </c>
      <c r="D23" s="239">
        <v>44</v>
      </c>
      <c r="E23" s="239">
        <v>23.3</v>
      </c>
      <c r="F23" s="239" t="s">
        <v>68</v>
      </c>
      <c r="G23" s="239" t="s">
        <v>71</v>
      </c>
      <c r="H23" s="239" t="s">
        <v>51</v>
      </c>
      <c r="I23" s="240">
        <v>12966</v>
      </c>
    </row>
    <row r="24" spans="1:9" ht="12.75" customHeight="1">
      <c r="A24" s="236" t="s">
        <v>73</v>
      </c>
      <c r="B24" s="237" t="s">
        <v>74</v>
      </c>
      <c r="C24" s="243">
        <v>1</v>
      </c>
      <c r="D24" s="239">
        <v>93</v>
      </c>
      <c r="E24" s="239">
        <v>57.8</v>
      </c>
      <c r="F24" s="239" t="s">
        <v>68</v>
      </c>
      <c r="G24" s="239" t="s">
        <v>75</v>
      </c>
      <c r="H24" s="239" t="s">
        <v>51</v>
      </c>
      <c r="I24" s="240">
        <v>13850</v>
      </c>
    </row>
    <row r="25" spans="1:9" ht="12.75" customHeight="1">
      <c r="A25" s="241" t="s">
        <v>76</v>
      </c>
      <c r="B25" s="242" t="s">
        <v>77</v>
      </c>
      <c r="C25" s="244">
        <v>0.6</v>
      </c>
      <c r="D25" s="239">
        <v>115.13</v>
      </c>
      <c r="E25" s="239">
        <v>68.459999999999994</v>
      </c>
      <c r="F25" s="239" t="s">
        <v>68</v>
      </c>
      <c r="G25" s="239" t="s">
        <v>78</v>
      </c>
      <c r="H25" s="239" t="s">
        <v>51</v>
      </c>
      <c r="I25" s="240">
        <v>13606</v>
      </c>
    </row>
    <row r="26" spans="1:9" ht="12.75" customHeight="1">
      <c r="A26" s="241" t="s">
        <v>79</v>
      </c>
      <c r="B26" s="242" t="s">
        <v>48</v>
      </c>
      <c r="C26" s="244">
        <v>0.503</v>
      </c>
      <c r="D26" s="239">
        <v>41.5</v>
      </c>
      <c r="E26" s="239">
        <v>27.26</v>
      </c>
      <c r="F26" s="239" t="s">
        <v>68</v>
      </c>
      <c r="G26" s="239" t="s">
        <v>80</v>
      </c>
      <c r="H26" s="239" t="s">
        <v>51</v>
      </c>
      <c r="I26" s="240">
        <v>12236</v>
      </c>
    </row>
    <row r="27" spans="1:9" ht="12.75" customHeight="1">
      <c r="A27" s="241" t="s">
        <v>81</v>
      </c>
      <c r="B27" s="242" t="s">
        <v>48</v>
      </c>
      <c r="C27" s="244">
        <v>0.503</v>
      </c>
      <c r="D27" s="239">
        <v>36.22</v>
      </c>
      <c r="E27" s="239">
        <v>22.94</v>
      </c>
      <c r="F27" s="239" t="s">
        <v>68</v>
      </c>
      <c r="G27" s="239" t="s">
        <v>80</v>
      </c>
      <c r="H27" s="239" t="s">
        <v>51</v>
      </c>
      <c r="I27" s="240">
        <v>12236</v>
      </c>
    </row>
    <row r="28" spans="1:9" ht="12.75" customHeight="1">
      <c r="A28" s="241" t="s">
        <v>82</v>
      </c>
      <c r="B28" s="242" t="s">
        <v>77</v>
      </c>
      <c r="C28" s="244">
        <v>0.27500000000000002</v>
      </c>
      <c r="D28" s="239">
        <v>313.76</v>
      </c>
      <c r="E28" s="239">
        <v>135.16999999999999</v>
      </c>
      <c r="F28" s="239" t="s">
        <v>68</v>
      </c>
      <c r="G28" s="239" t="s">
        <v>83</v>
      </c>
      <c r="H28" s="239" t="s">
        <v>84</v>
      </c>
      <c r="I28" s="240">
        <v>11871</v>
      </c>
    </row>
    <row r="29" spans="1:9" ht="12.75" customHeight="1">
      <c r="A29" s="241" t="s">
        <v>85</v>
      </c>
      <c r="B29" s="242" t="s">
        <v>77</v>
      </c>
      <c r="C29" s="244">
        <v>0.23799999999999999</v>
      </c>
      <c r="D29" s="239">
        <v>209.26400000000001</v>
      </c>
      <c r="E29" s="239">
        <f>379.7*23.78%</f>
        <v>90.292659999999998</v>
      </c>
      <c r="F29" s="239" t="s">
        <v>68</v>
      </c>
      <c r="G29" s="239" t="s">
        <v>86</v>
      </c>
      <c r="H29" s="239" t="s">
        <v>87</v>
      </c>
      <c r="I29" s="240">
        <v>12905</v>
      </c>
    </row>
    <row r="30" spans="1:9" ht="12.75" customHeight="1">
      <c r="A30" s="241" t="s">
        <v>88</v>
      </c>
      <c r="B30" s="242" t="s">
        <v>89</v>
      </c>
      <c r="C30" s="244">
        <v>0.15</v>
      </c>
      <c r="D30" s="239">
        <v>103.5</v>
      </c>
      <c r="E30" s="239">
        <v>55.92</v>
      </c>
      <c r="F30" s="239" t="s">
        <v>68</v>
      </c>
      <c r="G30" s="239" t="s">
        <v>90</v>
      </c>
      <c r="H30" s="239" t="s">
        <v>87</v>
      </c>
      <c r="I30" s="240">
        <v>13271</v>
      </c>
    </row>
    <row r="31" spans="1:9" ht="12.75" customHeight="1" thickBot="1">
      <c r="A31" s="233" t="s">
        <v>91</v>
      </c>
      <c r="B31" s="233"/>
      <c r="C31" s="233"/>
      <c r="D31" s="234">
        <v>1431.4</v>
      </c>
      <c r="E31" s="245">
        <v>763.25</v>
      </c>
      <c r="F31" s="233"/>
      <c r="G31" s="233"/>
      <c r="H31" s="233"/>
      <c r="I31" s="233"/>
    </row>
    <row r="32" spans="1:9" ht="12.75" customHeight="1" thickTop="1"/>
    <row r="33" spans="1:9" ht="12.75" customHeight="1">
      <c r="A33" s="278" t="s">
        <v>92</v>
      </c>
      <c r="B33" s="278"/>
      <c r="C33" s="278"/>
      <c r="D33" s="278"/>
      <c r="E33" s="278"/>
      <c r="F33" s="278"/>
      <c r="G33" s="278"/>
      <c r="H33" s="278"/>
      <c r="I33" s="278"/>
    </row>
    <row r="34" spans="1:9" ht="12.75" customHeight="1">
      <c r="A34" s="278" t="s">
        <v>93</v>
      </c>
      <c r="B34" s="278"/>
      <c r="C34" s="278"/>
      <c r="D34" s="278"/>
      <c r="E34" s="278"/>
      <c r="F34" s="278"/>
      <c r="G34" s="246"/>
      <c r="H34" s="246"/>
      <c r="I34" s="246"/>
    </row>
    <row r="35" spans="1:9" ht="12.75" customHeight="1">
      <c r="A35" s="278" t="s">
        <v>94</v>
      </c>
      <c r="B35" s="278"/>
      <c r="C35" s="278"/>
      <c r="D35" s="246"/>
      <c r="E35" s="246"/>
      <c r="F35" s="246"/>
      <c r="G35" s="246"/>
      <c r="H35" s="246"/>
      <c r="I35" s="246"/>
    </row>
    <row r="36" spans="1:9" ht="12.75" customHeight="1"/>
    <row r="37" spans="1:9" ht="12.75" customHeight="1">
      <c r="A37" s="104" t="s">
        <v>95</v>
      </c>
      <c r="B37" s="104"/>
    </row>
    <row r="38" spans="1:9" ht="12.75" customHeight="1">
      <c r="A38" s="279" t="s">
        <v>96</v>
      </c>
      <c r="B38" s="279"/>
      <c r="C38" s="279"/>
      <c r="D38" s="247">
        <f>D17+D18+D19+D20</f>
        <v>67.44</v>
      </c>
    </row>
    <row r="39" spans="1:9" ht="12.75" customHeight="1">
      <c r="A39" s="279" t="s">
        <v>97</v>
      </c>
      <c r="B39" s="279"/>
      <c r="C39" s="279"/>
      <c r="D39" s="247">
        <f>D10+D11+D12+D13+D14+D15+D16</f>
        <v>267.57</v>
      </c>
    </row>
    <row r="40" spans="1:9" ht="12.75" customHeight="1">
      <c r="C40" s="248" t="s">
        <v>91</v>
      </c>
      <c r="D40" s="249">
        <f>SUM(D38:D39)</f>
        <v>335.01</v>
      </c>
      <c r="E40" s="250"/>
    </row>
    <row r="41" spans="1:9" ht="12.75" customHeight="1">
      <c r="D41" s="250">
        <f>D40/D31</f>
        <v>0.23404359368450467</v>
      </c>
    </row>
    <row r="42" spans="1:9" ht="12.75" customHeight="1"/>
    <row r="43" spans="1:9" ht="12.75" customHeight="1"/>
    <row r="44" spans="1:9" ht="12.75" customHeight="1"/>
    <row r="67" spans="1:7" ht="13">
      <c r="A67" s="251" t="s">
        <v>98</v>
      </c>
    </row>
    <row r="68" spans="1:7" ht="13">
      <c r="A68" s="251"/>
    </row>
    <row r="69" spans="1:7" s="140" customFormat="1" ht="12.75" customHeight="1" thickBot="1">
      <c r="A69" s="71" t="s">
        <v>99</v>
      </c>
      <c r="B69" s="71"/>
      <c r="C69" s="71"/>
      <c r="D69" s="71"/>
      <c r="E69" s="71"/>
      <c r="F69" s="71"/>
      <c r="G69" s="71"/>
    </row>
    <row r="70" spans="1:7" ht="12.75" customHeight="1" thickTop="1">
      <c r="A70" s="251" t="s">
        <v>100</v>
      </c>
      <c r="B70" s="251"/>
    </row>
    <row r="71" spans="1:7" ht="12.75" customHeight="1">
      <c r="A71" s="251" t="s">
        <v>101</v>
      </c>
      <c r="B71" s="251"/>
    </row>
    <row r="72" spans="1:7" ht="12.75" customHeight="1">
      <c r="A72" s="251" t="s">
        <v>102</v>
      </c>
      <c r="B72" s="251"/>
    </row>
  </sheetData>
  <mergeCells count="7">
    <mergeCell ref="A39:C39"/>
    <mergeCell ref="A4:G7"/>
    <mergeCell ref="A8:G8"/>
    <mergeCell ref="A33:I33"/>
    <mergeCell ref="A34:F34"/>
    <mergeCell ref="A35:C35"/>
    <mergeCell ref="A38:C38"/>
  </mergeCells>
  <pageMargins left="0.35433070866141736" right="0.31496062992125984" top="0.39370078740157483" bottom="0.23622047244094491" header="0.35433070866141736" footer="0.27559055118110237"/>
  <pageSetup paperSize="9" scale="75"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5D473-F124-4844-A001-E283DD33005E}">
  <sheetPr>
    <pageSetUpPr fitToPage="1"/>
  </sheetPr>
  <dimension ref="A1:AD27"/>
  <sheetViews>
    <sheetView showGridLines="0" zoomScale="90" zoomScaleNormal="90" zoomScaleSheetLayoutView="90" workbookViewId="0">
      <pane xSplit="2" ySplit="7" topLeftCell="P8" activePane="bottomRight" state="frozen"/>
      <selection pane="topRight" activeCell="Q15" sqref="Q15"/>
      <selection pane="bottomLeft" activeCell="Q15" sqref="Q15"/>
      <selection pane="bottomRight" sqref="A1:B8"/>
    </sheetView>
  </sheetViews>
  <sheetFormatPr defaultColWidth="9.1796875" defaultRowHeight="12.5"/>
  <cols>
    <col min="1" max="1" width="2.1796875" style="42" customWidth="1"/>
    <col min="2" max="2" width="41.453125" style="42" customWidth="1"/>
    <col min="3" max="3" width="11.1796875" style="42" customWidth="1"/>
    <col min="4" max="14" width="9.1796875" style="42" customWidth="1"/>
    <col min="15" max="15" width="10.453125" style="42" customWidth="1"/>
    <col min="16" max="16" width="9.81640625" style="42" bestFit="1" customWidth="1"/>
    <col min="17" max="16384" width="9.1796875" style="42"/>
  </cols>
  <sheetData>
    <row r="1" spans="1:30">
      <c r="A1" s="19"/>
      <c r="B1" s="41"/>
    </row>
    <row r="2" spans="1:30">
      <c r="A2" s="19"/>
      <c r="B2" s="41"/>
    </row>
    <row r="3" spans="1:30">
      <c r="A3" s="19"/>
      <c r="B3" s="41"/>
    </row>
    <row r="4" spans="1:30" ht="21" customHeight="1">
      <c r="A4" s="19"/>
      <c r="B4" s="43"/>
    </row>
    <row r="5" spans="1:30" ht="13">
      <c r="B5" s="70"/>
    </row>
    <row r="6" spans="1:30" ht="12" customHeight="1">
      <c r="B6" s="44"/>
      <c r="C6" s="282"/>
      <c r="D6" s="282"/>
      <c r="E6" s="282"/>
      <c r="F6" s="282"/>
      <c r="G6" s="282"/>
      <c r="H6" s="282"/>
      <c r="I6" s="282"/>
      <c r="J6" s="282"/>
      <c r="K6" s="282"/>
      <c r="L6" s="282"/>
      <c r="M6" s="282"/>
      <c r="N6" s="282"/>
      <c r="O6" s="282"/>
      <c r="P6" s="282"/>
      <c r="Q6" s="207"/>
      <c r="R6" s="207"/>
    </row>
    <row r="7" spans="1:30" s="34" customFormat="1" ht="14.25" customHeight="1" thickBot="1">
      <c r="B7" s="60" t="s">
        <v>103</v>
      </c>
      <c r="C7" s="61" t="s">
        <v>104</v>
      </c>
      <c r="D7" s="61" t="s">
        <v>105</v>
      </c>
      <c r="E7" s="61" t="s">
        <v>106</v>
      </c>
      <c r="F7" s="61" t="s">
        <v>107</v>
      </c>
      <c r="G7" s="61" t="s">
        <v>108</v>
      </c>
      <c r="H7" s="61" t="s">
        <v>109</v>
      </c>
      <c r="I7" s="61" t="s">
        <v>110</v>
      </c>
      <c r="J7" s="61" t="s">
        <v>111</v>
      </c>
      <c r="K7" s="61" t="s">
        <v>112</v>
      </c>
      <c r="L7" s="61" t="s">
        <v>113</v>
      </c>
      <c r="M7" s="61" t="s">
        <v>114</v>
      </c>
      <c r="N7" s="61" t="s">
        <v>115</v>
      </c>
      <c r="O7" s="61" t="s">
        <v>116</v>
      </c>
      <c r="P7" s="61" t="s">
        <v>117</v>
      </c>
      <c r="Q7" s="61" t="s">
        <v>118</v>
      </c>
      <c r="R7" s="61" t="s">
        <v>119</v>
      </c>
      <c r="S7" s="61" t="s">
        <v>120</v>
      </c>
      <c r="T7" s="61" t="s">
        <v>121</v>
      </c>
      <c r="W7" s="61">
        <v>2018</v>
      </c>
      <c r="X7" s="61">
        <v>2019</v>
      </c>
      <c r="Y7" s="61">
        <v>2020</v>
      </c>
      <c r="Z7" s="61">
        <v>2021</v>
      </c>
      <c r="AA7" s="61">
        <v>2021</v>
      </c>
      <c r="AC7" s="61" t="s">
        <v>120</v>
      </c>
      <c r="AD7" s="61" t="s">
        <v>121</v>
      </c>
    </row>
    <row r="8" spans="1:30" ht="14.25" customHeight="1" thickTop="1">
      <c r="B8" s="45"/>
      <c r="L8" s="113"/>
      <c r="W8" s="252"/>
      <c r="X8" s="252"/>
      <c r="Y8" s="252"/>
      <c r="Z8" s="252"/>
      <c r="AA8" s="252"/>
      <c r="AC8" s="252"/>
      <c r="AD8" s="252"/>
    </row>
    <row r="9" spans="1:30" s="34" customFormat="1" ht="14.5" thickBot="1">
      <c r="B9" s="66" t="s">
        <v>91</v>
      </c>
      <c r="C9" s="67">
        <f t="shared" ref="C9:R9" si="0">SUM(C10,C13,C17)</f>
        <v>112.89437155300001</v>
      </c>
      <c r="D9" s="67">
        <f t="shared" si="0"/>
        <v>108.97964737</v>
      </c>
      <c r="E9" s="67">
        <f t="shared" si="0"/>
        <v>113.08253432399999</v>
      </c>
      <c r="F9" s="67">
        <f t="shared" si="0"/>
        <v>107.871675829</v>
      </c>
      <c r="G9" s="67">
        <f t="shared" si="0"/>
        <v>103.44017012099999</v>
      </c>
      <c r="H9" s="67">
        <f t="shared" si="0"/>
        <v>100.370531649</v>
      </c>
      <c r="I9" s="67">
        <f t="shared" si="0"/>
        <v>101.44061324500002</v>
      </c>
      <c r="J9" s="67">
        <f t="shared" si="0"/>
        <v>93.765105867000003</v>
      </c>
      <c r="K9" s="67">
        <f t="shared" si="0"/>
        <v>106.24764933500001</v>
      </c>
      <c r="L9" s="67">
        <f t="shared" si="0"/>
        <v>93.516977307999994</v>
      </c>
      <c r="M9" s="67">
        <f t="shared" si="0"/>
        <v>123.194917874</v>
      </c>
      <c r="N9" s="67">
        <f t="shared" si="0"/>
        <v>118.13206369500001</v>
      </c>
      <c r="O9" s="67">
        <f t="shared" si="0"/>
        <v>119.73352715</v>
      </c>
      <c r="P9" s="67">
        <f t="shared" si="0"/>
        <v>119.32094736799999</v>
      </c>
      <c r="Q9" s="67">
        <f t="shared" si="0"/>
        <v>123.513382165</v>
      </c>
      <c r="R9" s="67">
        <f t="shared" si="0"/>
        <v>122.179759633</v>
      </c>
      <c r="S9" s="67">
        <f>SUM(S10,S13,S17)</f>
        <v>109</v>
      </c>
      <c r="T9" s="67">
        <f>SUM(T10,T13,T17)</f>
        <v>112</v>
      </c>
      <c r="W9" s="253">
        <v>1</v>
      </c>
      <c r="X9" s="253">
        <v>1</v>
      </c>
      <c r="Y9" s="253">
        <v>1</v>
      </c>
      <c r="Z9" s="253">
        <v>1</v>
      </c>
      <c r="AA9" s="253">
        <v>1</v>
      </c>
      <c r="AC9" s="253">
        <v>1</v>
      </c>
      <c r="AD9" s="253">
        <v>1</v>
      </c>
    </row>
    <row r="10" spans="1:30" ht="14.25" customHeight="1" thickBot="1">
      <c r="B10" s="92" t="s">
        <v>122</v>
      </c>
      <c r="C10" s="93">
        <f>SUM(C11:C12)</f>
        <v>67.302429000000004</v>
      </c>
      <c r="D10" s="93">
        <f t="shared" ref="D10:Q10" si="1">SUM(D11:D12)</f>
        <v>62.631048899999996</v>
      </c>
      <c r="E10" s="93">
        <f t="shared" si="1"/>
        <v>61.544618</v>
      </c>
      <c r="F10" s="93">
        <f t="shared" si="1"/>
        <v>59.126366991000005</v>
      </c>
      <c r="G10" s="93">
        <f t="shared" si="1"/>
        <v>54.335425426999997</v>
      </c>
      <c r="H10" s="93">
        <f t="shared" si="1"/>
        <v>54.805229999999995</v>
      </c>
      <c r="I10" s="93">
        <f t="shared" si="1"/>
        <v>60.521159593</v>
      </c>
      <c r="J10" s="93">
        <f t="shared" si="1"/>
        <v>51.064089999999993</v>
      </c>
      <c r="K10" s="93">
        <f t="shared" si="1"/>
        <v>58.648728999999996</v>
      </c>
      <c r="L10" s="93">
        <f t="shared" si="1"/>
        <v>53.227482999999999</v>
      </c>
      <c r="M10" s="93">
        <f t="shared" si="1"/>
        <v>65.377861999999993</v>
      </c>
      <c r="N10" s="93">
        <f t="shared" si="1"/>
        <v>63.190384999999992</v>
      </c>
      <c r="O10" s="93">
        <f t="shared" si="1"/>
        <v>61.475999999999999</v>
      </c>
      <c r="P10" s="93">
        <f t="shared" si="1"/>
        <v>61.634</v>
      </c>
      <c r="Q10" s="93">
        <f t="shared" si="1"/>
        <v>62.716999999999999</v>
      </c>
      <c r="R10" s="93">
        <v>65.878</v>
      </c>
      <c r="S10" s="93">
        <f t="shared" ref="S10:T10" si="2">SUM(S11:S12)</f>
        <v>52</v>
      </c>
      <c r="T10" s="93">
        <f t="shared" si="2"/>
        <v>55</v>
      </c>
      <c r="W10" s="254">
        <f>SUM(C10:F10)/SUM(C9:F9)</f>
        <v>0.56591799356131445</v>
      </c>
      <c r="X10" s="254">
        <f>SUM(G10:J10)/SUM($G$9:$J$9)</f>
        <v>0.55317499097430534</v>
      </c>
      <c r="Y10" s="254">
        <f>SUM(K10:N10)/SUM($K$9:$N$9)</f>
        <v>0.5451122953226446</v>
      </c>
      <c r="Z10" s="254">
        <f>SUM(O10:R10)/SUM($O$9:$R$9)</f>
        <v>0.51924958788434172</v>
      </c>
      <c r="AA10" s="254">
        <f>SUM(S10:T10)/SUM($S$9:$T$9)</f>
        <v>0.48416289592760181</v>
      </c>
      <c r="AC10" s="254">
        <f t="shared" ref="AC10:AC19" si="3">S10/$S$9</f>
        <v>0.47706422018348627</v>
      </c>
      <c r="AD10" s="254">
        <f t="shared" ref="AD10:AD19" si="4">T10/$T$9</f>
        <v>0.49107142857142855</v>
      </c>
    </row>
    <row r="11" spans="1:30" ht="14">
      <c r="B11" s="91" t="s">
        <v>123</v>
      </c>
      <c r="C11" s="65">
        <v>28.820508000000004</v>
      </c>
      <c r="D11" s="65">
        <v>19.130030999999999</v>
      </c>
      <c r="E11" s="65">
        <v>19.785311999999998</v>
      </c>
      <c r="F11" s="65">
        <v>15.902756990999999</v>
      </c>
      <c r="G11" s="65">
        <v>16.527532426999997</v>
      </c>
      <c r="H11" s="65">
        <v>12.984525999999997</v>
      </c>
      <c r="I11" s="65">
        <v>21.018723593000004</v>
      </c>
      <c r="J11" s="65">
        <v>16.730824999999996</v>
      </c>
      <c r="K11" s="65">
        <v>15.699796999999997</v>
      </c>
      <c r="L11" s="65">
        <v>38.591225999999999</v>
      </c>
      <c r="M11" s="65">
        <v>31.359652999999994</v>
      </c>
      <c r="N11" s="65">
        <v>23.252006999999995</v>
      </c>
      <c r="O11" s="65">
        <v>13.062580222000014</v>
      </c>
      <c r="P11" s="65">
        <v>9.706273999999997</v>
      </c>
      <c r="Q11" s="65">
        <v>9.2005250000000007</v>
      </c>
      <c r="R11" s="65">
        <v>15.667989</v>
      </c>
      <c r="S11" s="65">
        <v>14</v>
      </c>
      <c r="T11" s="65">
        <v>21</v>
      </c>
      <c r="W11" s="255">
        <f>SUM(C11:F11)/SUM(C9:F9)</f>
        <v>0.18887370429278935</v>
      </c>
      <c r="X11" s="255">
        <f>SUM(G11:J11)/SUM($G$9:$J$9)</f>
        <v>0.16856851873745585</v>
      </c>
      <c r="Y11" s="255">
        <f t="shared" ref="Y11:Y19" si="5">SUM(K11:N11)/SUM($K$9:$N$9)</f>
        <v>0.24689357261056427</v>
      </c>
      <c r="Z11" s="255">
        <f t="shared" ref="Z11:Z19" si="6">SUM(O11:R11)/SUM($O$9:$R$9)</f>
        <v>9.8272516704746182E-2</v>
      </c>
      <c r="AA11" s="255">
        <f t="shared" ref="AA11:AA12" si="7">SUM(S11:T11)/SUM($S$9:$T$9)</f>
        <v>0.15837104072398189</v>
      </c>
      <c r="AC11" s="255">
        <f t="shared" si="3"/>
        <v>0.12844036697247707</v>
      </c>
      <c r="AD11" s="255">
        <f t="shared" si="4"/>
        <v>0.1875</v>
      </c>
    </row>
    <row r="12" spans="1:30" ht="14">
      <c r="B12" s="89" t="s">
        <v>124</v>
      </c>
      <c r="C12" s="68">
        <v>38.481921</v>
      </c>
      <c r="D12" s="68">
        <v>43.501017899999994</v>
      </c>
      <c r="E12" s="68">
        <v>41.759306000000002</v>
      </c>
      <c r="F12" s="68">
        <v>43.223610000000008</v>
      </c>
      <c r="G12" s="68">
        <v>37.807893</v>
      </c>
      <c r="H12" s="68">
        <v>41.820703999999999</v>
      </c>
      <c r="I12" s="68">
        <v>39.502435999999996</v>
      </c>
      <c r="J12" s="68">
        <v>34.333264999999997</v>
      </c>
      <c r="K12" s="68">
        <v>42.948931999999999</v>
      </c>
      <c r="L12" s="68">
        <v>14.636256999999999</v>
      </c>
      <c r="M12" s="68">
        <v>34.018208999999999</v>
      </c>
      <c r="N12" s="68">
        <v>39.938378</v>
      </c>
      <c r="O12" s="68">
        <v>48.413419777999984</v>
      </c>
      <c r="P12" s="68">
        <v>51.927726000000007</v>
      </c>
      <c r="Q12" s="68">
        <v>53.516475</v>
      </c>
      <c r="R12" s="68">
        <v>50.210011000000002</v>
      </c>
      <c r="S12" s="68">
        <v>38</v>
      </c>
      <c r="T12" s="68">
        <v>34</v>
      </c>
      <c r="W12" s="256">
        <f>SUM(C12:F12)/SUM(C9:F9)</f>
        <v>0.37704428926852507</v>
      </c>
      <c r="X12" s="256">
        <f>SUM(G12:J12)/SUM($G$9:$J$9)</f>
        <v>0.38460647223684952</v>
      </c>
      <c r="Y12" s="256">
        <f t="shared" si="5"/>
        <v>0.29821872271208033</v>
      </c>
      <c r="Z12" s="256">
        <f t="shared" si="6"/>
        <v>0.4209770711795956</v>
      </c>
      <c r="AA12" s="256">
        <f t="shared" si="7"/>
        <v>0.32579185520361992</v>
      </c>
      <c r="AC12" s="256">
        <f t="shared" si="3"/>
        <v>0.34862385321100919</v>
      </c>
      <c r="AD12" s="256">
        <f t="shared" si="4"/>
        <v>0.30357142857142855</v>
      </c>
    </row>
    <row r="13" spans="1:30" ht="14.5" thickBot="1">
      <c r="B13" s="66" t="s">
        <v>125</v>
      </c>
      <c r="C13" s="67">
        <f>SUM(C14:C16)</f>
        <v>21.849239433000001</v>
      </c>
      <c r="D13" s="67">
        <f t="shared" ref="D13:Q13" si="8">SUM(D14:D16)</f>
        <v>21.156238260000002</v>
      </c>
      <c r="E13" s="67">
        <f t="shared" si="8"/>
        <v>26.802773402</v>
      </c>
      <c r="F13" s="67">
        <f t="shared" si="8"/>
        <v>26.801142587999998</v>
      </c>
      <c r="G13" s="67">
        <f t="shared" si="8"/>
        <v>26.811185641999998</v>
      </c>
      <c r="H13" s="67">
        <f t="shared" si="8"/>
        <v>24.009905988999996</v>
      </c>
      <c r="I13" s="67">
        <f t="shared" si="8"/>
        <v>18.902411745999999</v>
      </c>
      <c r="J13" s="67">
        <f t="shared" si="8"/>
        <v>18.027284611000006</v>
      </c>
      <c r="K13" s="67">
        <f t="shared" si="8"/>
        <v>24.745711639000007</v>
      </c>
      <c r="L13" s="67">
        <f t="shared" si="8"/>
        <v>26.021858814000005</v>
      </c>
      <c r="M13" s="67">
        <f t="shared" si="8"/>
        <v>34.798597752999996</v>
      </c>
      <c r="N13" s="67">
        <f t="shared" si="8"/>
        <v>34.455406182000004</v>
      </c>
      <c r="O13" s="67">
        <f t="shared" si="8"/>
        <v>37.768581999999995</v>
      </c>
      <c r="P13" s="67">
        <f t="shared" si="8"/>
        <v>35.350337367999998</v>
      </c>
      <c r="Q13" s="67">
        <f t="shared" si="8"/>
        <v>38.164663165</v>
      </c>
      <c r="R13" s="67">
        <v>35.327348633</v>
      </c>
      <c r="S13" s="67">
        <f t="shared" ref="S13:T13" si="9">SUM(S14:S16)</f>
        <v>33</v>
      </c>
      <c r="T13" s="67">
        <f t="shared" si="9"/>
        <v>32</v>
      </c>
      <c r="W13" s="253">
        <f>SUM(C13:F13)/SUM(C9:F9)</f>
        <v>0.21816448758152571</v>
      </c>
      <c r="X13" s="253">
        <f>SUM(G13:J13)/SUM($G$9:$J$9)</f>
        <v>0.21991773620251653</v>
      </c>
      <c r="Y13" s="253">
        <f t="shared" si="5"/>
        <v>0.27210124190418639</v>
      </c>
      <c r="Z13" s="253">
        <f t="shared" si="6"/>
        <v>0.30244796721274941</v>
      </c>
      <c r="AA13" s="253">
        <f>SUM(S13:T13)/SUM($S$9:$T$9)</f>
        <v>0.29411764705882354</v>
      </c>
      <c r="AC13" s="253">
        <f t="shared" si="3"/>
        <v>0.30275229357798167</v>
      </c>
      <c r="AD13" s="253">
        <f t="shared" si="4"/>
        <v>0.2857142857142857</v>
      </c>
    </row>
    <row r="14" spans="1:30" ht="14">
      <c r="B14" s="91" t="s">
        <v>126</v>
      </c>
      <c r="C14" s="65">
        <v>7.7414242700000013</v>
      </c>
      <c r="D14" s="65">
        <v>7.7920490820000001</v>
      </c>
      <c r="E14" s="65">
        <v>12.240301650999999</v>
      </c>
      <c r="F14" s="65">
        <v>11.628609453000001</v>
      </c>
      <c r="G14" s="65">
        <v>13.063120272999999</v>
      </c>
      <c r="H14" s="65">
        <v>9.2690898119999989</v>
      </c>
      <c r="I14" s="65">
        <v>6.9609749380000006</v>
      </c>
      <c r="J14" s="65">
        <v>6.7663581129999999</v>
      </c>
      <c r="K14" s="65">
        <v>8.313239982999999</v>
      </c>
      <c r="L14" s="65">
        <v>7.2726355590000002</v>
      </c>
      <c r="M14" s="65">
        <v>11.189902652000001</v>
      </c>
      <c r="N14" s="65">
        <v>12.549597534</v>
      </c>
      <c r="O14" s="65">
        <v>14.864000000000001</v>
      </c>
      <c r="P14" s="65">
        <v>13.696301757999999</v>
      </c>
      <c r="Q14" s="65">
        <v>15.148364015</v>
      </c>
      <c r="R14" s="65">
        <v>14.172973257999999</v>
      </c>
      <c r="S14" s="65">
        <v>13</v>
      </c>
      <c r="T14" s="65">
        <v>12</v>
      </c>
      <c r="W14" s="258">
        <f>SUM(C14:F14)/SUM(C9:F9)</f>
        <v>8.8978935552994312E-2</v>
      </c>
      <c r="X14" s="258">
        <f t="shared" ref="X14:X19" si="10">SUM(G14:J14)/SUM($G$9:$J$9)</f>
        <v>9.0371075597071207E-2</v>
      </c>
      <c r="Y14" s="258">
        <f t="shared" si="5"/>
        <v>8.9154667637882629E-2</v>
      </c>
      <c r="Z14" s="258">
        <f t="shared" si="6"/>
        <v>0.11940572182879552</v>
      </c>
      <c r="AA14" s="258">
        <f t="shared" ref="AA14:AA19" si="11">SUM(S14:T14)/SUM($S$9:$T$9)</f>
        <v>0.11312217194570136</v>
      </c>
      <c r="AC14" s="258">
        <f t="shared" si="3"/>
        <v>0.11926605504587157</v>
      </c>
      <c r="AD14" s="258">
        <f t="shared" si="4"/>
        <v>0.10714285714285714</v>
      </c>
    </row>
    <row r="15" spans="1:30" ht="14">
      <c r="B15" s="89" t="s">
        <v>127</v>
      </c>
      <c r="C15" s="68">
        <v>3.4224137699999999</v>
      </c>
      <c r="D15" s="68">
        <v>3.3780349230000026</v>
      </c>
      <c r="E15" s="68">
        <v>4.0994903209999993</v>
      </c>
      <c r="F15" s="68">
        <v>3.8977554830000001</v>
      </c>
      <c r="G15" s="68">
        <v>3.667836599000001</v>
      </c>
      <c r="H15" s="68">
        <v>3.8347721639999994</v>
      </c>
      <c r="I15" s="68">
        <v>4.3248990430000012</v>
      </c>
      <c r="J15" s="68">
        <v>4.261538748000004</v>
      </c>
      <c r="K15" s="68">
        <v>4.1067749030000025</v>
      </c>
      <c r="L15" s="68">
        <v>3.2280229950000017</v>
      </c>
      <c r="M15" s="68">
        <v>4.5709807050000002</v>
      </c>
      <c r="N15" s="68">
        <v>4.3858410380000006</v>
      </c>
      <c r="O15" s="68">
        <v>5.1710000000000003</v>
      </c>
      <c r="P15" s="68">
        <v>5.7569999999999997</v>
      </c>
      <c r="Q15" s="68">
        <v>5.5229999999999997</v>
      </c>
      <c r="R15" s="68">
        <v>4.5609999999999999</v>
      </c>
      <c r="S15" s="68">
        <v>4</v>
      </c>
      <c r="T15" s="68">
        <v>4</v>
      </c>
      <c r="W15" s="257">
        <f>SUM(C15:F15)/SUM($C$9:$F$9)</f>
        <v>3.3416330589124126E-2</v>
      </c>
      <c r="X15" s="257">
        <f t="shared" si="10"/>
        <v>4.0321765501370121E-2</v>
      </c>
      <c r="Y15" s="257">
        <f t="shared" si="5"/>
        <v>3.6934775764697461E-2</v>
      </c>
      <c r="Z15" s="257">
        <f t="shared" si="6"/>
        <v>4.3346267815998048E-2</v>
      </c>
      <c r="AA15" s="257">
        <f t="shared" si="11"/>
        <v>3.6199095022624438E-2</v>
      </c>
      <c r="AC15" s="257">
        <f t="shared" si="3"/>
        <v>3.669724770642202E-2</v>
      </c>
      <c r="AD15" s="257">
        <f t="shared" si="4"/>
        <v>3.5714285714285712E-2</v>
      </c>
    </row>
    <row r="16" spans="1:30" ht="14">
      <c r="B16" s="89" t="s">
        <v>128</v>
      </c>
      <c r="C16" s="68">
        <v>10.685401392999999</v>
      </c>
      <c r="D16" s="68">
        <v>9.9861542549999989</v>
      </c>
      <c r="E16" s="68">
        <v>10.462981430000001</v>
      </c>
      <c r="F16" s="68">
        <v>11.274777651999999</v>
      </c>
      <c r="G16" s="68">
        <v>10.080228769999998</v>
      </c>
      <c r="H16" s="68">
        <v>10.906044012999997</v>
      </c>
      <c r="I16" s="68">
        <v>7.6165377649999986</v>
      </c>
      <c r="J16" s="68">
        <v>6.9993877500000004</v>
      </c>
      <c r="K16" s="68">
        <v>12.325696753000004</v>
      </c>
      <c r="L16" s="68">
        <v>15.521200260000002</v>
      </c>
      <c r="M16" s="68">
        <v>19.037714395999998</v>
      </c>
      <c r="N16" s="68">
        <v>17.519967609999998</v>
      </c>
      <c r="O16" s="68">
        <v>17.733581999999995</v>
      </c>
      <c r="P16" s="68">
        <v>15.89703561</v>
      </c>
      <c r="Q16" s="68">
        <v>17.493299149999999</v>
      </c>
      <c r="R16" s="68">
        <v>16.593375375000004</v>
      </c>
      <c r="S16" s="68">
        <v>16</v>
      </c>
      <c r="T16" s="68">
        <v>16</v>
      </c>
      <c r="W16" s="255">
        <f>SUM(C16:F16)/SUM($C$9:$F$9)</f>
        <v>9.5769221439407248E-2</v>
      </c>
      <c r="X16" s="255">
        <f t="shared" si="10"/>
        <v>8.9224895104075247E-2</v>
      </c>
      <c r="Y16" s="255">
        <f t="shared" si="5"/>
        <v>0.14601179850160625</v>
      </c>
      <c r="Z16" s="255">
        <f t="shared" si="6"/>
        <v>0.13969597756795582</v>
      </c>
      <c r="AA16" s="255">
        <f t="shared" si="11"/>
        <v>0.14479638009049775</v>
      </c>
      <c r="AC16" s="255">
        <f t="shared" si="3"/>
        <v>0.14678899082568808</v>
      </c>
      <c r="AD16" s="255">
        <f t="shared" si="4"/>
        <v>0.14285714285714285</v>
      </c>
    </row>
    <row r="17" spans="2:30" ht="14.5" thickBot="1">
      <c r="B17" s="66" t="s">
        <v>129</v>
      </c>
      <c r="C17" s="67">
        <f>SUM(C18:C19)</f>
        <v>23.742703120000009</v>
      </c>
      <c r="D17" s="67">
        <f t="shared" ref="D17:Q17" si="12">SUM(D18:D19)</f>
        <v>25.192360209999986</v>
      </c>
      <c r="E17" s="67">
        <f t="shared" si="12"/>
        <v>24.735142921999994</v>
      </c>
      <c r="F17" s="67">
        <f t="shared" si="12"/>
        <v>21.944166249999988</v>
      </c>
      <c r="G17" s="67">
        <f t="shared" si="12"/>
        <v>22.293559052000013</v>
      </c>
      <c r="H17" s="67">
        <f t="shared" si="12"/>
        <v>21.555395659999999</v>
      </c>
      <c r="I17" s="67">
        <f t="shared" si="12"/>
        <v>22.017041906000017</v>
      </c>
      <c r="J17" s="67">
        <f t="shared" si="12"/>
        <v>24.673731256000014</v>
      </c>
      <c r="K17" s="67">
        <f t="shared" si="12"/>
        <v>22.853208695999999</v>
      </c>
      <c r="L17" s="67">
        <f t="shared" si="12"/>
        <v>14.267635493999993</v>
      </c>
      <c r="M17" s="67">
        <f t="shared" si="12"/>
        <v>23.018458121000002</v>
      </c>
      <c r="N17" s="67">
        <f t="shared" si="12"/>
        <v>20.486272513000014</v>
      </c>
      <c r="O17" s="67">
        <f t="shared" si="12"/>
        <v>20.488945150000003</v>
      </c>
      <c r="P17" s="67">
        <f t="shared" si="12"/>
        <v>22.336609999999993</v>
      </c>
      <c r="Q17" s="67">
        <f t="shared" si="12"/>
        <v>22.631718999999997</v>
      </c>
      <c r="R17" s="67">
        <v>20.974410999999996</v>
      </c>
      <c r="S17" s="67">
        <f t="shared" ref="S17:T17" si="13">SUM(S18:S19)</f>
        <v>24</v>
      </c>
      <c r="T17" s="67">
        <f t="shared" si="13"/>
        <v>25</v>
      </c>
      <c r="W17" s="253">
        <f>SUM(C17:F17)/SUM(C9:F9)</f>
        <v>0.21591751885715998</v>
      </c>
      <c r="X17" s="253">
        <f t="shared" si="10"/>
        <v>0.22690727282317813</v>
      </c>
      <c r="Y17" s="253">
        <f t="shared" si="5"/>
        <v>0.18278646277316907</v>
      </c>
      <c r="Z17" s="253">
        <f t="shared" si="6"/>
        <v>0.17830244490290886</v>
      </c>
      <c r="AA17" s="253">
        <f t="shared" si="11"/>
        <v>0.22171945701357465</v>
      </c>
      <c r="AC17" s="253">
        <f t="shared" si="3"/>
        <v>0.22018348623853212</v>
      </c>
      <c r="AD17" s="253">
        <f t="shared" si="4"/>
        <v>0.22321428571428573</v>
      </c>
    </row>
    <row r="18" spans="2:30" ht="14">
      <c r="B18" s="90" t="s">
        <v>130</v>
      </c>
      <c r="C18" s="69">
        <v>15.903005120000008</v>
      </c>
      <c r="D18" s="69">
        <v>16.219191209999991</v>
      </c>
      <c r="E18" s="69">
        <v>16.462892921999998</v>
      </c>
      <c r="F18" s="69">
        <v>15.104305249999987</v>
      </c>
      <c r="G18" s="69">
        <v>14.932924052000013</v>
      </c>
      <c r="H18" s="69">
        <v>15.019213660000002</v>
      </c>
      <c r="I18" s="69">
        <v>14.892277906000015</v>
      </c>
      <c r="J18" s="69">
        <v>18.095719256000017</v>
      </c>
      <c r="K18" s="69">
        <v>16.037484696000007</v>
      </c>
      <c r="L18" s="69">
        <v>10.820729493999995</v>
      </c>
      <c r="M18" s="69">
        <v>17.034508120999998</v>
      </c>
      <c r="N18" s="69">
        <v>13.905561513000022</v>
      </c>
      <c r="O18" s="69">
        <v>14.542796150000003</v>
      </c>
      <c r="P18" s="69">
        <v>16.138854999999996</v>
      </c>
      <c r="Q18" s="69">
        <v>15.847426999999998</v>
      </c>
      <c r="R18" s="69">
        <v>14.653885999999995</v>
      </c>
      <c r="S18" s="69">
        <v>14</v>
      </c>
      <c r="T18" s="69">
        <v>14</v>
      </c>
      <c r="W18" s="257">
        <f>SUM(C18:F18)/SUM($C$9:$F$9)</f>
        <v>0.14382415194011799</v>
      </c>
      <c r="X18" s="257">
        <f t="shared" si="10"/>
        <v>0.15773820720178622</v>
      </c>
      <c r="Y18" s="257">
        <f t="shared" si="5"/>
        <v>0.13103464846744642</v>
      </c>
      <c r="Z18" s="257">
        <f t="shared" si="6"/>
        <v>0.12621612173151089</v>
      </c>
      <c r="AA18" s="257">
        <f t="shared" si="11"/>
        <v>0.12669683257918551</v>
      </c>
      <c r="AC18" s="257">
        <f t="shared" si="3"/>
        <v>0.12844036697247707</v>
      </c>
      <c r="AD18" s="257">
        <f t="shared" si="4"/>
        <v>0.125</v>
      </c>
    </row>
    <row r="19" spans="2:30" ht="14">
      <c r="B19" s="90" t="s">
        <v>131</v>
      </c>
      <c r="C19" s="69">
        <v>7.8396980000000021</v>
      </c>
      <c r="D19" s="69">
        <v>8.9731689999999951</v>
      </c>
      <c r="E19" s="69">
        <v>8.2722499999999979</v>
      </c>
      <c r="F19" s="69">
        <v>6.8398609999999991</v>
      </c>
      <c r="G19" s="69">
        <v>7.360635000000002</v>
      </c>
      <c r="H19" s="69">
        <v>6.5361819999999957</v>
      </c>
      <c r="I19" s="69">
        <v>7.1247640000000008</v>
      </c>
      <c r="J19" s="69">
        <v>6.5780119999999975</v>
      </c>
      <c r="K19" s="69">
        <v>6.8157239999999932</v>
      </c>
      <c r="L19" s="69">
        <v>3.4469059999999985</v>
      </c>
      <c r="M19" s="69">
        <v>5.9839500000000019</v>
      </c>
      <c r="N19" s="69">
        <v>6.5807109999999929</v>
      </c>
      <c r="O19" s="69">
        <v>5.946149000000001</v>
      </c>
      <c r="P19" s="69">
        <v>6.197754999999999</v>
      </c>
      <c r="Q19" s="69">
        <v>6.784291999999998</v>
      </c>
      <c r="R19" s="69">
        <v>6.3205250000000026</v>
      </c>
      <c r="S19" s="69">
        <v>10</v>
      </c>
      <c r="T19" s="69">
        <v>11</v>
      </c>
      <c r="W19" s="255">
        <f>SUM(C19:F19)/SUM($C$9:$F$9)</f>
        <v>7.2093366917042004E-2</v>
      </c>
      <c r="X19" s="255">
        <f t="shared" si="10"/>
        <v>6.9169065621391926E-2</v>
      </c>
      <c r="Y19" s="255">
        <f t="shared" si="5"/>
        <v>5.1751814305722642E-2</v>
      </c>
      <c r="Z19" s="255">
        <f t="shared" si="6"/>
        <v>5.2086323171397962E-2</v>
      </c>
      <c r="AA19" s="255">
        <f t="shared" si="11"/>
        <v>9.5022624434389136E-2</v>
      </c>
      <c r="AC19" s="255">
        <f t="shared" si="3"/>
        <v>9.1743119266055051E-2</v>
      </c>
      <c r="AD19" s="255">
        <f t="shared" si="4"/>
        <v>9.8214285714285712E-2</v>
      </c>
    </row>
    <row r="20" spans="2:30" ht="14">
      <c r="B20" s="91"/>
      <c r="C20" s="65"/>
      <c r="D20" s="65"/>
      <c r="E20" s="65"/>
      <c r="F20" s="65"/>
      <c r="G20" s="65"/>
      <c r="H20" s="65"/>
      <c r="I20" s="65"/>
      <c r="J20" s="65"/>
      <c r="K20" s="65"/>
      <c r="L20" s="65"/>
      <c r="M20" s="65"/>
      <c r="N20" s="65"/>
      <c r="O20" s="65"/>
      <c r="P20" s="65"/>
      <c r="Q20" s="65"/>
      <c r="R20" s="65"/>
      <c r="S20" s="65"/>
      <c r="T20" s="65"/>
      <c r="W20" s="276"/>
      <c r="X20" s="276"/>
      <c r="Y20" s="276"/>
      <c r="Z20" s="276"/>
      <c r="AA20" s="276"/>
      <c r="AB20" s="277"/>
      <c r="AC20" s="276"/>
      <c r="AD20" s="276"/>
    </row>
    <row r="21" spans="2:30" ht="14.5" thickBot="1">
      <c r="B21" s="66" t="s">
        <v>132</v>
      </c>
      <c r="C21" s="67">
        <f>SUM(C22:C24)</f>
        <v>77.641544307000004</v>
      </c>
      <c r="D21" s="67">
        <f t="shared" ref="D21:Q21" si="14">SUM(D22:D24)</f>
        <v>109.94406289199999</v>
      </c>
      <c r="E21" s="67">
        <f t="shared" si="14"/>
        <v>76.657510399000003</v>
      </c>
      <c r="F21" s="67">
        <f t="shared" si="14"/>
        <v>83.634122278999996</v>
      </c>
      <c r="G21" s="67">
        <f t="shared" si="14"/>
        <v>69.343831260000002</v>
      </c>
      <c r="H21" s="67">
        <f t="shared" si="14"/>
        <v>76.864452054000012</v>
      </c>
      <c r="I21" s="67">
        <f t="shared" si="14"/>
        <v>80.795289935999989</v>
      </c>
      <c r="J21" s="67">
        <f t="shared" si="14"/>
        <v>90.699982214000016</v>
      </c>
      <c r="K21" s="67">
        <f t="shared" si="14"/>
        <v>71.340493295000002</v>
      </c>
      <c r="L21" s="67">
        <f t="shared" si="14"/>
        <v>83.083679769999989</v>
      </c>
      <c r="M21" s="67">
        <f t="shared" si="14"/>
        <v>98.629878641999994</v>
      </c>
      <c r="N21" s="67">
        <f t="shared" si="14"/>
        <v>49.110717475000001</v>
      </c>
      <c r="O21" s="67">
        <f t="shared" si="14"/>
        <v>99.317999999999984</v>
      </c>
      <c r="P21" s="67">
        <f t="shared" si="14"/>
        <v>76.420332000000002</v>
      </c>
      <c r="Q21" s="67">
        <f t="shared" si="14"/>
        <v>150.30603400000001</v>
      </c>
      <c r="R21" s="67">
        <v>88.364221999999998</v>
      </c>
      <c r="S21" s="67">
        <f t="shared" ref="S21:T21" si="15">SUM(S22:S24)</f>
        <v>77</v>
      </c>
      <c r="T21" s="67">
        <f t="shared" si="15"/>
        <v>121</v>
      </c>
      <c r="W21" s="284">
        <f>SUM(C21:F21)/SUM($C$21:$F$21)</f>
        <v>1</v>
      </c>
      <c r="X21" s="284">
        <f>SUM(G21:J21)/SUM($G$21:$J$21)</f>
        <v>1</v>
      </c>
      <c r="Y21" s="284">
        <f>SUM(K21:N21)/SUM($K$21:$N$21)</f>
        <v>1</v>
      </c>
      <c r="Z21" s="284">
        <f>SUM(O21:R21)/SUM($O$21:$R$21)</f>
        <v>1</v>
      </c>
      <c r="AA21" s="284">
        <f>SUM(S21:T21)/SUM($S$21:$T$21)</f>
        <v>1</v>
      </c>
      <c r="AB21" s="285"/>
      <c r="AC21" s="284">
        <f>S21/$S$21</f>
        <v>1</v>
      </c>
      <c r="AD21" s="284">
        <f>T21/$T$21</f>
        <v>1</v>
      </c>
    </row>
    <row r="22" spans="2:30" ht="14">
      <c r="B22" s="90" t="s">
        <v>133</v>
      </c>
      <c r="C22" s="69">
        <v>10.12533206</v>
      </c>
      <c r="D22" s="69">
        <v>15.675384237999999</v>
      </c>
      <c r="E22" s="69">
        <v>12.922318450000001</v>
      </c>
      <c r="F22" s="69">
        <v>18.657504320000001</v>
      </c>
      <c r="G22" s="69">
        <v>9.1780918760000016</v>
      </c>
      <c r="H22" s="69">
        <v>11.389824150999999</v>
      </c>
      <c r="I22" s="69">
        <v>12.235593348999998</v>
      </c>
      <c r="J22" s="69">
        <v>9.4482463729999999</v>
      </c>
      <c r="K22" s="69">
        <v>9.6393049370000004</v>
      </c>
      <c r="L22" s="69">
        <v>6.3630703510000002</v>
      </c>
      <c r="M22" s="69">
        <v>6.7301339999999996</v>
      </c>
      <c r="N22" s="69">
        <v>19.468394647</v>
      </c>
      <c r="O22" s="69">
        <v>16.277999999999999</v>
      </c>
      <c r="P22" s="69">
        <v>17.087</v>
      </c>
      <c r="Q22" s="69">
        <v>26.210999999999999</v>
      </c>
      <c r="R22" s="69">
        <v>27.231999999999999</v>
      </c>
      <c r="S22" s="69">
        <v>14</v>
      </c>
      <c r="T22" s="69">
        <v>1</v>
      </c>
      <c r="W22" s="287">
        <f>SUM(C22:F22)/SUM($C$21:$F$21)</f>
        <v>0.164944792272953</v>
      </c>
      <c r="X22" s="287">
        <f t="shared" ref="X22:X24" si="16">SUM(G22:J22)/SUM($G$21:$J$21)</f>
        <v>0.13299113284172129</v>
      </c>
      <c r="Y22" s="287">
        <f t="shared" ref="Y22:Y24" si="17">SUM(K22:N22)/SUM($K$21:$N$21)</f>
        <v>0.13966189390392345</v>
      </c>
      <c r="Z22" s="287">
        <f t="shared" ref="Z22:Z24" si="18">SUM(O22:R22)/SUM($O$21:$R$21)</f>
        <v>0.20947442334375563</v>
      </c>
      <c r="AA22" s="287">
        <f t="shared" ref="AA22:AA24" si="19">SUM(S22:T22)/SUM($S$21:$T$21)</f>
        <v>7.575757575757576E-2</v>
      </c>
      <c r="AB22" s="286"/>
      <c r="AC22" s="287">
        <f t="shared" ref="AC22:AC24" si="20">S22/$S$21</f>
        <v>0.18181818181818182</v>
      </c>
      <c r="AD22" s="287">
        <f t="shared" ref="AD22:AD24" si="21">T22/$T$21</f>
        <v>8.2644628099173556E-3</v>
      </c>
    </row>
    <row r="23" spans="2:30" ht="14.5" thickBot="1">
      <c r="B23" s="90" t="s">
        <v>134</v>
      </c>
      <c r="C23" s="69">
        <v>0</v>
      </c>
      <c r="D23" s="69">
        <v>62.987079999999999</v>
      </c>
      <c r="E23" s="69">
        <v>31.15597</v>
      </c>
      <c r="F23" s="69">
        <v>26.251439999999999</v>
      </c>
      <c r="G23" s="69">
        <v>26.250810000000001</v>
      </c>
      <c r="H23" s="69">
        <v>30.80414</v>
      </c>
      <c r="I23" s="69">
        <v>36.75047</v>
      </c>
      <c r="J23" s="69">
        <v>47.501480000000001</v>
      </c>
      <c r="K23" s="69">
        <v>31.500299999999999</v>
      </c>
      <c r="L23" s="69">
        <v>54.975319999999996</v>
      </c>
      <c r="M23" s="69">
        <v>63.004020000000004</v>
      </c>
      <c r="N23" s="69">
        <v>0</v>
      </c>
      <c r="O23" s="69">
        <v>52.5</v>
      </c>
      <c r="P23" s="69">
        <v>30.102</v>
      </c>
      <c r="Q23" s="69">
        <v>94.506</v>
      </c>
      <c r="R23" s="69">
        <v>31.501999999999999</v>
      </c>
      <c r="S23" s="69">
        <v>36</v>
      </c>
      <c r="T23" s="69">
        <v>93</v>
      </c>
      <c r="W23" s="288">
        <f>SUM(C23:F23)/SUM(C21:F21)</f>
        <v>0.34608326213743751</v>
      </c>
      <c r="X23" s="287">
        <f t="shared" si="16"/>
        <v>0.44477594779707119</v>
      </c>
      <c r="Y23" s="287">
        <f t="shared" si="17"/>
        <v>0.49469579264538732</v>
      </c>
      <c r="Z23" s="287">
        <f t="shared" si="18"/>
        <v>0.50339207738619562</v>
      </c>
      <c r="AA23" s="287">
        <f t="shared" si="19"/>
        <v>0.65151515151515149</v>
      </c>
      <c r="AB23" s="286"/>
      <c r="AC23" s="287">
        <f t="shared" si="20"/>
        <v>0.46753246753246752</v>
      </c>
      <c r="AD23" s="287">
        <f t="shared" si="21"/>
        <v>0.76859504132231404</v>
      </c>
    </row>
    <row r="24" spans="2:30" ht="14">
      <c r="B24" s="90" t="s">
        <v>135</v>
      </c>
      <c r="C24" s="69">
        <v>67.516212246999999</v>
      </c>
      <c r="D24" s="69">
        <v>31.281598653999996</v>
      </c>
      <c r="E24" s="69">
        <v>32.579221949000001</v>
      </c>
      <c r="F24" s="69">
        <v>38.725177959</v>
      </c>
      <c r="G24" s="69">
        <v>33.914929383999997</v>
      </c>
      <c r="H24" s="69">
        <v>34.670487903000009</v>
      </c>
      <c r="I24" s="69">
        <v>31.809226586999998</v>
      </c>
      <c r="J24" s="69">
        <v>33.750255841000005</v>
      </c>
      <c r="K24" s="69">
        <v>30.200888357999997</v>
      </c>
      <c r="L24" s="69">
        <v>21.745289418999995</v>
      </c>
      <c r="M24" s="69">
        <v>28.895724641999998</v>
      </c>
      <c r="N24" s="69">
        <v>29.642322828000001</v>
      </c>
      <c r="O24" s="69">
        <v>30.54</v>
      </c>
      <c r="P24" s="69">
        <v>29.231331999999998</v>
      </c>
      <c r="Q24" s="69">
        <v>29.589033999999998</v>
      </c>
      <c r="R24" s="69">
        <v>29.630222</v>
      </c>
      <c r="S24" s="69">
        <v>27</v>
      </c>
      <c r="T24" s="69">
        <v>27</v>
      </c>
      <c r="W24" s="287">
        <f>SUM(C24:F24)/SUM($C$21:$F$21)</f>
        <v>0.48897194558960955</v>
      </c>
      <c r="X24" s="287">
        <f t="shared" si="16"/>
        <v>0.42223291936120738</v>
      </c>
      <c r="Y24" s="287">
        <f t="shared" si="17"/>
        <v>0.36564231345068915</v>
      </c>
      <c r="Z24" s="287">
        <f t="shared" si="18"/>
        <v>0.28713349927004894</v>
      </c>
      <c r="AA24" s="287">
        <f t="shared" si="19"/>
        <v>0.27272727272727271</v>
      </c>
      <c r="AB24" s="286"/>
      <c r="AC24" s="287">
        <f t="shared" si="20"/>
        <v>0.35064935064935066</v>
      </c>
      <c r="AD24" s="287">
        <f t="shared" si="21"/>
        <v>0.2231404958677686</v>
      </c>
    </row>
    <row r="25" spans="2:30" ht="13">
      <c r="B25" s="216" t="s">
        <v>136</v>
      </c>
      <c r="W25" s="286"/>
      <c r="X25" s="286"/>
      <c r="Y25" s="286"/>
      <c r="Z25" s="286"/>
      <c r="AA25" s="286"/>
      <c r="AB25" s="286"/>
      <c r="AC25" s="286"/>
      <c r="AD25" s="286"/>
    </row>
    <row r="26" spans="2:30" ht="13">
      <c r="B26" s="216" t="s">
        <v>137</v>
      </c>
      <c r="C26" s="206"/>
      <c r="D26" s="206"/>
      <c r="E26" s="206"/>
      <c r="F26" s="206"/>
      <c r="G26" s="206"/>
      <c r="H26" s="206"/>
      <c r="I26" s="206"/>
      <c r="J26" s="206"/>
      <c r="K26" s="206"/>
      <c r="L26" s="206"/>
      <c r="M26" s="206"/>
      <c r="N26" s="206"/>
      <c r="O26" s="206"/>
      <c r="P26" s="206"/>
      <c r="Q26" s="206"/>
      <c r="R26" s="206"/>
      <c r="W26" s="286"/>
      <c r="X26" s="286"/>
      <c r="Y26" s="286"/>
      <c r="Z26" s="286"/>
      <c r="AA26" s="286"/>
      <c r="AB26" s="286"/>
      <c r="AC26" s="286"/>
      <c r="AD26" s="286"/>
    </row>
    <row r="27" spans="2:30" ht="13">
      <c r="B27" s="216" t="s">
        <v>138</v>
      </c>
      <c r="C27" s="206"/>
      <c r="D27" s="206"/>
      <c r="E27" s="206"/>
      <c r="F27" s="206"/>
      <c r="G27" s="206"/>
      <c r="H27" s="206"/>
      <c r="I27" s="206"/>
      <c r="J27" s="206"/>
      <c r="K27" s="206"/>
      <c r="L27" s="206"/>
      <c r="M27" s="206"/>
      <c r="N27" s="206"/>
      <c r="O27" s="206"/>
      <c r="P27" s="206"/>
      <c r="Q27" s="206"/>
      <c r="R27" s="206"/>
      <c r="W27" s="286"/>
      <c r="X27" s="286"/>
      <c r="Y27" s="286"/>
      <c r="Z27" s="286"/>
      <c r="AA27" s="286"/>
      <c r="AB27" s="286"/>
      <c r="AC27" s="286"/>
      <c r="AD27" s="286"/>
    </row>
  </sheetData>
  <mergeCells count="1">
    <mergeCell ref="C6:P6"/>
  </mergeCells>
  <pageMargins left="0.33" right="0.28999999999999998" top="0.984251969" bottom="0.984251969" header="0.49212598499999999" footer="0.49212598499999999"/>
  <pageSetup paperSize="9" orientation="landscape" r:id="rId1"/>
  <headerFooter alignWithMargins="0"/>
  <ignoredErrors>
    <ignoredError sqref="W11:X16 W18:X19 X17 Y11:Z19 AA11:AA19 W22:AA22 W24:AA24 X23:AA23" formulaRange="1"/>
    <ignoredError sqref="W17 W23" formula="1"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2857-558B-4328-8A01-8EEBF5E19FE1}">
  <sheetPr>
    <pageSetUpPr fitToPage="1"/>
  </sheetPr>
  <dimension ref="B5:AE43"/>
  <sheetViews>
    <sheetView showGridLines="0" zoomScale="90" zoomScaleNormal="90" workbookViewId="0">
      <pane xSplit="2" ySplit="6" topLeftCell="P21" activePane="bottomRight" state="frozen"/>
      <selection pane="topRight" activeCell="N12" sqref="N12"/>
      <selection pane="bottomLeft" activeCell="N12" sqref="N12"/>
      <selection pane="bottomRight" activeCell="AA31" sqref="AA31"/>
    </sheetView>
  </sheetViews>
  <sheetFormatPr defaultColWidth="9.1796875" defaultRowHeight="12.5"/>
  <cols>
    <col min="1" max="1" width="2.1796875" style="46" customWidth="1"/>
    <col min="2" max="2" width="47.7265625" style="46" customWidth="1"/>
    <col min="3" max="18" width="8.1796875" style="46" customWidth="1"/>
    <col min="19" max="16384" width="9.1796875" style="46"/>
  </cols>
  <sheetData>
    <row r="5" spans="2:31" ht="18" customHeight="1">
      <c r="B5" s="47"/>
    </row>
    <row r="6" spans="2:31" ht="14.5" thickBot="1">
      <c r="B6" s="60" t="s">
        <v>139</v>
      </c>
      <c r="C6" s="61" t="s">
        <v>104</v>
      </c>
      <c r="D6" s="61" t="s">
        <v>105</v>
      </c>
      <c r="E6" s="61" t="s">
        <v>106</v>
      </c>
      <c r="F6" s="61" t="s">
        <v>107</v>
      </c>
      <c r="G6" s="61" t="s">
        <v>108</v>
      </c>
      <c r="H6" s="61" t="s">
        <v>109</v>
      </c>
      <c r="I6" s="61" t="s">
        <v>110</v>
      </c>
      <c r="J6" s="61" t="s">
        <v>111</v>
      </c>
      <c r="K6" s="61" t="s">
        <v>112</v>
      </c>
      <c r="L6" s="61" t="s">
        <v>113</v>
      </c>
      <c r="M6" s="61" t="s">
        <v>114</v>
      </c>
      <c r="N6" s="61" t="s">
        <v>115</v>
      </c>
      <c r="O6" s="61" t="s">
        <v>116</v>
      </c>
      <c r="P6" s="61" t="s">
        <v>117</v>
      </c>
      <c r="Q6" s="61" t="s">
        <v>118</v>
      </c>
      <c r="R6" s="61" t="s">
        <v>119</v>
      </c>
      <c r="S6" s="61" t="s">
        <v>120</v>
      </c>
      <c r="T6" s="61" t="s">
        <v>121</v>
      </c>
    </row>
    <row r="7" spans="2:31" ht="14.5" thickTop="1">
      <c r="B7" s="62"/>
      <c r="C7" s="63"/>
      <c r="D7" s="63"/>
      <c r="E7" s="63"/>
      <c r="F7" s="63"/>
      <c r="G7" s="63"/>
      <c r="H7" s="63"/>
      <c r="I7" s="63"/>
      <c r="J7" s="63"/>
      <c r="K7" s="63"/>
      <c r="L7" s="63"/>
      <c r="M7" s="63"/>
      <c r="N7" s="63"/>
      <c r="O7" s="63"/>
      <c r="P7" s="63"/>
      <c r="Q7" s="63"/>
      <c r="R7" s="63"/>
      <c r="S7" s="63"/>
      <c r="T7" s="63"/>
    </row>
    <row r="8" spans="2:31" s="49" customFormat="1" ht="14.25" customHeight="1" thickBot="1">
      <c r="B8" s="116" t="s">
        <v>140</v>
      </c>
      <c r="C8" s="169">
        <f>'6 - Demonstrativos Financeiros'!C67</f>
        <v>238.93799999999999</v>
      </c>
      <c r="D8" s="169">
        <f>'6 - Demonstrativos Financeiros'!D67</f>
        <v>193.37700000000001</v>
      </c>
      <c r="E8" s="169">
        <f>'6 - Demonstrativos Financeiros'!E67</f>
        <v>163.18899999999999</v>
      </c>
      <c r="F8" s="169">
        <f>'6 - Demonstrativos Financeiros'!F67</f>
        <v>118.095</v>
      </c>
      <c r="G8" s="169">
        <f>'6 - Demonstrativos Financeiros'!G67</f>
        <v>135.06100000000001</v>
      </c>
      <c r="H8" s="169">
        <f>'6 - Demonstrativos Financeiros'!H67</f>
        <v>124.26902001798319</v>
      </c>
      <c r="I8" s="169">
        <f>'6 - Demonstrativos Financeiros'!I67</f>
        <v>144.9937248166915</v>
      </c>
      <c r="J8" s="169">
        <f>'6 - Demonstrativos Financeiros'!J67</f>
        <v>126.56036483350766</v>
      </c>
      <c r="K8" s="169">
        <f>'6 - Demonstrativos Financeiros'!K67</f>
        <v>158.99118751278539</v>
      </c>
      <c r="L8" s="169">
        <f>'6 - Demonstrativos Financeiros'!L67</f>
        <v>127.53195661799795</v>
      </c>
      <c r="M8" s="169">
        <f>'6 - Demonstrativos Financeiros'!M67</f>
        <v>161.8117794433341</v>
      </c>
      <c r="N8" s="169">
        <f>'6 - Demonstrativos Financeiros'!N67</f>
        <v>63.838999999999999</v>
      </c>
      <c r="O8" s="169">
        <f>'6 - Demonstrativos Financeiros'!O67</f>
        <v>89.61</v>
      </c>
      <c r="P8" s="169">
        <f>'6 - Demonstrativos Financeiros'!P67</f>
        <v>60</v>
      </c>
      <c r="Q8" s="169">
        <f>'6 - Demonstrativos Financeiros'!Q67</f>
        <v>87</v>
      </c>
      <c r="R8" s="169">
        <f>'6 - Demonstrativos Financeiros'!R67</f>
        <v>69.382999999999996</v>
      </c>
      <c r="S8" s="169">
        <f>'6 - Demonstrativos Financeiros'!S67</f>
        <v>92.506</v>
      </c>
      <c r="T8" s="169">
        <f>'6 - Demonstrativos Financeiros'!T67</f>
        <v>68</v>
      </c>
      <c r="Z8" s="50"/>
      <c r="AA8" s="50"/>
      <c r="AB8" s="50"/>
      <c r="AC8" s="50"/>
      <c r="AD8" s="50"/>
      <c r="AE8" s="50"/>
    </row>
    <row r="9" spans="2:31" s="51" customFormat="1" ht="14.25" customHeight="1">
      <c r="B9" s="117"/>
      <c r="C9" s="167"/>
      <c r="D9" s="167"/>
      <c r="E9" s="167"/>
      <c r="F9" s="167"/>
      <c r="G9" s="167"/>
      <c r="H9" s="167"/>
      <c r="I9" s="167"/>
      <c r="J9" s="167"/>
      <c r="K9" s="167"/>
      <c r="L9" s="167"/>
      <c r="M9" s="167"/>
      <c r="N9" s="167"/>
      <c r="O9" s="167"/>
      <c r="P9" s="167"/>
      <c r="Q9" s="167"/>
      <c r="R9" s="167"/>
      <c r="S9" s="167"/>
      <c r="T9" s="167"/>
      <c r="Z9" s="50"/>
      <c r="AA9" s="50"/>
      <c r="AB9" s="50"/>
      <c r="AC9" s="50"/>
      <c r="AD9" s="50"/>
      <c r="AE9" s="50"/>
    </row>
    <row r="10" spans="2:31" s="49" customFormat="1" ht="14.25" customHeight="1" thickBot="1">
      <c r="B10" s="116" t="s">
        <v>141</v>
      </c>
      <c r="C10" s="169">
        <f>'6 - Demonstrativos Financeiros'!C82</f>
        <v>2571.6379999999999</v>
      </c>
      <c r="D10" s="169">
        <f>'6 - Demonstrativos Financeiros'!D82</f>
        <v>1969.777</v>
      </c>
      <c r="E10" s="169">
        <f>'6 - Demonstrativos Financeiros'!E82</f>
        <v>1992.5550000000001</v>
      </c>
      <c r="F10" s="169">
        <f>'6 - Demonstrativos Financeiros'!F82</f>
        <v>1940.7719999999999</v>
      </c>
      <c r="G10" s="169">
        <f>'6 - Demonstrativos Financeiros'!G82</f>
        <v>1930.1010000000001</v>
      </c>
      <c r="H10" s="169">
        <f>'6 - Demonstrativos Financeiros'!H82</f>
        <v>1953.2140004</v>
      </c>
      <c r="I10" s="169">
        <f>'6 - Demonstrativos Financeiros'!I82</f>
        <v>2130.1550003999996</v>
      </c>
      <c r="J10" s="169">
        <f>'6 - Demonstrativos Financeiros'!J82</f>
        <v>2053.9435004000002</v>
      </c>
      <c r="K10" s="169">
        <f>'6 - Demonstrativos Financeiros'!K82</f>
        <v>2822.2581347951018</v>
      </c>
      <c r="L10" s="169">
        <f>'6 - Demonstrativos Financeiros'!L82</f>
        <v>2982.8553897949596</v>
      </c>
      <c r="M10" s="169">
        <f>'6 - Demonstrativos Financeiros'!M82</f>
        <v>3230.6062217404219</v>
      </c>
      <c r="N10" s="169">
        <f>'6 - Demonstrativos Financeiros'!N82</f>
        <v>2882.6660000000002</v>
      </c>
      <c r="O10" s="169">
        <f>'6 - Demonstrativos Financeiros'!O82</f>
        <v>3116.6350000000002</v>
      </c>
      <c r="P10" s="169">
        <f>'6 - Demonstrativos Financeiros'!P82</f>
        <v>2752</v>
      </c>
      <c r="Q10" s="169">
        <f>'6 - Demonstrativos Financeiros'!Q82</f>
        <v>2946</v>
      </c>
      <c r="R10" s="169">
        <f>'6 - Demonstrativos Financeiros'!R82</f>
        <v>3036.6819999999998</v>
      </c>
      <c r="S10" s="169">
        <f>'6 - Demonstrativos Financeiros'!S82</f>
        <v>2637.21</v>
      </c>
      <c r="T10" s="169">
        <f>'6 - Demonstrativos Financeiros'!T82</f>
        <v>2809.8389999999999</v>
      </c>
      <c r="Z10" s="50"/>
      <c r="AA10" s="50"/>
      <c r="AB10" s="50"/>
      <c r="AC10" s="50"/>
      <c r="AD10" s="50"/>
      <c r="AE10" s="50"/>
    </row>
    <row r="11" spans="2:31" ht="14.25" customHeight="1">
      <c r="B11" s="118"/>
      <c r="C11" s="167"/>
      <c r="D11" s="167"/>
      <c r="E11" s="167"/>
      <c r="F11" s="167"/>
      <c r="G11" s="167"/>
      <c r="H11" s="167"/>
      <c r="I11" s="167"/>
      <c r="J11" s="167"/>
      <c r="K11" s="167"/>
      <c r="L11" s="167"/>
      <c r="M11" s="167"/>
      <c r="N11" s="167"/>
      <c r="O11" s="167"/>
      <c r="P11" s="167"/>
      <c r="Q11" s="167"/>
      <c r="R11" s="167"/>
      <c r="S11" s="167"/>
      <c r="T11" s="167"/>
      <c r="Z11" s="50"/>
      <c r="AA11" s="50"/>
      <c r="AB11" s="50"/>
      <c r="AC11" s="50"/>
      <c r="AD11" s="50"/>
      <c r="AE11" s="50"/>
    </row>
    <row r="12" spans="2:31" ht="14.25" customHeight="1" thickBot="1">
      <c r="B12" s="116" t="s">
        <v>142</v>
      </c>
      <c r="C12" s="169">
        <f>SUM(C8:C10)</f>
        <v>2810.576</v>
      </c>
      <c r="D12" s="169">
        <f t="shared" ref="D12:R12" si="0">SUM(D8:D10)</f>
        <v>2163.154</v>
      </c>
      <c r="E12" s="169">
        <f t="shared" si="0"/>
        <v>2155.7440000000001</v>
      </c>
      <c r="F12" s="169">
        <f t="shared" si="0"/>
        <v>2058.8669999999997</v>
      </c>
      <c r="G12" s="169">
        <f t="shared" si="0"/>
        <v>2065.1620000000003</v>
      </c>
      <c r="H12" s="169">
        <f t="shared" si="0"/>
        <v>2077.4830204179834</v>
      </c>
      <c r="I12" s="169">
        <f t="shared" si="0"/>
        <v>2275.1487252166912</v>
      </c>
      <c r="J12" s="169">
        <f t="shared" si="0"/>
        <v>2180.5038652335079</v>
      </c>
      <c r="K12" s="169">
        <f t="shared" si="0"/>
        <v>2981.2493223078873</v>
      </c>
      <c r="L12" s="169">
        <f t="shared" si="0"/>
        <v>3110.3873464129574</v>
      </c>
      <c r="M12" s="169">
        <f t="shared" si="0"/>
        <v>3392.4180011837561</v>
      </c>
      <c r="N12" s="169">
        <f t="shared" si="0"/>
        <v>2946.5050000000001</v>
      </c>
      <c r="O12" s="169">
        <f t="shared" si="0"/>
        <v>3206.2450000000003</v>
      </c>
      <c r="P12" s="169">
        <f>SUM(P8:P10)</f>
        <v>2812</v>
      </c>
      <c r="Q12" s="169">
        <f t="shared" si="0"/>
        <v>3033</v>
      </c>
      <c r="R12" s="169">
        <f t="shared" si="0"/>
        <v>3106.0649999999996</v>
      </c>
      <c r="S12" s="169">
        <f t="shared" ref="S12:T12" si="1">SUM(S8:S10)</f>
        <v>2729.7159999999999</v>
      </c>
      <c r="T12" s="169">
        <f t="shared" si="1"/>
        <v>2877.8389999999999</v>
      </c>
      <c r="V12" s="51"/>
      <c r="Z12" s="50"/>
      <c r="AA12" s="50"/>
      <c r="AB12" s="50"/>
      <c r="AC12" s="50"/>
      <c r="AD12" s="50"/>
      <c r="AE12" s="50"/>
    </row>
    <row r="13" spans="2:31" ht="14.25" customHeight="1">
      <c r="B13" s="118"/>
      <c r="C13" s="167"/>
      <c r="D13" s="167"/>
      <c r="E13" s="167"/>
      <c r="F13" s="167"/>
      <c r="G13" s="167"/>
      <c r="H13" s="167"/>
      <c r="I13" s="167"/>
      <c r="J13" s="167"/>
      <c r="K13" s="167"/>
      <c r="L13" s="167"/>
      <c r="M13" s="167"/>
      <c r="N13" s="167"/>
      <c r="O13" s="167"/>
      <c r="P13" s="167"/>
      <c r="Q13" s="167"/>
      <c r="R13" s="167"/>
      <c r="S13" s="167"/>
      <c r="T13" s="167"/>
      <c r="Z13" s="50"/>
      <c r="AA13" s="50"/>
      <c r="AB13" s="50"/>
      <c r="AC13" s="50"/>
      <c r="AD13" s="50"/>
      <c r="AE13" s="50"/>
    </row>
    <row r="14" spans="2:31" ht="14.25" customHeight="1" thickBot="1">
      <c r="B14" s="119" t="s">
        <v>143</v>
      </c>
      <c r="C14" s="168">
        <f>-'6 - Demonstrativos Financeiros'!C40</f>
        <v>-46.537999999999997</v>
      </c>
      <c r="D14" s="168">
        <f>-'6 - Demonstrativos Financeiros'!D40</f>
        <v>-48.152999999999999</v>
      </c>
      <c r="E14" s="168">
        <f>-'6 - Demonstrativos Financeiros'!E40</f>
        <v>-32.043999999999997</v>
      </c>
      <c r="F14" s="168">
        <f>-'6 - Demonstrativos Financeiros'!F40</f>
        <v>-116.81100000000001</v>
      </c>
      <c r="G14" s="168">
        <f>-'6 - Demonstrativos Financeiros'!G40</f>
        <v>-76.706000000000003</v>
      </c>
      <c r="H14" s="168">
        <f>-'6 - Demonstrativos Financeiros'!H40</f>
        <v>-59.725000000000001</v>
      </c>
      <c r="I14" s="168">
        <f>-'6 - Demonstrativos Financeiros'!I40</f>
        <v>-87.718000000000004</v>
      </c>
      <c r="J14" s="168">
        <f>-'6 - Demonstrativos Financeiros'!J40</f>
        <v>-190.321</v>
      </c>
      <c r="K14" s="168">
        <f>-'6 - Demonstrativos Financeiros'!K40</f>
        <v>-193.85400000000001</v>
      </c>
      <c r="L14" s="168">
        <f>-'6 - Demonstrativos Financeiros'!L40</f>
        <v>-172.03899999999999</v>
      </c>
      <c r="M14" s="168">
        <f>-'6 - Demonstrativos Financeiros'!M40</f>
        <v>-458</v>
      </c>
      <c r="N14" s="168">
        <f>-'6 - Demonstrativos Financeiros'!N40</f>
        <v>-632.43799999999999</v>
      </c>
      <c r="O14" s="168">
        <f>-'6 - Demonstrativos Financeiros'!O40</f>
        <v>-514.62400000000002</v>
      </c>
      <c r="P14" s="168">
        <f>-'6 - Demonstrativos Financeiros'!P40</f>
        <v>-296</v>
      </c>
      <c r="Q14" s="168">
        <f>-'6 - Demonstrativos Financeiros'!Q40</f>
        <v>-686</v>
      </c>
      <c r="R14" s="168">
        <f>-'6 - Demonstrativos Financeiros'!R40</f>
        <v>-1449.345</v>
      </c>
      <c r="S14" s="168">
        <f>-'6 - Demonstrativos Financeiros'!S40</f>
        <v>-1263.009</v>
      </c>
      <c r="T14" s="168">
        <f>-'6 - Demonstrativos Financeiros'!T40</f>
        <v>-1126</v>
      </c>
      <c r="U14" s="223"/>
      <c r="Z14" s="50"/>
      <c r="AA14" s="50"/>
      <c r="AB14" s="50"/>
      <c r="AC14" s="50"/>
      <c r="AD14" s="50"/>
      <c r="AE14" s="50"/>
    </row>
    <row r="15" spans="2:31" ht="14.25" customHeight="1" thickBot="1">
      <c r="B15" s="119" t="s">
        <v>144</v>
      </c>
      <c r="C15" s="168">
        <f>-(SUM('6 - Demonstrativos Financeiros'!C42,'6 - Demonstrativos Financeiros'!C52)-SUM('6 - Demonstrativos Financeiros'!C68,'6 - Demonstrativos Financeiros'!C83))</f>
        <v>-21.651</v>
      </c>
      <c r="D15" s="168">
        <f>-(SUM('6 - Demonstrativos Financeiros'!D42,'6 - Demonstrativos Financeiros'!D52)-SUM('6 - Demonstrativos Financeiros'!D68,'6 - Demonstrativos Financeiros'!D83))</f>
        <v>153.012</v>
      </c>
      <c r="E15" s="168">
        <f>-(SUM('6 - Demonstrativos Financeiros'!E42,'6 - Demonstrativos Financeiros'!E52)-SUM('6 - Demonstrativos Financeiros'!E68,'6 - Demonstrativos Financeiros'!E83))</f>
        <v>101.964</v>
      </c>
      <c r="F15" s="168">
        <f>-(SUM('6 - Demonstrativos Financeiros'!F42,'6 - Demonstrativos Financeiros'!F52)-SUM('6 - Demonstrativos Financeiros'!F68,'6 - Demonstrativos Financeiros'!F83))</f>
        <v>-110.52600000000001</v>
      </c>
      <c r="G15" s="168">
        <f>-(SUM('6 - Demonstrativos Financeiros'!G42,'6 - Demonstrativos Financeiros'!G52)-SUM('6 - Demonstrativos Financeiros'!G68,'6 - Demonstrativos Financeiros'!G83))</f>
        <v>-79.686000000000007</v>
      </c>
      <c r="H15" s="168">
        <f>-(SUM('6 - Demonstrativos Financeiros'!H42,'6 - Demonstrativos Financeiros'!H52)-SUM('6 - Demonstrativos Financeiros'!H68,'6 - Demonstrativos Financeiros'!H83))</f>
        <v>-78.290512183516725</v>
      </c>
      <c r="I15" s="168">
        <f>-(SUM('6 - Demonstrativos Financeiros'!I42,'6 - Demonstrativos Financeiros'!I52)-SUM('6 - Demonstrativos Financeiros'!I68,'6 - Demonstrativos Financeiros'!I83))</f>
        <v>-28.971102527477704</v>
      </c>
      <c r="J15" s="168">
        <f>-(SUM('6 - Demonstrativos Financeiros'!J42,'6 - Demonstrativos Financeiros'!J52)-SUM('6 - Demonstrativos Financeiros'!J68,'6 - Demonstrativos Financeiros'!J83))</f>
        <v>-23.435157180000001</v>
      </c>
      <c r="K15" s="168">
        <f>-(SUM('6 - Demonstrativos Financeiros'!K42,'6 - Demonstrativos Financeiros'!K52)-SUM('6 - Demonstrativos Financeiros'!K68,'6 - Demonstrativos Financeiros'!K83))</f>
        <v>110.42942256464863</v>
      </c>
      <c r="L15" s="168">
        <f>-(SUM('6 - Demonstrativos Financeiros'!L42,'6 - Demonstrativos Financeiros'!L52)-SUM('6 - Demonstrativos Financeiros'!L68,'6 - Demonstrativos Financeiros'!L83))</f>
        <v>236.49829787719776</v>
      </c>
      <c r="M15" s="168">
        <f>-(SUM('6 - Demonstrativos Financeiros'!M42,'6 - Demonstrativos Financeiros'!M52)-SUM('6 - Demonstrativos Financeiros'!M68,'6 - Demonstrativos Financeiros'!M83))</f>
        <v>430.98965287222745</v>
      </c>
      <c r="N15" s="168">
        <f>-(SUM('6 - Demonstrativos Financeiros'!N42,'6 - Demonstrativos Financeiros'!N52)-SUM('6 - Demonstrativos Financeiros'!N68,'6 - Demonstrativos Financeiros'!N83))</f>
        <v>324.12699999999995</v>
      </c>
      <c r="O15" s="168">
        <f>-(SUM('6 - Demonstrativos Financeiros'!O42,'6 - Demonstrativos Financeiros'!O52)-SUM('6 - Demonstrativos Financeiros'!O68,'6 - Demonstrativos Financeiros'!O83))</f>
        <v>667.84299999999996</v>
      </c>
      <c r="P15" s="168">
        <f>-(SUM('6 - Demonstrativos Financeiros'!P42,'6 - Demonstrativos Financeiros'!P52)-SUM('6 - Demonstrativos Financeiros'!P68,'6 - Demonstrativos Financeiros'!P83))</f>
        <v>365</v>
      </c>
      <c r="Q15" s="168">
        <f>-(SUM('6 - Demonstrativos Financeiros'!Q42,'6 - Demonstrativos Financeiros'!Q52)-SUM('6 - Demonstrativos Financeiros'!Q68,'6 - Demonstrativos Financeiros'!Q83))</f>
        <v>591</v>
      </c>
      <c r="R15" s="168">
        <f>-(SUM('6 - Demonstrativos Financeiros'!R42,'6 - Demonstrativos Financeiros'!R52)-SUM('6 - Demonstrativos Financeiros'!R68,'6 - Demonstrativos Financeiros'!R83))</f>
        <v>301.15500000000003</v>
      </c>
      <c r="S15" s="168">
        <f>-(SUM('6 - Demonstrativos Financeiros'!S42,'6 - Demonstrativos Financeiros'!S52)-SUM('6 - Demonstrativos Financeiros'!S68,'6 - Demonstrativos Financeiros'!S83))</f>
        <v>-33.256</v>
      </c>
      <c r="T15" s="168">
        <f>-(SUM('6 - Demonstrativos Financeiros'!T42,'6 - Demonstrativos Financeiros'!T52)-SUM('6 - Demonstrativos Financeiros'!T68,'6 - Demonstrativos Financeiros'!T83))</f>
        <v>-78.242999999999995</v>
      </c>
      <c r="U15" s="223"/>
      <c r="Z15" s="50"/>
      <c r="AA15" s="50"/>
      <c r="AB15" s="50"/>
      <c r="AC15" s="50"/>
      <c r="AD15" s="50"/>
      <c r="AE15" s="50"/>
    </row>
    <row r="16" spans="2:31" ht="14.25" customHeight="1" thickBot="1">
      <c r="B16" s="119" t="s">
        <v>145</v>
      </c>
      <c r="C16" s="168">
        <f>SUM('6 - Demonstrativos Financeiros'!C84,'6 - Demonstrativos Financeiros'!C69)</f>
        <v>0</v>
      </c>
      <c r="D16" s="168">
        <f>SUM('6 - Demonstrativos Financeiros'!D84,'6 - Demonstrativos Financeiros'!D69)</f>
        <v>0</v>
      </c>
      <c r="E16" s="168">
        <f>SUM('6 - Demonstrativos Financeiros'!E84,'6 - Demonstrativos Financeiros'!E69)</f>
        <v>0</v>
      </c>
      <c r="F16" s="168">
        <f>SUM('6 - Demonstrativos Financeiros'!F84,'6 - Demonstrativos Financeiros'!F69)</f>
        <v>0</v>
      </c>
      <c r="G16" s="168">
        <f>SUM('6 - Demonstrativos Financeiros'!G84,'6 - Demonstrativos Financeiros'!G69)</f>
        <v>25.639000000000003</v>
      </c>
      <c r="H16" s="168">
        <f>SUM('6 - Demonstrativos Financeiros'!H84,'6 - Demonstrativos Financeiros'!H69)</f>
        <v>20.811999999999998</v>
      </c>
      <c r="I16" s="168">
        <f>SUM('6 - Demonstrativos Financeiros'!I84,'6 - Demonstrativos Financeiros'!I69)</f>
        <v>15.691000000000001</v>
      </c>
      <c r="J16" s="168">
        <f>SUM('6 - Demonstrativos Financeiros'!J84,'6 - Demonstrativos Financeiros'!J69)</f>
        <v>15.782999999999999</v>
      </c>
      <c r="K16" s="168">
        <f>SUM('6 - Demonstrativos Financeiros'!K84,'6 - Demonstrativos Financeiros'!K69)</f>
        <v>13.385999999999999</v>
      </c>
      <c r="L16" s="168">
        <f>SUM('6 - Demonstrativos Financeiros'!L84,'6 - Demonstrativos Financeiros'!L69)</f>
        <v>10.949000000000002</v>
      </c>
      <c r="M16" s="168">
        <f>SUM('6 - Demonstrativos Financeiros'!M84,'6 - Demonstrativos Financeiros'!M69)</f>
        <v>12.685</v>
      </c>
      <c r="N16" s="168">
        <f>SUM('6 - Demonstrativos Financeiros'!N84,'6 - Demonstrativos Financeiros'!N69)</f>
        <v>15.914999999999999</v>
      </c>
      <c r="O16" s="168">
        <f>SUM('6 - Demonstrativos Financeiros'!O84,'6 - Demonstrativos Financeiros'!O69)</f>
        <v>20.756</v>
      </c>
      <c r="P16" s="168">
        <f>SUM('6 - Demonstrativos Financeiros'!P84,'6 - Demonstrativos Financeiros'!P69)</f>
        <v>44</v>
      </c>
      <c r="Q16" s="168">
        <f>SUM('6 - Demonstrativos Financeiros'!Q84,'6 - Demonstrativos Financeiros'!Q69)</f>
        <v>47</v>
      </c>
      <c r="R16" s="168">
        <f>SUM('6 - Demonstrativos Financeiros'!R84,'6 - Demonstrativos Financeiros'!R69)</f>
        <v>44.689</v>
      </c>
      <c r="S16" s="168">
        <f>SUM('6 - Demonstrativos Financeiros'!S84,'6 - Demonstrativos Financeiros'!S69)</f>
        <v>41.478999999999999</v>
      </c>
      <c r="T16" s="168">
        <f>SUM('6 - Demonstrativos Financeiros'!T84,'6 - Demonstrativos Financeiros'!T69)</f>
        <v>41.111000000000004</v>
      </c>
      <c r="U16" s="223"/>
      <c r="Z16" s="50"/>
      <c r="AA16" s="50"/>
      <c r="AB16" s="50"/>
      <c r="AC16" s="50"/>
      <c r="AD16" s="50"/>
      <c r="AE16" s="50"/>
    </row>
    <row r="17" spans="2:31" ht="14.25" customHeight="1" thickBot="1">
      <c r="B17" s="119" t="s">
        <v>146</v>
      </c>
      <c r="C17" s="168">
        <f>-'6 - Demonstrativos Financeiros'!C41-'6 - Demonstrativos Financeiros'!C51</f>
        <v>-913.71999999999991</v>
      </c>
      <c r="D17" s="168">
        <f>-'6 - Demonstrativos Financeiros'!D41-'6 - Demonstrativos Financeiros'!D51</f>
        <v>-780.226</v>
      </c>
      <c r="E17" s="168">
        <f>-'6 - Demonstrativos Financeiros'!E41-'6 - Demonstrativos Financeiros'!E51</f>
        <v>-553.904</v>
      </c>
      <c r="F17" s="168">
        <f>-'6 - Demonstrativos Financeiros'!F41-'6 - Demonstrativos Financeiros'!F51</f>
        <v>-455.55200000000002</v>
      </c>
      <c r="G17" s="168">
        <f>-'6 - Demonstrativos Financeiros'!G41-'6 - Demonstrativos Financeiros'!G51</f>
        <v>-502.06</v>
      </c>
      <c r="H17" s="168">
        <f>-'6 - Demonstrativos Financeiros'!H41-'6 - Demonstrativos Financeiros'!H51</f>
        <v>-583.07800000000009</v>
      </c>
      <c r="I17" s="168">
        <f>-'6 - Demonstrativos Financeiros'!I41-'6 - Demonstrativos Financeiros'!I51</f>
        <v>-633.846</v>
      </c>
      <c r="J17" s="168">
        <f>-'6 - Demonstrativos Financeiros'!J41-'6 - Demonstrativos Financeiros'!J51</f>
        <v>-418.43900000000002</v>
      </c>
      <c r="K17" s="168">
        <f>-'6 - Demonstrativos Financeiros'!K41-'6 - Demonstrativos Financeiros'!K51</f>
        <v>-411.29300000000001</v>
      </c>
      <c r="L17" s="168">
        <f>-'6 - Demonstrativos Financeiros'!L41-'6 - Demonstrativos Financeiros'!L51</f>
        <v>-374.26800000000003</v>
      </c>
      <c r="M17" s="168">
        <f>-'6 - Demonstrativos Financeiros'!M41-'6 - Demonstrativos Financeiros'!M51</f>
        <v>-548.58799999999997</v>
      </c>
      <c r="N17" s="168">
        <f>-'6 - Demonstrativos Financeiros'!N41-'6 - Demonstrativos Financeiros'!N51</f>
        <v>-617</v>
      </c>
      <c r="O17" s="168">
        <f>-'6 - Demonstrativos Financeiros'!O41-'6 - Demonstrativos Financeiros'!O51</f>
        <v>-339.04</v>
      </c>
      <c r="P17" s="168">
        <f>-'6 - Demonstrativos Financeiros'!P41-'6 - Demonstrativos Financeiros'!P51</f>
        <v>-424</v>
      </c>
      <c r="Q17" s="168">
        <f>-'6 - Demonstrativos Financeiros'!Q41-'6 - Demonstrativos Financeiros'!Q51</f>
        <v>-693.06399999999996</v>
      </c>
      <c r="R17" s="168">
        <f>-'6 - Demonstrativos Financeiros'!R41-'6 - Demonstrativos Financeiros'!R51</f>
        <v>-337.41400000000004</v>
      </c>
      <c r="S17" s="168">
        <f>-'6 - Demonstrativos Financeiros'!S41-'6 - Demonstrativos Financeiros'!S51</f>
        <v>-321.87600000000003</v>
      </c>
      <c r="T17" s="168">
        <f>-'6 - Demonstrativos Financeiros'!T41-'6 - Demonstrativos Financeiros'!T51</f>
        <v>-356</v>
      </c>
      <c r="U17" s="223"/>
      <c r="Z17" s="50"/>
      <c r="AA17" s="50"/>
      <c r="AB17" s="50"/>
      <c r="AC17" s="50"/>
      <c r="AD17" s="50"/>
      <c r="AE17" s="50"/>
    </row>
    <row r="18" spans="2:31" ht="14.25" customHeight="1">
      <c r="B18" s="118"/>
      <c r="C18" s="167"/>
      <c r="D18" s="167"/>
      <c r="E18" s="167"/>
      <c r="F18" s="167"/>
      <c r="G18" s="167"/>
      <c r="H18" s="167"/>
      <c r="I18" s="167"/>
      <c r="J18" s="167"/>
      <c r="K18" s="167"/>
      <c r="L18" s="167"/>
      <c r="M18" s="167"/>
      <c r="N18" s="167"/>
      <c r="O18" s="167"/>
      <c r="P18" s="167"/>
      <c r="Q18" s="167"/>
      <c r="R18" s="167"/>
      <c r="S18" s="167"/>
      <c r="T18" s="167"/>
      <c r="Z18" s="50"/>
      <c r="AA18" s="50"/>
      <c r="AB18" s="50"/>
      <c r="AC18" s="50"/>
      <c r="AD18" s="50"/>
      <c r="AE18" s="50"/>
    </row>
    <row r="19" spans="2:31" ht="14.25" customHeight="1" thickBot="1">
      <c r="B19" s="116" t="s">
        <v>147</v>
      </c>
      <c r="C19" s="169">
        <v>1828.6670000000004</v>
      </c>
      <c r="D19" s="169">
        <v>1487.7870000000003</v>
      </c>
      <c r="E19" s="169">
        <v>1671.7600000000002</v>
      </c>
      <c r="F19" s="169">
        <v>1375.9779999999996</v>
      </c>
      <c r="G19" s="169">
        <v>1432.3490000000004</v>
      </c>
      <c r="H19" s="169">
        <v>1377.2015082344665</v>
      </c>
      <c r="I19" s="169">
        <v>1540.3046226892134</v>
      </c>
      <c r="J19" s="169">
        <v>1564.0917080535078</v>
      </c>
      <c r="K19" s="169">
        <v>2499.9177448725359</v>
      </c>
      <c r="L19" s="169">
        <v>2811.5276442901554</v>
      </c>
      <c r="M19" s="169">
        <v>2829.5046540559833</v>
      </c>
      <c r="N19" s="169">
        <v>2037.1089999999999</v>
      </c>
      <c r="O19" s="169">
        <v>3041.2439999999997</v>
      </c>
      <c r="P19" s="169">
        <v>2500</v>
      </c>
      <c r="Q19" s="169">
        <f>SUM(Q12:Q17)</f>
        <v>2291.9360000000001</v>
      </c>
      <c r="R19" s="169">
        <f>SUM(R12:R17)</f>
        <v>1665.1499999999996</v>
      </c>
      <c r="S19" s="169">
        <f>SUM(S12:S17)</f>
        <v>1153.0539999999999</v>
      </c>
      <c r="T19" s="169">
        <f>SUM(T12:T17)</f>
        <v>1358.7070000000001</v>
      </c>
      <c r="Z19" s="50"/>
      <c r="AA19" s="50"/>
      <c r="AB19" s="50"/>
      <c r="AC19" s="50"/>
      <c r="AD19" s="50"/>
      <c r="AE19" s="50"/>
    </row>
    <row r="20" spans="2:31" ht="14.25" customHeight="1" thickBot="1">
      <c r="B20" s="120"/>
      <c r="C20" s="170"/>
      <c r="D20" s="170"/>
      <c r="E20" s="170"/>
      <c r="F20" s="170"/>
      <c r="G20" s="170"/>
      <c r="H20" s="170"/>
      <c r="I20" s="170"/>
      <c r="J20" s="170"/>
      <c r="K20" s="170"/>
      <c r="L20" s="170"/>
      <c r="M20" s="170"/>
      <c r="N20" s="170"/>
      <c r="O20" s="170"/>
      <c r="P20" s="170"/>
      <c r="Q20" s="170"/>
      <c r="R20" s="170"/>
      <c r="S20" s="170"/>
      <c r="T20" s="170"/>
      <c r="Z20" s="50"/>
      <c r="AA20" s="50"/>
      <c r="AB20" s="50"/>
      <c r="AC20" s="50"/>
      <c r="AD20" s="50"/>
      <c r="AE20" s="50"/>
    </row>
    <row r="21" spans="2:31" ht="14.5" thickBot="1">
      <c r="B21" s="121" t="s">
        <v>148</v>
      </c>
      <c r="C21" s="171"/>
      <c r="D21" s="171"/>
      <c r="E21" s="171"/>
      <c r="F21" s="171"/>
      <c r="G21" s="171"/>
      <c r="H21" s="171"/>
      <c r="I21" s="171"/>
      <c r="J21" s="171"/>
      <c r="K21" s="171"/>
      <c r="L21" s="171"/>
      <c r="M21" s="171"/>
      <c r="N21" s="171"/>
      <c r="O21" s="171"/>
      <c r="P21" s="171"/>
      <c r="Q21" s="171"/>
      <c r="R21" s="171"/>
      <c r="S21" s="171"/>
      <c r="T21" s="171"/>
      <c r="Z21" s="50"/>
      <c r="AA21" s="50"/>
      <c r="AB21" s="50"/>
      <c r="AC21" s="50"/>
      <c r="AD21" s="50"/>
      <c r="AE21" s="50"/>
    </row>
    <row r="22" spans="2:31" ht="14">
      <c r="B22" s="122" t="s">
        <v>149</v>
      </c>
      <c r="C22" s="172">
        <v>633.30700000000002</v>
      </c>
      <c r="D22" s="172">
        <v>614.63499999999999</v>
      </c>
      <c r="E22" s="172">
        <v>533.12400000000002</v>
      </c>
      <c r="F22" s="172">
        <v>514.22900000000004</v>
      </c>
      <c r="G22" s="172">
        <v>492.87799999999999</v>
      </c>
      <c r="H22" s="172">
        <v>474.45499999999993</v>
      </c>
      <c r="I22" s="172">
        <v>510.20900000000006</v>
      </c>
      <c r="J22" s="172">
        <v>491.90600000000001</v>
      </c>
      <c r="K22" s="172">
        <v>472.46100000000001</v>
      </c>
      <c r="L22" s="172">
        <v>495.80500000000006</v>
      </c>
      <c r="M22" s="172">
        <v>404.88100000000009</v>
      </c>
      <c r="N22" s="172">
        <v>219.61799999999999</v>
      </c>
      <c r="O22" s="172">
        <v>213.91900000000001</v>
      </c>
      <c r="P22" s="172">
        <v>209</v>
      </c>
      <c r="Q22" s="172">
        <v>175</v>
      </c>
      <c r="R22" s="172">
        <v>480</v>
      </c>
      <c r="S22" s="172">
        <v>482</v>
      </c>
      <c r="T22" s="172">
        <v>470.113</v>
      </c>
      <c r="Z22" s="50"/>
      <c r="AA22" s="50"/>
      <c r="AB22" s="50"/>
      <c r="AC22" s="50"/>
      <c r="AD22" s="50"/>
      <c r="AE22" s="50"/>
    </row>
    <row r="23" spans="2:31" ht="14.25" customHeight="1" thickBot="1">
      <c r="B23" s="123" t="s">
        <v>150</v>
      </c>
      <c r="C23" s="173">
        <v>2177.2689999999998</v>
      </c>
      <c r="D23" s="173">
        <v>1548.519</v>
      </c>
      <c r="E23" s="173">
        <v>1622.62</v>
      </c>
      <c r="F23" s="173">
        <v>1544.6379999999999</v>
      </c>
      <c r="G23" s="173">
        <v>1572.2840000000001</v>
      </c>
      <c r="H23" s="173">
        <v>1603.0280204179835</v>
      </c>
      <c r="I23" s="173">
        <v>1764.761</v>
      </c>
      <c r="J23" s="173">
        <v>1688.598</v>
      </c>
      <c r="K23" s="173">
        <v>2508.7883223078875</v>
      </c>
      <c r="L23" s="173">
        <v>2614.5823464129571</v>
      </c>
      <c r="M23" s="174">
        <v>2987.5370011837563</v>
      </c>
      <c r="N23" s="174">
        <v>2726.8870000000002</v>
      </c>
      <c r="O23" s="174">
        <v>2992.326</v>
      </c>
      <c r="P23" s="174">
        <v>2603</v>
      </c>
      <c r="Q23" s="174">
        <v>2858</v>
      </c>
      <c r="R23" s="174">
        <v>2626</v>
      </c>
      <c r="S23" s="174">
        <v>2248</v>
      </c>
      <c r="T23" s="174">
        <v>2407.616</v>
      </c>
      <c r="Z23" s="50"/>
      <c r="AA23" s="50"/>
      <c r="AB23" s="50"/>
      <c r="AC23" s="50"/>
      <c r="AD23" s="50"/>
      <c r="AE23" s="50"/>
    </row>
    <row r="24" spans="2:31" ht="14">
      <c r="B24" s="64"/>
      <c r="C24" s="175"/>
      <c r="D24" s="175"/>
      <c r="E24" s="175"/>
      <c r="F24" s="175"/>
      <c r="G24" s="117"/>
      <c r="H24" s="176"/>
      <c r="I24" s="176"/>
      <c r="J24" s="175"/>
      <c r="K24" s="175"/>
      <c r="L24" s="175"/>
      <c r="M24" s="175"/>
      <c r="N24" s="175"/>
      <c r="O24" s="175"/>
      <c r="P24" s="209"/>
      <c r="Q24" s="175"/>
      <c r="R24" s="175"/>
      <c r="S24" s="175"/>
      <c r="T24" s="175"/>
    </row>
    <row r="25" spans="2:31" ht="14.5" thickBot="1">
      <c r="B25" s="124" t="s">
        <v>151</v>
      </c>
      <c r="C25" s="116"/>
      <c r="D25" s="116"/>
      <c r="E25" s="116"/>
      <c r="F25" s="116"/>
      <c r="G25" s="177"/>
      <c r="H25" s="177"/>
      <c r="I25" s="177"/>
      <c r="J25" s="177"/>
      <c r="K25" s="177"/>
      <c r="L25" s="177"/>
      <c r="M25" s="177"/>
      <c r="N25" s="177"/>
      <c r="O25" s="177"/>
      <c r="P25" s="177"/>
      <c r="Q25" s="177"/>
      <c r="R25" s="177"/>
      <c r="S25" s="177"/>
      <c r="T25" s="177"/>
    </row>
    <row r="26" spans="2:31" ht="14.25" customHeight="1">
      <c r="B26" s="125">
        <v>2018</v>
      </c>
      <c r="C26" s="178">
        <v>214.917</v>
      </c>
      <c r="D26" s="178">
        <v>143.67599999999999</v>
      </c>
      <c r="E26" s="178">
        <v>52.478999999999999</v>
      </c>
      <c r="F26" s="178">
        <v>0</v>
      </c>
      <c r="G26" s="178">
        <v>0</v>
      </c>
      <c r="H26" s="178">
        <v>0</v>
      </c>
      <c r="I26" s="178">
        <v>0</v>
      </c>
      <c r="J26" s="178">
        <v>0</v>
      </c>
      <c r="K26" s="178">
        <v>0</v>
      </c>
      <c r="L26" s="178">
        <v>0</v>
      </c>
      <c r="M26" s="178">
        <v>0</v>
      </c>
      <c r="N26" s="178">
        <v>0</v>
      </c>
      <c r="O26" s="178">
        <v>0</v>
      </c>
      <c r="P26" s="178">
        <v>0</v>
      </c>
      <c r="Q26" s="178">
        <v>0</v>
      </c>
      <c r="R26" s="178">
        <v>0</v>
      </c>
      <c r="S26" s="178">
        <v>0</v>
      </c>
      <c r="T26" s="178">
        <v>0</v>
      </c>
    </row>
    <row r="27" spans="2:31" ht="14.25" customHeight="1">
      <c r="B27" s="125">
        <v>2019</v>
      </c>
      <c r="C27" s="178">
        <v>125.113</v>
      </c>
      <c r="D27" s="178">
        <v>128.36699999999999</v>
      </c>
      <c r="E27" s="178">
        <v>136.99199999999999</v>
      </c>
      <c r="F27" s="178">
        <v>118.095</v>
      </c>
      <c r="G27" s="178">
        <v>114.61779442034361</v>
      </c>
      <c r="H27" s="178">
        <v>86.747</v>
      </c>
      <c r="I27" s="178">
        <v>61.167051490514908</v>
      </c>
      <c r="J27" s="178">
        <v>0</v>
      </c>
      <c r="K27" s="178">
        <v>0</v>
      </c>
      <c r="L27" s="178">
        <v>0</v>
      </c>
      <c r="M27" s="178">
        <v>0</v>
      </c>
      <c r="N27" s="178">
        <v>0</v>
      </c>
      <c r="O27" s="178">
        <v>0</v>
      </c>
      <c r="P27" s="178">
        <v>0</v>
      </c>
      <c r="Q27" s="178">
        <v>0</v>
      </c>
      <c r="R27" s="178">
        <v>0</v>
      </c>
      <c r="S27" s="178">
        <v>0</v>
      </c>
      <c r="T27" s="178">
        <v>0</v>
      </c>
    </row>
    <row r="28" spans="2:31" ht="14.25" customHeight="1">
      <c r="B28" s="125">
        <v>2020</v>
      </c>
      <c r="C28" s="178">
        <v>106.904</v>
      </c>
      <c r="D28" s="178">
        <v>109.70399999999999</v>
      </c>
      <c r="E28" s="178">
        <v>117.858</v>
      </c>
      <c r="F28" s="178">
        <v>112.489</v>
      </c>
      <c r="G28" s="178">
        <v>112.79650540505985</v>
      </c>
      <c r="H28" s="178">
        <v>112.901</v>
      </c>
      <c r="I28" s="178">
        <v>113.215</v>
      </c>
      <c r="J28" s="178">
        <v>126.48399999999999</v>
      </c>
      <c r="K28" s="178">
        <v>135.39058413639734</v>
      </c>
      <c r="L28" s="178">
        <v>66.585091650508829</v>
      </c>
      <c r="M28" s="178">
        <v>50.231518297236747</v>
      </c>
      <c r="N28" s="178">
        <v>0</v>
      </c>
      <c r="O28" s="178">
        <v>0</v>
      </c>
      <c r="P28" s="178">
        <v>0</v>
      </c>
      <c r="Q28" s="178">
        <v>0</v>
      </c>
      <c r="R28" s="178">
        <v>0</v>
      </c>
      <c r="S28" s="178">
        <v>0</v>
      </c>
      <c r="T28" s="178">
        <v>0</v>
      </c>
    </row>
    <row r="29" spans="2:31" ht="14.25" customHeight="1">
      <c r="B29" s="126">
        <v>2021</v>
      </c>
      <c r="C29" s="167">
        <v>893.37300000000005</v>
      </c>
      <c r="D29" s="167">
        <v>98.006</v>
      </c>
      <c r="E29" s="167">
        <v>105.518</v>
      </c>
      <c r="F29" s="167">
        <v>109.76</v>
      </c>
      <c r="G29" s="167">
        <v>110.05271779526474</v>
      </c>
      <c r="H29" s="167">
        <v>110.14</v>
      </c>
      <c r="I29" s="167">
        <v>116.337</v>
      </c>
      <c r="J29" s="167">
        <v>117.325</v>
      </c>
      <c r="K29" s="167">
        <v>118.68951890289104</v>
      </c>
      <c r="L29" s="167">
        <v>139.43615139158186</v>
      </c>
      <c r="M29" s="167">
        <v>113.85479014189693</v>
      </c>
      <c r="N29" s="167">
        <v>63.84</v>
      </c>
      <c r="O29" s="167">
        <v>86.688999999999993</v>
      </c>
      <c r="P29" s="167">
        <v>55</v>
      </c>
      <c r="Q29" s="167">
        <v>47</v>
      </c>
      <c r="R29" s="167">
        <v>0</v>
      </c>
      <c r="S29" s="167">
        <v>0</v>
      </c>
      <c r="T29" s="167">
        <v>0</v>
      </c>
    </row>
    <row r="30" spans="2:31" ht="14.25" customHeight="1">
      <c r="B30" s="125">
        <v>2022</v>
      </c>
      <c r="C30" s="178">
        <v>66.046999999999997</v>
      </c>
      <c r="D30" s="178">
        <v>66.283000000000001</v>
      </c>
      <c r="E30" s="178">
        <v>66.453000000000003</v>
      </c>
      <c r="F30" s="178">
        <v>70.388000000000005</v>
      </c>
      <c r="G30" s="178">
        <v>70.48438918115987</v>
      </c>
      <c r="H30" s="178">
        <v>70.361999999999995</v>
      </c>
      <c r="I30" s="178">
        <v>76.915999999999997</v>
      </c>
      <c r="J30" s="178">
        <v>76.816000000000003</v>
      </c>
      <c r="K30" s="178">
        <v>76.401518902891027</v>
      </c>
      <c r="L30" s="178">
        <v>83.625151391581866</v>
      </c>
      <c r="M30" s="178">
        <v>72.250790141896928</v>
      </c>
      <c r="N30" s="178">
        <v>42.707000000000001</v>
      </c>
      <c r="O30" s="178">
        <v>42.728000000000002</v>
      </c>
      <c r="P30" s="178">
        <v>42</v>
      </c>
      <c r="Q30" s="178">
        <v>43</v>
      </c>
      <c r="R30" s="178">
        <v>69</v>
      </c>
      <c r="S30" s="178">
        <v>88</v>
      </c>
      <c r="T30" s="178">
        <v>59.398000000000003</v>
      </c>
    </row>
    <row r="31" spans="2:31" ht="14.25" customHeight="1">
      <c r="B31" s="127">
        <v>2023</v>
      </c>
      <c r="C31" s="167">
        <v>23.108000000000001</v>
      </c>
      <c r="D31" s="167">
        <v>23.132999999999999</v>
      </c>
      <c r="E31" s="167">
        <v>23.157</v>
      </c>
      <c r="F31" s="167">
        <v>27.06</v>
      </c>
      <c r="G31" s="167">
        <v>27.127402451275177</v>
      </c>
      <c r="H31" s="167">
        <v>26.995000000000001</v>
      </c>
      <c r="I31" s="167">
        <v>33.548000000000002</v>
      </c>
      <c r="J31" s="167">
        <v>33.548000000000002</v>
      </c>
      <c r="K31" s="167">
        <v>98.008573758339509</v>
      </c>
      <c r="L31" s="167">
        <v>105.60658181248876</v>
      </c>
      <c r="M31" s="167">
        <v>99.94528304705004</v>
      </c>
      <c r="N31" s="167">
        <v>78.501000000000005</v>
      </c>
      <c r="O31" s="167">
        <v>88.165999999999997</v>
      </c>
      <c r="P31" s="167">
        <v>69</v>
      </c>
      <c r="Q31" s="167">
        <v>74</v>
      </c>
      <c r="R31" s="167">
        <v>82</v>
      </c>
      <c r="S31" s="167">
        <v>72</v>
      </c>
      <c r="T31" s="167">
        <v>78.141000000000005</v>
      </c>
    </row>
    <row r="32" spans="2:31" ht="14">
      <c r="B32" s="125">
        <v>2024</v>
      </c>
      <c r="C32" s="178">
        <v>1350.5450000000001</v>
      </c>
      <c r="D32" s="178">
        <v>1563.3720000000001</v>
      </c>
      <c r="E32" s="178">
        <v>1622.6320000000001</v>
      </c>
      <c r="F32" s="178">
        <v>1574.896</v>
      </c>
      <c r="G32" s="178">
        <v>1583.7245524304415</v>
      </c>
      <c r="H32" s="178">
        <v>575.98500000000001</v>
      </c>
      <c r="I32" s="178">
        <v>630.34900000000005</v>
      </c>
      <c r="J32" s="178">
        <v>611.10599999999999</v>
      </c>
      <c r="K32" s="178">
        <v>778.69251890289104</v>
      </c>
      <c r="L32" s="178">
        <v>822.57915139158183</v>
      </c>
      <c r="M32" s="178">
        <v>1102.468790141897</v>
      </c>
      <c r="N32" s="178">
        <v>1000.747</v>
      </c>
      <c r="O32" s="178">
        <v>1070.9949999999999</v>
      </c>
      <c r="P32" s="178">
        <v>942</v>
      </c>
      <c r="Q32" s="178">
        <v>1023</v>
      </c>
      <c r="R32" s="178">
        <v>776</v>
      </c>
      <c r="S32" s="178">
        <v>662</v>
      </c>
      <c r="T32" s="178">
        <v>671.92399999999998</v>
      </c>
    </row>
    <row r="33" spans="2:20" ht="14.25" customHeight="1">
      <c r="B33" s="127">
        <v>2025</v>
      </c>
      <c r="C33" s="167">
        <v>17.468</v>
      </c>
      <c r="D33" s="167">
        <v>17.492999999999999</v>
      </c>
      <c r="E33" s="167">
        <v>17.516999999999999</v>
      </c>
      <c r="F33" s="167">
        <v>21.42</v>
      </c>
      <c r="G33" s="167">
        <v>21.487583494617226</v>
      </c>
      <c r="H33" s="167">
        <v>420.40600000000001</v>
      </c>
      <c r="I33" s="167">
        <v>481.68980397470642</v>
      </c>
      <c r="J33" s="167">
        <v>460.959</v>
      </c>
      <c r="K33" s="167">
        <v>590.42031504818385</v>
      </c>
      <c r="L33" s="167">
        <v>625.80744744505387</v>
      </c>
      <c r="M33" s="167">
        <v>645.52986855862582</v>
      </c>
      <c r="N33" s="167">
        <v>583.21900000000005</v>
      </c>
      <c r="O33" s="167">
        <v>638.28499999999997</v>
      </c>
      <c r="P33" s="167">
        <v>562</v>
      </c>
      <c r="Q33" s="167">
        <v>610</v>
      </c>
      <c r="R33" s="167">
        <v>631</v>
      </c>
      <c r="S33" s="167">
        <v>538</v>
      </c>
      <c r="T33" s="167">
        <v>593.68600000000004</v>
      </c>
    </row>
    <row r="34" spans="2:20" ht="14">
      <c r="B34" s="125">
        <v>2026</v>
      </c>
      <c r="C34" s="178">
        <v>13.101000000000001</v>
      </c>
      <c r="D34" s="178">
        <v>13.12</v>
      </c>
      <c r="E34" s="178">
        <v>13.138</v>
      </c>
      <c r="F34" s="178">
        <v>17.030999999999999</v>
      </c>
      <c r="G34" s="178">
        <v>17.087569077212919</v>
      </c>
      <c r="H34" s="178">
        <v>450.00400000000002</v>
      </c>
      <c r="I34" s="178">
        <v>477.2868039747064</v>
      </c>
      <c r="J34" s="178">
        <v>456.55599999999998</v>
      </c>
      <c r="K34" s="178">
        <v>586.01731504818383</v>
      </c>
      <c r="L34" s="178">
        <v>620.99144744505384</v>
      </c>
      <c r="M34" s="178">
        <v>641.1268685586258</v>
      </c>
      <c r="N34" s="178">
        <v>583.21900000000005</v>
      </c>
      <c r="O34" s="178">
        <v>638.28499999999997</v>
      </c>
      <c r="P34" s="178">
        <v>562</v>
      </c>
      <c r="Q34" s="178">
        <v>610</v>
      </c>
      <c r="R34" s="178">
        <v>631</v>
      </c>
      <c r="S34" s="178">
        <v>538</v>
      </c>
      <c r="T34" s="178">
        <v>593.68600000000004</v>
      </c>
    </row>
    <row r="35" spans="2:20" ht="14">
      <c r="B35" s="125" t="s">
        <v>152</v>
      </c>
      <c r="C35" s="179">
        <v>0</v>
      </c>
      <c r="D35" s="179">
        <v>0</v>
      </c>
      <c r="E35" s="179">
        <v>0</v>
      </c>
      <c r="F35" s="178">
        <v>7.7279999999996107</v>
      </c>
      <c r="G35" s="178">
        <v>7.7750516500000009</v>
      </c>
      <c r="H35" s="178">
        <v>224</v>
      </c>
      <c r="I35" s="178">
        <v>284.46134056007224</v>
      </c>
      <c r="J35" s="178">
        <v>297.7098652335078</v>
      </c>
      <c r="K35" s="178">
        <v>598</v>
      </c>
      <c r="L35" s="178">
        <v>645.75632388510928</v>
      </c>
      <c r="M35" s="178">
        <v>666.61409111277078</v>
      </c>
      <c r="N35" s="178">
        <v>594.27199999999993</v>
      </c>
      <c r="O35" s="178">
        <v>641.09700000000066</v>
      </c>
      <c r="P35" s="178">
        <v>580</v>
      </c>
      <c r="Q35" s="178">
        <f>311+138+135+42</f>
        <v>626</v>
      </c>
      <c r="R35" s="178">
        <v>917</v>
      </c>
      <c r="S35" s="178">
        <v>832</v>
      </c>
      <c r="T35" s="178">
        <v>880.89400000000001</v>
      </c>
    </row>
    <row r="36" spans="2:20" ht="14">
      <c r="B36" s="128"/>
      <c r="C36" s="180"/>
      <c r="D36" s="180"/>
      <c r="E36" s="180"/>
      <c r="F36" s="181"/>
      <c r="G36" s="180"/>
      <c r="H36" s="180"/>
      <c r="I36" s="180"/>
      <c r="J36" s="181"/>
      <c r="K36" s="180"/>
      <c r="L36" s="180"/>
      <c r="M36" s="180"/>
      <c r="N36" s="181"/>
      <c r="O36" s="181"/>
      <c r="P36" s="181"/>
      <c r="Q36" s="181"/>
      <c r="R36" s="181"/>
      <c r="S36" s="181"/>
      <c r="T36" s="181"/>
    </row>
    <row r="37" spans="2:20" ht="28.5" thickBot="1">
      <c r="B37" s="129" t="s">
        <v>153</v>
      </c>
      <c r="C37" s="182">
        <v>2.91</v>
      </c>
      <c r="D37" s="182">
        <v>2.2799999999999998</v>
      </c>
      <c r="E37" s="182">
        <v>2.2799999999999998</v>
      </c>
      <c r="F37" s="182">
        <v>1.405580940181155</v>
      </c>
      <c r="G37" s="182">
        <v>1.4783538948539607</v>
      </c>
      <c r="H37" s="182">
        <v>1.3100197646442173</v>
      </c>
      <c r="I37" s="182">
        <v>1.6184753643100227</v>
      </c>
      <c r="J37" s="182">
        <v>1.5827587649270576</v>
      </c>
      <c r="K37" s="182">
        <v>2.7144281433271038</v>
      </c>
      <c r="L37" s="182">
        <v>3.7590635047392693</v>
      </c>
      <c r="M37" s="182">
        <v>3.637699663750833</v>
      </c>
      <c r="N37" s="182">
        <v>3.0779106380921304</v>
      </c>
      <c r="O37" s="182">
        <v>3.5345095491508451</v>
      </c>
      <c r="P37" s="182">
        <v>2.3783882519036612</v>
      </c>
      <c r="Q37" s="182">
        <v>1.9009226333591633</v>
      </c>
      <c r="R37" s="182">
        <v>1.0830920174527963</v>
      </c>
      <c r="S37" s="182">
        <v>0.67</v>
      </c>
      <c r="T37" s="182">
        <v>0.67666409854035114</v>
      </c>
    </row>
    <row r="39" spans="2:20">
      <c r="O39" s="266"/>
      <c r="P39" s="266"/>
      <c r="Q39" s="266"/>
      <c r="R39" s="266"/>
      <c r="S39" s="266"/>
      <c r="T39" s="266"/>
    </row>
    <row r="40" spans="2:20">
      <c r="C40" s="223"/>
      <c r="D40" s="223"/>
      <c r="E40" s="223"/>
      <c r="F40" s="223"/>
      <c r="G40" s="223"/>
      <c r="H40" s="223"/>
      <c r="I40" s="223"/>
      <c r="J40" s="223"/>
      <c r="K40" s="223"/>
      <c r="L40" s="223"/>
      <c r="M40" s="223"/>
      <c r="N40" s="223"/>
      <c r="O40" s="223"/>
      <c r="P40" s="223"/>
      <c r="Q40" s="223"/>
      <c r="R40" s="223"/>
      <c r="S40" s="223"/>
      <c r="T40" s="223"/>
    </row>
    <row r="41" spans="2:20">
      <c r="C41" s="223"/>
      <c r="D41" s="223"/>
      <c r="E41" s="223"/>
      <c r="F41" s="223"/>
      <c r="G41" s="223"/>
      <c r="H41" s="223"/>
      <c r="I41" s="223"/>
      <c r="J41" s="223"/>
      <c r="K41" s="223"/>
      <c r="L41" s="223"/>
      <c r="M41" s="223"/>
      <c r="N41" s="223"/>
      <c r="O41" s="223"/>
      <c r="P41" s="223"/>
      <c r="Q41" s="223"/>
      <c r="R41" s="223"/>
      <c r="S41" s="223"/>
      <c r="T41" s="223"/>
    </row>
    <row r="42" spans="2:20">
      <c r="C42" s="223"/>
      <c r="D42" s="223"/>
      <c r="E42" s="223"/>
      <c r="F42" s="223"/>
      <c r="G42" s="223"/>
      <c r="H42" s="223"/>
      <c r="I42" s="223"/>
      <c r="J42" s="223"/>
      <c r="K42" s="223"/>
      <c r="L42" s="223"/>
      <c r="M42" s="223"/>
      <c r="N42" s="223"/>
      <c r="O42" s="223"/>
      <c r="P42" s="223"/>
      <c r="Q42" s="223"/>
      <c r="R42" s="223"/>
      <c r="S42" s="223"/>
      <c r="T42" s="223"/>
    </row>
    <row r="43" spans="2:20">
      <c r="C43" s="223"/>
      <c r="D43" s="223"/>
      <c r="E43" s="223"/>
      <c r="F43" s="223"/>
      <c r="G43" s="223"/>
      <c r="H43" s="223"/>
      <c r="I43" s="223"/>
      <c r="J43" s="223"/>
      <c r="K43" s="223"/>
      <c r="L43" s="223"/>
      <c r="M43" s="223"/>
      <c r="N43" s="223"/>
      <c r="O43" s="223"/>
      <c r="P43" s="223"/>
      <c r="Q43" s="223"/>
      <c r="R43" s="223"/>
      <c r="S43" s="223"/>
      <c r="T43" s="223"/>
    </row>
  </sheetData>
  <pageMargins left="0.19" right="0.18" top="0.57999999999999996" bottom="0.98425196850393704" header="0.51181102362204722" footer="0.51181102362204722"/>
  <pageSetup paperSize="9" fitToHeight="2"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F439-6289-478A-B156-E6757ADB654D}">
  <sheetPr>
    <pageSetUpPr fitToPage="1"/>
  </sheetPr>
  <dimension ref="B1:AA102"/>
  <sheetViews>
    <sheetView showGridLines="0" zoomScale="90" zoomScaleNormal="90" workbookViewId="0">
      <pane xSplit="2" ySplit="5" topLeftCell="O6" activePane="bottomRight" state="frozen"/>
      <selection pane="topRight" activeCell="H45" sqref="H45"/>
      <selection pane="bottomLeft" activeCell="H45" sqref="H45"/>
      <selection pane="bottomRight" activeCell="L99" sqref="L99"/>
    </sheetView>
  </sheetViews>
  <sheetFormatPr defaultColWidth="9.1796875" defaultRowHeight="14"/>
  <cols>
    <col min="1" max="1" width="2.1796875" style="52" customWidth="1"/>
    <col min="2" max="2" width="66.26953125" style="136" customWidth="1"/>
    <col min="3" max="19" width="9.1796875" style="52" customWidth="1"/>
    <col min="20" max="21" width="9.81640625" style="52" bestFit="1" customWidth="1"/>
    <col min="22" max="16384" width="9.1796875" style="52"/>
  </cols>
  <sheetData>
    <row r="1" spans="2:27">
      <c r="B1" s="52"/>
    </row>
    <row r="2" spans="2:27" ht="12.65" customHeight="1">
      <c r="B2" s="52"/>
    </row>
    <row r="3" spans="2:27" ht="19.5" customHeight="1">
      <c r="B3" s="52"/>
    </row>
    <row r="4" spans="2:27" ht="34.5" customHeight="1">
      <c r="B4" s="103"/>
    </row>
    <row r="5" spans="2:27" ht="20.25" customHeight="1" thickBot="1">
      <c r="B5" s="77" t="s">
        <v>154</v>
      </c>
      <c r="C5" s="78" t="s">
        <v>104</v>
      </c>
      <c r="D5" s="78" t="s">
        <v>105</v>
      </c>
      <c r="E5" s="78" t="s">
        <v>106</v>
      </c>
      <c r="F5" s="78" t="s">
        <v>107</v>
      </c>
      <c r="G5" s="78" t="s">
        <v>108</v>
      </c>
      <c r="H5" s="78" t="s">
        <v>109</v>
      </c>
      <c r="I5" s="78" t="s">
        <v>110</v>
      </c>
      <c r="J5" s="78" t="s">
        <v>111</v>
      </c>
      <c r="K5" s="78" t="s">
        <v>112</v>
      </c>
      <c r="L5" s="78" t="s">
        <v>113</v>
      </c>
      <c r="M5" s="78" t="s">
        <v>114</v>
      </c>
      <c r="N5" s="78" t="s">
        <v>115</v>
      </c>
      <c r="O5" s="78" t="s">
        <v>116</v>
      </c>
      <c r="P5" s="78" t="s">
        <v>117</v>
      </c>
      <c r="Q5" s="78" t="s">
        <v>118</v>
      </c>
      <c r="R5" s="78" t="s">
        <v>119</v>
      </c>
      <c r="S5" s="78" t="s">
        <v>120</v>
      </c>
      <c r="T5" s="78" t="s">
        <v>121</v>
      </c>
      <c r="W5" s="78">
        <v>2018</v>
      </c>
      <c r="X5" s="78">
        <v>2019</v>
      </c>
      <c r="Y5" s="78">
        <v>2020</v>
      </c>
      <c r="Z5" s="78">
        <v>2021</v>
      </c>
      <c r="AA5" s="78">
        <v>2022</v>
      </c>
    </row>
    <row r="6" spans="2:27" ht="9" customHeight="1" thickTop="1">
      <c r="B6" s="55"/>
    </row>
    <row r="7" spans="2:27" s="55" customFormat="1" ht="14.5" thickBot="1">
      <c r="B7" s="130" t="s">
        <v>155</v>
      </c>
      <c r="C7" s="183">
        <v>1165.088</v>
      </c>
      <c r="D7" s="183">
        <v>1316.9949999999999</v>
      </c>
      <c r="E7" s="183">
        <v>1438.836</v>
      </c>
      <c r="F7" s="183">
        <v>1496.5569999999993</v>
      </c>
      <c r="G7" s="183">
        <v>1327.079</v>
      </c>
      <c r="H7" s="183">
        <v>1365.954</v>
      </c>
      <c r="I7" s="183">
        <v>1313.2519999999995</v>
      </c>
      <c r="J7" s="183">
        <v>1257.3990000000013</v>
      </c>
      <c r="K7" s="183">
        <v>1252.7380000000001</v>
      </c>
      <c r="L7" s="183">
        <v>1101.9179999999999</v>
      </c>
      <c r="M7" s="183">
        <v>1485.6209999999999</v>
      </c>
      <c r="N7" s="183">
        <v>1571.105</v>
      </c>
      <c r="O7" s="183">
        <v>1792.8239999999998</v>
      </c>
      <c r="P7" s="183">
        <v>1913.0839999999996</v>
      </c>
      <c r="Q7" s="183">
        <v>2300.0440000000008</v>
      </c>
      <c r="R7" s="183">
        <v>2417.2279999999996</v>
      </c>
      <c r="S7" s="183">
        <v>2291.665</v>
      </c>
      <c r="T7" s="183">
        <v>2331</v>
      </c>
      <c r="U7" s="265"/>
      <c r="W7" s="183">
        <f t="shared" ref="W7:W33" si="0">SUM(C7:F7)</f>
        <v>5417.4759999999987</v>
      </c>
      <c r="X7" s="183">
        <f t="shared" ref="X7:X33" si="1">SUM(G7:J7)</f>
        <v>5263.6840000000011</v>
      </c>
      <c r="Y7" s="183">
        <f t="shared" ref="Y7:Y33" si="2">SUM(K7:N7)</f>
        <v>5411.3819999999996</v>
      </c>
      <c r="Z7" s="183">
        <f t="shared" ref="Z7:Z33" si="3">SUM(O7:R7)</f>
        <v>8423.18</v>
      </c>
      <c r="AA7" s="183">
        <f t="shared" ref="AA7:AA33" si="4">SUM(S7:T7)</f>
        <v>4622.665</v>
      </c>
    </row>
    <row r="8" spans="2:27">
      <c r="B8" s="131" t="s">
        <v>156</v>
      </c>
      <c r="C8" s="132">
        <v>-946.53800000000001</v>
      </c>
      <c r="D8" s="132">
        <v>-1050.942</v>
      </c>
      <c r="E8" s="132">
        <v>-1173.325</v>
      </c>
      <c r="F8" s="132">
        <v>-1297.2389999999996</v>
      </c>
      <c r="G8" s="132">
        <v>-1119.2809999999999</v>
      </c>
      <c r="H8" s="132">
        <v>-1176.6790000000001</v>
      </c>
      <c r="I8" s="132">
        <v>-1171.9339999999997</v>
      </c>
      <c r="J8" s="132">
        <v>-1138.2230000000004</v>
      </c>
      <c r="K8" s="132">
        <v>-1104.5940000000001</v>
      </c>
      <c r="L8" s="132">
        <v>-1037.9650000000001</v>
      </c>
      <c r="M8" s="132">
        <v>-1296.9539999999997</v>
      </c>
      <c r="N8" s="132">
        <v>-1391.62</v>
      </c>
      <c r="O8" s="132">
        <v>-1349.038</v>
      </c>
      <c r="P8" s="132">
        <v>-1526.962</v>
      </c>
      <c r="Q8" s="132">
        <v>-1990</v>
      </c>
      <c r="R8" s="132">
        <v>-1933.4719999999998</v>
      </c>
      <c r="S8" s="132">
        <v>-1737.7149999999999</v>
      </c>
      <c r="T8" s="132">
        <v>-1669</v>
      </c>
      <c r="U8" s="265"/>
      <c r="W8" s="132">
        <f t="shared" si="0"/>
        <v>-4468.0439999999999</v>
      </c>
      <c r="X8" s="132">
        <f t="shared" si="1"/>
        <v>-4606.1170000000002</v>
      </c>
      <c r="Y8" s="132">
        <f t="shared" si="2"/>
        <v>-4831.1329999999998</v>
      </c>
      <c r="Z8" s="132">
        <f t="shared" si="3"/>
        <v>-6799.4719999999998</v>
      </c>
      <c r="AA8" s="132">
        <f t="shared" si="4"/>
        <v>-3406.7150000000001</v>
      </c>
    </row>
    <row r="9" spans="2:27" s="55" customFormat="1" ht="14.5" thickBot="1">
      <c r="B9" s="130" t="s">
        <v>157</v>
      </c>
      <c r="C9" s="184">
        <v>218.54999999999995</v>
      </c>
      <c r="D9" s="184">
        <v>266.05299999999988</v>
      </c>
      <c r="E9" s="184">
        <v>265.51099999999997</v>
      </c>
      <c r="F9" s="184">
        <v>199.31799999999976</v>
      </c>
      <c r="G9" s="184">
        <v>207.798</v>
      </c>
      <c r="H9" s="184">
        <v>189.27499999999986</v>
      </c>
      <c r="I9" s="184">
        <v>141.31799999999976</v>
      </c>
      <c r="J9" s="184">
        <v>119.17600000000084</v>
      </c>
      <c r="K9" s="184">
        <v>148.14400000000001</v>
      </c>
      <c r="L9" s="184">
        <v>63.952999999999747</v>
      </c>
      <c r="M9" s="184">
        <v>188.66700000000014</v>
      </c>
      <c r="N9" s="184">
        <v>179.48500000000013</v>
      </c>
      <c r="O9" s="184">
        <v>443.78599999999983</v>
      </c>
      <c r="P9" s="184">
        <v>386.12199999999962</v>
      </c>
      <c r="Q9" s="184">
        <v>310.04400000000078</v>
      </c>
      <c r="R9" s="184">
        <v>483.75599999999986</v>
      </c>
      <c r="S9" s="184">
        <v>553.95000000000005</v>
      </c>
      <c r="T9" s="184">
        <v>662.21799999999985</v>
      </c>
      <c r="W9" s="184">
        <f t="shared" si="0"/>
        <v>949.43199999999956</v>
      </c>
      <c r="X9" s="184">
        <f t="shared" si="1"/>
        <v>657.56700000000046</v>
      </c>
      <c r="Y9" s="184">
        <f t="shared" si="2"/>
        <v>580.24900000000002</v>
      </c>
      <c r="Z9" s="184">
        <f t="shared" si="3"/>
        <v>1623.7080000000001</v>
      </c>
      <c r="AA9" s="184">
        <f t="shared" si="4"/>
        <v>1216.1679999999999</v>
      </c>
    </row>
    <row r="10" spans="2:27" s="94" customFormat="1" ht="14.5">
      <c r="B10" s="133" t="s">
        <v>158</v>
      </c>
      <c r="C10" s="185">
        <v>0.18758239720948114</v>
      </c>
      <c r="D10" s="185">
        <v>0.20201519367955073</v>
      </c>
      <c r="E10" s="185">
        <v>0.18453180209558279</v>
      </c>
      <c r="F10" s="185">
        <v>0.13318436918874446</v>
      </c>
      <c r="G10" s="185">
        <v>0.15658299166816747</v>
      </c>
      <c r="H10" s="185">
        <v>0.1385661596217734</v>
      </c>
      <c r="I10" s="185">
        <v>0.10760920219424742</v>
      </c>
      <c r="J10" s="185">
        <v>9.4779779529012453E-2</v>
      </c>
      <c r="K10" s="185">
        <v>0.11825617168154874</v>
      </c>
      <c r="L10" s="185">
        <v>5.8037893926771097E-2</v>
      </c>
      <c r="M10" s="185">
        <v>0.12699537769054164</v>
      </c>
      <c r="N10" s="185">
        <v>0.11424125058477959</v>
      </c>
      <c r="O10" s="185">
        <v>0.24753461577935137</v>
      </c>
      <c r="P10" s="185">
        <v>0.20183222482651034</v>
      </c>
      <c r="Q10" s="185">
        <v>0.13479916036388898</v>
      </c>
      <c r="R10" s="185">
        <v>0.20012841155240629</v>
      </c>
      <c r="S10" s="185">
        <v>0.2417238121627725</v>
      </c>
      <c r="T10" s="185">
        <v>0.28406523971589098</v>
      </c>
      <c r="W10" s="185">
        <f t="shared" ref="W10:AA10" si="5">W9/W7</f>
        <v>0.17525356826684599</v>
      </c>
      <c r="X10" s="185">
        <f t="shared" si="5"/>
        <v>0.12492524247276249</v>
      </c>
      <c r="Y10" s="185">
        <f t="shared" si="5"/>
        <v>0.1072275067625978</v>
      </c>
      <c r="Z10" s="185">
        <f t="shared" si="5"/>
        <v>0.19276662733077057</v>
      </c>
      <c r="AA10" s="185">
        <f t="shared" si="5"/>
        <v>0.26308806716471989</v>
      </c>
    </row>
    <row r="11" spans="2:27" ht="14.5" thickBot="1">
      <c r="B11" s="134" t="s">
        <v>159</v>
      </c>
      <c r="C11" s="186">
        <v>-53.069999999999993</v>
      </c>
      <c r="D11" s="186">
        <v>30.466999999999999</v>
      </c>
      <c r="E11" s="186">
        <v>-110.545</v>
      </c>
      <c r="F11" s="186">
        <v>-135.26600000000002</v>
      </c>
      <c r="G11" s="186">
        <v>-74.996000000000009</v>
      </c>
      <c r="H11" s="186">
        <v>-38.573000000000008</v>
      </c>
      <c r="I11" s="186">
        <v>-124.23099999999999</v>
      </c>
      <c r="J11" s="186">
        <v>-189.935</v>
      </c>
      <c r="K11" s="186">
        <v>276.82800000000003</v>
      </c>
      <c r="L11" s="186">
        <v>-29.350999999999999</v>
      </c>
      <c r="M11" s="186">
        <v>-189.791</v>
      </c>
      <c r="N11" s="186">
        <v>-203.947</v>
      </c>
      <c r="O11" s="186">
        <v>-308.68799999999999</v>
      </c>
      <c r="P11" s="186">
        <v>42.943000000000026</v>
      </c>
      <c r="Q11" s="186">
        <v>-124.83699999999997</v>
      </c>
      <c r="R11" s="186">
        <v>108.08499999999998</v>
      </c>
      <c r="S11" s="186">
        <v>-157.304</v>
      </c>
      <c r="T11" s="186">
        <v>27</v>
      </c>
      <c r="W11" s="186">
        <f t="shared" si="0"/>
        <v>-268.41399999999999</v>
      </c>
      <c r="X11" s="186">
        <f t="shared" si="1"/>
        <v>-427.73500000000001</v>
      </c>
      <c r="Y11" s="186">
        <f t="shared" si="2"/>
        <v>-146.26099999999997</v>
      </c>
      <c r="Z11" s="186">
        <f t="shared" si="3"/>
        <v>-282.49699999999996</v>
      </c>
      <c r="AA11" s="186">
        <f t="shared" si="4"/>
        <v>-130.304</v>
      </c>
    </row>
    <row r="12" spans="2:27" s="136" customFormat="1">
      <c r="B12" s="135" t="s">
        <v>160</v>
      </c>
      <c r="C12" s="132">
        <v>-10.08</v>
      </c>
      <c r="D12" s="132">
        <v>-7.1549999999999994</v>
      </c>
      <c r="E12" s="132">
        <v>-8.8930000000000007</v>
      </c>
      <c r="F12" s="132">
        <v>-9.8239999999999981</v>
      </c>
      <c r="G12" s="132">
        <v>-13.499000000000001</v>
      </c>
      <c r="H12" s="132">
        <v>-8.1549999999999994</v>
      </c>
      <c r="I12" s="132">
        <v>-6.5579999999999998</v>
      </c>
      <c r="J12" s="132">
        <v>-7.7799999999999976</v>
      </c>
      <c r="K12" s="132">
        <v>-6.5439999999999996</v>
      </c>
      <c r="L12" s="132">
        <v>-6.9630000000000001</v>
      </c>
      <c r="M12" s="132">
        <v>-7.0750000000000011</v>
      </c>
      <c r="N12" s="132">
        <v>-16.537999999999997</v>
      </c>
      <c r="O12" s="132">
        <v>-7.8419999999999996</v>
      </c>
      <c r="P12" s="132">
        <v>-10.654</v>
      </c>
      <c r="Q12" s="132">
        <v>-12.286000000000001</v>
      </c>
      <c r="R12" s="132">
        <v>-11.487000000000002</v>
      </c>
      <c r="S12" s="132">
        <v>-10.968999999999999</v>
      </c>
      <c r="T12" s="132">
        <v>-12</v>
      </c>
      <c r="U12" s="265"/>
      <c r="W12" s="132">
        <f t="shared" si="0"/>
        <v>-35.951999999999998</v>
      </c>
      <c r="X12" s="132">
        <f t="shared" si="1"/>
        <v>-35.991999999999997</v>
      </c>
      <c r="Y12" s="132">
        <f t="shared" si="2"/>
        <v>-37.119999999999997</v>
      </c>
      <c r="Z12" s="132">
        <f t="shared" si="3"/>
        <v>-42.269000000000005</v>
      </c>
      <c r="AA12" s="132">
        <f t="shared" si="4"/>
        <v>-22.969000000000001</v>
      </c>
    </row>
    <row r="13" spans="2:27">
      <c r="B13" s="137" t="s">
        <v>161</v>
      </c>
      <c r="C13" s="138">
        <v>-44.281999999999996</v>
      </c>
      <c r="D13" s="138">
        <v>-42.942999999999998</v>
      </c>
      <c r="E13" s="138">
        <v>-49.739000000000004</v>
      </c>
      <c r="F13" s="138">
        <v>-60.191000000000003</v>
      </c>
      <c r="G13" s="138">
        <v>-46.762</v>
      </c>
      <c r="H13" s="138">
        <v>-54.456000000000003</v>
      </c>
      <c r="I13" s="138">
        <v>-51.575000000000003</v>
      </c>
      <c r="J13" s="138">
        <v>-61.204000000000008</v>
      </c>
      <c r="K13" s="138">
        <v>-57.158999999999999</v>
      </c>
      <c r="L13" s="138">
        <v>-56.387999999999998</v>
      </c>
      <c r="M13" s="138">
        <v>-62.12700000000001</v>
      </c>
      <c r="N13" s="138">
        <v>-108.22799999999998</v>
      </c>
      <c r="O13" s="138">
        <v>-69.278000000000006</v>
      </c>
      <c r="P13" s="138">
        <v>-81.471999999999994</v>
      </c>
      <c r="Q13" s="138">
        <v>-73.536999999999992</v>
      </c>
      <c r="R13" s="138">
        <v>-113.74000000000001</v>
      </c>
      <c r="S13" s="138">
        <v>-85.308999999999997</v>
      </c>
      <c r="T13" s="138">
        <v>-113</v>
      </c>
      <c r="U13" s="265"/>
      <c r="W13" s="138">
        <f t="shared" si="0"/>
        <v>-197.155</v>
      </c>
      <c r="X13" s="138">
        <f t="shared" si="1"/>
        <v>-213.99700000000001</v>
      </c>
      <c r="Y13" s="138">
        <f t="shared" si="2"/>
        <v>-283.90199999999999</v>
      </c>
      <c r="Z13" s="138">
        <f t="shared" si="3"/>
        <v>-338.02699999999999</v>
      </c>
      <c r="AA13" s="138">
        <f t="shared" si="4"/>
        <v>-198.309</v>
      </c>
    </row>
    <row r="14" spans="2:27">
      <c r="B14" s="135" t="s">
        <v>162</v>
      </c>
      <c r="C14" s="132">
        <v>1.292</v>
      </c>
      <c r="D14" s="187">
        <v>80.564999999999998</v>
      </c>
      <c r="E14" s="187">
        <v>-51.912999999999997</v>
      </c>
      <c r="F14" s="187">
        <v>-65.251000000000005</v>
      </c>
      <c r="G14" s="187">
        <v>-14.734999999999999</v>
      </c>
      <c r="H14" s="187">
        <v>24.038</v>
      </c>
      <c r="I14" s="187">
        <v>-66.097999999999999</v>
      </c>
      <c r="J14" s="187">
        <v>-120.95100000000001</v>
      </c>
      <c r="K14" s="187">
        <v>340.53100000000001</v>
      </c>
      <c r="L14" s="187">
        <v>34</v>
      </c>
      <c r="M14" s="187">
        <v>-120.589</v>
      </c>
      <c r="N14" s="187">
        <v>-79.181000000000012</v>
      </c>
      <c r="O14" s="187">
        <v>-231.56800000000001</v>
      </c>
      <c r="P14" s="187">
        <v>135.06900000000002</v>
      </c>
      <c r="Q14" s="187">
        <v>-39.013999999999982</v>
      </c>
      <c r="R14" s="187">
        <v>233.31199999999998</v>
      </c>
      <c r="S14" s="187">
        <v>-61.026000000000003</v>
      </c>
      <c r="T14" s="187">
        <v>152</v>
      </c>
      <c r="U14" s="265"/>
      <c r="W14" s="187">
        <f t="shared" si="0"/>
        <v>-35.307000000000002</v>
      </c>
      <c r="X14" s="187">
        <f t="shared" si="1"/>
        <v>-177.74600000000001</v>
      </c>
      <c r="Y14" s="187">
        <f t="shared" si="2"/>
        <v>174.761</v>
      </c>
      <c r="Z14" s="187">
        <f t="shared" si="3"/>
        <v>97.799000000000007</v>
      </c>
      <c r="AA14" s="187">
        <f t="shared" si="4"/>
        <v>90.97399999999999</v>
      </c>
    </row>
    <row r="15" spans="2:27" s="55" customFormat="1" ht="14.5" thickBot="1">
      <c r="B15" s="130" t="s">
        <v>163</v>
      </c>
      <c r="C15" s="183">
        <v>165.47999999999996</v>
      </c>
      <c r="D15" s="183">
        <v>296.51999999999987</v>
      </c>
      <c r="E15" s="183">
        <v>154.96599999999995</v>
      </c>
      <c r="F15" s="183">
        <v>64.051999999999737</v>
      </c>
      <c r="G15" s="183">
        <v>132.80199999999999</v>
      </c>
      <c r="H15" s="183">
        <v>150.70199999999986</v>
      </c>
      <c r="I15" s="183">
        <v>17.086999999999762</v>
      </c>
      <c r="J15" s="183">
        <v>-70.758999999999162</v>
      </c>
      <c r="K15" s="183">
        <v>424.97200000000004</v>
      </c>
      <c r="L15" s="183">
        <v>34.601999999999748</v>
      </c>
      <c r="M15" s="183">
        <v>-1.1239999999998531</v>
      </c>
      <c r="N15" s="183">
        <v>-24.461999999999875</v>
      </c>
      <c r="O15" s="183">
        <v>135.09799999999984</v>
      </c>
      <c r="P15" s="183">
        <v>429.06499999999966</v>
      </c>
      <c r="Q15" s="183">
        <v>185.20700000000079</v>
      </c>
      <c r="R15" s="183">
        <v>591.84099999999989</v>
      </c>
      <c r="S15" s="183">
        <v>396.64600000000007</v>
      </c>
      <c r="T15" s="183">
        <v>689.21799999999985</v>
      </c>
      <c r="U15" s="265"/>
      <c r="W15" s="183">
        <f t="shared" si="0"/>
        <v>681.01799999999957</v>
      </c>
      <c r="X15" s="183">
        <f t="shared" si="1"/>
        <v>229.83200000000045</v>
      </c>
      <c r="Y15" s="183">
        <f t="shared" si="2"/>
        <v>433.98800000000006</v>
      </c>
      <c r="Z15" s="183">
        <f t="shared" si="3"/>
        <v>1341.2110000000002</v>
      </c>
      <c r="AA15" s="183">
        <f t="shared" si="4"/>
        <v>1085.864</v>
      </c>
    </row>
    <row r="16" spans="2:27" s="210" customFormat="1" ht="14.5" thickBot="1">
      <c r="B16" s="134" t="s">
        <v>164</v>
      </c>
      <c r="C16" s="186">
        <v>1.3029999999999999</v>
      </c>
      <c r="D16" s="186">
        <v>-19.989999999999998</v>
      </c>
      <c r="E16" s="186">
        <v>-8.3290000000000006</v>
      </c>
      <c r="F16" s="186">
        <v>-2.1000000000000796E-2</v>
      </c>
      <c r="G16" s="186">
        <v>-0.35099999999999998</v>
      </c>
      <c r="H16" s="186">
        <v>4.992</v>
      </c>
      <c r="I16" s="186">
        <v>1.9610000000000001</v>
      </c>
      <c r="J16" s="186">
        <v>7.8949999999999996</v>
      </c>
      <c r="K16" s="186">
        <v>-26.245000000000001</v>
      </c>
      <c r="L16" s="186">
        <v>7.7720000000000002</v>
      </c>
      <c r="M16" s="186">
        <v>5.1269999999999998</v>
      </c>
      <c r="N16" s="186">
        <v>10.3</v>
      </c>
      <c r="O16" s="186">
        <v>-17.169</v>
      </c>
      <c r="P16" s="186">
        <v>17.065000000000001</v>
      </c>
      <c r="Q16" s="186">
        <v>-17.646999999999998</v>
      </c>
      <c r="R16" s="186">
        <v>30.474999999999998</v>
      </c>
      <c r="S16" s="186">
        <v>19.192</v>
      </c>
      <c r="T16" s="186">
        <v>-15</v>
      </c>
      <c r="U16" s="265"/>
      <c r="W16" s="186">
        <f t="shared" si="0"/>
        <v>-27.036999999999999</v>
      </c>
      <c r="X16" s="186">
        <f t="shared" si="1"/>
        <v>14.497</v>
      </c>
      <c r="Y16" s="186">
        <f t="shared" si="2"/>
        <v>-3.0459999999999994</v>
      </c>
      <c r="Z16" s="186">
        <f t="shared" si="3"/>
        <v>12.724</v>
      </c>
      <c r="AA16" s="186">
        <f t="shared" si="4"/>
        <v>4.1920000000000002</v>
      </c>
    </row>
    <row r="17" spans="2:27" s="136" customFormat="1">
      <c r="B17" s="139" t="s">
        <v>165</v>
      </c>
      <c r="C17" s="211">
        <v>1.3029999999999999</v>
      </c>
      <c r="D17" s="211">
        <v>-19.989999999999998</v>
      </c>
      <c r="E17" s="211">
        <v>-8.3290000000000006</v>
      </c>
      <c r="F17" s="211">
        <v>-2.1000000000000796E-2</v>
      </c>
      <c r="G17" s="211">
        <v>-0.35099999999999998</v>
      </c>
      <c r="H17" s="211">
        <v>4.992</v>
      </c>
      <c r="I17" s="211">
        <v>1.9610000000000001</v>
      </c>
      <c r="J17" s="211">
        <v>7.8949999999999996</v>
      </c>
      <c r="K17" s="211">
        <v>-26.245000000000001</v>
      </c>
      <c r="L17" s="211">
        <v>7.7720000000000002</v>
      </c>
      <c r="M17" s="211">
        <v>5.1269999999999998</v>
      </c>
      <c r="N17" s="211">
        <v>10.3</v>
      </c>
      <c r="O17" s="211">
        <v>-17.169</v>
      </c>
      <c r="P17" s="211">
        <v>17.065000000000001</v>
      </c>
      <c r="Q17" s="211">
        <v>-17.646999999999998</v>
      </c>
      <c r="R17" s="211">
        <v>30.474999999999998</v>
      </c>
      <c r="S17" s="211">
        <v>19.192</v>
      </c>
      <c r="T17" s="211">
        <v>-15</v>
      </c>
      <c r="U17" s="265"/>
      <c r="W17" s="211">
        <f t="shared" si="0"/>
        <v>-27.036999999999999</v>
      </c>
      <c r="X17" s="211">
        <f t="shared" si="1"/>
        <v>14.497</v>
      </c>
      <c r="Y17" s="211">
        <f t="shared" si="2"/>
        <v>-3.0459999999999994</v>
      </c>
      <c r="Z17" s="211">
        <f t="shared" si="3"/>
        <v>12.724</v>
      </c>
      <c r="AA17" s="211">
        <f t="shared" si="4"/>
        <v>4.1920000000000002</v>
      </c>
    </row>
    <row r="18" spans="2:27">
      <c r="B18" s="140" t="s">
        <v>166</v>
      </c>
      <c r="C18" s="188">
        <v>-58.606000000000009</v>
      </c>
      <c r="D18" s="188">
        <v>-326.72500000000002</v>
      </c>
      <c r="E18" s="188">
        <v>-159.70700000000002</v>
      </c>
      <c r="F18" s="188">
        <v>18.997000000000057</v>
      </c>
      <c r="G18" s="188">
        <v>-82.067000000000007</v>
      </c>
      <c r="H18" s="188">
        <v>-155.08900000000006</v>
      </c>
      <c r="I18" s="188">
        <v>-99.825999999999937</v>
      </c>
      <c r="J18" s="188">
        <v>98.485000000000014</v>
      </c>
      <c r="K18" s="188">
        <v>-281.11599999999999</v>
      </c>
      <c r="L18" s="188">
        <v>-20.513000000000019</v>
      </c>
      <c r="M18" s="188">
        <v>-174.54599999999996</v>
      </c>
      <c r="N18" s="188">
        <v>-16.298999999999964</v>
      </c>
      <c r="O18" s="188">
        <v>-244.70599999999999</v>
      </c>
      <c r="P18" s="188">
        <v>131.68599999999998</v>
      </c>
      <c r="Q18" s="188">
        <v>-254.91500000000002</v>
      </c>
      <c r="R18" s="188">
        <v>-128.59199999999998</v>
      </c>
      <c r="S18" s="188">
        <v>166.542</v>
      </c>
      <c r="T18" s="188">
        <v>-128</v>
      </c>
      <c r="U18" s="265"/>
      <c r="W18" s="188">
        <f t="shared" si="0"/>
        <v>-526.04099999999994</v>
      </c>
      <c r="X18" s="188">
        <f t="shared" si="1"/>
        <v>-238.49699999999996</v>
      </c>
      <c r="Y18" s="188">
        <f t="shared" si="2"/>
        <v>-492.47399999999993</v>
      </c>
      <c r="Z18" s="188">
        <f t="shared" si="3"/>
        <v>-496.52700000000004</v>
      </c>
      <c r="AA18" s="188">
        <f t="shared" si="4"/>
        <v>38.542000000000002</v>
      </c>
    </row>
    <row r="19" spans="2:27">
      <c r="B19" s="95" t="s">
        <v>167</v>
      </c>
      <c r="C19" s="189">
        <v>59.723999999999997</v>
      </c>
      <c r="D19" s="189">
        <v>22.262999999999998</v>
      </c>
      <c r="E19" s="189">
        <v>17.463999999999999</v>
      </c>
      <c r="F19" s="189">
        <v>52.314000000000007</v>
      </c>
      <c r="G19" s="189">
        <v>12.944000000000001</v>
      </c>
      <c r="H19" s="189">
        <v>83.039000000000001</v>
      </c>
      <c r="I19" s="189">
        <v>32.853000000000009</v>
      </c>
      <c r="J19" s="189">
        <v>193.309</v>
      </c>
      <c r="K19" s="189">
        <v>13.736000000000001</v>
      </c>
      <c r="L19" s="189">
        <v>97.522999999999996</v>
      </c>
      <c r="M19" s="189">
        <v>8.3089999999999975</v>
      </c>
      <c r="N19" s="189">
        <v>17.046000000000006</v>
      </c>
      <c r="O19" s="189">
        <v>8.3569999999999993</v>
      </c>
      <c r="P19" s="189">
        <v>9.0929999999999964</v>
      </c>
      <c r="Q19" s="189">
        <v>33.314</v>
      </c>
      <c r="R19" s="189">
        <v>59.052000000000007</v>
      </c>
      <c r="S19" s="189">
        <v>41.81</v>
      </c>
      <c r="T19" s="189">
        <v>90</v>
      </c>
      <c r="U19" s="265"/>
      <c r="W19" s="189">
        <f t="shared" si="0"/>
        <v>151.76499999999999</v>
      </c>
      <c r="X19" s="189">
        <f t="shared" si="1"/>
        <v>322.14499999999998</v>
      </c>
      <c r="Y19" s="189">
        <f t="shared" si="2"/>
        <v>136.614</v>
      </c>
      <c r="Z19" s="189">
        <f t="shared" si="3"/>
        <v>109.816</v>
      </c>
      <c r="AA19" s="189">
        <f t="shared" si="4"/>
        <v>131.81</v>
      </c>
    </row>
    <row r="20" spans="2:27">
      <c r="B20" s="96" t="s">
        <v>168</v>
      </c>
      <c r="C20" s="138">
        <v>-108.456</v>
      </c>
      <c r="D20" s="138">
        <v>-110.009</v>
      </c>
      <c r="E20" s="138">
        <v>-95.792000000000002</v>
      </c>
      <c r="F20" s="138">
        <v>-80.274000000000001</v>
      </c>
      <c r="G20" s="138">
        <v>-82.736000000000004</v>
      </c>
      <c r="H20" s="138">
        <v>-238.44100000000003</v>
      </c>
      <c r="I20" s="138">
        <v>-76.477999999999952</v>
      </c>
      <c r="J20" s="138">
        <v>-117.37599999999998</v>
      </c>
      <c r="K20" s="138">
        <v>-67.361000000000004</v>
      </c>
      <c r="L20" s="138">
        <v>-78.826000000000008</v>
      </c>
      <c r="M20" s="138">
        <v>-147.34399999999999</v>
      </c>
      <c r="N20" s="138">
        <v>-121.02299999999997</v>
      </c>
      <c r="O20" s="138">
        <v>-71.680999999999997</v>
      </c>
      <c r="P20" s="138">
        <v>-122.124</v>
      </c>
      <c r="Q20" s="138">
        <v>-117.307</v>
      </c>
      <c r="R20" s="138">
        <v>-150.38799999999998</v>
      </c>
      <c r="S20" s="138">
        <v>-154.23699999999999</v>
      </c>
      <c r="T20" s="138">
        <v>-161</v>
      </c>
      <c r="U20" s="265"/>
      <c r="W20" s="138">
        <f t="shared" si="0"/>
        <v>-394.53100000000001</v>
      </c>
      <c r="X20" s="138">
        <f t="shared" si="1"/>
        <v>-515.03099999999995</v>
      </c>
      <c r="Y20" s="138">
        <f t="shared" si="2"/>
        <v>-414.55399999999997</v>
      </c>
      <c r="Z20" s="138">
        <f t="shared" si="3"/>
        <v>-461.5</v>
      </c>
      <c r="AA20" s="138">
        <f t="shared" si="4"/>
        <v>-315.23699999999997</v>
      </c>
    </row>
    <row r="21" spans="2:27">
      <c r="B21" s="97" t="s">
        <v>169</v>
      </c>
      <c r="C21" s="190">
        <v>0</v>
      </c>
      <c r="D21" s="190">
        <v>0</v>
      </c>
      <c r="E21" s="190">
        <v>0</v>
      </c>
      <c r="F21" s="190">
        <v>0</v>
      </c>
      <c r="G21" s="190">
        <v>0</v>
      </c>
      <c r="H21" s="190">
        <v>0</v>
      </c>
      <c r="I21" s="190">
        <v>0</v>
      </c>
      <c r="J21" s="190">
        <v>0</v>
      </c>
      <c r="K21" s="190">
        <v>0</v>
      </c>
      <c r="L21" s="190">
        <v>0</v>
      </c>
      <c r="M21" s="190">
        <v>0</v>
      </c>
      <c r="N21" s="190">
        <v>0</v>
      </c>
      <c r="O21" s="190">
        <v>-92.358999999999995</v>
      </c>
      <c r="P21" s="190">
        <v>103.18799999999999</v>
      </c>
      <c r="Q21" s="190">
        <v>-75.509</v>
      </c>
      <c r="R21" s="190">
        <v>-5.6089999999999947</v>
      </c>
      <c r="S21" s="190">
        <v>197.541</v>
      </c>
      <c r="T21" s="190">
        <v>-28</v>
      </c>
      <c r="U21" s="265"/>
      <c r="W21" s="190">
        <f t="shared" si="0"/>
        <v>0</v>
      </c>
      <c r="X21" s="190">
        <f t="shared" si="1"/>
        <v>0</v>
      </c>
      <c r="Y21" s="190">
        <f t="shared" si="2"/>
        <v>0</v>
      </c>
      <c r="Z21" s="190">
        <f t="shared" si="3"/>
        <v>-70.289000000000001</v>
      </c>
      <c r="AA21" s="190">
        <f t="shared" si="4"/>
        <v>169.541</v>
      </c>
    </row>
    <row r="22" spans="2:27">
      <c r="B22" s="97" t="s">
        <v>170</v>
      </c>
      <c r="C22" s="190">
        <v>-9.8740000000000006</v>
      </c>
      <c r="D22" s="190">
        <v>-238.97900000000001</v>
      </c>
      <c r="E22" s="190">
        <v>-81.379000000000019</v>
      </c>
      <c r="F22" s="190">
        <v>46.95700000000005</v>
      </c>
      <c r="G22" s="190">
        <v>-12.275</v>
      </c>
      <c r="H22" s="190">
        <v>0.31300000000000061</v>
      </c>
      <c r="I22" s="190">
        <v>-56.200999999999993</v>
      </c>
      <c r="J22" s="190">
        <v>22.552</v>
      </c>
      <c r="K22" s="190">
        <v>-227.49100000000001</v>
      </c>
      <c r="L22" s="190">
        <v>-39.210000000000008</v>
      </c>
      <c r="M22" s="190">
        <v>-35.510999999999967</v>
      </c>
      <c r="N22" s="190">
        <v>87.677999999999997</v>
      </c>
      <c r="O22" s="190">
        <v>-89.022999999999996</v>
      </c>
      <c r="P22" s="190">
        <v>141.529</v>
      </c>
      <c r="Q22" s="190">
        <v>-95.412999999999997</v>
      </c>
      <c r="R22" s="190">
        <v>-31.647000000000006</v>
      </c>
      <c r="S22" s="190">
        <v>81.427999999999997</v>
      </c>
      <c r="T22" s="190">
        <v>-29</v>
      </c>
      <c r="U22" s="265"/>
      <c r="W22" s="190">
        <f t="shared" si="0"/>
        <v>-283.27499999999998</v>
      </c>
      <c r="X22" s="190">
        <f t="shared" si="1"/>
        <v>-45.610999999999997</v>
      </c>
      <c r="Y22" s="190">
        <f t="shared" si="2"/>
        <v>-214.53399999999999</v>
      </c>
      <c r="Z22" s="190">
        <f t="shared" si="3"/>
        <v>-74.554000000000002</v>
      </c>
      <c r="AA22" s="190">
        <f t="shared" si="4"/>
        <v>52.427999999999997</v>
      </c>
    </row>
    <row r="23" spans="2:27" ht="14.5" thickBot="1">
      <c r="B23" s="98" t="s">
        <v>171</v>
      </c>
      <c r="C23" s="191">
        <v>108.17699999999995</v>
      </c>
      <c r="D23" s="191">
        <v>-50.195000000000149</v>
      </c>
      <c r="E23" s="191">
        <v>-13.070000000000071</v>
      </c>
      <c r="F23" s="191">
        <v>83.027999999999793</v>
      </c>
      <c r="G23" s="191">
        <v>50.383999999999986</v>
      </c>
      <c r="H23" s="191">
        <v>0.60499999999980059</v>
      </c>
      <c r="I23" s="191">
        <v>-80.778000000000176</v>
      </c>
      <c r="J23" s="191">
        <v>35.621000000000848</v>
      </c>
      <c r="K23" s="191">
        <v>117.61100000000005</v>
      </c>
      <c r="L23" s="191">
        <v>21.860999999999727</v>
      </c>
      <c r="M23" s="191">
        <v>-170.54299999999981</v>
      </c>
      <c r="N23" s="191">
        <v>-30.460999999999839</v>
      </c>
      <c r="O23" s="191">
        <v>-126.77700000000014</v>
      </c>
      <c r="P23" s="191">
        <v>577.81599999999958</v>
      </c>
      <c r="Q23" s="191">
        <v>-87.354999999999222</v>
      </c>
      <c r="R23" s="191">
        <v>493.72399999999993</v>
      </c>
      <c r="S23" s="191">
        <v>582.38000000000011</v>
      </c>
      <c r="T23" s="191">
        <v>546.21799999999985</v>
      </c>
      <c r="U23" s="265"/>
      <c r="W23" s="191">
        <f t="shared" si="0"/>
        <v>127.93999999999951</v>
      </c>
      <c r="X23" s="191">
        <f t="shared" si="1"/>
        <v>5.8320000000004555</v>
      </c>
      <c r="Y23" s="191">
        <f t="shared" si="2"/>
        <v>-61.531999999999869</v>
      </c>
      <c r="Z23" s="191">
        <f t="shared" si="3"/>
        <v>857.40800000000013</v>
      </c>
      <c r="AA23" s="191">
        <f t="shared" si="4"/>
        <v>1128.598</v>
      </c>
    </row>
    <row r="24" spans="2:27" ht="14.5" thickBot="1">
      <c r="B24" s="99" t="s">
        <v>172</v>
      </c>
      <c r="C24" s="192">
        <v>-44.497</v>
      </c>
      <c r="D24" s="192">
        <v>-59.894999999999996</v>
      </c>
      <c r="E24" s="192">
        <v>48.356999999999999</v>
      </c>
      <c r="F24" s="192">
        <v>-17.420999999999999</v>
      </c>
      <c r="G24" s="192">
        <v>-20.832999999999998</v>
      </c>
      <c r="H24" s="192">
        <v>-140.65</v>
      </c>
      <c r="I24" s="192">
        <v>32.15</v>
      </c>
      <c r="J24" s="192">
        <v>97.885999999999996</v>
      </c>
      <c r="K24" s="192">
        <v>-70.579000000000008</v>
      </c>
      <c r="L24" s="192">
        <v>8.5509999999999966</v>
      </c>
      <c r="M24" s="192">
        <v>-288.66099999999994</v>
      </c>
      <c r="N24" s="192">
        <v>-467.79000000000008</v>
      </c>
      <c r="O24" s="192">
        <v>-6.4359999999999999</v>
      </c>
      <c r="P24" s="192">
        <v>-181.46600000000001</v>
      </c>
      <c r="Q24" s="192">
        <v>46.932000000000002</v>
      </c>
      <c r="R24" s="192">
        <v>121.289</v>
      </c>
      <c r="S24" s="192">
        <v>-156.29900000000001</v>
      </c>
      <c r="T24" s="192">
        <v>-35</v>
      </c>
      <c r="W24" s="192">
        <f t="shared" si="0"/>
        <v>-73.455999999999989</v>
      </c>
      <c r="X24" s="192">
        <f t="shared" si="1"/>
        <v>-31.447000000000003</v>
      </c>
      <c r="Y24" s="192">
        <f t="shared" si="2"/>
        <v>-818.47900000000004</v>
      </c>
      <c r="Z24" s="192">
        <f t="shared" si="3"/>
        <v>-19.681000000000026</v>
      </c>
      <c r="AA24" s="192">
        <f t="shared" si="4"/>
        <v>-191.29900000000001</v>
      </c>
    </row>
    <row r="25" spans="2:27">
      <c r="B25" s="97" t="s">
        <v>173</v>
      </c>
      <c r="C25" s="190">
        <v>-11.459</v>
      </c>
      <c r="D25" s="190">
        <v>-8.5079999999999991</v>
      </c>
      <c r="E25" s="190">
        <v>-6.7770000000000001</v>
      </c>
      <c r="F25" s="190">
        <v>0.53000000000000114</v>
      </c>
      <c r="G25" s="190">
        <v>-12.228999999999999</v>
      </c>
      <c r="H25" s="190">
        <v>-11.280000000000001</v>
      </c>
      <c r="I25" s="190">
        <v>-8.9619999999999962</v>
      </c>
      <c r="J25" s="190">
        <v>-9.6390000000000029</v>
      </c>
      <c r="K25" s="190">
        <v>-11.555999999999999</v>
      </c>
      <c r="L25" s="190">
        <v>-13.303000000000003</v>
      </c>
      <c r="M25" s="190">
        <v>-15.476999999999997</v>
      </c>
      <c r="N25" s="190">
        <v>-12.143000000000001</v>
      </c>
      <c r="O25" s="190">
        <v>-18.064</v>
      </c>
      <c r="P25" s="190">
        <v>-59.929000000000002</v>
      </c>
      <c r="Q25" s="190">
        <v>-60.959000000000003</v>
      </c>
      <c r="R25" s="190">
        <v>70.951999999999998</v>
      </c>
      <c r="S25" s="190">
        <v>-72.143000000000001</v>
      </c>
      <c r="T25" s="190">
        <v>-113</v>
      </c>
      <c r="U25" s="265"/>
      <c r="W25" s="190">
        <f t="shared" si="0"/>
        <v>-26.213999999999999</v>
      </c>
      <c r="X25" s="190">
        <f t="shared" si="1"/>
        <v>-42.11</v>
      </c>
      <c r="Y25" s="190">
        <f t="shared" si="2"/>
        <v>-52.478999999999999</v>
      </c>
      <c r="Z25" s="190">
        <f t="shared" si="3"/>
        <v>-68</v>
      </c>
      <c r="AA25" s="190">
        <f t="shared" si="4"/>
        <v>-185.143</v>
      </c>
    </row>
    <row r="26" spans="2:27">
      <c r="B26" s="100" t="s">
        <v>174</v>
      </c>
      <c r="C26" s="187">
        <v>-33.037999999999997</v>
      </c>
      <c r="D26" s="187">
        <v>-51.387</v>
      </c>
      <c r="E26" s="187">
        <v>55.134</v>
      </c>
      <c r="F26" s="187">
        <v>-17.951000000000001</v>
      </c>
      <c r="G26" s="187">
        <v>-8.6039999999999992</v>
      </c>
      <c r="H26" s="187">
        <v>-129.37</v>
      </c>
      <c r="I26" s="187">
        <v>41.111999999999995</v>
      </c>
      <c r="J26" s="187">
        <v>107.52499999999999</v>
      </c>
      <c r="K26" s="187">
        <v>-59.023000000000003</v>
      </c>
      <c r="L26" s="187">
        <v>21.853999999999999</v>
      </c>
      <c r="M26" s="187">
        <v>-273.18399999999997</v>
      </c>
      <c r="N26" s="187">
        <v>-455.64700000000005</v>
      </c>
      <c r="O26" s="187">
        <v>11.628</v>
      </c>
      <c r="P26" s="187">
        <v>-121.53700000000001</v>
      </c>
      <c r="Q26" s="187">
        <v>107.89100000000001</v>
      </c>
      <c r="R26" s="187">
        <v>50.337000000000003</v>
      </c>
      <c r="S26" s="187">
        <v>-84.156000000000006</v>
      </c>
      <c r="T26" s="187">
        <v>78</v>
      </c>
      <c r="U26" s="265"/>
      <c r="W26" s="187">
        <f t="shared" si="0"/>
        <v>-47.241999999999997</v>
      </c>
      <c r="X26" s="187">
        <f t="shared" si="1"/>
        <v>10.662999999999997</v>
      </c>
      <c r="Y26" s="187">
        <f t="shared" si="2"/>
        <v>-766</v>
      </c>
      <c r="Z26" s="187">
        <f t="shared" si="3"/>
        <v>48.319000000000003</v>
      </c>
      <c r="AA26" s="187">
        <f t="shared" si="4"/>
        <v>-6.1560000000000059</v>
      </c>
    </row>
    <row r="27" spans="2:27" s="55" customFormat="1" ht="14.5" thickBot="1">
      <c r="B27" s="130" t="s">
        <v>175</v>
      </c>
      <c r="C27" s="183">
        <v>63.67999999999995</v>
      </c>
      <c r="D27" s="183">
        <v>-110.09000000000015</v>
      </c>
      <c r="E27" s="183">
        <v>35.286999999999928</v>
      </c>
      <c r="F27" s="183">
        <v>65.6069999999998</v>
      </c>
      <c r="G27" s="183">
        <v>29.550999999999988</v>
      </c>
      <c r="H27" s="183">
        <v>-140.04500000000021</v>
      </c>
      <c r="I27" s="183">
        <v>-48.628000000000178</v>
      </c>
      <c r="J27" s="183">
        <v>133.50700000000086</v>
      </c>
      <c r="K27" s="183">
        <v>47.032000000000039</v>
      </c>
      <c r="L27" s="183">
        <v>30.411999999999722</v>
      </c>
      <c r="M27" s="183">
        <v>-459.20399999999972</v>
      </c>
      <c r="N27" s="183">
        <v>-498.25099999999992</v>
      </c>
      <c r="O27" s="183">
        <v>-133.21300000000014</v>
      </c>
      <c r="P27" s="183">
        <v>396.34999999999957</v>
      </c>
      <c r="Q27" s="183">
        <v>-40.42299999999922</v>
      </c>
      <c r="R27" s="183">
        <v>615.01299999999992</v>
      </c>
      <c r="S27" s="183">
        <v>426.08100000000013</v>
      </c>
      <c r="T27" s="183">
        <v>511</v>
      </c>
      <c r="U27" s="265"/>
      <c r="W27" s="183">
        <f t="shared" si="0"/>
        <v>54.483999999999533</v>
      </c>
      <c r="X27" s="183">
        <f t="shared" si="1"/>
        <v>-25.614999999999554</v>
      </c>
      <c r="Y27" s="183">
        <f t="shared" si="2"/>
        <v>-880.01099999999997</v>
      </c>
      <c r="Z27" s="183">
        <f t="shared" si="3"/>
        <v>837.72700000000009</v>
      </c>
      <c r="AA27" s="183">
        <f t="shared" si="4"/>
        <v>937.08100000000013</v>
      </c>
    </row>
    <row r="28" spans="2:27" ht="13.5" customHeight="1">
      <c r="B28" s="141" t="s">
        <v>176</v>
      </c>
      <c r="C28" s="193">
        <v>64.628</v>
      </c>
      <c r="D28" s="193">
        <v>-114.116</v>
      </c>
      <c r="E28" s="193">
        <v>37.328000000000003</v>
      </c>
      <c r="F28" s="193">
        <v>55.355000000000004</v>
      </c>
      <c r="G28" s="193">
        <v>19.158999999999999</v>
      </c>
      <c r="H28" s="193">
        <v>-143.489</v>
      </c>
      <c r="I28" s="193">
        <v>-57.164000000000001</v>
      </c>
      <c r="J28" s="193">
        <v>117.26900000000001</v>
      </c>
      <c r="K28" s="193">
        <v>35.451999999999998</v>
      </c>
      <c r="L28" s="193">
        <v>19.21</v>
      </c>
      <c r="M28" s="193">
        <v>-473.59800000000001</v>
      </c>
      <c r="N28" s="193">
        <v>-510.06399999999996</v>
      </c>
      <c r="O28" s="193">
        <v>-150.536</v>
      </c>
      <c r="P28" s="193">
        <v>384.33800000000002</v>
      </c>
      <c r="Q28" s="193">
        <v>-47.308999999999997</v>
      </c>
      <c r="R28" s="193">
        <v>569.35199999999998</v>
      </c>
      <c r="S28" s="193">
        <v>406.17500000000001</v>
      </c>
      <c r="T28" s="193">
        <v>490</v>
      </c>
      <c r="U28" s="265"/>
      <c r="W28" s="193">
        <f t="shared" si="0"/>
        <v>43.195000000000007</v>
      </c>
      <c r="X28" s="193">
        <f t="shared" si="1"/>
        <v>-64.225000000000023</v>
      </c>
      <c r="Y28" s="193">
        <f t="shared" si="2"/>
        <v>-929</v>
      </c>
      <c r="Z28" s="193">
        <f t="shared" si="3"/>
        <v>755.84500000000003</v>
      </c>
      <c r="AA28" s="193">
        <f t="shared" si="4"/>
        <v>896.17499999999995</v>
      </c>
    </row>
    <row r="29" spans="2:27">
      <c r="B29" s="142" t="s">
        <v>177</v>
      </c>
      <c r="C29" s="194">
        <v>-0.82799999999999996</v>
      </c>
      <c r="D29" s="194">
        <v>4.1180000000000003</v>
      </c>
      <c r="E29" s="194">
        <v>-2.0409999999999999</v>
      </c>
      <c r="F29" s="194">
        <v>9.6219999999999999</v>
      </c>
      <c r="G29" s="194">
        <v>10.391999999999999</v>
      </c>
      <c r="H29" s="194">
        <v>3.4440000000000008</v>
      </c>
      <c r="I29" s="194">
        <v>8.516</v>
      </c>
      <c r="J29" s="194">
        <v>7.3279999999999994</v>
      </c>
      <c r="K29" s="194">
        <v>11.58</v>
      </c>
      <c r="L29" s="194">
        <v>11.124999999999998</v>
      </c>
      <c r="M29" s="194">
        <v>15</v>
      </c>
      <c r="N29" s="190">
        <v>11.288000000000004</v>
      </c>
      <c r="O29" s="194">
        <v>17.323</v>
      </c>
      <c r="P29" s="194">
        <v>12.246</v>
      </c>
      <c r="Q29" s="194">
        <v>6.8090000000000002</v>
      </c>
      <c r="R29" s="194">
        <v>58.405000000000001</v>
      </c>
      <c r="S29" s="194">
        <v>19.905999999999999</v>
      </c>
      <c r="T29" s="194">
        <v>21</v>
      </c>
      <c r="U29" s="265"/>
      <c r="W29" s="194">
        <f t="shared" si="0"/>
        <v>10.871</v>
      </c>
      <c r="X29" s="194">
        <f t="shared" si="1"/>
        <v>29.68</v>
      </c>
      <c r="Y29" s="194">
        <f t="shared" si="2"/>
        <v>48.993000000000002</v>
      </c>
      <c r="Z29" s="194">
        <f t="shared" si="3"/>
        <v>94.783000000000001</v>
      </c>
      <c r="AA29" s="194">
        <f t="shared" si="4"/>
        <v>40.905999999999999</v>
      </c>
    </row>
    <row r="30" spans="2:27">
      <c r="B30" s="131"/>
      <c r="C30" s="187"/>
      <c r="D30" s="187"/>
      <c r="E30" s="187"/>
      <c r="F30" s="187"/>
      <c r="G30" s="187"/>
      <c r="H30" s="187"/>
      <c r="I30" s="187"/>
      <c r="J30" s="187"/>
      <c r="K30" s="187"/>
      <c r="L30" s="187"/>
      <c r="M30" s="187"/>
      <c r="N30" s="187"/>
      <c r="O30" s="187"/>
      <c r="P30" s="187"/>
      <c r="Q30" s="187"/>
      <c r="R30" s="187"/>
      <c r="S30" s="187"/>
      <c r="T30" s="187"/>
      <c r="W30" s="187">
        <f t="shared" si="0"/>
        <v>0</v>
      </c>
      <c r="X30" s="187">
        <f t="shared" si="1"/>
        <v>0</v>
      </c>
      <c r="Y30" s="187">
        <f t="shared" si="2"/>
        <v>0</v>
      </c>
      <c r="Z30" s="187">
        <f t="shared" si="3"/>
        <v>0</v>
      </c>
      <c r="AA30" s="187">
        <f t="shared" si="4"/>
        <v>0</v>
      </c>
    </row>
    <row r="31" spans="2:27">
      <c r="B31" s="131" t="s">
        <v>178</v>
      </c>
      <c r="C31" s="187">
        <v>74.691999999999993</v>
      </c>
      <c r="D31" s="187">
        <v>78.035000000000011</v>
      </c>
      <c r="E31" s="187">
        <v>74.794999999999987</v>
      </c>
      <c r="F31" s="187">
        <v>75.680000000000007</v>
      </c>
      <c r="G31" s="187">
        <v>96.887</v>
      </c>
      <c r="H31" s="187">
        <v>141.75299999999999</v>
      </c>
      <c r="I31" s="187">
        <v>89.732000000000028</v>
      </c>
      <c r="J31" s="187">
        <v>134.16899999999998</v>
      </c>
      <c r="K31" s="187">
        <v>91.376000000000005</v>
      </c>
      <c r="L31" s="187">
        <v>110.422</v>
      </c>
      <c r="M31" s="187">
        <v>103.39999999999998</v>
      </c>
      <c r="N31" s="187">
        <v>126.28300000000002</v>
      </c>
      <c r="O31" s="187">
        <v>113.1</v>
      </c>
      <c r="P31" s="187">
        <v>126.14100000000002</v>
      </c>
      <c r="Q31" s="187">
        <v>137.14399999999998</v>
      </c>
      <c r="R31" s="187">
        <v>119.66000000000003</v>
      </c>
      <c r="S31" s="187">
        <f>128728/1000</f>
        <v>128.72800000000001</v>
      </c>
      <c r="T31" s="187">
        <v>124</v>
      </c>
      <c r="U31" s="265"/>
      <c r="W31" s="187">
        <f t="shared" si="0"/>
        <v>303.202</v>
      </c>
      <c r="X31" s="187">
        <f t="shared" si="1"/>
        <v>462.541</v>
      </c>
      <c r="Y31" s="187">
        <f t="shared" si="2"/>
        <v>431.48099999999999</v>
      </c>
      <c r="Z31" s="187">
        <f t="shared" si="3"/>
        <v>496.04500000000002</v>
      </c>
      <c r="AA31" s="187">
        <f t="shared" si="4"/>
        <v>252.72800000000001</v>
      </c>
    </row>
    <row r="32" spans="2:27">
      <c r="B32" s="131" t="s">
        <v>179</v>
      </c>
      <c r="C32" s="132">
        <v>-1.056</v>
      </c>
      <c r="D32" s="132">
        <v>-111.926</v>
      </c>
      <c r="E32" s="132">
        <v>-0.96399999999999864</v>
      </c>
      <c r="F32" s="132">
        <v>108.664</v>
      </c>
      <c r="G32" s="132">
        <v>-0.63100000000000001</v>
      </c>
      <c r="H32" s="132">
        <v>52.575999999999993</v>
      </c>
      <c r="I32" s="132">
        <v>22.417000000000002</v>
      </c>
      <c r="J32" s="132">
        <v>221.471</v>
      </c>
      <c r="K32" s="132">
        <v>-354.52199999999999</v>
      </c>
      <c r="L32" s="132">
        <v>26.965999999999951</v>
      </c>
      <c r="M32" s="132">
        <v>56.835000000000036</v>
      </c>
      <c r="N32" s="132">
        <v>67.099999999999937</v>
      </c>
      <c r="O32" s="132">
        <v>112.223</v>
      </c>
      <c r="P32" s="132">
        <v>-192.066</v>
      </c>
      <c r="Q32" s="132">
        <v>-8.6329999999999956</v>
      </c>
      <c r="R32" s="132">
        <v>-210.82300000000001</v>
      </c>
      <c r="S32" s="132">
        <f>26961/1000</f>
        <v>26.960999999999999</v>
      </c>
      <c r="T32" s="132">
        <v>-172</v>
      </c>
      <c r="U32" s="265"/>
      <c r="W32" s="132">
        <f t="shared" si="0"/>
        <v>-5.2819999999999965</v>
      </c>
      <c r="X32" s="132">
        <f t="shared" si="1"/>
        <v>295.83299999999997</v>
      </c>
      <c r="Y32" s="132">
        <f t="shared" si="2"/>
        <v>-203.62100000000007</v>
      </c>
      <c r="Z32" s="132">
        <f t="shared" si="3"/>
        <v>-299.29899999999998</v>
      </c>
      <c r="AA32" s="132">
        <f t="shared" si="4"/>
        <v>-145.03899999999999</v>
      </c>
    </row>
    <row r="33" spans="2:27" s="55" customFormat="1" ht="14.5" thickBot="1">
      <c r="B33" s="130" t="s">
        <v>180</v>
      </c>
      <c r="C33" s="184">
        <v>239.11599999999996</v>
      </c>
      <c r="D33" s="184">
        <v>262.62899999999991</v>
      </c>
      <c r="E33" s="184">
        <v>228.79799999999992</v>
      </c>
      <c r="F33" s="184">
        <v>248.39600000000019</v>
      </c>
      <c r="G33" s="184">
        <v>229.05799999999999</v>
      </c>
      <c r="H33" s="184">
        <v>345.03099999999984</v>
      </c>
      <c r="I33" s="184">
        <v>129.21600000000026</v>
      </c>
      <c r="J33" s="184">
        <v>284.9009999999999</v>
      </c>
      <c r="K33" s="184">
        <v>161.82600000000008</v>
      </c>
      <c r="L33" s="184">
        <v>171.9899999999997</v>
      </c>
      <c r="M33" s="184">
        <v>159.11100000000044</v>
      </c>
      <c r="N33" s="184">
        <v>168.92099999999962</v>
      </c>
      <c r="O33" s="184">
        <v>360.42100000000011</v>
      </c>
      <c r="P33" s="184">
        <v>362.67900000000003</v>
      </c>
      <c r="Q33" s="184">
        <f>Q27-Q24-Q18-Q16+Q31+Q32</f>
        <v>313.71800000000081</v>
      </c>
      <c r="R33" s="184">
        <f>R27-R24-R18-R16+R31+R32</f>
        <v>500.678</v>
      </c>
      <c r="S33" s="184">
        <f>S27-S24-S18-S16+S31+S32</f>
        <v>552.33500000000004</v>
      </c>
      <c r="T33" s="184">
        <f>T27-T24-T18-T16+T31+T32</f>
        <v>641</v>
      </c>
      <c r="W33" s="184">
        <f t="shared" si="0"/>
        <v>978.93899999999996</v>
      </c>
      <c r="X33" s="184">
        <f t="shared" si="1"/>
        <v>988.2059999999999</v>
      </c>
      <c r="Y33" s="184">
        <f t="shared" si="2"/>
        <v>661.84799999999984</v>
      </c>
      <c r="Z33" s="184">
        <f t="shared" si="3"/>
        <v>1537.496000000001</v>
      </c>
      <c r="AA33" s="184">
        <f t="shared" si="4"/>
        <v>1193.335</v>
      </c>
    </row>
    <row r="34" spans="2:27" s="94" customFormat="1" ht="14.5">
      <c r="B34" s="133" t="s">
        <v>181</v>
      </c>
      <c r="C34" s="185">
        <f>C33/C7</f>
        <v>0.20523428273229144</v>
      </c>
      <c r="D34" s="185">
        <f t="shared" ref="D34:P34" si="6">D33/D7</f>
        <v>0.1994153356694596</v>
      </c>
      <c r="E34" s="185">
        <f t="shared" si="6"/>
        <v>0.15901603796402086</v>
      </c>
      <c r="F34" s="185">
        <f t="shared" si="6"/>
        <v>0.16597830887831222</v>
      </c>
      <c r="G34" s="185">
        <f t="shared" si="6"/>
        <v>0.17260313817037268</v>
      </c>
      <c r="H34" s="185">
        <f t="shared" si="6"/>
        <v>0.2525934255472731</v>
      </c>
      <c r="I34" s="185">
        <f t="shared" si="6"/>
        <v>9.8393910688885547E-2</v>
      </c>
      <c r="J34" s="185">
        <f t="shared" si="6"/>
        <v>0.22657962985496219</v>
      </c>
      <c r="K34" s="185">
        <f t="shared" si="6"/>
        <v>0.12917784883990113</v>
      </c>
      <c r="L34" s="185">
        <f>(L33/L7)-0</f>
        <v>0.1560823945157441</v>
      </c>
      <c r="M34" s="185">
        <f t="shared" si="6"/>
        <v>0.1071006669938029</v>
      </c>
      <c r="N34" s="185">
        <f t="shared" si="6"/>
        <v>0.10751732061192576</v>
      </c>
      <c r="O34" s="185">
        <f t="shared" si="6"/>
        <v>0.20103534981682539</v>
      </c>
      <c r="P34" s="185">
        <f t="shared" si="6"/>
        <v>0.18957818893472533</v>
      </c>
      <c r="Q34" s="185">
        <f>Q33/Q7</f>
        <v>0.13639652111003125</v>
      </c>
      <c r="R34" s="185">
        <f>R33/R7</f>
        <v>0.20712899238301066</v>
      </c>
      <c r="S34" s="185">
        <f t="shared" ref="S34:T34" si="7">S33/S7</f>
        <v>0.24101908437751593</v>
      </c>
      <c r="T34" s="185">
        <f t="shared" si="7"/>
        <v>0.274989274989275</v>
      </c>
      <c r="W34" s="185">
        <f t="shared" ref="W34:AA34" si="8">W33/W7</f>
        <v>0.18070020061002581</v>
      </c>
      <c r="X34" s="185">
        <f t="shared" si="8"/>
        <v>0.18774037347226766</v>
      </c>
      <c r="Y34" s="185">
        <f t="shared" si="8"/>
        <v>0.12230664920717109</v>
      </c>
      <c r="Z34" s="185">
        <f t="shared" si="8"/>
        <v>0.1825315379702204</v>
      </c>
      <c r="AA34" s="185">
        <f t="shared" si="8"/>
        <v>0.25814870859125633</v>
      </c>
    </row>
    <row r="35" spans="2:27">
      <c r="B35" s="139"/>
      <c r="C35" s="143"/>
      <c r="D35" s="143"/>
      <c r="E35" s="143"/>
      <c r="F35" s="143"/>
      <c r="G35" s="143"/>
      <c r="H35" s="143"/>
      <c r="I35" s="143"/>
      <c r="J35" s="143"/>
      <c r="K35" s="143"/>
      <c r="L35" s="143"/>
      <c r="M35" s="143"/>
      <c r="N35" s="143"/>
      <c r="O35" s="143"/>
      <c r="P35" s="143"/>
      <c r="Q35" s="143"/>
      <c r="R35" s="143"/>
      <c r="S35" s="143"/>
      <c r="T35" s="143"/>
      <c r="W35" s="143"/>
      <c r="X35" s="143"/>
      <c r="Y35" s="143"/>
      <c r="Z35" s="143"/>
    </row>
    <row r="36" spans="2:27" ht="18" customHeight="1" thickBot="1">
      <c r="B36" s="77" t="s">
        <v>182</v>
      </c>
      <c r="C36" s="78" t="s">
        <v>104</v>
      </c>
      <c r="D36" s="78" t="s">
        <v>105</v>
      </c>
      <c r="E36" s="78" t="s">
        <v>106</v>
      </c>
      <c r="F36" s="78" t="s">
        <v>107</v>
      </c>
      <c r="G36" s="78" t="s">
        <v>108</v>
      </c>
      <c r="H36" s="78" t="s">
        <v>109</v>
      </c>
      <c r="I36" s="78" t="s">
        <v>110</v>
      </c>
      <c r="J36" s="78" t="s">
        <v>111</v>
      </c>
      <c r="K36" s="78" t="s">
        <v>112</v>
      </c>
      <c r="L36" s="78" t="s">
        <v>113</v>
      </c>
      <c r="M36" s="78" t="s">
        <v>114</v>
      </c>
      <c r="N36" s="78" t="s">
        <v>115</v>
      </c>
      <c r="O36" s="78" t="s">
        <v>116</v>
      </c>
      <c r="P36" s="78" t="s">
        <v>117</v>
      </c>
      <c r="Q36" s="78" t="s">
        <v>118</v>
      </c>
      <c r="R36" s="78" t="s">
        <v>119</v>
      </c>
      <c r="S36" s="78" t="s">
        <v>120</v>
      </c>
      <c r="T36" s="78" t="s">
        <v>121</v>
      </c>
      <c r="W36" s="259"/>
      <c r="X36" s="259"/>
      <c r="Y36" s="259"/>
      <c r="Z36" s="259"/>
      <c r="AA36" s="136"/>
    </row>
    <row r="37" spans="2:27" ht="7.5" customHeight="1" thickTop="1">
      <c r="B37" s="144"/>
      <c r="C37" s="145"/>
      <c r="D37" s="145"/>
      <c r="E37" s="145"/>
      <c r="F37" s="145"/>
      <c r="G37" s="145"/>
      <c r="H37" s="145"/>
      <c r="I37" s="145"/>
      <c r="J37" s="145"/>
      <c r="K37" s="145"/>
      <c r="L37" s="145"/>
      <c r="M37" s="145"/>
      <c r="N37" s="145"/>
      <c r="O37" s="145"/>
      <c r="P37" s="145"/>
      <c r="Q37" s="145"/>
      <c r="R37" s="145"/>
      <c r="S37" s="145"/>
      <c r="T37" s="145"/>
      <c r="W37" s="145"/>
      <c r="X37" s="145"/>
      <c r="Y37" s="145"/>
      <c r="Z37" s="145"/>
      <c r="AA37" s="136"/>
    </row>
    <row r="38" spans="2:27">
      <c r="B38" s="140"/>
      <c r="C38" s="132"/>
      <c r="D38" s="132"/>
      <c r="E38" s="132"/>
      <c r="F38" s="132"/>
      <c r="G38" s="132"/>
      <c r="H38" s="132"/>
      <c r="I38" s="132"/>
      <c r="J38" s="132"/>
      <c r="K38" s="132"/>
      <c r="L38" s="132"/>
      <c r="M38" s="132"/>
      <c r="N38" s="132"/>
      <c r="O38" s="136"/>
      <c r="P38" s="136"/>
      <c r="Q38" s="136"/>
      <c r="R38" s="136"/>
      <c r="S38" s="136"/>
      <c r="T38" s="136"/>
      <c r="W38" s="136"/>
      <c r="X38" s="136"/>
      <c r="Y38" s="136"/>
      <c r="Z38" s="136"/>
      <c r="AA38" s="136"/>
    </row>
    <row r="39" spans="2:27" ht="14.5" thickBot="1">
      <c r="B39" s="146" t="s">
        <v>183</v>
      </c>
      <c r="C39" s="195">
        <f>SUM(C40:C48)</f>
        <v>2832.0549999999998</v>
      </c>
      <c r="D39" s="195">
        <f t="shared" ref="D39:P39" si="9">SUM(D40:D48)</f>
        <v>2654.9590000000003</v>
      </c>
      <c r="E39" s="195">
        <f t="shared" si="9"/>
        <v>2646.402</v>
      </c>
      <c r="F39" s="195">
        <f t="shared" si="9"/>
        <v>2581.4180000000001</v>
      </c>
      <c r="G39" s="195">
        <f t="shared" si="9"/>
        <v>2456.7450000000003</v>
      </c>
      <c r="H39" s="195">
        <f t="shared" si="9"/>
        <v>2782.2065663538724</v>
      </c>
      <c r="I39" s="195">
        <f t="shared" si="9"/>
        <v>2706.3770181844852</v>
      </c>
      <c r="J39" s="195">
        <f t="shared" si="9"/>
        <v>2669.2290000000003</v>
      </c>
      <c r="K39" s="195">
        <f t="shared" si="9"/>
        <v>3092.0460000000003</v>
      </c>
      <c r="L39" s="195">
        <f t="shared" si="9"/>
        <v>2780.74</v>
      </c>
      <c r="M39" s="195">
        <f t="shared" si="9"/>
        <v>3091.7239999999997</v>
      </c>
      <c r="N39" s="195">
        <f t="shared" si="9"/>
        <v>3405.3719999999994</v>
      </c>
      <c r="O39" s="195">
        <f t="shared" si="9"/>
        <v>3233.8740000000007</v>
      </c>
      <c r="P39" s="195">
        <f t="shared" si="9"/>
        <v>3621</v>
      </c>
      <c r="Q39" s="195">
        <f>SUM(Q40:Q48)</f>
        <v>4297.0249999999996</v>
      </c>
      <c r="R39" s="195">
        <f>SUM(R40:R48)</f>
        <v>4454.9830000000002</v>
      </c>
      <c r="S39" s="195">
        <f t="shared" ref="S39:T39" si="10">SUM(S40:S48)</f>
        <v>4327.2749999999996</v>
      </c>
      <c r="T39" s="195">
        <f t="shared" si="10"/>
        <v>4506</v>
      </c>
      <c r="U39" s="265"/>
      <c r="W39" s="260"/>
      <c r="X39" s="260"/>
      <c r="Y39" s="260"/>
      <c r="Z39" s="260"/>
      <c r="AA39" s="136"/>
    </row>
    <row r="40" spans="2:27" ht="14.25" customHeight="1">
      <c r="B40" s="139" t="s">
        <v>184</v>
      </c>
      <c r="C40" s="143">
        <v>46.537999999999997</v>
      </c>
      <c r="D40" s="143">
        <v>48.152999999999999</v>
      </c>
      <c r="E40" s="143">
        <v>32.043999999999997</v>
      </c>
      <c r="F40" s="196">
        <v>116.81100000000001</v>
      </c>
      <c r="G40" s="143">
        <v>76.706000000000003</v>
      </c>
      <c r="H40" s="143">
        <v>59.725000000000001</v>
      </c>
      <c r="I40" s="143">
        <v>87.718000000000004</v>
      </c>
      <c r="J40" s="143">
        <v>190.321</v>
      </c>
      <c r="K40" s="143">
        <v>193.85400000000001</v>
      </c>
      <c r="L40" s="143">
        <v>172.03899999999999</v>
      </c>
      <c r="M40" s="143">
        <v>458</v>
      </c>
      <c r="N40" s="143">
        <v>632.43799999999999</v>
      </c>
      <c r="O40" s="143">
        <v>514.62400000000002</v>
      </c>
      <c r="P40" s="143">
        <v>296</v>
      </c>
      <c r="Q40" s="143">
        <v>686</v>
      </c>
      <c r="R40" s="143">
        <v>1449.345</v>
      </c>
      <c r="S40" s="143">
        <v>1263.009</v>
      </c>
      <c r="T40" s="143">
        <v>1126</v>
      </c>
      <c r="U40" s="265"/>
      <c r="W40" s="143"/>
      <c r="X40" s="143"/>
      <c r="Y40" s="143"/>
      <c r="Z40" s="143"/>
      <c r="AA40" s="136"/>
    </row>
    <row r="41" spans="2:27" ht="14.25" customHeight="1">
      <c r="B41" s="147" t="s">
        <v>185</v>
      </c>
      <c r="C41" s="197">
        <v>913.65599999999995</v>
      </c>
      <c r="D41" s="197">
        <v>777.80899999999997</v>
      </c>
      <c r="E41" s="197">
        <v>551.45399999999995</v>
      </c>
      <c r="F41" s="198">
        <v>453.15800000000002</v>
      </c>
      <c r="G41" s="197">
        <v>499.66500000000002</v>
      </c>
      <c r="H41" s="197">
        <v>580.65200000000004</v>
      </c>
      <c r="I41" s="197">
        <v>631.47500000000002</v>
      </c>
      <c r="J41" s="197">
        <v>416.34500000000003</v>
      </c>
      <c r="K41" s="197">
        <v>411.22899999999998</v>
      </c>
      <c r="L41" s="197">
        <v>374.20400000000001</v>
      </c>
      <c r="M41" s="197">
        <v>548.524</v>
      </c>
      <c r="N41" s="197">
        <v>616.93600000000004</v>
      </c>
      <c r="O41" s="197">
        <v>338.976</v>
      </c>
      <c r="P41" s="197">
        <v>424</v>
      </c>
      <c r="Q41" s="197">
        <v>693</v>
      </c>
      <c r="R41" s="197">
        <v>337.35</v>
      </c>
      <c r="S41" s="197">
        <v>321.81200000000001</v>
      </c>
      <c r="T41" s="197">
        <v>356</v>
      </c>
      <c r="U41" s="265"/>
      <c r="W41" s="143"/>
      <c r="X41" s="143"/>
      <c r="Y41" s="143"/>
      <c r="Z41" s="143"/>
      <c r="AA41" s="136"/>
    </row>
    <row r="42" spans="2:27" ht="14.25" customHeight="1">
      <c r="B42" s="147" t="s">
        <v>186</v>
      </c>
      <c r="C42" s="197">
        <v>35.11</v>
      </c>
      <c r="D42" s="197">
        <v>25.463000000000001</v>
      </c>
      <c r="E42" s="197">
        <v>59.433</v>
      </c>
      <c r="F42" s="198">
        <v>168.31200000000001</v>
      </c>
      <c r="G42" s="197">
        <v>103.854</v>
      </c>
      <c r="H42" s="197">
        <v>79.854566353871988</v>
      </c>
      <c r="I42" s="197">
        <v>42.476018184485532</v>
      </c>
      <c r="J42" s="197">
        <v>42.262999999999998</v>
      </c>
      <c r="K42" s="197">
        <v>178.762</v>
      </c>
      <c r="L42" s="197">
        <v>146.15100000000001</v>
      </c>
      <c r="M42" s="197">
        <v>44.146000000000001</v>
      </c>
      <c r="N42" s="197">
        <v>115.253</v>
      </c>
      <c r="O42" s="197">
        <v>15.547000000000001</v>
      </c>
      <c r="P42" s="197">
        <v>151</v>
      </c>
      <c r="Q42" s="197">
        <v>30</v>
      </c>
      <c r="R42" s="197">
        <v>10.749000000000001</v>
      </c>
      <c r="S42" s="197">
        <v>45.183999999999997</v>
      </c>
      <c r="T42" s="197">
        <v>19</v>
      </c>
      <c r="U42" s="265"/>
      <c r="W42" s="143"/>
      <c r="X42" s="143"/>
      <c r="Y42" s="143"/>
      <c r="Z42" s="143"/>
      <c r="AA42" s="136"/>
    </row>
    <row r="43" spans="2:27" ht="14.25" customHeight="1">
      <c r="B43" s="147" t="s">
        <v>187</v>
      </c>
      <c r="C43" s="197">
        <v>409.36599999999999</v>
      </c>
      <c r="D43" s="197">
        <v>450.74299999999999</v>
      </c>
      <c r="E43" s="197">
        <v>530.66999999999996</v>
      </c>
      <c r="F43" s="198">
        <v>489.70800000000003</v>
      </c>
      <c r="G43" s="197">
        <v>525.09400000000005</v>
      </c>
      <c r="H43" s="197">
        <v>598.84100000000001</v>
      </c>
      <c r="I43" s="197">
        <v>501.78899999999999</v>
      </c>
      <c r="J43" s="197">
        <v>404.29599999999999</v>
      </c>
      <c r="K43" s="197">
        <v>544.07799999999997</v>
      </c>
      <c r="L43" s="197">
        <v>511.23</v>
      </c>
      <c r="M43" s="197">
        <v>611.29999999999995</v>
      </c>
      <c r="N43" s="197">
        <v>474.71499999999997</v>
      </c>
      <c r="O43" s="197">
        <v>643.79300000000001</v>
      </c>
      <c r="P43" s="197">
        <v>667</v>
      </c>
      <c r="Q43" s="197">
        <v>758</v>
      </c>
      <c r="R43" s="197">
        <v>698.24900000000002</v>
      </c>
      <c r="S43" s="197">
        <v>684.94799999999998</v>
      </c>
      <c r="T43" s="197">
        <v>571</v>
      </c>
      <c r="U43" s="265"/>
      <c r="W43" s="143"/>
      <c r="X43" s="143"/>
      <c r="Y43" s="143"/>
      <c r="Z43" s="143"/>
      <c r="AA43" s="136"/>
    </row>
    <row r="44" spans="2:27" ht="14.25" customHeight="1">
      <c r="B44" s="148" t="s">
        <v>188</v>
      </c>
      <c r="C44" s="197">
        <v>661.90200000000004</v>
      </c>
      <c r="D44" s="197">
        <v>768.14200000000005</v>
      </c>
      <c r="E44" s="197">
        <v>929.98099999999999</v>
      </c>
      <c r="F44" s="198">
        <v>827.46699999999998</v>
      </c>
      <c r="G44" s="197">
        <v>788.16200000000003</v>
      </c>
      <c r="H44" s="197">
        <v>896.423</v>
      </c>
      <c r="I44" s="197">
        <v>930.60900000000004</v>
      </c>
      <c r="J44" s="197">
        <v>928.14200000000005</v>
      </c>
      <c r="K44" s="197">
        <v>1108.298</v>
      </c>
      <c r="L44" s="197">
        <v>1161.558</v>
      </c>
      <c r="M44" s="197">
        <v>1036.377</v>
      </c>
      <c r="N44" s="197">
        <v>1069.8800000000001</v>
      </c>
      <c r="O44" s="197">
        <v>1243.9280000000001</v>
      </c>
      <c r="P44" s="197">
        <v>1579</v>
      </c>
      <c r="Q44" s="197">
        <v>1631</v>
      </c>
      <c r="R44" s="197">
        <v>1592.3119999999999</v>
      </c>
      <c r="S44" s="197">
        <v>1640.8630000000001</v>
      </c>
      <c r="T44" s="197">
        <v>1797</v>
      </c>
      <c r="U44" s="265"/>
      <c r="W44" s="143"/>
      <c r="X44" s="143"/>
      <c r="Y44" s="143"/>
      <c r="Z44" s="143"/>
      <c r="AA44" s="136"/>
    </row>
    <row r="45" spans="2:27" ht="14.25" customHeight="1">
      <c r="B45" s="139" t="s">
        <v>189</v>
      </c>
      <c r="C45" s="143">
        <v>384.16699999999997</v>
      </c>
      <c r="D45" s="143">
        <v>397.065</v>
      </c>
      <c r="E45" s="143">
        <v>369.84500000000003</v>
      </c>
      <c r="F45" s="196">
        <v>357.01799999999997</v>
      </c>
      <c r="G45" s="143">
        <v>334.39100000000002</v>
      </c>
      <c r="H45" s="143">
        <v>470.78399999999999</v>
      </c>
      <c r="I45" s="143">
        <v>422.83499999999998</v>
      </c>
      <c r="J45" s="143">
        <v>640.19000000000005</v>
      </c>
      <c r="K45" s="197">
        <v>619.98500000000001</v>
      </c>
      <c r="L45" s="143">
        <v>364.767</v>
      </c>
      <c r="M45" s="143">
        <v>324.01900000000001</v>
      </c>
      <c r="N45" s="143">
        <v>442.36500000000001</v>
      </c>
      <c r="O45" s="143">
        <v>431.71300000000002</v>
      </c>
      <c r="P45" s="143">
        <v>441</v>
      </c>
      <c r="Q45" s="143">
        <v>425</v>
      </c>
      <c r="R45" s="143">
        <v>294.43400000000003</v>
      </c>
      <c r="S45" s="143">
        <v>312.41800000000001</v>
      </c>
      <c r="T45" s="143">
        <v>541</v>
      </c>
      <c r="U45" s="265"/>
      <c r="W45" s="143"/>
      <c r="X45" s="143"/>
      <c r="Y45" s="143"/>
      <c r="Z45" s="143"/>
      <c r="AA45" s="136"/>
    </row>
    <row r="46" spans="2:27" ht="14.25" customHeight="1">
      <c r="B46" s="148" t="s">
        <v>190</v>
      </c>
      <c r="C46" s="197">
        <v>5.7279999999999998</v>
      </c>
      <c r="D46" s="199">
        <v>0.41599999999999998</v>
      </c>
      <c r="E46" s="199">
        <v>0.41599999999999998</v>
      </c>
      <c r="F46" s="199">
        <v>0.41599999999999998</v>
      </c>
      <c r="G46" s="199">
        <v>0.41599999999999998</v>
      </c>
      <c r="H46" s="200">
        <v>0</v>
      </c>
      <c r="I46" s="197">
        <v>23.782</v>
      </c>
      <c r="J46" s="197">
        <v>6.2949999999999999</v>
      </c>
      <c r="K46" s="197">
        <v>6.2949999999999999</v>
      </c>
      <c r="L46" s="197">
        <v>6.2949999999999999</v>
      </c>
      <c r="M46" s="197">
        <v>11.189</v>
      </c>
      <c r="N46" s="197">
        <v>0.25</v>
      </c>
      <c r="O46" s="197">
        <v>2.5000000000000001E-2</v>
      </c>
      <c r="P46" s="197">
        <v>0</v>
      </c>
      <c r="Q46" s="197">
        <v>2.5000000000000001E-2</v>
      </c>
      <c r="R46" s="197">
        <v>0.66400000000000003</v>
      </c>
      <c r="S46" s="197">
        <v>0.66400000000000003</v>
      </c>
      <c r="T46" s="197">
        <v>0</v>
      </c>
      <c r="U46" s="265"/>
      <c r="W46" s="143"/>
      <c r="X46" s="143"/>
      <c r="Y46" s="143"/>
      <c r="Z46" s="143"/>
      <c r="AA46" s="136"/>
    </row>
    <row r="47" spans="2:27" ht="14.25" customHeight="1">
      <c r="B47" s="148" t="s">
        <v>191</v>
      </c>
      <c r="C47" s="197">
        <v>115.65300000000001</v>
      </c>
      <c r="D47" s="197">
        <v>124.696</v>
      </c>
      <c r="E47" s="197">
        <v>117.69</v>
      </c>
      <c r="F47" s="198">
        <v>116.17400000000001</v>
      </c>
      <c r="G47" s="197">
        <v>88.251000000000005</v>
      </c>
      <c r="H47" s="197">
        <v>44.953000000000003</v>
      </c>
      <c r="I47" s="197">
        <v>15.019</v>
      </c>
      <c r="J47" s="200">
        <v>0</v>
      </c>
      <c r="K47" s="200">
        <v>0</v>
      </c>
      <c r="L47" s="200">
        <v>0</v>
      </c>
      <c r="M47" s="197">
        <v>58.168999999999997</v>
      </c>
      <c r="N47" s="200">
        <v>0</v>
      </c>
      <c r="O47" s="200">
        <v>0</v>
      </c>
      <c r="P47" s="200">
        <v>0</v>
      </c>
      <c r="Q47" s="200">
        <v>0</v>
      </c>
      <c r="R47" s="200">
        <v>0</v>
      </c>
      <c r="S47" s="200">
        <v>0</v>
      </c>
      <c r="T47" s="200">
        <v>0</v>
      </c>
      <c r="U47" s="265"/>
      <c r="W47" s="261"/>
      <c r="X47" s="261"/>
      <c r="Y47" s="261"/>
      <c r="Z47" s="261"/>
      <c r="AA47" s="136"/>
    </row>
    <row r="48" spans="2:27" ht="14.25" customHeight="1">
      <c r="B48" s="131" t="s">
        <v>192</v>
      </c>
      <c r="C48" s="143">
        <v>259.935</v>
      </c>
      <c r="D48" s="143">
        <v>62.472000000000001</v>
      </c>
      <c r="E48" s="143">
        <v>54.869</v>
      </c>
      <c r="F48" s="196">
        <v>52.353999999999999</v>
      </c>
      <c r="G48" s="143">
        <v>40.206000000000003</v>
      </c>
      <c r="H48" s="143">
        <v>50.973999999999997</v>
      </c>
      <c r="I48" s="143">
        <v>50.673999999999999</v>
      </c>
      <c r="J48" s="143">
        <v>41.377000000000002</v>
      </c>
      <c r="K48" s="143">
        <v>29.545000000000002</v>
      </c>
      <c r="L48" s="143">
        <v>44.496000000000002</v>
      </c>
      <c r="M48" s="143">
        <v>0</v>
      </c>
      <c r="N48" s="143">
        <v>53.534999999999997</v>
      </c>
      <c r="O48" s="143">
        <v>45.268000000000001</v>
      </c>
      <c r="P48" s="143">
        <v>63</v>
      </c>
      <c r="Q48" s="143">
        <v>74</v>
      </c>
      <c r="R48" s="143">
        <v>71.88</v>
      </c>
      <c r="S48" s="143">
        <v>58.377000000000002</v>
      </c>
      <c r="T48" s="143">
        <v>96</v>
      </c>
      <c r="U48" s="265"/>
      <c r="W48" s="143"/>
      <c r="X48" s="143"/>
      <c r="Y48" s="143"/>
      <c r="Z48" s="143"/>
      <c r="AA48" s="136"/>
    </row>
    <row r="49" spans="2:27" s="55" customFormat="1" ht="14.5" thickBot="1">
      <c r="B49" s="130" t="s">
        <v>193</v>
      </c>
      <c r="C49" s="184">
        <f>SUM(C50:C62)</f>
        <v>8391.3820000000014</v>
      </c>
      <c r="D49" s="184">
        <f t="shared" ref="D49:P49" si="11">SUM(D50:D62)</f>
        <v>7077.1779999999999</v>
      </c>
      <c r="E49" s="184">
        <f t="shared" si="11"/>
        <v>7135.0899999999992</v>
      </c>
      <c r="F49" s="184">
        <f t="shared" si="11"/>
        <v>7122.2370000000001</v>
      </c>
      <c r="G49" s="184">
        <f t="shared" si="11"/>
        <v>7118.9119999999994</v>
      </c>
      <c r="H49" s="184">
        <f t="shared" si="11"/>
        <v>6892.6933153521395</v>
      </c>
      <c r="I49" s="184">
        <f t="shared" si="11"/>
        <v>6997.2883914116564</v>
      </c>
      <c r="J49" s="184">
        <f t="shared" si="11"/>
        <v>7147.0868869189926</v>
      </c>
      <c r="K49" s="184">
        <f t="shared" si="11"/>
        <v>7518.2399091442521</v>
      </c>
      <c r="L49" s="184">
        <f>SUM(L50:L62)</f>
        <v>7871.8892241334061</v>
      </c>
      <c r="M49" s="184">
        <f t="shared" si="11"/>
        <v>7590.4471371328491</v>
      </c>
      <c r="N49" s="184">
        <f t="shared" si="11"/>
        <v>7805.7979999999998</v>
      </c>
      <c r="O49" s="184">
        <f t="shared" si="11"/>
        <v>7007.6030000000001</v>
      </c>
      <c r="P49" s="184">
        <f t="shared" si="11"/>
        <v>6883</v>
      </c>
      <c r="Q49" s="184">
        <f>SUM(Q50:Q62)</f>
        <v>6993.0640000000003</v>
      </c>
      <c r="R49" s="184">
        <f>SUM(R50:R62)</f>
        <v>7510.2439999999988</v>
      </c>
      <c r="S49" s="184">
        <f t="shared" ref="S49" si="12">SUM(S50:S62)</f>
        <v>7569.0809999999992</v>
      </c>
      <c r="T49" s="184">
        <f>SUM(T50:T62)</f>
        <v>7734</v>
      </c>
      <c r="U49" s="56"/>
      <c r="W49" s="262"/>
      <c r="X49" s="262"/>
      <c r="Y49" s="262"/>
      <c r="Z49" s="262"/>
      <c r="AA49" s="210"/>
    </row>
    <row r="50" spans="2:27" s="55" customFormat="1">
      <c r="B50" s="139" t="s">
        <v>194</v>
      </c>
      <c r="C50" s="201"/>
      <c r="D50" s="201"/>
      <c r="E50" s="201"/>
      <c r="F50" s="198"/>
      <c r="G50" s="201"/>
      <c r="H50" s="201"/>
      <c r="I50" s="201"/>
      <c r="J50" s="201"/>
      <c r="K50" s="201"/>
      <c r="L50" s="201"/>
      <c r="M50" s="201"/>
      <c r="N50" s="201"/>
      <c r="O50" s="201"/>
      <c r="P50" s="201"/>
      <c r="Q50" s="201"/>
      <c r="R50" s="201"/>
      <c r="S50" s="201"/>
      <c r="T50" s="201"/>
      <c r="W50" s="201"/>
      <c r="X50" s="201"/>
      <c r="Y50" s="201"/>
      <c r="Z50" s="201"/>
      <c r="AA50" s="210"/>
    </row>
    <row r="51" spans="2:27" s="55" customFormat="1">
      <c r="B51" s="137" t="s">
        <v>185</v>
      </c>
      <c r="C51" s="198">
        <v>6.4000000000000001E-2</v>
      </c>
      <c r="D51" s="198">
        <v>2.4169999999999998</v>
      </c>
      <c r="E51" s="198">
        <v>2.4500000000000002</v>
      </c>
      <c r="F51" s="198">
        <v>2.3940000000000001</v>
      </c>
      <c r="G51" s="198">
        <v>2.395</v>
      </c>
      <c r="H51" s="198">
        <v>2.4260000000000002</v>
      </c>
      <c r="I51" s="198">
        <v>2.371</v>
      </c>
      <c r="J51" s="202">
        <v>2.0939999999999999</v>
      </c>
      <c r="K51" s="202">
        <v>6.4000000000000001E-2</v>
      </c>
      <c r="L51" s="202">
        <v>6.4000000000000001E-2</v>
      </c>
      <c r="M51" s="202">
        <v>6.4000000000000001E-2</v>
      </c>
      <c r="N51" s="202">
        <v>6.4000000000000001E-2</v>
      </c>
      <c r="O51" s="202">
        <v>6.4000000000000001E-2</v>
      </c>
      <c r="P51" s="202">
        <v>0</v>
      </c>
      <c r="Q51" s="202">
        <v>6.4000000000000001E-2</v>
      </c>
      <c r="R51" s="202">
        <v>6.4000000000000001E-2</v>
      </c>
      <c r="S51" s="202">
        <v>6.4000000000000001E-2</v>
      </c>
      <c r="T51" s="202">
        <v>0</v>
      </c>
      <c r="U51" s="265"/>
      <c r="W51" s="263"/>
      <c r="X51" s="263"/>
      <c r="Y51" s="263"/>
      <c r="Z51" s="263"/>
      <c r="AA51" s="210"/>
    </row>
    <row r="52" spans="2:27">
      <c r="B52" s="137" t="s">
        <v>195</v>
      </c>
      <c r="C52" s="198">
        <v>0</v>
      </c>
      <c r="D52" s="198">
        <v>4.4480000000000004</v>
      </c>
      <c r="E52" s="198">
        <v>2.2229999999999999</v>
      </c>
      <c r="F52" s="198">
        <v>0</v>
      </c>
      <c r="G52" s="198">
        <v>0</v>
      </c>
      <c r="H52" s="198">
        <v>0.46876255242072512</v>
      </c>
      <c r="I52" s="198">
        <v>3.0265996973221192</v>
      </c>
      <c r="J52" s="197">
        <v>6.8383104000000019</v>
      </c>
      <c r="K52" s="197">
        <v>6.0392758875901347</v>
      </c>
      <c r="L52" s="197">
        <v>21.726525074753138</v>
      </c>
      <c r="M52" s="197">
        <v>5.9289947538143606</v>
      </c>
      <c r="N52" s="197">
        <v>864.48599999999999</v>
      </c>
      <c r="O52" s="197">
        <v>21.553000000000001</v>
      </c>
      <c r="P52" s="197">
        <v>165</v>
      </c>
      <c r="Q52" s="197">
        <v>30</v>
      </c>
      <c r="R52" s="197">
        <v>28.984999999999999</v>
      </c>
      <c r="S52" s="197">
        <v>137.28100000000001</v>
      </c>
      <c r="T52" s="197">
        <v>97</v>
      </c>
      <c r="U52" s="265"/>
      <c r="W52" s="143"/>
      <c r="X52" s="143"/>
      <c r="Y52" s="143"/>
      <c r="Z52" s="143"/>
      <c r="AA52" s="136"/>
    </row>
    <row r="53" spans="2:27">
      <c r="B53" s="101" t="s">
        <v>191</v>
      </c>
      <c r="C53" s="198">
        <v>77.141000000000005</v>
      </c>
      <c r="D53" s="198">
        <v>55.706000000000003</v>
      </c>
      <c r="E53" s="198">
        <v>27.641999999999999</v>
      </c>
      <c r="F53" s="198">
        <v>0</v>
      </c>
      <c r="G53" s="198">
        <v>0</v>
      </c>
      <c r="H53" s="198">
        <v>0</v>
      </c>
      <c r="I53" s="198">
        <v>0</v>
      </c>
      <c r="J53" s="198">
        <v>0</v>
      </c>
      <c r="K53" s="198">
        <v>0</v>
      </c>
      <c r="L53" s="198">
        <v>0</v>
      </c>
      <c r="M53" s="198">
        <v>0</v>
      </c>
      <c r="N53" s="198">
        <v>0</v>
      </c>
      <c r="O53" s="198">
        <v>0</v>
      </c>
      <c r="P53" s="198">
        <v>0</v>
      </c>
      <c r="Q53" s="198"/>
      <c r="R53" s="198">
        <v>0</v>
      </c>
      <c r="S53" s="198">
        <v>0</v>
      </c>
      <c r="T53" s="198">
        <v>0</v>
      </c>
      <c r="U53" s="265"/>
      <c r="W53" s="196"/>
      <c r="X53" s="196"/>
      <c r="Y53" s="196"/>
      <c r="Z53" s="196"/>
      <c r="AA53" s="136"/>
    </row>
    <row r="54" spans="2:27" s="55" customFormat="1">
      <c r="B54" s="102" t="s">
        <v>189</v>
      </c>
      <c r="C54" s="198">
        <v>564.80799999999999</v>
      </c>
      <c r="D54" s="198">
        <v>537.19899999999996</v>
      </c>
      <c r="E54" s="198">
        <v>602.77300000000002</v>
      </c>
      <c r="F54" s="198">
        <v>656.18700000000001</v>
      </c>
      <c r="G54" s="198">
        <v>667.51300000000003</v>
      </c>
      <c r="H54" s="198">
        <v>639.029</v>
      </c>
      <c r="I54" s="198">
        <v>687.12800000000004</v>
      </c>
      <c r="J54" s="202">
        <v>737.34</v>
      </c>
      <c r="K54" s="202">
        <v>763.45399999999995</v>
      </c>
      <c r="L54" s="202">
        <v>1170.0709999999999</v>
      </c>
      <c r="M54" s="202">
        <v>1109.4580000000001</v>
      </c>
      <c r="N54" s="202">
        <v>848.125</v>
      </c>
      <c r="O54" s="202">
        <v>814.21199999999999</v>
      </c>
      <c r="P54" s="202">
        <v>779</v>
      </c>
      <c r="Q54" s="202">
        <v>764</v>
      </c>
      <c r="R54" s="202">
        <v>685.46500000000003</v>
      </c>
      <c r="S54" s="202">
        <v>691.69</v>
      </c>
      <c r="T54" s="202">
        <v>586</v>
      </c>
      <c r="U54" s="265"/>
      <c r="W54" s="263"/>
      <c r="X54" s="263"/>
      <c r="Y54" s="263"/>
      <c r="Z54" s="263"/>
      <c r="AA54" s="210"/>
    </row>
    <row r="55" spans="2:27">
      <c r="B55" s="135" t="s">
        <v>196</v>
      </c>
      <c r="C55" s="198">
        <v>827.83600000000001</v>
      </c>
      <c r="D55" s="198">
        <v>830.30799999999999</v>
      </c>
      <c r="E55" s="198">
        <v>867.971</v>
      </c>
      <c r="F55" s="198">
        <v>781.71</v>
      </c>
      <c r="G55" s="198">
        <v>790.27700000000004</v>
      </c>
      <c r="H55" s="198">
        <v>628.37855279971859</v>
      </c>
      <c r="I55" s="198">
        <v>710.90479171433265</v>
      </c>
      <c r="J55" s="143">
        <v>805.55957651899269</v>
      </c>
      <c r="K55" s="143">
        <v>988.05163325666229</v>
      </c>
      <c r="L55" s="143">
        <v>1087.3286990586528</v>
      </c>
      <c r="M55" s="143">
        <v>891.64714237903434</v>
      </c>
      <c r="N55" s="143">
        <v>175.768</v>
      </c>
      <c r="O55" s="143">
        <v>316.20499999999998</v>
      </c>
      <c r="P55" s="143">
        <v>50</v>
      </c>
      <c r="Q55" s="143">
        <v>247</v>
      </c>
      <c r="R55" s="143">
        <v>253.94300000000001</v>
      </c>
      <c r="S55" s="143">
        <v>24.138000000000002</v>
      </c>
      <c r="T55" s="143">
        <v>145</v>
      </c>
      <c r="U55" s="265"/>
      <c r="W55" s="143"/>
      <c r="X55" s="143"/>
      <c r="Y55" s="143"/>
      <c r="Z55" s="143"/>
      <c r="AA55" s="136"/>
    </row>
    <row r="56" spans="2:27">
      <c r="B56" s="137" t="s">
        <v>197</v>
      </c>
      <c r="C56" s="198">
        <v>1222.0740000000001</v>
      </c>
      <c r="D56" s="198">
        <v>0.92300000000000004</v>
      </c>
      <c r="E56" s="198">
        <v>0.92300000000000004</v>
      </c>
      <c r="F56" s="198">
        <v>0.52900000000000003</v>
      </c>
      <c r="G56" s="198">
        <v>0.52900000000000003</v>
      </c>
      <c r="H56" s="198">
        <v>22.478999999999999</v>
      </c>
      <c r="I56" s="198">
        <v>27.79</v>
      </c>
      <c r="J56" s="197">
        <v>28.042999999999999</v>
      </c>
      <c r="K56" s="197">
        <v>28.120999999999999</v>
      </c>
      <c r="L56" s="197">
        <v>17.25</v>
      </c>
      <c r="M56" s="197">
        <v>17.329999999999998</v>
      </c>
      <c r="N56" s="197">
        <v>16.913</v>
      </c>
      <c r="O56" s="197">
        <v>16.562999999999999</v>
      </c>
      <c r="P56" s="197">
        <v>12</v>
      </c>
      <c r="Q56" s="197">
        <v>56</v>
      </c>
      <c r="R56" s="197">
        <v>57.323</v>
      </c>
      <c r="S56" s="197">
        <v>59.726999999999997</v>
      </c>
      <c r="T56" s="197">
        <v>57</v>
      </c>
      <c r="U56" s="265"/>
      <c r="W56" s="143"/>
      <c r="X56" s="143"/>
      <c r="Y56" s="143"/>
      <c r="Z56" s="143"/>
      <c r="AA56" s="136"/>
    </row>
    <row r="57" spans="2:27">
      <c r="B57" s="101" t="s">
        <v>198</v>
      </c>
      <c r="C57" s="198">
        <v>119.617</v>
      </c>
      <c r="D57" s="198">
        <v>119.788</v>
      </c>
      <c r="E57" s="198">
        <v>120.10599999999999</v>
      </c>
      <c r="F57" s="198">
        <v>128.107</v>
      </c>
      <c r="G57" s="198">
        <v>128.65600000000001</v>
      </c>
      <c r="H57" s="198">
        <v>136.136</v>
      </c>
      <c r="I57" s="198">
        <v>120.468</v>
      </c>
      <c r="J57" s="143">
        <v>115.259</v>
      </c>
      <c r="K57" s="143">
        <v>111.824</v>
      </c>
      <c r="L57" s="143">
        <v>15.516999999999999</v>
      </c>
      <c r="M57" s="143">
        <v>15.606999999999999</v>
      </c>
      <c r="N57" s="143">
        <v>15.141</v>
      </c>
      <c r="O57" s="143">
        <v>15.163</v>
      </c>
      <c r="P57" s="143">
        <v>16</v>
      </c>
      <c r="Q57" s="143">
        <v>17</v>
      </c>
      <c r="R57" s="143">
        <v>16.655999999999999</v>
      </c>
      <c r="S57" s="143">
        <v>16.917000000000002</v>
      </c>
      <c r="T57" s="143">
        <v>18</v>
      </c>
      <c r="U57" s="265"/>
      <c r="W57" s="143"/>
      <c r="X57" s="143"/>
      <c r="Y57" s="143"/>
      <c r="Z57" s="143"/>
      <c r="AA57" s="136"/>
    </row>
    <row r="58" spans="2:27">
      <c r="B58" s="102" t="s">
        <v>192</v>
      </c>
      <c r="C58" s="198">
        <v>36.222000000000001</v>
      </c>
      <c r="D58" s="198">
        <v>27.684999999999999</v>
      </c>
      <c r="E58" s="198">
        <v>25.978999999999999</v>
      </c>
      <c r="F58" s="198">
        <v>21.827000000000002</v>
      </c>
      <c r="G58" s="198">
        <v>21.529</v>
      </c>
      <c r="H58" s="198">
        <v>20.126000000000001</v>
      </c>
      <c r="I58" s="198">
        <v>14.43</v>
      </c>
      <c r="J58" s="197">
        <v>17.715</v>
      </c>
      <c r="K58" s="197">
        <v>29.885999999999999</v>
      </c>
      <c r="L58" s="197">
        <v>25.091999999999999</v>
      </c>
      <c r="M58" s="197">
        <v>20.041</v>
      </c>
      <c r="N58" s="197">
        <v>33.527999999999999</v>
      </c>
      <c r="O58" s="197">
        <v>17.138999999999999</v>
      </c>
      <c r="P58" s="197">
        <v>10</v>
      </c>
      <c r="Q58" s="197">
        <v>6</v>
      </c>
      <c r="R58" s="197">
        <v>69.768000000000001</v>
      </c>
      <c r="S58" s="197">
        <v>53.881999999999998</v>
      </c>
      <c r="T58" s="197">
        <v>51</v>
      </c>
      <c r="U58" s="265"/>
      <c r="W58" s="143"/>
      <c r="X58" s="143"/>
      <c r="Y58" s="143"/>
      <c r="Z58" s="143"/>
      <c r="AA58" s="136"/>
    </row>
    <row r="59" spans="2:27">
      <c r="B59" s="142" t="s">
        <v>199</v>
      </c>
      <c r="C59" s="198">
        <v>219.58199999999999</v>
      </c>
      <c r="D59" s="198">
        <v>204.904</v>
      </c>
      <c r="E59" s="198">
        <v>196.578</v>
      </c>
      <c r="F59" s="198">
        <v>196.87899999999999</v>
      </c>
      <c r="G59" s="198">
        <v>196.52799999999999</v>
      </c>
      <c r="H59" s="198">
        <v>201.52</v>
      </c>
      <c r="I59" s="198">
        <v>203.48099999999999</v>
      </c>
      <c r="J59" s="203">
        <v>205.08099999999999</v>
      </c>
      <c r="K59" s="203">
        <v>178.83600000000001</v>
      </c>
      <c r="L59" s="203">
        <v>186.608</v>
      </c>
      <c r="M59" s="203">
        <v>184.94300000000001</v>
      </c>
      <c r="N59" s="203">
        <v>198.774</v>
      </c>
      <c r="O59" s="203">
        <v>174.85300000000001</v>
      </c>
      <c r="P59" s="203">
        <v>198</v>
      </c>
      <c r="Q59" s="203">
        <v>176</v>
      </c>
      <c r="R59" s="203">
        <v>204.97200000000001</v>
      </c>
      <c r="S59" s="203">
        <v>234.29599999999999</v>
      </c>
      <c r="T59" s="203">
        <v>216</v>
      </c>
      <c r="U59" s="265"/>
      <c r="W59" s="143"/>
      <c r="X59" s="143"/>
      <c r="Y59" s="143"/>
      <c r="Z59" s="143"/>
      <c r="AA59" s="136"/>
    </row>
    <row r="60" spans="2:27">
      <c r="B60" s="147" t="s">
        <v>200</v>
      </c>
      <c r="C60" s="198">
        <v>4785.9179999999997</v>
      </c>
      <c r="D60" s="198">
        <v>4758.3649999999998</v>
      </c>
      <c r="E60" s="198">
        <v>4755.5379999999996</v>
      </c>
      <c r="F60" s="198">
        <v>4800.2650000000003</v>
      </c>
      <c r="G60" s="198">
        <v>4751.8620000000001</v>
      </c>
      <c r="H60" s="198">
        <v>4721.2910000000002</v>
      </c>
      <c r="I60" s="198">
        <v>4714.0730000000003</v>
      </c>
      <c r="J60" s="203">
        <v>4722.1130000000003</v>
      </c>
      <c r="K60" s="203">
        <v>4903.518</v>
      </c>
      <c r="L60" s="203">
        <v>4847.6120000000001</v>
      </c>
      <c r="M60" s="203">
        <v>4800.018</v>
      </c>
      <c r="N60" s="203">
        <v>5106.4960000000001</v>
      </c>
      <c r="O60" s="203">
        <v>4937.7849999999999</v>
      </c>
      <c r="P60" s="203">
        <v>4943</v>
      </c>
      <c r="Q60" s="203">
        <v>4991</v>
      </c>
      <c r="R60" s="203">
        <v>5152.0079999999998</v>
      </c>
      <c r="S60" s="203">
        <v>5215.1149999999998</v>
      </c>
      <c r="T60" s="203">
        <v>5442</v>
      </c>
      <c r="U60" s="265"/>
      <c r="W60" s="143"/>
      <c r="X60" s="143"/>
      <c r="Y60" s="143"/>
      <c r="Z60" s="143"/>
      <c r="AA60" s="136"/>
    </row>
    <row r="61" spans="2:27">
      <c r="B61" s="148" t="s">
        <v>201</v>
      </c>
      <c r="C61" s="198">
        <v>538.12</v>
      </c>
      <c r="D61" s="198">
        <v>535.43499999999995</v>
      </c>
      <c r="E61" s="198">
        <v>532.90700000000004</v>
      </c>
      <c r="F61" s="198">
        <v>534.33900000000006</v>
      </c>
      <c r="G61" s="198">
        <v>536.35699999999997</v>
      </c>
      <c r="H61" s="198">
        <v>500.96100000000001</v>
      </c>
      <c r="I61" s="198">
        <v>496.42200000000003</v>
      </c>
      <c r="J61" s="197">
        <v>491.738</v>
      </c>
      <c r="K61" s="197">
        <v>493.30500000000001</v>
      </c>
      <c r="L61" s="197">
        <v>487.90199999999999</v>
      </c>
      <c r="M61" s="197">
        <v>533.27200000000005</v>
      </c>
      <c r="N61" s="197">
        <v>531.26300000000003</v>
      </c>
      <c r="O61" s="197">
        <v>674.02200000000005</v>
      </c>
      <c r="P61" s="197">
        <v>668</v>
      </c>
      <c r="Q61" s="197">
        <v>659</v>
      </c>
      <c r="R61" s="197">
        <v>997.923</v>
      </c>
      <c r="S61" s="197">
        <v>1096.172</v>
      </c>
      <c r="T61" s="197">
        <v>1083</v>
      </c>
      <c r="U61" s="265"/>
      <c r="W61" s="143"/>
      <c r="X61" s="143"/>
      <c r="Y61" s="143"/>
      <c r="Z61" s="143"/>
      <c r="AA61" s="136"/>
    </row>
    <row r="62" spans="2:27">
      <c r="B62" s="139" t="s">
        <v>202</v>
      </c>
      <c r="C62" s="198">
        <v>0</v>
      </c>
      <c r="D62" s="198">
        <v>0</v>
      </c>
      <c r="E62" s="198">
        <v>0</v>
      </c>
      <c r="F62" s="198">
        <v>0</v>
      </c>
      <c r="G62" s="198">
        <v>23.265999999999998</v>
      </c>
      <c r="H62" s="198">
        <v>19.878</v>
      </c>
      <c r="I62" s="198">
        <v>17.193999999999999</v>
      </c>
      <c r="J62" s="143">
        <v>15.305999999999999</v>
      </c>
      <c r="K62" s="143">
        <v>15.141</v>
      </c>
      <c r="L62" s="143">
        <v>12.718</v>
      </c>
      <c r="M62" s="143">
        <v>12.138</v>
      </c>
      <c r="N62" s="143">
        <v>15.24</v>
      </c>
      <c r="O62" s="143">
        <v>20.044</v>
      </c>
      <c r="P62" s="143">
        <v>42</v>
      </c>
      <c r="Q62" s="143">
        <v>47</v>
      </c>
      <c r="R62" s="143">
        <v>43.137</v>
      </c>
      <c r="S62" s="143">
        <v>39.798999999999999</v>
      </c>
      <c r="T62" s="143">
        <v>39</v>
      </c>
      <c r="U62" s="265"/>
      <c r="W62" s="143"/>
      <c r="X62" s="143"/>
      <c r="Y62" s="143"/>
      <c r="Z62" s="143"/>
      <c r="AA62" s="136"/>
    </row>
    <row r="63" spans="2:27" s="55" customFormat="1" ht="14.5" thickBot="1">
      <c r="B63" s="146" t="s">
        <v>203</v>
      </c>
      <c r="C63" s="184">
        <f>SUM(C49,C39)</f>
        <v>11223.437000000002</v>
      </c>
      <c r="D63" s="184">
        <f t="shared" ref="D63:P63" si="13">SUM(D49,D39)</f>
        <v>9732.1370000000006</v>
      </c>
      <c r="E63" s="184">
        <f>SUM(E49,E39)</f>
        <v>9781.4919999999984</v>
      </c>
      <c r="F63" s="184">
        <f>SUM(F49,F39)</f>
        <v>9703.6550000000007</v>
      </c>
      <c r="G63" s="184">
        <f t="shared" si="13"/>
        <v>9575.6569999999992</v>
      </c>
      <c r="H63" s="184">
        <f t="shared" si="13"/>
        <v>9674.8998817060128</v>
      </c>
      <c r="I63" s="184">
        <f t="shared" si="13"/>
        <v>9703.6654095961421</v>
      </c>
      <c r="J63" s="184">
        <f t="shared" si="13"/>
        <v>9816.3158869189938</v>
      </c>
      <c r="K63" s="184">
        <f t="shared" si="13"/>
        <v>10610.285909144251</v>
      </c>
      <c r="L63" s="184">
        <f>SUM(L49,L39)</f>
        <v>10652.629224133405</v>
      </c>
      <c r="M63" s="184">
        <f t="shared" si="13"/>
        <v>10682.171137132849</v>
      </c>
      <c r="N63" s="184">
        <f t="shared" si="13"/>
        <v>11211.169999999998</v>
      </c>
      <c r="O63" s="184">
        <f t="shared" si="13"/>
        <v>10241.477000000001</v>
      </c>
      <c r="P63" s="184">
        <f t="shared" si="13"/>
        <v>10504</v>
      </c>
      <c r="Q63" s="184">
        <f>SUM(Q49,Q39)</f>
        <v>11290.089</v>
      </c>
      <c r="R63" s="184">
        <f>SUM(R49,R39)</f>
        <v>11965.226999999999</v>
      </c>
      <c r="S63" s="184">
        <f t="shared" ref="S63:T63" si="14">SUM(S49,S39)</f>
        <v>11896.356</v>
      </c>
      <c r="T63" s="184">
        <f t="shared" si="14"/>
        <v>12240</v>
      </c>
      <c r="U63" s="56"/>
      <c r="W63" s="262"/>
      <c r="X63" s="262"/>
      <c r="Y63" s="262"/>
      <c r="Z63" s="262"/>
      <c r="AA63" s="210"/>
    </row>
    <row r="64" spans="2:27">
      <c r="B64" s="144"/>
      <c r="C64" s="132"/>
      <c r="D64" s="132"/>
      <c r="E64" s="132"/>
      <c r="F64" s="132"/>
      <c r="G64" s="132"/>
      <c r="H64" s="132"/>
      <c r="I64" s="132"/>
      <c r="J64" s="132"/>
      <c r="K64" s="132"/>
      <c r="L64" s="132"/>
      <c r="M64" s="132"/>
      <c r="N64" s="132"/>
      <c r="O64" s="132"/>
      <c r="P64" s="132"/>
      <c r="Q64" s="132"/>
      <c r="R64" s="132"/>
      <c r="S64" s="132"/>
      <c r="T64" s="132"/>
      <c r="W64" s="132"/>
      <c r="X64" s="132"/>
      <c r="Y64" s="132"/>
      <c r="Z64" s="132"/>
      <c r="AA64" s="136"/>
    </row>
    <row r="65" spans="2:27">
      <c r="B65" s="140"/>
      <c r="C65" s="132"/>
      <c r="D65" s="132"/>
      <c r="E65" s="132"/>
      <c r="F65" s="132"/>
      <c r="G65" s="132"/>
      <c r="H65" s="132"/>
      <c r="I65" s="132"/>
      <c r="J65" s="132"/>
      <c r="K65" s="132"/>
      <c r="L65" s="132"/>
      <c r="M65" s="132"/>
      <c r="N65" s="132"/>
      <c r="O65" s="132"/>
      <c r="P65" s="132"/>
      <c r="Q65" s="132"/>
      <c r="R65" s="132"/>
      <c r="S65" s="132"/>
      <c r="T65" s="132"/>
      <c r="W65" s="132"/>
      <c r="X65" s="132"/>
      <c r="Y65" s="132"/>
      <c r="Z65" s="132"/>
      <c r="AA65" s="136"/>
    </row>
    <row r="66" spans="2:27" ht="14.5" thickBot="1">
      <c r="B66" s="130" t="s">
        <v>204</v>
      </c>
      <c r="C66" s="183">
        <f>SUM(C67:C80)</f>
        <v>1427.873</v>
      </c>
      <c r="D66" s="183">
        <f>SUM(D67:D80)</f>
        <v>1493.3719999999998</v>
      </c>
      <c r="E66" s="183">
        <f t="shared" ref="E66:P66" si="15">SUM(E67:E80)</f>
        <v>1506.248</v>
      </c>
      <c r="F66" s="183">
        <f t="shared" si="15"/>
        <v>1332.4649999999999</v>
      </c>
      <c r="G66" s="183">
        <f t="shared" si="15"/>
        <v>1218.8489999999999</v>
      </c>
      <c r="H66" s="183">
        <f t="shared" si="15"/>
        <v>1401.3614659621855</v>
      </c>
      <c r="I66" s="183">
        <f t="shared" si="15"/>
        <v>1389.9093766210444</v>
      </c>
      <c r="J66" s="183">
        <f t="shared" si="15"/>
        <v>1233.8945746135075</v>
      </c>
      <c r="K66" s="183">
        <f t="shared" si="15"/>
        <v>1624.2482467242435</v>
      </c>
      <c r="L66" s="183">
        <f t="shared" si="15"/>
        <v>1547.5579460457982</v>
      </c>
      <c r="M66" s="183">
        <f t="shared" si="15"/>
        <v>1749.6914815602122</v>
      </c>
      <c r="N66" s="183">
        <f t="shared" si="15"/>
        <v>1990.6629999999998</v>
      </c>
      <c r="O66" s="183">
        <f t="shared" si="15"/>
        <v>2262.6780000000008</v>
      </c>
      <c r="P66" s="183">
        <f t="shared" si="15"/>
        <v>2232</v>
      </c>
      <c r="Q66" s="183">
        <f>SUM(Q67:Q80)</f>
        <v>2329</v>
      </c>
      <c r="R66" s="183">
        <f>SUM(R67:R80)</f>
        <v>2159.634</v>
      </c>
      <c r="S66" s="183">
        <f t="shared" ref="S66:T66" si="16">SUM(S67:S80)</f>
        <v>1778.6399999999999</v>
      </c>
      <c r="T66" s="183">
        <f t="shared" si="16"/>
        <v>1754</v>
      </c>
      <c r="U66" s="265"/>
      <c r="W66" s="204"/>
      <c r="X66" s="204"/>
      <c r="Y66" s="204"/>
      <c r="Z66" s="204"/>
      <c r="AA66" s="136"/>
    </row>
    <row r="67" spans="2:27">
      <c r="B67" s="73" t="s">
        <v>205</v>
      </c>
      <c r="C67" s="132">
        <v>238.93799999999999</v>
      </c>
      <c r="D67" s="132">
        <v>193.37700000000001</v>
      </c>
      <c r="E67" s="132">
        <v>163.18899999999999</v>
      </c>
      <c r="F67" s="132">
        <v>118.095</v>
      </c>
      <c r="G67" s="132">
        <v>135.06100000000001</v>
      </c>
      <c r="H67" s="132">
        <v>124.26902001798319</v>
      </c>
      <c r="I67" s="132">
        <v>144.9937248166915</v>
      </c>
      <c r="J67" s="132">
        <v>126.56036483350766</v>
      </c>
      <c r="K67" s="132">
        <v>158.99118751278539</v>
      </c>
      <c r="L67" s="132">
        <v>127.53195661799795</v>
      </c>
      <c r="M67" s="132">
        <v>161.8117794433341</v>
      </c>
      <c r="N67" s="132">
        <v>63.838999999999999</v>
      </c>
      <c r="O67" s="132">
        <v>89.61</v>
      </c>
      <c r="P67" s="132">
        <v>60</v>
      </c>
      <c r="Q67" s="132">
        <v>87</v>
      </c>
      <c r="R67" s="132">
        <v>69.382999999999996</v>
      </c>
      <c r="S67" s="132">
        <v>92.506</v>
      </c>
      <c r="T67" s="132">
        <v>68</v>
      </c>
      <c r="U67" s="265"/>
      <c r="W67" s="132"/>
      <c r="X67" s="132"/>
      <c r="Y67" s="132"/>
      <c r="Z67" s="132"/>
      <c r="AA67" s="136"/>
    </row>
    <row r="68" spans="2:27">
      <c r="B68" s="76" t="s">
        <v>195</v>
      </c>
      <c r="C68" s="149">
        <v>13.459</v>
      </c>
      <c r="D68" s="149">
        <v>180.791</v>
      </c>
      <c r="E68" s="149">
        <v>163.62</v>
      </c>
      <c r="F68" s="149">
        <v>57.786000000000001</v>
      </c>
      <c r="G68" s="149">
        <v>24.167999999999999</v>
      </c>
      <c r="H68" s="149">
        <v>0.39244594420231987</v>
      </c>
      <c r="I68" s="149">
        <v>5.2436518043528721</v>
      </c>
      <c r="J68" s="149">
        <v>17.986209779999999</v>
      </c>
      <c r="K68" s="149">
        <v>245.24705921145792</v>
      </c>
      <c r="L68" s="149">
        <v>284.15198942780034</v>
      </c>
      <c r="M68" s="149">
        <v>336.27670211687837</v>
      </c>
      <c r="N68" s="149">
        <v>398.78199999999998</v>
      </c>
      <c r="O68" s="149">
        <v>594.61400000000003</v>
      </c>
      <c r="P68" s="149">
        <v>527</v>
      </c>
      <c r="Q68" s="149">
        <v>552</v>
      </c>
      <c r="R68" s="149">
        <v>231.28899999999999</v>
      </c>
      <c r="S68" s="149">
        <v>122.902</v>
      </c>
      <c r="T68" s="149">
        <v>4</v>
      </c>
      <c r="U68" s="265"/>
      <c r="W68" s="132"/>
      <c r="X68" s="132"/>
      <c r="Y68" s="132"/>
      <c r="Z68" s="132"/>
      <c r="AA68" s="136"/>
    </row>
    <row r="69" spans="2:27">
      <c r="B69" s="73" t="s">
        <v>206</v>
      </c>
      <c r="C69" s="204">
        <v>0</v>
      </c>
      <c r="D69" s="204">
        <v>0</v>
      </c>
      <c r="E69" s="204">
        <v>0</v>
      </c>
      <c r="F69" s="204">
        <v>0</v>
      </c>
      <c r="G69" s="132">
        <v>11.413</v>
      </c>
      <c r="H69" s="132">
        <v>11.202</v>
      </c>
      <c r="I69" s="132">
        <v>7.7060000000000004</v>
      </c>
      <c r="J69" s="132">
        <v>9.2769999999999992</v>
      </c>
      <c r="K69" s="132">
        <v>7.7930000000000001</v>
      </c>
      <c r="L69" s="132">
        <v>6.2190000000000003</v>
      </c>
      <c r="M69" s="132">
        <v>6.5570000000000004</v>
      </c>
      <c r="N69" s="132">
        <v>8.8049999999999997</v>
      </c>
      <c r="O69" s="132">
        <v>10.862</v>
      </c>
      <c r="P69" s="132">
        <v>23</v>
      </c>
      <c r="Q69" s="132">
        <v>25</v>
      </c>
      <c r="R69" s="132">
        <v>27.126000000000001</v>
      </c>
      <c r="S69" s="132">
        <v>27.766999999999999</v>
      </c>
      <c r="T69" s="132">
        <v>25</v>
      </c>
      <c r="U69" s="265"/>
      <c r="W69" s="132"/>
      <c r="X69" s="132"/>
      <c r="Y69" s="132"/>
      <c r="Z69" s="132"/>
      <c r="AA69" s="136"/>
    </row>
    <row r="70" spans="2:27">
      <c r="B70" s="76" t="s">
        <v>207</v>
      </c>
      <c r="C70" s="149">
        <v>44.372</v>
      </c>
      <c r="D70" s="149">
        <v>28.062000000000001</v>
      </c>
      <c r="E70" s="149">
        <v>158.61799999999999</v>
      </c>
      <c r="F70" s="149">
        <v>256.64499999999998</v>
      </c>
      <c r="G70" s="149">
        <v>260.55500000000001</v>
      </c>
      <c r="H70" s="149">
        <v>387.101</v>
      </c>
      <c r="I70" s="149">
        <v>360.32799999999997</v>
      </c>
      <c r="J70" s="149">
        <v>335.13</v>
      </c>
      <c r="K70" s="149">
        <v>416.798</v>
      </c>
      <c r="L70" s="149">
        <v>347.41199999999998</v>
      </c>
      <c r="M70" s="149">
        <v>412.73500000000001</v>
      </c>
      <c r="N70" s="149">
        <v>594.58100000000002</v>
      </c>
      <c r="O70" s="149">
        <v>589.87900000000002</v>
      </c>
      <c r="P70" s="149">
        <v>614</v>
      </c>
      <c r="Q70" s="149">
        <v>387</v>
      </c>
      <c r="R70" s="149">
        <v>558.01700000000005</v>
      </c>
      <c r="S70" s="149">
        <v>272.87900000000002</v>
      </c>
      <c r="T70" s="149">
        <v>109</v>
      </c>
      <c r="U70" s="265"/>
      <c r="W70" s="132"/>
      <c r="X70" s="132"/>
      <c r="Y70" s="132"/>
      <c r="Z70" s="132"/>
      <c r="AA70" s="136"/>
    </row>
    <row r="71" spans="2:27">
      <c r="B71" s="73" t="s">
        <v>208</v>
      </c>
      <c r="C71" s="132">
        <v>454.84100000000001</v>
      </c>
      <c r="D71" s="132">
        <v>564.04399999999998</v>
      </c>
      <c r="E71" s="132">
        <v>533.87199999999996</v>
      </c>
      <c r="F71" s="132">
        <v>390.81599999999997</v>
      </c>
      <c r="G71" s="132">
        <v>396.88499999999999</v>
      </c>
      <c r="H71" s="132">
        <v>423.47500000000002</v>
      </c>
      <c r="I71" s="132">
        <v>424.26799999999997</v>
      </c>
      <c r="J71" s="132">
        <v>407.21499999999997</v>
      </c>
      <c r="K71" s="132">
        <v>518.76700000000005</v>
      </c>
      <c r="L71" s="132">
        <v>442.89100000000002</v>
      </c>
      <c r="M71" s="132">
        <v>460.11799999999999</v>
      </c>
      <c r="N71" s="132">
        <v>425.95100000000002</v>
      </c>
      <c r="O71" s="132">
        <v>511.291</v>
      </c>
      <c r="P71" s="132">
        <v>523</v>
      </c>
      <c r="Q71" s="132">
        <v>640</v>
      </c>
      <c r="R71" s="132">
        <v>655.62599999999998</v>
      </c>
      <c r="S71" s="132">
        <v>646.98299999999995</v>
      </c>
      <c r="T71" s="132">
        <v>748</v>
      </c>
      <c r="U71" s="265"/>
      <c r="W71" s="132"/>
      <c r="X71" s="132"/>
      <c r="Y71" s="132"/>
      <c r="Z71" s="132"/>
      <c r="AA71" s="136"/>
    </row>
    <row r="72" spans="2:27">
      <c r="B72" s="76" t="s">
        <v>209</v>
      </c>
      <c r="C72" s="149">
        <v>82.474999999999994</v>
      </c>
      <c r="D72" s="149">
        <v>100.065</v>
      </c>
      <c r="E72" s="149">
        <v>126.708</v>
      </c>
      <c r="F72" s="149">
        <v>118.724</v>
      </c>
      <c r="G72" s="149">
        <v>82.093999999999994</v>
      </c>
      <c r="H72" s="149">
        <v>102.691</v>
      </c>
      <c r="I72" s="149">
        <v>124.592</v>
      </c>
      <c r="J72" s="149">
        <v>123.054</v>
      </c>
      <c r="K72" s="149">
        <v>94.290999999999997</v>
      </c>
      <c r="L72" s="149">
        <v>141.66900000000001</v>
      </c>
      <c r="M72" s="149">
        <v>155.59200000000001</v>
      </c>
      <c r="N72" s="149">
        <v>175.666</v>
      </c>
      <c r="O72" s="149">
        <v>110.849</v>
      </c>
      <c r="P72" s="149">
        <v>131</v>
      </c>
      <c r="Q72" s="149">
        <v>161</v>
      </c>
      <c r="R72" s="149">
        <v>162.24299999999999</v>
      </c>
      <c r="S72" s="149">
        <v>120.797</v>
      </c>
      <c r="T72" s="149">
        <v>143</v>
      </c>
      <c r="U72" s="265"/>
      <c r="W72" s="132"/>
      <c r="X72" s="132"/>
      <c r="Y72" s="132"/>
      <c r="Z72" s="132"/>
      <c r="AA72" s="136"/>
    </row>
    <row r="73" spans="2:27">
      <c r="B73" s="73" t="s">
        <v>210</v>
      </c>
      <c r="C73" s="132">
        <v>24.885000000000002</v>
      </c>
      <c r="D73" s="132">
        <v>45.412999999999997</v>
      </c>
      <c r="E73" s="132">
        <v>31.765999999999998</v>
      </c>
      <c r="F73" s="132">
        <v>32.335999999999999</v>
      </c>
      <c r="G73" s="132">
        <v>25.975999999999999</v>
      </c>
      <c r="H73" s="132">
        <v>32.475000000000001</v>
      </c>
      <c r="I73" s="132">
        <v>42.601999999999997</v>
      </c>
      <c r="J73" s="132">
        <v>41.926000000000002</v>
      </c>
      <c r="K73" s="132">
        <v>33.655000000000001</v>
      </c>
      <c r="L73" s="132">
        <v>44.085999999999999</v>
      </c>
      <c r="M73" s="132">
        <v>65.549000000000007</v>
      </c>
      <c r="N73" s="132">
        <v>74.165999999999997</v>
      </c>
      <c r="O73" s="132">
        <v>37.198</v>
      </c>
      <c r="P73" s="132">
        <v>79</v>
      </c>
      <c r="Q73" s="132">
        <v>158</v>
      </c>
      <c r="R73" s="132">
        <v>78.275000000000006</v>
      </c>
      <c r="S73" s="132">
        <v>114.28700000000001</v>
      </c>
      <c r="T73" s="132">
        <v>222</v>
      </c>
      <c r="U73" s="265"/>
      <c r="W73" s="132"/>
      <c r="X73" s="132"/>
      <c r="Y73" s="132"/>
      <c r="Z73" s="132"/>
      <c r="AA73" s="136"/>
    </row>
    <row r="74" spans="2:27">
      <c r="B74" s="76" t="s">
        <v>211</v>
      </c>
      <c r="C74" s="149">
        <v>239.203</v>
      </c>
      <c r="D74" s="149">
        <v>50.499000000000002</v>
      </c>
      <c r="E74" s="149">
        <v>24.135000000000002</v>
      </c>
      <c r="F74" s="149">
        <v>29.048999999999999</v>
      </c>
      <c r="G74" s="149">
        <v>33.161999999999999</v>
      </c>
      <c r="H74" s="149">
        <v>40.073</v>
      </c>
      <c r="I74" s="149">
        <v>37.033999999999999</v>
      </c>
      <c r="J74" s="149">
        <v>20.413</v>
      </c>
      <c r="K74" s="149">
        <v>24.975999999999999</v>
      </c>
      <c r="L74" s="149">
        <v>34.151000000000003</v>
      </c>
      <c r="M74" s="149">
        <v>23.337</v>
      </c>
      <c r="N74" s="149">
        <v>31.861999999999998</v>
      </c>
      <c r="O74" s="149">
        <v>42.584000000000003</v>
      </c>
      <c r="P74" s="149">
        <v>45</v>
      </c>
      <c r="Q74" s="149">
        <v>71</v>
      </c>
      <c r="R74" s="149">
        <v>47.662999999999997</v>
      </c>
      <c r="S74" s="149">
        <v>52.831000000000003</v>
      </c>
      <c r="T74" s="149">
        <v>59</v>
      </c>
      <c r="U74" s="265"/>
      <c r="W74" s="132"/>
      <c r="X74" s="132"/>
      <c r="Y74" s="132"/>
      <c r="Z74" s="132"/>
      <c r="AA74" s="136"/>
    </row>
    <row r="75" spans="2:27">
      <c r="B75" s="73" t="s">
        <v>212</v>
      </c>
      <c r="C75" s="132">
        <v>12.797000000000001</v>
      </c>
      <c r="D75" s="132">
        <v>7.9000000000000001E-2</v>
      </c>
      <c r="E75" s="132">
        <v>7.9000000000000001E-2</v>
      </c>
      <c r="F75" s="132">
        <v>12.651999999999999</v>
      </c>
      <c r="G75" s="132">
        <v>12.653</v>
      </c>
      <c r="H75" s="132">
        <v>67.400000000000006</v>
      </c>
      <c r="I75" s="132">
        <v>72.37</v>
      </c>
      <c r="J75" s="132">
        <v>14.071999999999999</v>
      </c>
      <c r="K75" s="132">
        <v>23.923999999999999</v>
      </c>
      <c r="L75" s="132">
        <v>1.2609999999999999</v>
      </c>
      <c r="M75" s="132">
        <v>7.9000000000000001E-2</v>
      </c>
      <c r="N75" s="132">
        <v>33.81</v>
      </c>
      <c r="O75" s="132">
        <v>29.111000000000001</v>
      </c>
      <c r="P75" s="132">
        <v>60</v>
      </c>
      <c r="Q75" s="132">
        <v>67</v>
      </c>
      <c r="R75" s="132">
        <v>142.191</v>
      </c>
      <c r="S75" s="132">
        <v>118.511</v>
      </c>
      <c r="T75" s="132">
        <v>52</v>
      </c>
      <c r="U75" s="265"/>
      <c r="W75" s="132"/>
      <c r="X75" s="132"/>
      <c r="Y75" s="132"/>
      <c r="Z75" s="132"/>
      <c r="AA75" s="136"/>
    </row>
    <row r="76" spans="2:27">
      <c r="B76" s="76" t="s">
        <v>213</v>
      </c>
      <c r="C76" s="149">
        <v>39.155000000000001</v>
      </c>
      <c r="D76" s="149">
        <v>39.387</v>
      </c>
      <c r="E76" s="149">
        <v>39.466999999999999</v>
      </c>
      <c r="F76" s="149">
        <v>44.155999999999999</v>
      </c>
      <c r="G76" s="149">
        <v>42.173000000000002</v>
      </c>
      <c r="H76" s="149">
        <v>42.34</v>
      </c>
      <c r="I76" s="149">
        <v>42.433</v>
      </c>
      <c r="J76" s="149">
        <v>44.878</v>
      </c>
      <c r="K76" s="149">
        <v>44.923999999999999</v>
      </c>
      <c r="L76" s="149">
        <v>47.177</v>
      </c>
      <c r="M76" s="149">
        <v>47.734000000000002</v>
      </c>
      <c r="N76" s="149">
        <v>47.703000000000003</v>
      </c>
      <c r="O76" s="149">
        <v>47.703000000000003</v>
      </c>
      <c r="P76" s="149">
        <v>52</v>
      </c>
      <c r="Q76" s="149">
        <v>54</v>
      </c>
      <c r="R76" s="149">
        <v>74.313999999999993</v>
      </c>
      <c r="S76" s="149">
        <v>74.97</v>
      </c>
      <c r="T76" s="149">
        <v>76</v>
      </c>
      <c r="U76" s="265"/>
      <c r="W76" s="132"/>
      <c r="X76" s="132"/>
      <c r="Y76" s="132"/>
      <c r="Z76" s="132"/>
      <c r="AA76" s="136"/>
    </row>
    <row r="77" spans="2:27">
      <c r="B77" s="73" t="s">
        <v>214</v>
      </c>
      <c r="C77" s="132">
        <v>0</v>
      </c>
      <c r="D77" s="132">
        <v>0</v>
      </c>
      <c r="E77" s="132">
        <v>0</v>
      </c>
      <c r="F77" s="132">
        <v>0</v>
      </c>
      <c r="G77" s="132">
        <v>0</v>
      </c>
      <c r="H77" s="132">
        <v>0</v>
      </c>
      <c r="I77" s="132">
        <v>0</v>
      </c>
      <c r="J77" s="205">
        <v>16.635999999999999</v>
      </c>
      <c r="K77" s="205">
        <v>10.967000000000001</v>
      </c>
      <c r="L77" s="205">
        <v>22.667000000000002</v>
      </c>
      <c r="M77" s="205">
        <v>36.165999999999997</v>
      </c>
      <c r="N77" s="205">
        <v>65.489999999999995</v>
      </c>
      <c r="O77" s="205">
        <v>62.637</v>
      </c>
      <c r="P77" s="205">
        <v>2</v>
      </c>
      <c r="Q77" s="205">
        <v>6</v>
      </c>
      <c r="R77" s="205">
        <v>11.141999999999999</v>
      </c>
      <c r="S77" s="205">
        <v>20.321000000000002</v>
      </c>
      <c r="T77" s="205">
        <v>47</v>
      </c>
      <c r="U77" s="265"/>
      <c r="W77" s="205"/>
      <c r="X77" s="205"/>
      <c r="Y77" s="205"/>
      <c r="Z77" s="205"/>
      <c r="AA77" s="136"/>
    </row>
    <row r="78" spans="2:27">
      <c r="B78" s="76" t="s">
        <v>215</v>
      </c>
      <c r="C78" s="149">
        <v>223.36799999999999</v>
      </c>
      <c r="D78" s="149">
        <v>250.20599999999999</v>
      </c>
      <c r="E78" s="149">
        <v>223.55199999999999</v>
      </c>
      <c r="F78" s="149">
        <v>223.369</v>
      </c>
      <c r="G78" s="149">
        <v>173.23500000000001</v>
      </c>
      <c r="H78" s="149">
        <v>146.86500000000001</v>
      </c>
      <c r="I78" s="149">
        <v>83.191999999999993</v>
      </c>
      <c r="J78" s="199">
        <v>27.201000000000001</v>
      </c>
      <c r="K78" s="199">
        <v>0.63600000000000001</v>
      </c>
      <c r="L78" s="199">
        <v>0.56100000000000005</v>
      </c>
      <c r="M78" s="199">
        <v>0.56100000000000005</v>
      </c>
      <c r="N78" s="199">
        <v>0.56100000000000005</v>
      </c>
      <c r="O78" s="199">
        <v>16.405000000000001</v>
      </c>
      <c r="P78" s="199">
        <v>1</v>
      </c>
      <c r="Q78" s="199">
        <v>1</v>
      </c>
      <c r="R78" s="199">
        <v>0.35</v>
      </c>
      <c r="S78" s="199">
        <v>0.35</v>
      </c>
      <c r="T78" s="199">
        <v>1</v>
      </c>
      <c r="U78" s="265"/>
      <c r="W78" s="205"/>
      <c r="X78" s="205"/>
      <c r="Y78" s="205"/>
      <c r="Z78" s="205"/>
      <c r="AA78" s="136"/>
    </row>
    <row r="79" spans="2:27">
      <c r="B79" s="76" t="s">
        <v>216</v>
      </c>
      <c r="C79" s="194">
        <v>0</v>
      </c>
      <c r="D79" s="194">
        <v>0</v>
      </c>
      <c r="E79" s="194">
        <v>0</v>
      </c>
      <c r="F79" s="194">
        <v>0</v>
      </c>
      <c r="G79" s="194">
        <v>0</v>
      </c>
      <c r="H79" s="194">
        <v>0</v>
      </c>
      <c r="I79" s="194">
        <v>0</v>
      </c>
      <c r="J79" s="194">
        <v>0</v>
      </c>
      <c r="K79" s="194">
        <v>0</v>
      </c>
      <c r="L79" s="194">
        <v>0</v>
      </c>
      <c r="M79" s="194">
        <v>0.751</v>
      </c>
      <c r="N79" s="194">
        <v>0.52200000000000002</v>
      </c>
      <c r="O79" s="194">
        <v>16.431999999999999</v>
      </c>
      <c r="P79" s="194">
        <v>16</v>
      </c>
      <c r="Q79" s="194">
        <v>18</v>
      </c>
      <c r="R79" s="194">
        <v>29.218</v>
      </c>
      <c r="S79" s="194">
        <v>21.190999999999999</v>
      </c>
      <c r="T79" s="194">
        <v>83</v>
      </c>
      <c r="U79" s="265"/>
      <c r="W79" s="132"/>
      <c r="X79" s="132"/>
      <c r="Y79" s="132"/>
      <c r="Z79" s="132"/>
      <c r="AA79" s="136"/>
    </row>
    <row r="80" spans="2:27">
      <c r="B80" s="131" t="s">
        <v>217</v>
      </c>
      <c r="C80" s="132">
        <v>54.38</v>
      </c>
      <c r="D80" s="132">
        <v>41.448999999999998</v>
      </c>
      <c r="E80" s="132">
        <v>41.241999999999997</v>
      </c>
      <c r="F80" s="132">
        <v>48.837000000000003</v>
      </c>
      <c r="G80" s="132">
        <v>21.474</v>
      </c>
      <c r="H80" s="132">
        <v>23.077999999999999</v>
      </c>
      <c r="I80" s="132">
        <v>45.146999999999998</v>
      </c>
      <c r="J80" s="132">
        <v>49.545999999999999</v>
      </c>
      <c r="K80" s="132">
        <v>43.279000000000003</v>
      </c>
      <c r="L80" s="132">
        <v>47.78</v>
      </c>
      <c r="M80" s="132">
        <v>42.423999999999999</v>
      </c>
      <c r="N80" s="132">
        <v>68.924999999999997</v>
      </c>
      <c r="O80" s="132">
        <v>103.503</v>
      </c>
      <c r="P80" s="132">
        <v>99</v>
      </c>
      <c r="Q80" s="132">
        <v>102</v>
      </c>
      <c r="R80" s="132">
        <v>72.796999999999997</v>
      </c>
      <c r="S80" s="132">
        <v>92.344999999999999</v>
      </c>
      <c r="T80" s="132">
        <v>117</v>
      </c>
      <c r="U80" s="265"/>
      <c r="W80" s="132"/>
      <c r="X80" s="132"/>
      <c r="Y80" s="132"/>
      <c r="Z80" s="132"/>
      <c r="AA80" s="136"/>
    </row>
    <row r="81" spans="2:27" s="55" customFormat="1" ht="14.5" thickBot="1">
      <c r="B81" s="130" t="s">
        <v>193</v>
      </c>
      <c r="C81" s="183">
        <f>SUM(C82:C90)</f>
        <v>3961.56</v>
      </c>
      <c r="D81" s="183">
        <f t="shared" ref="D81:P81" si="17">SUM(D82:D90)</f>
        <v>3246.2530000000002</v>
      </c>
      <c r="E81" s="183">
        <f t="shared" si="17"/>
        <v>3212.5699999999997</v>
      </c>
      <c r="F81" s="183">
        <f t="shared" si="17"/>
        <v>3124.6609999999996</v>
      </c>
      <c r="G81" s="183">
        <f t="shared" si="17"/>
        <v>3114.0590000000002</v>
      </c>
      <c r="H81" s="183">
        <f t="shared" si="17"/>
        <v>3146.8563711785741</v>
      </c>
      <c r="I81" s="183">
        <f t="shared" si="17"/>
        <v>3316.1998639499766</v>
      </c>
      <c r="J81" s="183">
        <f t="shared" si="17"/>
        <v>3454.0544438399997</v>
      </c>
      <c r="K81" s="183">
        <f>SUM(K82:K90)</f>
        <v>4279.4637740358821</v>
      </c>
      <c r="L81" s="183">
        <f t="shared" si="17"/>
        <v>4564.39822331911</v>
      </c>
      <c r="M81" s="183">
        <f t="shared" si="17"/>
        <v>5003.7691672495848</v>
      </c>
      <c r="N81" s="183">
        <f t="shared" si="17"/>
        <v>5480.1490000000003</v>
      </c>
      <c r="O81" s="183">
        <f t="shared" si="17"/>
        <v>5053.9840000000004</v>
      </c>
      <c r="P81" s="183">
        <f t="shared" si="17"/>
        <v>4696</v>
      </c>
      <c r="Q81" s="183">
        <f>SUM(Q82:Q90)</f>
        <v>4939</v>
      </c>
      <c r="R81" s="183">
        <f>SUM(R82:R90)</f>
        <v>5089.6120000000001</v>
      </c>
      <c r="S81" s="183">
        <f t="shared" ref="S81:T81" si="18">SUM(S82:S90)</f>
        <v>4699.7509999999993</v>
      </c>
      <c r="T81" s="183">
        <f t="shared" si="18"/>
        <v>4825.2870000000003</v>
      </c>
      <c r="U81" s="56"/>
      <c r="W81" s="204"/>
      <c r="X81" s="204"/>
      <c r="Y81" s="204"/>
      <c r="Z81" s="204"/>
      <c r="AA81" s="210"/>
    </row>
    <row r="82" spans="2:27">
      <c r="B82" s="131" t="s">
        <v>218</v>
      </c>
      <c r="C82" s="132">
        <v>2571.6379999999999</v>
      </c>
      <c r="D82" s="132">
        <v>1969.777</v>
      </c>
      <c r="E82" s="132">
        <v>1992.5550000000001</v>
      </c>
      <c r="F82" s="132">
        <v>1940.7719999999999</v>
      </c>
      <c r="G82" s="132">
        <v>1930.1010000000001</v>
      </c>
      <c r="H82" s="132">
        <v>1953.2140004</v>
      </c>
      <c r="I82" s="132">
        <v>2130.1550003999996</v>
      </c>
      <c r="J82" s="132">
        <v>2053.9435004000002</v>
      </c>
      <c r="K82" s="132">
        <v>2822.2581347951018</v>
      </c>
      <c r="L82" s="132">
        <v>2982.8553897949596</v>
      </c>
      <c r="M82" s="132">
        <v>3230.6062217404219</v>
      </c>
      <c r="N82" s="132">
        <v>2882.6660000000002</v>
      </c>
      <c r="O82" s="132">
        <v>3116.6350000000002</v>
      </c>
      <c r="P82" s="132">
        <v>2752</v>
      </c>
      <c r="Q82" s="132">
        <v>2946</v>
      </c>
      <c r="R82" s="132">
        <v>3036.6819999999998</v>
      </c>
      <c r="S82" s="132">
        <v>2637.21</v>
      </c>
      <c r="T82" s="132">
        <v>2809.8389999999999</v>
      </c>
      <c r="W82" s="132"/>
      <c r="X82" s="132"/>
      <c r="Y82" s="132"/>
      <c r="Z82" s="132"/>
      <c r="AA82" s="136"/>
    </row>
    <row r="83" spans="2:27">
      <c r="B83" s="75" t="s">
        <v>195</v>
      </c>
      <c r="C83" s="149">
        <v>0</v>
      </c>
      <c r="D83" s="149">
        <v>2.1320000000000001</v>
      </c>
      <c r="E83" s="149">
        <v>0</v>
      </c>
      <c r="F83" s="149">
        <v>0</v>
      </c>
      <c r="G83" s="149">
        <v>0</v>
      </c>
      <c r="H83" s="149">
        <v>1.640370778573677</v>
      </c>
      <c r="I83" s="149">
        <v>11.287863549977075</v>
      </c>
      <c r="J83" s="149">
        <v>7.6799434400000024</v>
      </c>
      <c r="K83" s="149">
        <v>49.983639240780846</v>
      </c>
      <c r="L83" s="149">
        <v>120.22383352415054</v>
      </c>
      <c r="M83" s="149">
        <v>144.78794550916342</v>
      </c>
      <c r="N83" s="149">
        <v>905.08399999999995</v>
      </c>
      <c r="O83" s="149">
        <v>110.32899999999999</v>
      </c>
      <c r="P83" s="149">
        <v>154</v>
      </c>
      <c r="Q83" s="149">
        <v>99</v>
      </c>
      <c r="R83" s="149">
        <v>109.6</v>
      </c>
      <c r="S83" s="149">
        <v>26.306999999999999</v>
      </c>
      <c r="T83" s="149">
        <v>33.756999999999998</v>
      </c>
      <c r="W83" s="132"/>
      <c r="X83" s="132"/>
      <c r="Y83" s="132"/>
      <c r="Z83" s="132"/>
      <c r="AA83" s="136"/>
    </row>
    <row r="84" spans="2:27">
      <c r="B84" s="76" t="s">
        <v>206</v>
      </c>
      <c r="C84" s="149">
        <v>0</v>
      </c>
      <c r="D84" s="149">
        <v>0</v>
      </c>
      <c r="E84" s="149">
        <v>0</v>
      </c>
      <c r="F84" s="149">
        <v>0</v>
      </c>
      <c r="G84" s="149">
        <v>14.226000000000001</v>
      </c>
      <c r="H84" s="149">
        <v>9.61</v>
      </c>
      <c r="I84" s="149">
        <v>7.9850000000000003</v>
      </c>
      <c r="J84" s="149">
        <v>6.5060000000000002</v>
      </c>
      <c r="K84" s="149">
        <v>5.593</v>
      </c>
      <c r="L84" s="149">
        <v>4.7300000000000004</v>
      </c>
      <c r="M84" s="149">
        <v>6.1280000000000001</v>
      </c>
      <c r="N84" s="149">
        <v>7.11</v>
      </c>
      <c r="O84" s="149">
        <v>9.8940000000000001</v>
      </c>
      <c r="P84" s="149">
        <v>21</v>
      </c>
      <c r="Q84" s="149">
        <v>22</v>
      </c>
      <c r="R84" s="149">
        <v>17.562999999999999</v>
      </c>
      <c r="S84" s="149">
        <v>13.712</v>
      </c>
      <c r="T84" s="149">
        <v>16.111000000000001</v>
      </c>
      <c r="W84" s="132"/>
      <c r="X84" s="132"/>
      <c r="Y84" s="132"/>
      <c r="Z84" s="132"/>
      <c r="AA84" s="136"/>
    </row>
    <row r="85" spans="2:27">
      <c r="B85" s="76" t="s">
        <v>215</v>
      </c>
      <c r="C85" s="149">
        <v>259.80900000000003</v>
      </c>
      <c r="D85" s="149">
        <v>127.246</v>
      </c>
      <c r="E85" s="149">
        <v>69.284000000000006</v>
      </c>
      <c r="F85" s="149">
        <v>13.287000000000001</v>
      </c>
      <c r="G85" s="149">
        <v>10.994</v>
      </c>
      <c r="H85" s="149">
        <v>9.8819999999999997</v>
      </c>
      <c r="I85" s="149">
        <v>2.33</v>
      </c>
      <c r="J85" s="149">
        <v>2.33</v>
      </c>
      <c r="K85" s="149">
        <v>3.1179999999999999</v>
      </c>
      <c r="L85" s="149">
        <v>25.452999999999999</v>
      </c>
      <c r="M85" s="149">
        <v>25.367000000000001</v>
      </c>
      <c r="N85" s="149">
        <v>2.0339999999999998</v>
      </c>
      <c r="O85" s="149">
        <v>14.1</v>
      </c>
      <c r="P85" s="149">
        <v>3</v>
      </c>
      <c r="Q85" s="149">
        <v>59</v>
      </c>
      <c r="R85" s="149">
        <v>61.8</v>
      </c>
      <c r="S85" s="149">
        <v>65.754999999999995</v>
      </c>
      <c r="T85" s="149">
        <v>68.962000000000003</v>
      </c>
      <c r="W85" s="132"/>
      <c r="X85" s="132"/>
      <c r="Y85" s="132"/>
      <c r="Z85" s="132"/>
      <c r="AA85" s="136"/>
    </row>
    <row r="86" spans="2:27">
      <c r="B86" s="76" t="s">
        <v>216</v>
      </c>
      <c r="C86" s="149">
        <v>479.68</v>
      </c>
      <c r="D86" s="149">
        <v>477.63400000000001</v>
      </c>
      <c r="E86" s="149">
        <v>481.71100000000001</v>
      </c>
      <c r="F86" s="149">
        <v>475.387</v>
      </c>
      <c r="G86" s="149">
        <v>483.78300000000002</v>
      </c>
      <c r="H86" s="149">
        <v>493.03199999999998</v>
      </c>
      <c r="I86" s="149">
        <v>499.54399999999998</v>
      </c>
      <c r="J86" s="149">
        <v>683.60400000000004</v>
      </c>
      <c r="K86" s="149">
        <v>677.84699999999998</v>
      </c>
      <c r="L86" s="149">
        <v>672.84199999999998</v>
      </c>
      <c r="M86" s="149">
        <v>748.423</v>
      </c>
      <c r="N86" s="149">
        <v>760.947</v>
      </c>
      <c r="O86" s="149">
        <v>897.42100000000005</v>
      </c>
      <c r="P86" s="149">
        <v>962</v>
      </c>
      <c r="Q86" s="149">
        <v>988</v>
      </c>
      <c r="R86" s="149">
        <v>790.72900000000004</v>
      </c>
      <c r="S86" s="149">
        <v>823.00199999999995</v>
      </c>
      <c r="T86" s="149">
        <v>760.52700000000004</v>
      </c>
      <c r="W86" s="132"/>
      <c r="X86" s="132"/>
      <c r="Y86" s="132"/>
      <c r="Z86" s="132"/>
      <c r="AA86" s="136"/>
    </row>
    <row r="87" spans="2:27">
      <c r="B87" s="75" t="s">
        <v>213</v>
      </c>
      <c r="C87" s="132">
        <v>538.63599999999997</v>
      </c>
      <c r="D87" s="132">
        <v>558.95600000000002</v>
      </c>
      <c r="E87" s="132">
        <v>573.64599999999996</v>
      </c>
      <c r="F87" s="132">
        <v>559.43200000000002</v>
      </c>
      <c r="G87" s="132">
        <v>568.45799999999997</v>
      </c>
      <c r="H87" s="132">
        <v>577.91200000000003</v>
      </c>
      <c r="I87" s="132">
        <v>569.90200000000004</v>
      </c>
      <c r="J87" s="132">
        <v>580.08000000000004</v>
      </c>
      <c r="K87" s="132">
        <v>585.60500000000002</v>
      </c>
      <c r="L87" s="132">
        <v>597.19600000000003</v>
      </c>
      <c r="M87" s="132">
        <v>658.53599999999994</v>
      </c>
      <c r="N87" s="132">
        <v>715.71299999999997</v>
      </c>
      <c r="O87" s="132">
        <v>707.49300000000005</v>
      </c>
      <c r="P87" s="132">
        <v>749</v>
      </c>
      <c r="Q87" s="132">
        <v>758</v>
      </c>
      <c r="R87" s="132">
        <v>943.8</v>
      </c>
      <c r="S87" s="132">
        <v>967.80700000000002</v>
      </c>
      <c r="T87" s="132">
        <v>994.40899999999999</v>
      </c>
      <c r="W87" s="132"/>
      <c r="X87" s="132"/>
      <c r="Y87" s="132"/>
      <c r="Z87" s="132"/>
      <c r="AA87" s="136"/>
    </row>
    <row r="88" spans="2:27">
      <c r="B88" s="76" t="s">
        <v>214</v>
      </c>
      <c r="C88" s="149">
        <v>49.95</v>
      </c>
      <c r="D88" s="149">
        <v>47.392000000000003</v>
      </c>
      <c r="E88" s="149">
        <v>32.805</v>
      </c>
      <c r="F88" s="149">
        <v>82.284000000000006</v>
      </c>
      <c r="G88" s="149">
        <v>54.71</v>
      </c>
      <c r="H88" s="149">
        <v>49.158999999999999</v>
      </c>
      <c r="I88" s="149">
        <v>42.274000000000001</v>
      </c>
      <c r="J88" s="149">
        <v>76.641999999999996</v>
      </c>
      <c r="K88" s="149">
        <v>94.578000000000003</v>
      </c>
      <c r="L88" s="149">
        <v>109.947</v>
      </c>
      <c r="M88" s="149">
        <v>136.63300000000001</v>
      </c>
      <c r="N88" s="149">
        <v>153.01</v>
      </c>
      <c r="O88" s="149">
        <v>145.143</v>
      </c>
      <c r="P88" s="149">
        <v>3</v>
      </c>
      <c r="Q88" s="149">
        <v>13</v>
      </c>
      <c r="R88" s="149">
        <v>24.253</v>
      </c>
      <c r="S88" s="149">
        <v>39.463999999999999</v>
      </c>
      <c r="T88" s="149">
        <v>35.185000000000002</v>
      </c>
      <c r="W88" s="132"/>
      <c r="X88" s="132"/>
      <c r="Y88" s="132"/>
      <c r="Z88" s="132"/>
      <c r="AA88" s="136"/>
    </row>
    <row r="89" spans="2:27">
      <c r="B89" s="76" t="s">
        <v>196</v>
      </c>
      <c r="C89" s="149">
        <v>0</v>
      </c>
      <c r="D89" s="149">
        <v>0</v>
      </c>
      <c r="E89" s="149">
        <v>0</v>
      </c>
      <c r="F89" s="149">
        <v>0</v>
      </c>
      <c r="G89" s="149">
        <v>0</v>
      </c>
      <c r="H89" s="149">
        <v>0</v>
      </c>
      <c r="I89" s="149">
        <v>0</v>
      </c>
      <c r="J89" s="149">
        <v>0</v>
      </c>
      <c r="K89" s="149">
        <v>0</v>
      </c>
      <c r="L89" s="149">
        <v>0</v>
      </c>
      <c r="M89" s="149">
        <v>0</v>
      </c>
      <c r="N89" s="149">
        <v>0</v>
      </c>
      <c r="O89" s="149">
        <v>0</v>
      </c>
      <c r="P89" s="149">
        <v>0</v>
      </c>
      <c r="Q89" s="149">
        <v>0</v>
      </c>
      <c r="R89" s="149">
        <v>39.636000000000003</v>
      </c>
      <c r="S89" s="149">
        <v>40.253999999999998</v>
      </c>
      <c r="T89" s="149">
        <v>40.71</v>
      </c>
      <c r="W89" s="132"/>
      <c r="X89" s="132"/>
      <c r="Y89" s="132"/>
      <c r="Z89" s="132"/>
      <c r="AA89" s="136"/>
    </row>
    <row r="90" spans="2:27">
      <c r="B90" s="76" t="s">
        <v>217</v>
      </c>
      <c r="C90" s="149">
        <v>61.847000000000001</v>
      </c>
      <c r="D90" s="149">
        <v>63.116</v>
      </c>
      <c r="E90" s="149">
        <v>62.569000000000003</v>
      </c>
      <c r="F90" s="149">
        <v>53.499000000000002</v>
      </c>
      <c r="G90" s="149">
        <v>51.786999999999999</v>
      </c>
      <c r="H90" s="149">
        <v>52.406999999999996</v>
      </c>
      <c r="I90" s="149">
        <v>52.722000000000001</v>
      </c>
      <c r="J90" s="149">
        <v>43.268999999999998</v>
      </c>
      <c r="K90" s="149">
        <v>40.481000000000002</v>
      </c>
      <c r="L90" s="149">
        <v>51.151000000000003</v>
      </c>
      <c r="M90" s="149">
        <v>53.287999999999997</v>
      </c>
      <c r="N90" s="149">
        <v>53.585000000000001</v>
      </c>
      <c r="O90" s="149">
        <v>52.969000000000001</v>
      </c>
      <c r="P90" s="149">
        <v>52</v>
      </c>
      <c r="Q90" s="149">
        <v>54</v>
      </c>
      <c r="R90" s="149">
        <v>65.549000000000007</v>
      </c>
      <c r="S90" s="149">
        <v>86.24</v>
      </c>
      <c r="T90" s="149">
        <v>65.787000000000006</v>
      </c>
      <c r="W90" s="132"/>
      <c r="X90" s="132"/>
      <c r="Y90" s="132"/>
      <c r="Z90" s="132"/>
      <c r="AA90" s="136"/>
    </row>
    <row r="91" spans="2:27" s="55" customFormat="1" ht="14.5" thickBot="1">
      <c r="B91" s="130" t="s">
        <v>219</v>
      </c>
      <c r="C91" s="183">
        <f>SUM(C96:C97)</f>
        <v>5834.0039999999999</v>
      </c>
      <c r="D91" s="183">
        <f>SUM(D96:D97)</f>
        <v>4992.6120000000001</v>
      </c>
      <c r="E91" s="183">
        <f t="shared" ref="E91:P91" si="19">SUM(E96:E97)</f>
        <v>5062.6740000000009</v>
      </c>
      <c r="F91" s="183">
        <f t="shared" si="19"/>
        <v>5246.5290000000005</v>
      </c>
      <c r="G91" s="183">
        <f t="shared" si="19"/>
        <v>5242.7490000000007</v>
      </c>
      <c r="H91" s="183">
        <f t="shared" si="19"/>
        <v>5126.682044565252</v>
      </c>
      <c r="I91" s="183">
        <f t="shared" si="19"/>
        <v>4997.5561690251197</v>
      </c>
      <c r="J91" s="183">
        <f t="shared" si="19"/>
        <v>5128.3670573454847</v>
      </c>
      <c r="K91" s="183">
        <f t="shared" si="19"/>
        <v>4706.5738883841268</v>
      </c>
      <c r="L91" s="183">
        <f t="shared" si="19"/>
        <v>4540.6730547684974</v>
      </c>
      <c r="M91" s="183">
        <f>SUM(M96:M97)</f>
        <v>3928.7104883230513</v>
      </c>
      <c r="N91" s="183">
        <f t="shared" si="19"/>
        <v>3740.1330000000003</v>
      </c>
      <c r="O91" s="183">
        <f t="shared" si="19"/>
        <v>2924.8159999999998</v>
      </c>
      <c r="P91" s="183">
        <f t="shared" si="19"/>
        <v>3576</v>
      </c>
      <c r="Q91" s="183">
        <f>SUM(Q96:Q97)</f>
        <v>4022</v>
      </c>
      <c r="R91" s="183">
        <f>SUM(R96:R97)</f>
        <v>4715.9809999999998</v>
      </c>
      <c r="S91" s="183">
        <f t="shared" ref="S91:T91" si="20">SUM(S96:S97)</f>
        <v>5417.9650000000001</v>
      </c>
      <c r="T91" s="183">
        <f t="shared" si="20"/>
        <v>5661</v>
      </c>
      <c r="U91" s="56"/>
      <c r="W91" s="204"/>
      <c r="X91" s="204"/>
      <c r="Y91" s="204"/>
      <c r="Z91" s="204"/>
      <c r="AA91" s="210"/>
    </row>
    <row r="92" spans="2:27">
      <c r="B92" s="139" t="s">
        <v>220</v>
      </c>
      <c r="C92" s="132">
        <v>5637.299</v>
      </c>
      <c r="D92" s="132">
        <v>4950.0950000000003</v>
      </c>
      <c r="E92" s="132">
        <v>4950.0950000000003</v>
      </c>
      <c r="F92" s="132">
        <v>4950.0950000000003</v>
      </c>
      <c r="G92" s="132">
        <v>4950.0950000000003</v>
      </c>
      <c r="H92" s="132">
        <v>4950.0950000000003</v>
      </c>
      <c r="I92" s="132">
        <v>4950.0950000000003</v>
      </c>
      <c r="J92" s="132">
        <v>4950.0950000000003</v>
      </c>
      <c r="K92" s="132">
        <v>4950.0950000000003</v>
      </c>
      <c r="L92" s="132">
        <v>4950.0950000000003</v>
      </c>
      <c r="M92" s="132">
        <v>4950.0950000000003</v>
      </c>
      <c r="N92" s="132">
        <v>4950.0950000000003</v>
      </c>
      <c r="O92" s="132">
        <v>4049.46</v>
      </c>
      <c r="P92" s="132">
        <v>4049</v>
      </c>
      <c r="Q92" s="132">
        <v>4706</v>
      </c>
      <c r="R92" s="132">
        <v>4705.3090000000002</v>
      </c>
      <c r="S92" s="132">
        <v>4705.2569999999996</v>
      </c>
      <c r="T92" s="132">
        <v>4705</v>
      </c>
      <c r="U92" s="265"/>
      <c r="W92" s="132"/>
      <c r="X92" s="132"/>
      <c r="Y92" s="132"/>
      <c r="Z92" s="132"/>
      <c r="AA92" s="136"/>
    </row>
    <row r="93" spans="2:27">
      <c r="B93" s="76" t="s">
        <v>221</v>
      </c>
      <c r="C93" s="149"/>
      <c r="D93" s="149"/>
      <c r="E93" s="149"/>
      <c r="F93" s="149"/>
      <c r="G93" s="149"/>
      <c r="H93" s="149"/>
      <c r="I93" s="149"/>
      <c r="J93" s="149"/>
      <c r="K93" s="149"/>
      <c r="L93" s="149"/>
      <c r="M93" s="149"/>
      <c r="N93" s="149"/>
      <c r="O93" s="149"/>
      <c r="P93" s="149"/>
      <c r="Q93" s="149"/>
      <c r="R93" s="149">
        <v>183.38399999999999</v>
      </c>
      <c r="S93" s="149">
        <v>183.38399999999999</v>
      </c>
      <c r="T93" s="149">
        <v>69</v>
      </c>
      <c r="U93" s="265"/>
      <c r="W93" s="132"/>
      <c r="X93" s="132"/>
      <c r="Y93" s="132"/>
      <c r="Z93" s="132"/>
      <c r="AA93" s="136"/>
    </row>
    <row r="94" spans="2:27">
      <c r="B94" s="76" t="s">
        <v>222</v>
      </c>
      <c r="C94" s="149">
        <v>68.61</v>
      </c>
      <c r="D94" s="149">
        <v>-45.506</v>
      </c>
      <c r="E94" s="149">
        <v>-8.1789999999999985</v>
      </c>
      <c r="F94" s="149">
        <v>36.927999999999997</v>
      </c>
      <c r="G94" s="149">
        <v>56.086999999999996</v>
      </c>
      <c r="H94" s="149">
        <v>-118.178</v>
      </c>
      <c r="I94" s="149">
        <v>-175.34200000000001</v>
      </c>
      <c r="J94" s="149">
        <v>-58.073</v>
      </c>
      <c r="K94" s="149">
        <v>-156.24199999999999</v>
      </c>
      <c r="L94" s="149">
        <v>-144.98400000000001</v>
      </c>
      <c r="M94" s="149">
        <v>-618.58199999999999</v>
      </c>
      <c r="N94" s="149">
        <v>-985.90099999999995</v>
      </c>
      <c r="O94" s="149">
        <v>-652.97500000000002</v>
      </c>
      <c r="P94" s="149">
        <v>-268</v>
      </c>
      <c r="Q94" s="149">
        <v>-316</v>
      </c>
      <c r="R94" s="149"/>
      <c r="S94" s="149">
        <v>406.17500000000001</v>
      </c>
      <c r="T94" s="149">
        <v>895</v>
      </c>
      <c r="U94" s="265"/>
      <c r="W94" s="132"/>
      <c r="X94" s="132"/>
      <c r="Y94" s="132"/>
      <c r="Z94" s="132"/>
      <c r="AA94" s="136"/>
    </row>
    <row r="95" spans="2:27">
      <c r="B95" s="73" t="s">
        <v>223</v>
      </c>
      <c r="C95" s="132">
        <v>15.868</v>
      </c>
      <c r="D95" s="132">
        <v>-88.704999999999998</v>
      </c>
      <c r="E95" s="132">
        <v>-53.975999999999999</v>
      </c>
      <c r="F95" s="132">
        <v>77.393000000000001</v>
      </c>
      <c r="G95" s="132">
        <v>44.061999999999998</v>
      </c>
      <c r="H95" s="132">
        <v>105.54304456525215</v>
      </c>
      <c r="I95" s="132">
        <v>25.063169025118928</v>
      </c>
      <c r="J95" s="132">
        <v>50.411057345484949</v>
      </c>
      <c r="K95" s="132">
        <v>-284.79311161587384</v>
      </c>
      <c r="L95" s="132">
        <v>-427.13594523150277</v>
      </c>
      <c r="M95" s="132">
        <v>-579.47551167694894</v>
      </c>
      <c r="N95" s="132">
        <v>-400.79500000000002</v>
      </c>
      <c r="O95" s="132">
        <v>-664.82</v>
      </c>
      <c r="P95" s="132">
        <v>-376</v>
      </c>
      <c r="Q95" s="132">
        <v>-547</v>
      </c>
      <c r="R95" s="132">
        <v>-387.89400000000001</v>
      </c>
      <c r="S95" s="132">
        <v>-135.30699999999999</v>
      </c>
      <c r="T95" s="132">
        <v>-220</v>
      </c>
      <c r="U95" s="265"/>
      <c r="W95" s="132"/>
      <c r="X95" s="132"/>
      <c r="Y95" s="132"/>
      <c r="Z95" s="132"/>
      <c r="AA95" s="136"/>
    </row>
    <row r="96" spans="2:27">
      <c r="B96" s="148" t="s">
        <v>224</v>
      </c>
      <c r="C96" s="149">
        <f t="shared" ref="C96:Q96" si="21">SUM(C92:C95)</f>
        <v>5721.777</v>
      </c>
      <c r="D96" s="149">
        <f t="shared" si="21"/>
        <v>4815.884</v>
      </c>
      <c r="E96" s="149">
        <f t="shared" si="21"/>
        <v>4887.9400000000005</v>
      </c>
      <c r="F96" s="149">
        <f t="shared" si="21"/>
        <v>5064.4160000000002</v>
      </c>
      <c r="G96" s="149">
        <f t="shared" si="21"/>
        <v>5050.2440000000006</v>
      </c>
      <c r="H96" s="149">
        <f t="shared" si="21"/>
        <v>4937.4600445652522</v>
      </c>
      <c r="I96" s="149">
        <f t="shared" si="21"/>
        <v>4799.81616902512</v>
      </c>
      <c r="J96" s="149">
        <f t="shared" si="21"/>
        <v>4942.4330573454845</v>
      </c>
      <c r="K96" s="149">
        <f t="shared" si="21"/>
        <v>4509.0598883841267</v>
      </c>
      <c r="L96" s="149">
        <f t="shared" si="21"/>
        <v>4377.9750547684971</v>
      </c>
      <c r="M96" s="149">
        <f t="shared" si="21"/>
        <v>3752.0374883230511</v>
      </c>
      <c r="N96" s="149">
        <f t="shared" si="21"/>
        <v>3563.3990000000003</v>
      </c>
      <c r="O96" s="149">
        <f t="shared" si="21"/>
        <v>2731.665</v>
      </c>
      <c r="P96" s="149">
        <f t="shared" si="21"/>
        <v>3405</v>
      </c>
      <c r="Q96" s="149">
        <f t="shared" si="21"/>
        <v>3843</v>
      </c>
      <c r="R96" s="149">
        <v>4500.799</v>
      </c>
      <c r="S96" s="149">
        <v>5159.509</v>
      </c>
      <c r="T96" s="149">
        <f>SUM(T92:T95)</f>
        <v>5449</v>
      </c>
      <c r="W96" s="132"/>
      <c r="X96" s="132"/>
      <c r="Y96" s="132"/>
      <c r="Z96" s="132"/>
      <c r="AA96" s="136"/>
    </row>
    <row r="97" spans="2:27">
      <c r="B97" s="139" t="s">
        <v>225</v>
      </c>
      <c r="C97" s="132">
        <v>112.227</v>
      </c>
      <c r="D97" s="132">
        <v>176.72800000000001</v>
      </c>
      <c r="E97" s="132">
        <v>174.73400000000001</v>
      </c>
      <c r="F97" s="132">
        <v>182.113</v>
      </c>
      <c r="G97" s="132">
        <v>192.505</v>
      </c>
      <c r="H97" s="132">
        <v>189.22200000000001</v>
      </c>
      <c r="I97" s="132">
        <v>197.74</v>
      </c>
      <c r="J97" s="132">
        <v>185.934</v>
      </c>
      <c r="K97" s="132">
        <v>197.51400000000001</v>
      </c>
      <c r="L97" s="132">
        <v>162.69800000000001</v>
      </c>
      <c r="M97" s="132">
        <v>176.673</v>
      </c>
      <c r="N97" s="132">
        <v>176.73400000000001</v>
      </c>
      <c r="O97" s="132">
        <v>193.15100000000001</v>
      </c>
      <c r="P97" s="132">
        <v>171</v>
      </c>
      <c r="Q97" s="132">
        <v>179</v>
      </c>
      <c r="R97" s="132">
        <v>215.18199999999999</v>
      </c>
      <c r="S97" s="132">
        <v>258.45600000000002</v>
      </c>
      <c r="T97" s="132">
        <v>212</v>
      </c>
      <c r="U97" s="265"/>
      <c r="W97" s="132"/>
      <c r="X97" s="132"/>
      <c r="Y97" s="132"/>
      <c r="Z97" s="132"/>
      <c r="AA97" s="136"/>
    </row>
    <row r="98" spans="2:27" s="55" customFormat="1" ht="14.5" thickBot="1">
      <c r="B98" s="130" t="s">
        <v>226</v>
      </c>
      <c r="C98" s="183">
        <v>11223.437</v>
      </c>
      <c r="D98" s="183">
        <v>9732.2369999999992</v>
      </c>
      <c r="E98" s="183">
        <v>9781.4920000000002</v>
      </c>
      <c r="F98" s="183">
        <v>9703.6550000000007</v>
      </c>
      <c r="G98" s="183">
        <v>9575.6570000000011</v>
      </c>
      <c r="H98" s="183">
        <v>9674.899881706011</v>
      </c>
      <c r="I98" s="183">
        <v>9703.6654095961403</v>
      </c>
      <c r="J98" s="183">
        <v>9816.3160757989917</v>
      </c>
      <c r="K98" s="183">
        <v>10610.285909144251</v>
      </c>
      <c r="L98" s="183">
        <v>10652.629224133405</v>
      </c>
      <c r="M98" s="183">
        <v>10682.171137132847</v>
      </c>
      <c r="N98" s="183">
        <v>11210.945000000002</v>
      </c>
      <c r="O98" s="183">
        <v>10241.478000000001</v>
      </c>
      <c r="P98" s="183">
        <v>10504</v>
      </c>
      <c r="Q98" s="183">
        <f>SUM(Q91,Q81,Q66)</f>
        <v>11290</v>
      </c>
      <c r="R98" s="183">
        <v>11965.227000000001</v>
      </c>
      <c r="S98" s="183">
        <f>SUM(S91,S81,S66)</f>
        <v>11896.356</v>
      </c>
      <c r="T98" s="183">
        <f>SUM(T91,T81,T66)</f>
        <v>12240.287</v>
      </c>
      <c r="U98" s="56"/>
      <c r="W98" s="204"/>
      <c r="X98" s="204"/>
      <c r="Y98" s="204"/>
      <c r="Z98" s="204"/>
      <c r="AA98" s="210"/>
    </row>
    <row r="99" spans="2:27">
      <c r="B99" s="140"/>
      <c r="C99" s="132">
        <f t="shared" ref="C99:T99" si="22">ROUND(C98-C63,0)</f>
        <v>0</v>
      </c>
      <c r="D99" s="132">
        <f t="shared" si="22"/>
        <v>0</v>
      </c>
      <c r="E99" s="132">
        <f t="shared" si="22"/>
        <v>0</v>
      </c>
      <c r="F99" s="132">
        <f t="shared" si="22"/>
        <v>0</v>
      </c>
      <c r="G99" s="132">
        <f t="shared" si="22"/>
        <v>0</v>
      </c>
      <c r="H99" s="132">
        <f t="shared" si="22"/>
        <v>0</v>
      </c>
      <c r="I99" s="132">
        <f t="shared" si="22"/>
        <v>0</v>
      </c>
      <c r="J99" s="132">
        <f t="shared" si="22"/>
        <v>0</v>
      </c>
      <c r="K99" s="132">
        <f t="shared" si="22"/>
        <v>0</v>
      </c>
      <c r="L99" s="132">
        <f t="shared" si="22"/>
        <v>0</v>
      </c>
      <c r="M99" s="132">
        <f t="shared" si="22"/>
        <v>0</v>
      </c>
      <c r="N99" s="132">
        <f t="shared" si="22"/>
        <v>0</v>
      </c>
      <c r="O99" s="132">
        <f t="shared" si="22"/>
        <v>0</v>
      </c>
      <c r="P99" s="150">
        <f t="shared" si="22"/>
        <v>0</v>
      </c>
      <c r="Q99" s="150">
        <f t="shared" si="22"/>
        <v>0</v>
      </c>
      <c r="R99" s="150">
        <f t="shared" si="22"/>
        <v>0</v>
      </c>
      <c r="S99" s="150">
        <f t="shared" ref="S99" si="23">ROUND(S98-S63,0)</f>
        <v>0</v>
      </c>
      <c r="T99" s="150">
        <f t="shared" si="22"/>
        <v>0</v>
      </c>
      <c r="W99" s="150"/>
      <c r="X99" s="150"/>
      <c r="Y99" s="150"/>
      <c r="Z99" s="150"/>
      <c r="AA99" s="136"/>
    </row>
    <row r="100" spans="2:27" s="94" customFormat="1" ht="14.5">
      <c r="B100" s="151" t="s">
        <v>227</v>
      </c>
      <c r="C100" s="152">
        <v>3.2433000000000001</v>
      </c>
      <c r="D100" s="152">
        <v>3.6055999999999999</v>
      </c>
      <c r="E100" s="152">
        <v>3.9504999999999999</v>
      </c>
      <c r="F100" s="152">
        <v>3.8083999999999998</v>
      </c>
      <c r="G100" s="152">
        <v>3.7684000000000002</v>
      </c>
      <c r="H100" s="152">
        <v>3.92</v>
      </c>
      <c r="I100" s="152">
        <v>3.97</v>
      </c>
      <c r="J100" s="152">
        <v>4.1158000000000001</v>
      </c>
      <c r="K100" s="152">
        <v>4.4657</v>
      </c>
      <c r="L100" s="152">
        <v>5.3853999999999997</v>
      </c>
      <c r="M100" s="152">
        <v>5.3772000000000002</v>
      </c>
      <c r="N100" s="152">
        <v>5.3921000000000001</v>
      </c>
      <c r="O100" s="152">
        <v>5.4832999999999998</v>
      </c>
      <c r="P100" s="152">
        <v>5.2907241935483889</v>
      </c>
      <c r="Q100" s="152">
        <v>5.23</v>
      </c>
      <c r="R100" s="152">
        <v>5.59</v>
      </c>
      <c r="S100" s="152">
        <v>5.23</v>
      </c>
      <c r="T100" s="152">
        <f>'7 - Resultados por negócio'!T43</f>
        <v>4.9265612903225815</v>
      </c>
      <c r="W100" s="152">
        <v>3.6557843999999999</v>
      </c>
      <c r="X100" s="152">
        <v>3.9461185770751004</v>
      </c>
      <c r="Y100" s="152">
        <v>5.157772908366538</v>
      </c>
      <c r="Z100" s="152">
        <v>5.3955605577689232</v>
      </c>
    </row>
    <row r="101" spans="2:27" s="94" customFormat="1" ht="14.5">
      <c r="B101" s="151" t="s">
        <v>228</v>
      </c>
      <c r="C101" s="153">
        <v>3.3237999999999999</v>
      </c>
      <c r="D101" s="153">
        <v>3.8557999999999999</v>
      </c>
      <c r="E101" s="153">
        <v>4.0038999999999998</v>
      </c>
      <c r="F101" s="153">
        <v>3.8748</v>
      </c>
      <c r="G101" s="153">
        <v>3.8967000000000001</v>
      </c>
      <c r="H101" s="153">
        <v>3.83</v>
      </c>
      <c r="I101" s="153">
        <v>4.16</v>
      </c>
      <c r="J101" s="153">
        <v>4.0307000000000004</v>
      </c>
      <c r="K101" s="153">
        <v>5.1986999999999997</v>
      </c>
      <c r="L101" s="153">
        <v>5.476</v>
      </c>
      <c r="M101" s="153">
        <v>5.6406999999999998</v>
      </c>
      <c r="N101" s="153">
        <v>5.1966999999999999</v>
      </c>
      <c r="O101" s="153">
        <v>5.6973000000000003</v>
      </c>
      <c r="P101" s="153">
        <v>5.0022000000000002</v>
      </c>
      <c r="Q101" s="153">
        <v>5.44</v>
      </c>
      <c r="R101" s="153">
        <v>5.58</v>
      </c>
      <c r="S101" s="153">
        <v>4.74</v>
      </c>
      <c r="T101" s="153">
        <f>'7 - Resultados por negócio'!T44</f>
        <v>5.2380000000000004</v>
      </c>
      <c r="W101" s="153">
        <v>3.8748</v>
      </c>
      <c r="X101" s="153">
        <v>4.0307000000000004</v>
      </c>
      <c r="Y101" s="153">
        <v>5.1966999999999999</v>
      </c>
      <c r="Z101" s="153">
        <v>5.58</v>
      </c>
    </row>
    <row r="102" spans="2:27" s="94" customFormat="1" ht="14.5">
      <c r="B102" s="154" t="s">
        <v>229</v>
      </c>
      <c r="C102" s="212">
        <v>2159.1190476190477</v>
      </c>
      <c r="D102" s="212">
        <v>2259.2822580645161</v>
      </c>
      <c r="E102" s="212">
        <v>2056.8359375</v>
      </c>
      <c r="F102" s="212">
        <v>1970.53125</v>
      </c>
      <c r="G102" s="212">
        <v>1859.0079365079366</v>
      </c>
      <c r="H102" s="212">
        <v>1792.5081967213114</v>
      </c>
      <c r="I102" s="212">
        <v>1762.0923076923077</v>
      </c>
      <c r="J102" s="212">
        <v>1752.4921875</v>
      </c>
      <c r="K102" s="212">
        <v>1689.6875</v>
      </c>
      <c r="L102" s="212">
        <v>1496.516393442623</v>
      </c>
      <c r="M102" s="212">
        <v>1704.3153846153846</v>
      </c>
      <c r="N102" s="212">
        <v>1915.8203125</v>
      </c>
      <c r="O102" s="212">
        <v>2096.4206349206347</v>
      </c>
      <c r="P102" s="212">
        <v>2399.64</v>
      </c>
      <c r="Q102" s="212">
        <v>2648</v>
      </c>
      <c r="R102" s="212">
        <v>2762</v>
      </c>
      <c r="S102" s="212">
        <v>3280</v>
      </c>
      <c r="T102" s="212">
        <v>2874.7833333333333</v>
      </c>
      <c r="W102" s="212">
        <v>2110.084980237154</v>
      </c>
      <c r="X102" s="212">
        <v>1791.1304347826087</v>
      </c>
      <c r="Y102" s="212">
        <v>1704.017716535433</v>
      </c>
      <c r="Z102" s="212">
        <v>2479.620553359684</v>
      </c>
    </row>
  </sheetData>
  <pageMargins left="0.19685039370078741" right="0.19685039370078741" top="0.19685039370078741" bottom="0.19685039370078741" header="0.51181102362204722" footer="0.51181102362204722"/>
  <pageSetup paperSize="9" fitToHeight="2" orientation="landscape" r:id="rId1"/>
  <headerFooter alignWithMargins="0"/>
  <ignoredErrors>
    <ignoredError sqref="T91 R91 Z5:Z6 W7:AA34"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F43E-C433-4D5A-9B6B-970674408E40}">
  <sheetPr>
    <pageSetUpPr fitToPage="1"/>
  </sheetPr>
  <dimension ref="A1:AA47"/>
  <sheetViews>
    <sheetView showGridLines="0" zoomScale="90" zoomScaleNormal="90" workbookViewId="0">
      <pane xSplit="2" ySplit="6" topLeftCell="M7" activePane="bottomRight" state="frozen"/>
      <selection pane="topRight" activeCell="N12" sqref="N12"/>
      <selection pane="bottomLeft" activeCell="N12" sqref="N12"/>
      <selection pane="bottomRight" activeCell="AA43" sqref="AA43"/>
    </sheetView>
  </sheetViews>
  <sheetFormatPr defaultColWidth="9.1796875" defaultRowHeight="14"/>
  <cols>
    <col min="1" max="1" width="2.1796875" style="40" customWidth="1"/>
    <col min="2" max="2" width="37.1796875" style="40" customWidth="1"/>
    <col min="3" max="18" width="9.7265625" style="40" customWidth="1"/>
    <col min="19" max="20" width="9.81640625" style="40" bestFit="1" customWidth="1"/>
    <col min="21" max="16384" width="9.1796875" style="40"/>
  </cols>
  <sheetData>
    <row r="1" spans="1:27" ht="14.25" customHeight="1"/>
    <row r="2" spans="1:27" ht="14.25" customHeight="1"/>
    <row r="3" spans="1:27" ht="14.25" customHeight="1"/>
    <row r="4" spans="1:27" ht="14.25" customHeight="1"/>
    <row r="5" spans="1:27" ht="14.25" customHeight="1">
      <c r="A5" s="53"/>
      <c r="B5" s="53"/>
    </row>
    <row r="6" spans="1:27" s="52" customFormat="1" ht="14.25" customHeight="1" thickBot="1">
      <c r="B6" s="77" t="s">
        <v>230</v>
      </c>
      <c r="C6" s="78" t="s">
        <v>104</v>
      </c>
      <c r="D6" s="78" t="s">
        <v>105</v>
      </c>
      <c r="E6" s="78" t="s">
        <v>106</v>
      </c>
      <c r="F6" s="78" t="s">
        <v>107</v>
      </c>
      <c r="G6" s="78" t="s">
        <v>108</v>
      </c>
      <c r="H6" s="78" t="s">
        <v>109</v>
      </c>
      <c r="I6" s="78" t="s">
        <v>110</v>
      </c>
      <c r="J6" s="78" t="s">
        <v>111</v>
      </c>
      <c r="K6" s="78" t="s">
        <v>112</v>
      </c>
      <c r="L6" s="78" t="s">
        <v>113</v>
      </c>
      <c r="M6" s="78" t="s">
        <v>114</v>
      </c>
      <c r="N6" s="78" t="s">
        <v>115</v>
      </c>
      <c r="O6" s="78" t="s">
        <v>116</v>
      </c>
      <c r="P6" s="78" t="s">
        <v>117</v>
      </c>
      <c r="Q6" s="78" t="s">
        <v>118</v>
      </c>
      <c r="R6" s="78" t="s">
        <v>119</v>
      </c>
      <c r="S6" s="78" t="s">
        <v>120</v>
      </c>
      <c r="T6" s="78" t="s">
        <v>121</v>
      </c>
      <c r="W6" s="78">
        <v>2018</v>
      </c>
      <c r="X6" s="78">
        <v>2019</v>
      </c>
      <c r="Y6" s="78">
        <v>2020</v>
      </c>
      <c r="Z6" s="78">
        <v>2021</v>
      </c>
      <c r="AA6" s="78">
        <v>2022</v>
      </c>
    </row>
    <row r="7" spans="1:27" ht="4.5" customHeight="1" thickTop="1">
      <c r="A7" s="53"/>
      <c r="B7" s="48"/>
      <c r="C7" s="54"/>
      <c r="D7" s="54"/>
      <c r="E7" s="54"/>
      <c r="F7" s="54"/>
      <c r="G7" s="54"/>
      <c r="H7" s="54"/>
      <c r="I7" s="54"/>
      <c r="J7" s="54"/>
      <c r="K7" s="54"/>
      <c r="L7" s="54"/>
      <c r="M7" s="54"/>
      <c r="N7" s="54"/>
      <c r="O7" s="54"/>
      <c r="P7" s="54"/>
      <c r="Q7" s="54"/>
      <c r="R7" s="54"/>
      <c r="S7" s="54"/>
      <c r="T7" s="54"/>
      <c r="W7" s="54"/>
      <c r="X7" s="54"/>
      <c r="Y7" s="54"/>
      <c r="Z7" s="54"/>
      <c r="AA7" s="54"/>
    </row>
    <row r="8" spans="1:27" ht="14.5" customHeight="1" thickBot="1">
      <c r="A8" s="53"/>
      <c r="B8" s="74" t="s">
        <v>231</v>
      </c>
      <c r="C8" s="155"/>
      <c r="D8" s="155"/>
      <c r="E8" s="155"/>
      <c r="F8" s="155"/>
      <c r="G8" s="155"/>
      <c r="H8" s="155"/>
      <c r="I8" s="155"/>
      <c r="J8" s="155"/>
      <c r="K8" s="155"/>
      <c r="L8" s="155"/>
      <c r="M8" s="155"/>
      <c r="N8" s="155"/>
      <c r="O8" s="155"/>
      <c r="P8" s="155"/>
      <c r="Q8" s="155"/>
      <c r="R8" s="155"/>
      <c r="S8" s="155"/>
      <c r="T8" s="155"/>
      <c r="W8" s="155"/>
      <c r="X8" s="155"/>
      <c r="Y8" s="155"/>
      <c r="Z8" s="155"/>
      <c r="AA8" s="155"/>
    </row>
    <row r="9" spans="1:27" s="73" customFormat="1">
      <c r="B9" s="76" t="s">
        <v>232</v>
      </c>
      <c r="C9" s="157">
        <f t="shared" ref="C9:Q9" si="0">SUM(C18,C31,C38)</f>
        <v>1203</v>
      </c>
      <c r="D9" s="157">
        <f t="shared" si="0"/>
        <v>1355</v>
      </c>
      <c r="E9" s="157">
        <f t="shared" si="0"/>
        <v>1520</v>
      </c>
      <c r="F9" s="157">
        <f t="shared" si="0"/>
        <v>1556.4760000000001</v>
      </c>
      <c r="G9" s="157">
        <f t="shared" si="0"/>
        <v>1381</v>
      </c>
      <c r="H9" s="157">
        <f t="shared" si="0"/>
        <v>1435</v>
      </c>
      <c r="I9" s="157">
        <f t="shared" si="0"/>
        <v>1400</v>
      </c>
      <c r="J9" s="157">
        <f t="shared" si="0"/>
        <v>1355.3220000000001</v>
      </c>
      <c r="K9" s="157">
        <f t="shared" si="0"/>
        <v>1321.163</v>
      </c>
      <c r="L9" s="157">
        <f t="shared" si="0"/>
        <v>1173.9360026610798</v>
      </c>
      <c r="M9" s="157">
        <f t="shared" si="0"/>
        <v>1570.8990000000003</v>
      </c>
      <c r="N9" s="157">
        <f t="shared" si="0"/>
        <v>1650.3906564189203</v>
      </c>
      <c r="O9" s="157">
        <f t="shared" si="0"/>
        <v>1871.433</v>
      </c>
      <c r="P9" s="157">
        <f t="shared" si="0"/>
        <v>1989.5149999999999</v>
      </c>
      <c r="Q9" s="157">
        <f t="shared" si="0"/>
        <v>2398.6770000000001</v>
      </c>
      <c r="R9" s="157">
        <v>2511.0509999999999</v>
      </c>
      <c r="S9" s="157">
        <f>SUM(S18,S31,S38)</f>
        <v>2375.3920000000003</v>
      </c>
      <c r="T9" s="157">
        <f>SUM(T18,T31,T38)</f>
        <v>2420</v>
      </c>
      <c r="W9" s="157">
        <f>SUM(C9:F9)</f>
        <v>5634.4760000000006</v>
      </c>
      <c r="X9" s="157">
        <f>SUM(G9:J9)</f>
        <v>5571.3220000000001</v>
      </c>
      <c r="Y9" s="157">
        <f>SUM(K9:N9)</f>
        <v>5716.3886590800003</v>
      </c>
      <c r="Z9" s="157">
        <f>SUM(O9:R9)</f>
        <v>8770.6759999999995</v>
      </c>
      <c r="AA9" s="157">
        <f>SUM(S9:T9)</f>
        <v>4795.3919999999998</v>
      </c>
    </row>
    <row r="10" spans="1:27" s="73" customFormat="1">
      <c r="B10" s="289" t="s">
        <v>313</v>
      </c>
      <c r="C10" s="149">
        <f>C11-C9</f>
        <v>-37.912000000000035</v>
      </c>
      <c r="D10" s="149">
        <f t="shared" ref="D10:P10" si="1">D11-D9</f>
        <v>-38.005000000000109</v>
      </c>
      <c r="E10" s="149">
        <f>E11-E9</f>
        <v>-81.163999999999987</v>
      </c>
      <c r="F10" s="149">
        <f t="shared" si="1"/>
        <v>-59.919000000000779</v>
      </c>
      <c r="G10" s="149">
        <f t="shared" si="1"/>
        <v>-53.921000000000049</v>
      </c>
      <c r="H10" s="149">
        <f t="shared" si="1"/>
        <v>-69.046000000000049</v>
      </c>
      <c r="I10" s="149">
        <f t="shared" si="1"/>
        <v>-86.748000000000502</v>
      </c>
      <c r="J10" s="149">
        <f t="shared" si="1"/>
        <v>-97.922999999998865</v>
      </c>
      <c r="K10" s="149">
        <f t="shared" si="1"/>
        <v>-68.424999999999955</v>
      </c>
      <c r="L10" s="149">
        <f t="shared" si="1"/>
        <v>-72.01800266107989</v>
      </c>
      <c r="M10" s="149">
        <f t="shared" si="1"/>
        <v>-85.278000000000475</v>
      </c>
      <c r="N10" s="149">
        <f t="shared" si="1"/>
        <v>-79.285656418920325</v>
      </c>
      <c r="O10" s="149">
        <f t="shared" si="1"/>
        <v>-78.609000000000151</v>
      </c>
      <c r="P10" s="149">
        <f t="shared" si="1"/>
        <v>-76.431000000000267</v>
      </c>
      <c r="Q10" s="149">
        <f>Q11-Q9</f>
        <v>-98.632999999999356</v>
      </c>
      <c r="R10" s="149">
        <v>-93.87099999999964</v>
      </c>
      <c r="S10" s="149">
        <f>-83781/1000</f>
        <v>-83.781000000000006</v>
      </c>
      <c r="T10" s="149">
        <v>-89</v>
      </c>
      <c r="W10" s="149">
        <f t="shared" ref="W10:W14" si="2">SUM(C10:F10)</f>
        <v>-217.00000000000091</v>
      </c>
      <c r="X10" s="149">
        <f t="shared" ref="X10:X14" si="3">SUM(G10:J10)</f>
        <v>-307.63799999999947</v>
      </c>
      <c r="Y10" s="149">
        <f t="shared" ref="Y10:Y14" si="4">SUM(K10:N10)</f>
        <v>-305.00665908000065</v>
      </c>
      <c r="Z10" s="149">
        <f t="shared" ref="Z10:Z14" si="5">SUM(O10:R10)</f>
        <v>-347.54399999999941</v>
      </c>
      <c r="AA10" s="149">
        <f t="shared" ref="AA10:AA14" si="6">SUM(S10:T10)</f>
        <v>-172.78100000000001</v>
      </c>
    </row>
    <row r="11" spans="1:27">
      <c r="B11" s="76" t="s">
        <v>234</v>
      </c>
      <c r="C11" s="157">
        <f>'6 - Demonstrativos Financeiros'!C7</f>
        <v>1165.088</v>
      </c>
      <c r="D11" s="157">
        <f>'6 - Demonstrativos Financeiros'!D7</f>
        <v>1316.9949999999999</v>
      </c>
      <c r="E11" s="157">
        <f>'6 - Demonstrativos Financeiros'!E7</f>
        <v>1438.836</v>
      </c>
      <c r="F11" s="157">
        <f>'6 - Demonstrativos Financeiros'!F7</f>
        <v>1496.5569999999993</v>
      </c>
      <c r="G11" s="157">
        <f>'6 - Demonstrativos Financeiros'!G7</f>
        <v>1327.079</v>
      </c>
      <c r="H11" s="157">
        <f>'6 - Demonstrativos Financeiros'!H7</f>
        <v>1365.954</v>
      </c>
      <c r="I11" s="157">
        <f>'6 - Demonstrativos Financeiros'!I7</f>
        <v>1313.2519999999995</v>
      </c>
      <c r="J11" s="157">
        <f>'6 - Demonstrativos Financeiros'!J7</f>
        <v>1257.3990000000013</v>
      </c>
      <c r="K11" s="157">
        <f>'6 - Demonstrativos Financeiros'!K7</f>
        <v>1252.7380000000001</v>
      </c>
      <c r="L11" s="157">
        <f>'6 - Demonstrativos Financeiros'!L7</f>
        <v>1101.9179999999999</v>
      </c>
      <c r="M11" s="157">
        <f>'6 - Demonstrativos Financeiros'!M7</f>
        <v>1485.6209999999999</v>
      </c>
      <c r="N11" s="157">
        <f>'6 - Demonstrativos Financeiros'!N7</f>
        <v>1571.105</v>
      </c>
      <c r="O11" s="157">
        <f>'6 - Demonstrativos Financeiros'!O7</f>
        <v>1792.8239999999998</v>
      </c>
      <c r="P11" s="157">
        <f>'6 - Demonstrativos Financeiros'!P7</f>
        <v>1913.0839999999996</v>
      </c>
      <c r="Q11" s="157">
        <f>'6 - Demonstrativos Financeiros'!Q7</f>
        <v>2300.0440000000008</v>
      </c>
      <c r="R11" s="157">
        <f>'6 - Demonstrativos Financeiros'!R7</f>
        <v>2417.2279999999996</v>
      </c>
      <c r="S11" s="157">
        <f>'6 - Demonstrativos Financeiros'!S7</f>
        <v>2291.665</v>
      </c>
      <c r="T11" s="157">
        <f>'6 - Demonstrativos Financeiros'!T7</f>
        <v>2331</v>
      </c>
      <c r="W11" s="157">
        <f t="shared" si="2"/>
        <v>5417.4759999999987</v>
      </c>
      <c r="X11" s="157">
        <f t="shared" si="3"/>
        <v>5263.6840000000011</v>
      </c>
      <c r="Y11" s="157">
        <f t="shared" si="4"/>
        <v>5411.3819999999996</v>
      </c>
      <c r="Z11" s="157">
        <f t="shared" si="5"/>
        <v>8423.18</v>
      </c>
      <c r="AA11" s="157">
        <f t="shared" si="6"/>
        <v>4622.665</v>
      </c>
    </row>
    <row r="12" spans="1:27">
      <c r="B12" s="76" t="s">
        <v>235</v>
      </c>
      <c r="C12" s="157">
        <f>'6 - Demonstrativos Financeiros'!C9</f>
        <v>218.54999999999995</v>
      </c>
      <c r="D12" s="157">
        <f>'6 - Demonstrativos Financeiros'!D9</f>
        <v>266.05299999999988</v>
      </c>
      <c r="E12" s="157">
        <f>'6 - Demonstrativos Financeiros'!E9</f>
        <v>265.51099999999997</v>
      </c>
      <c r="F12" s="157">
        <f>'6 - Demonstrativos Financeiros'!F9</f>
        <v>199.31799999999976</v>
      </c>
      <c r="G12" s="157">
        <f>'6 - Demonstrativos Financeiros'!G9</f>
        <v>207.798</v>
      </c>
      <c r="H12" s="157">
        <f>'6 - Demonstrativos Financeiros'!H9</f>
        <v>189.27499999999986</v>
      </c>
      <c r="I12" s="157">
        <f>'6 - Demonstrativos Financeiros'!I9</f>
        <v>141.31799999999976</v>
      </c>
      <c r="J12" s="157">
        <f>'6 - Demonstrativos Financeiros'!J9</f>
        <v>119.17600000000084</v>
      </c>
      <c r="K12" s="157">
        <f>'6 - Demonstrativos Financeiros'!K9</f>
        <v>148.14400000000001</v>
      </c>
      <c r="L12" s="157">
        <f>'6 - Demonstrativos Financeiros'!L9</f>
        <v>63.952999999999747</v>
      </c>
      <c r="M12" s="157">
        <f>'6 - Demonstrativos Financeiros'!M9</f>
        <v>188.66700000000014</v>
      </c>
      <c r="N12" s="157">
        <f>'6 - Demonstrativos Financeiros'!N9</f>
        <v>179.48500000000013</v>
      </c>
      <c r="O12" s="157">
        <f>'6 - Demonstrativos Financeiros'!O9</f>
        <v>443.78599999999983</v>
      </c>
      <c r="P12" s="157">
        <f>'6 - Demonstrativos Financeiros'!P9</f>
        <v>386.12199999999962</v>
      </c>
      <c r="Q12" s="157">
        <f>'6 - Demonstrativos Financeiros'!Q9</f>
        <v>310.04400000000078</v>
      </c>
      <c r="R12" s="157">
        <f>'6 - Demonstrativos Financeiros'!R9</f>
        <v>483.75599999999986</v>
      </c>
      <c r="S12" s="157">
        <f>'6 - Demonstrativos Financeiros'!S9</f>
        <v>553.95000000000005</v>
      </c>
      <c r="T12" s="157">
        <f>'6 - Demonstrativos Financeiros'!T9</f>
        <v>662.21799999999985</v>
      </c>
      <c r="U12" s="112"/>
      <c r="W12" s="157">
        <f t="shared" si="2"/>
        <v>949.43199999999956</v>
      </c>
      <c r="X12" s="157">
        <f t="shared" si="3"/>
        <v>657.56700000000046</v>
      </c>
      <c r="Y12" s="157">
        <f t="shared" si="4"/>
        <v>580.24900000000002</v>
      </c>
      <c r="Z12" s="157">
        <f t="shared" si="5"/>
        <v>1623.7080000000001</v>
      </c>
      <c r="AA12" s="157">
        <f t="shared" si="6"/>
        <v>1216.1679999999999</v>
      </c>
    </row>
    <row r="13" spans="1:27" ht="14.5">
      <c r="A13" s="57"/>
      <c r="B13" s="73" t="s">
        <v>180</v>
      </c>
      <c r="C13" s="158">
        <f>'6 - Demonstrativos Financeiros'!C33</f>
        <v>239.11599999999996</v>
      </c>
      <c r="D13" s="158">
        <f>'6 - Demonstrativos Financeiros'!D33</f>
        <v>262.62899999999991</v>
      </c>
      <c r="E13" s="158">
        <f>'6 - Demonstrativos Financeiros'!E33</f>
        <v>228.79799999999992</v>
      </c>
      <c r="F13" s="158">
        <f>'6 - Demonstrativos Financeiros'!F33</f>
        <v>248.39600000000019</v>
      </c>
      <c r="G13" s="158">
        <f>'6 - Demonstrativos Financeiros'!G33</f>
        <v>229.05799999999999</v>
      </c>
      <c r="H13" s="158">
        <f>'6 - Demonstrativos Financeiros'!H33</f>
        <v>345.03099999999984</v>
      </c>
      <c r="I13" s="158">
        <f>'6 - Demonstrativos Financeiros'!I33</f>
        <v>129.21600000000026</v>
      </c>
      <c r="J13" s="158">
        <f>'6 - Demonstrativos Financeiros'!J33</f>
        <v>284.9009999999999</v>
      </c>
      <c r="K13" s="158">
        <f>'6 - Demonstrativos Financeiros'!K33</f>
        <v>161.82600000000008</v>
      </c>
      <c r="L13" s="158">
        <f>'6 - Demonstrativos Financeiros'!L33</f>
        <v>171.9899999999997</v>
      </c>
      <c r="M13" s="158">
        <f>'6 - Demonstrativos Financeiros'!M33</f>
        <v>159.11100000000044</v>
      </c>
      <c r="N13" s="158">
        <f>'6 - Demonstrativos Financeiros'!N33</f>
        <v>168.92099999999962</v>
      </c>
      <c r="O13" s="158">
        <f>'6 - Demonstrativos Financeiros'!O33</f>
        <v>360.42100000000011</v>
      </c>
      <c r="P13" s="158">
        <f>'6 - Demonstrativos Financeiros'!P33</f>
        <v>362.67900000000003</v>
      </c>
      <c r="Q13" s="158">
        <f>'6 - Demonstrativos Financeiros'!Q33</f>
        <v>313.71800000000081</v>
      </c>
      <c r="R13" s="158">
        <f>'6 - Demonstrativos Financeiros'!R33</f>
        <v>500.678</v>
      </c>
      <c r="S13" s="158">
        <f>'6 - Demonstrativos Financeiros'!S33</f>
        <v>552.33500000000004</v>
      </c>
      <c r="T13" s="158">
        <f>'6 - Demonstrativos Financeiros'!T33</f>
        <v>641</v>
      </c>
      <c r="W13" s="158">
        <f t="shared" si="2"/>
        <v>978.93899999999996</v>
      </c>
      <c r="X13" s="158">
        <f t="shared" si="3"/>
        <v>988.2059999999999</v>
      </c>
      <c r="Y13" s="158">
        <f t="shared" si="4"/>
        <v>661.84799999999984</v>
      </c>
      <c r="Z13" s="158">
        <f t="shared" si="5"/>
        <v>1537.496000000001</v>
      </c>
      <c r="AA13" s="158">
        <f t="shared" si="6"/>
        <v>1193.335</v>
      </c>
    </row>
    <row r="14" spans="1:27">
      <c r="B14" s="76" t="s">
        <v>236</v>
      </c>
      <c r="C14" s="157">
        <f>'6 - Demonstrativos Financeiros'!C31</f>
        <v>74.691999999999993</v>
      </c>
      <c r="D14" s="157">
        <f>'6 - Demonstrativos Financeiros'!D31</f>
        <v>78.035000000000011</v>
      </c>
      <c r="E14" s="157">
        <f>'6 - Demonstrativos Financeiros'!E31</f>
        <v>74.794999999999987</v>
      </c>
      <c r="F14" s="157">
        <f>'6 - Demonstrativos Financeiros'!F31</f>
        <v>75.680000000000007</v>
      </c>
      <c r="G14" s="157">
        <f>'6 - Demonstrativos Financeiros'!G31</f>
        <v>96.887</v>
      </c>
      <c r="H14" s="157">
        <f>'6 - Demonstrativos Financeiros'!H31</f>
        <v>141.75299999999999</v>
      </c>
      <c r="I14" s="157">
        <f>'6 - Demonstrativos Financeiros'!I31</f>
        <v>89.732000000000028</v>
      </c>
      <c r="J14" s="157">
        <f>'6 - Demonstrativos Financeiros'!J31</f>
        <v>134.16899999999998</v>
      </c>
      <c r="K14" s="157">
        <f>'6 - Demonstrativos Financeiros'!K31</f>
        <v>91.376000000000005</v>
      </c>
      <c r="L14" s="157">
        <f>'6 - Demonstrativos Financeiros'!L31</f>
        <v>110.422</v>
      </c>
      <c r="M14" s="157">
        <f>'6 - Demonstrativos Financeiros'!M31</f>
        <v>103.39999999999998</v>
      </c>
      <c r="N14" s="157">
        <f>'6 - Demonstrativos Financeiros'!N31</f>
        <v>126.28300000000002</v>
      </c>
      <c r="O14" s="157">
        <f>'6 - Demonstrativos Financeiros'!O31</f>
        <v>113.1</v>
      </c>
      <c r="P14" s="157">
        <f>'6 - Demonstrativos Financeiros'!P31</f>
        <v>126.14100000000002</v>
      </c>
      <c r="Q14" s="157">
        <f>'6 - Demonstrativos Financeiros'!Q31</f>
        <v>137.14399999999998</v>
      </c>
      <c r="R14" s="157">
        <f>'6 - Demonstrativos Financeiros'!R31</f>
        <v>119.66000000000003</v>
      </c>
      <c r="S14" s="157">
        <f>'6 - Demonstrativos Financeiros'!S31</f>
        <v>128.72800000000001</v>
      </c>
      <c r="T14" s="157">
        <f>'6 - Demonstrativos Financeiros'!T31</f>
        <v>124</v>
      </c>
      <c r="W14" s="157">
        <f t="shared" si="2"/>
        <v>303.202</v>
      </c>
      <c r="X14" s="157">
        <f t="shared" si="3"/>
        <v>462.541</v>
      </c>
      <c r="Y14" s="157">
        <f t="shared" si="4"/>
        <v>431.48099999999999</v>
      </c>
      <c r="Z14" s="157">
        <f t="shared" si="5"/>
        <v>496.04500000000002</v>
      </c>
      <c r="AA14" s="157">
        <f t="shared" si="6"/>
        <v>252.72800000000001</v>
      </c>
    </row>
    <row r="15" spans="1:27" ht="14" customHeight="1">
      <c r="B15" s="40" t="s">
        <v>314</v>
      </c>
      <c r="C15" s="156"/>
      <c r="D15" s="156"/>
      <c r="E15" s="156"/>
      <c r="F15" s="156"/>
      <c r="G15" s="156"/>
      <c r="H15" s="156"/>
      <c r="I15" s="156"/>
      <c r="J15" s="161"/>
      <c r="K15" s="161"/>
      <c r="L15" s="156"/>
      <c r="M15" s="156"/>
      <c r="N15" s="161"/>
      <c r="O15" s="161"/>
      <c r="P15" s="161"/>
      <c r="Q15" s="161"/>
      <c r="R15" s="161"/>
      <c r="S15" s="161"/>
      <c r="T15" s="161"/>
      <c r="W15" s="264"/>
      <c r="X15" s="264"/>
      <c r="Y15" s="264"/>
      <c r="Z15" s="264"/>
      <c r="AA15" s="264"/>
    </row>
    <row r="16" spans="1:27">
      <c r="B16" s="73"/>
      <c r="C16" s="156"/>
      <c r="D16" s="156"/>
      <c r="E16" s="156"/>
      <c r="F16" s="156"/>
      <c r="G16" s="156"/>
      <c r="H16" s="156"/>
      <c r="I16" s="156"/>
      <c r="J16" s="156"/>
      <c r="K16" s="156"/>
      <c r="L16" s="156"/>
      <c r="M16" s="156"/>
      <c r="N16" s="156"/>
      <c r="O16" s="156"/>
      <c r="P16" s="156"/>
      <c r="Q16" s="156"/>
      <c r="R16" s="156"/>
      <c r="S16" s="156"/>
      <c r="T16" s="156"/>
      <c r="W16" s="194"/>
      <c r="X16" s="194"/>
      <c r="Y16" s="194"/>
      <c r="Z16" s="194"/>
      <c r="AA16" s="194"/>
    </row>
    <row r="17" spans="1:27" ht="14.5" thickBot="1">
      <c r="B17" s="74" t="s">
        <v>237</v>
      </c>
      <c r="C17" s="159"/>
      <c r="D17" s="159"/>
      <c r="E17" s="159"/>
      <c r="F17" s="159"/>
      <c r="G17" s="159"/>
      <c r="H17" s="159"/>
      <c r="I17" s="159"/>
      <c r="J17" s="159"/>
      <c r="K17" s="159"/>
      <c r="L17" s="159"/>
      <c r="M17" s="159"/>
      <c r="N17" s="159"/>
      <c r="O17" s="159"/>
      <c r="P17" s="159"/>
      <c r="Q17" s="159"/>
      <c r="R17" s="159"/>
      <c r="S17" s="159"/>
      <c r="T17" s="159"/>
      <c r="W17" s="156"/>
      <c r="X17" s="156"/>
      <c r="Y17" s="156"/>
      <c r="Z17" s="156"/>
      <c r="AA17" s="156"/>
    </row>
    <row r="18" spans="1:27">
      <c r="B18" s="139" t="s">
        <v>234</v>
      </c>
      <c r="C18" s="215">
        <v>934</v>
      </c>
      <c r="D18" s="215">
        <v>1064</v>
      </c>
      <c r="E18" s="215">
        <v>1188</v>
      </c>
      <c r="F18" s="215">
        <v>1253</v>
      </c>
      <c r="G18" s="215">
        <v>1071</v>
      </c>
      <c r="H18" s="215">
        <v>1091</v>
      </c>
      <c r="I18" s="215">
        <v>1032</v>
      </c>
      <c r="J18" s="156">
        <v>928.64400000000023</v>
      </c>
      <c r="K18" s="156">
        <v>1053.7750000000001</v>
      </c>
      <c r="L18" s="215">
        <v>1011.3179999999998</v>
      </c>
      <c r="M18" s="215">
        <v>1385.8990000000003</v>
      </c>
      <c r="N18" s="156">
        <v>1456.9356590800003</v>
      </c>
      <c r="O18" s="156">
        <v>1679.0550000000001</v>
      </c>
      <c r="P18" s="156">
        <v>1827.3509999999999</v>
      </c>
      <c r="Q18" s="156">
        <v>2185.5420000000004</v>
      </c>
      <c r="R18" s="156">
        <f>SUM(R19:R24)</f>
        <v>2326.4129999999996</v>
      </c>
      <c r="S18" s="156">
        <f>SUM(S19:S24)</f>
        <v>2220</v>
      </c>
      <c r="T18" s="156">
        <f>SUM(T19:T24)</f>
        <v>2251</v>
      </c>
      <c r="U18" s="112"/>
      <c r="W18" s="156">
        <f t="shared" ref="W18:W27" si="7">SUM(C18:F18)</f>
        <v>4439</v>
      </c>
      <c r="X18" s="156">
        <f t="shared" ref="X18:X27" si="8">SUM(G18:J18)</f>
        <v>4122.6440000000002</v>
      </c>
      <c r="Y18" s="156">
        <f t="shared" ref="Y18:Y27" si="9">SUM(K18:N18)</f>
        <v>4907.92765908</v>
      </c>
      <c r="Z18" s="156">
        <f t="shared" ref="Z18:Z27" si="10">SUM(O18:R18)</f>
        <v>8018.3609999999999</v>
      </c>
      <c r="AA18" s="156">
        <f t="shared" ref="AA18:AA27" si="11">SUM(S18:T18)</f>
        <v>4471</v>
      </c>
    </row>
    <row r="19" spans="1:27">
      <c r="B19" s="213" t="s">
        <v>122</v>
      </c>
      <c r="C19" s="138">
        <v>553.09609235057394</v>
      </c>
      <c r="D19" s="138">
        <v>557.05699913979527</v>
      </c>
      <c r="E19" s="138">
        <v>609.66926853851214</v>
      </c>
      <c r="F19" s="138">
        <v>567.94835937522396</v>
      </c>
      <c r="G19" s="138">
        <v>479.66249851867582</v>
      </c>
      <c r="H19" s="138">
        <v>487.42272902635767</v>
      </c>
      <c r="I19" s="138">
        <v>514.17413581776941</v>
      </c>
      <c r="J19" s="138">
        <v>450.5246699341136</v>
      </c>
      <c r="K19" s="138">
        <v>533.63734153864732</v>
      </c>
      <c r="L19" s="138">
        <v>484.44212498439589</v>
      </c>
      <c r="M19" s="138">
        <v>693.53169110106739</v>
      </c>
      <c r="N19" s="138">
        <v>756.01544101157367</v>
      </c>
      <c r="O19" s="138">
        <v>793.3901243185702</v>
      </c>
      <c r="P19" s="138">
        <v>899.24109472981183</v>
      </c>
      <c r="Q19" s="138">
        <v>963.03303052974729</v>
      </c>
      <c r="R19" s="138">
        <v>1093.7950000000001</v>
      </c>
      <c r="S19" s="138">
        <v>996</v>
      </c>
      <c r="T19" s="138">
        <v>1029</v>
      </c>
      <c r="W19" s="138">
        <f t="shared" si="7"/>
        <v>2287.7707194041054</v>
      </c>
      <c r="X19" s="138">
        <f t="shared" si="8"/>
        <v>1931.7840332969167</v>
      </c>
      <c r="Y19" s="138">
        <f t="shared" si="9"/>
        <v>2467.6265986356843</v>
      </c>
      <c r="Z19" s="138">
        <f t="shared" si="10"/>
        <v>3749.4592495781294</v>
      </c>
      <c r="AA19" s="138">
        <f t="shared" si="11"/>
        <v>2025</v>
      </c>
    </row>
    <row r="20" spans="1:27">
      <c r="B20" s="214" t="s">
        <v>125</v>
      </c>
      <c r="C20" s="160">
        <v>244.52542915447691</v>
      </c>
      <c r="D20" s="160">
        <v>251.04609711832529</v>
      </c>
      <c r="E20" s="160">
        <v>363.07774358114193</v>
      </c>
      <c r="F20" s="160">
        <v>370.13753624115282</v>
      </c>
      <c r="G20" s="160">
        <v>344.76802799711027</v>
      </c>
      <c r="H20" s="160">
        <v>307.56827956352578</v>
      </c>
      <c r="I20" s="160">
        <v>236.3104009677848</v>
      </c>
      <c r="J20" s="160">
        <v>227.78036486533057</v>
      </c>
      <c r="K20" s="160">
        <v>322.85502547547725</v>
      </c>
      <c r="L20" s="160">
        <v>373.21166363015732</v>
      </c>
      <c r="M20" s="160">
        <v>510.58879007435911</v>
      </c>
      <c r="N20" s="160">
        <v>544.81819778238605</v>
      </c>
      <c r="O20" s="160">
        <v>640.35427580787029</v>
      </c>
      <c r="P20" s="160">
        <v>694.20649913404839</v>
      </c>
      <c r="Q20" s="160">
        <v>797.67413062403568</v>
      </c>
      <c r="R20" s="160">
        <v>826.73078375000023</v>
      </c>
      <c r="S20" s="160">
        <v>839</v>
      </c>
      <c r="T20" s="160">
        <v>821</v>
      </c>
      <c r="W20" s="160">
        <f t="shared" si="7"/>
        <v>1228.7868060950968</v>
      </c>
      <c r="X20" s="160">
        <f t="shared" si="8"/>
        <v>1116.4270733937512</v>
      </c>
      <c r="Y20" s="160">
        <f t="shared" si="9"/>
        <v>1751.4736769623798</v>
      </c>
      <c r="Z20" s="160">
        <f t="shared" si="10"/>
        <v>2958.9656893159545</v>
      </c>
      <c r="AA20" s="160">
        <f t="shared" si="11"/>
        <v>1660</v>
      </c>
    </row>
    <row r="21" spans="1:27">
      <c r="B21" s="213" t="s">
        <v>129</v>
      </c>
      <c r="C21" s="138">
        <v>91.656178556542983</v>
      </c>
      <c r="D21" s="138">
        <v>97.760774404999523</v>
      </c>
      <c r="E21" s="138">
        <v>103.4260536606867</v>
      </c>
      <c r="F21" s="138">
        <v>85.583599629840393</v>
      </c>
      <c r="G21" s="138">
        <v>86.290924335432379</v>
      </c>
      <c r="H21" s="138">
        <v>79.645977411511495</v>
      </c>
      <c r="I21" s="138">
        <v>82.336609168492245</v>
      </c>
      <c r="J21" s="138">
        <v>84.132134038189548</v>
      </c>
      <c r="K21" s="138">
        <v>85.527169093439539</v>
      </c>
      <c r="L21" s="138">
        <v>55.059148784115429</v>
      </c>
      <c r="M21" s="138">
        <v>97.125249678607318</v>
      </c>
      <c r="N21" s="138">
        <v>109.50712615088079</v>
      </c>
      <c r="O21" s="138">
        <v>107.71612064208917</v>
      </c>
      <c r="P21" s="138">
        <v>125.0183261751495</v>
      </c>
      <c r="Q21" s="138">
        <v>134.3253569739685</v>
      </c>
      <c r="R21" s="138">
        <v>142.01752752484998</v>
      </c>
      <c r="S21" s="138">
        <v>217</v>
      </c>
      <c r="T21" s="138">
        <v>248</v>
      </c>
      <c r="W21" s="138">
        <f t="shared" si="7"/>
        <v>378.42660625206963</v>
      </c>
      <c r="X21" s="138">
        <f t="shared" si="8"/>
        <v>332.40564495362571</v>
      </c>
      <c r="Y21" s="138">
        <f t="shared" si="9"/>
        <v>347.21869370704303</v>
      </c>
      <c r="Z21" s="138">
        <f t="shared" si="10"/>
        <v>509.07733131605715</v>
      </c>
      <c r="AA21" s="138">
        <f t="shared" si="11"/>
        <v>465</v>
      </c>
    </row>
    <row r="22" spans="1:27">
      <c r="B22" s="214" t="s">
        <v>132</v>
      </c>
      <c r="C22" s="138">
        <v>139.01577399840613</v>
      </c>
      <c r="D22" s="138">
        <v>293.09987845687999</v>
      </c>
      <c r="E22" s="138">
        <v>253.9535743096591</v>
      </c>
      <c r="F22" s="138">
        <v>316.96106933378292</v>
      </c>
      <c r="G22" s="138">
        <v>188.52993906878157</v>
      </c>
      <c r="H22" s="138">
        <v>217.87542634860483</v>
      </c>
      <c r="I22" s="138">
        <v>217.26705646595366</v>
      </c>
      <c r="J22" s="138">
        <v>223.87774960236661</v>
      </c>
      <c r="K22" s="138">
        <v>189.72239969243611</v>
      </c>
      <c r="L22" s="138">
        <v>179.84913223133114</v>
      </c>
      <c r="M22" s="138">
        <v>231.9677122559664</v>
      </c>
      <c r="N22" s="138">
        <v>268.12939486515972</v>
      </c>
      <c r="O22" s="138">
        <v>361.23134822147051</v>
      </c>
      <c r="P22" s="138">
        <v>365.03545369099038</v>
      </c>
      <c r="Q22" s="138">
        <v>610.1825691822487</v>
      </c>
      <c r="R22" s="138">
        <v>647.10507549514944</v>
      </c>
      <c r="S22" s="138">
        <v>439</v>
      </c>
      <c r="T22" s="138">
        <v>325</v>
      </c>
      <c r="W22" s="138">
        <f t="shared" si="7"/>
        <v>1003.0302960987282</v>
      </c>
      <c r="X22" s="138">
        <f t="shared" si="8"/>
        <v>847.55017148570676</v>
      </c>
      <c r="Y22" s="138">
        <f t="shared" si="9"/>
        <v>869.66863904489333</v>
      </c>
      <c r="Z22" s="138">
        <f t="shared" si="10"/>
        <v>1983.5544465898588</v>
      </c>
      <c r="AA22" s="138">
        <f t="shared" si="11"/>
        <v>764</v>
      </c>
    </row>
    <row r="23" spans="1:27">
      <c r="B23" s="213" t="s">
        <v>233</v>
      </c>
      <c r="C23" s="208">
        <v>-76.293474060000008</v>
      </c>
      <c r="D23" s="208">
        <v>-75.963749120000003</v>
      </c>
      <c r="E23" s="208">
        <v>-90.126640090000009</v>
      </c>
      <c r="F23" s="208">
        <v>-69.630564580000012</v>
      </c>
      <c r="G23" s="208">
        <v>-71.251389920000008</v>
      </c>
      <c r="H23" s="208">
        <v>-58.512412349999991</v>
      </c>
      <c r="I23" s="208">
        <v>-57.088202420000002</v>
      </c>
      <c r="J23" s="208">
        <v>-66.670918440000023</v>
      </c>
      <c r="K23" s="208">
        <v>-74.028900960000001</v>
      </c>
      <c r="L23" s="208">
        <v>-47.155250169999988</v>
      </c>
      <c r="M23" s="208">
        <v>-62.682487130000027</v>
      </c>
      <c r="N23" s="208">
        <v>-96.281826409999994</v>
      </c>
      <c r="O23" s="208">
        <v>-76.913868990000381</v>
      </c>
      <c r="P23" s="208">
        <v>-74.142633320000002</v>
      </c>
      <c r="Q23" s="208">
        <v>-91.204280699999984</v>
      </c>
      <c r="R23" s="208">
        <v>-102.72135132</v>
      </c>
      <c r="S23" s="208">
        <v>-150</v>
      </c>
      <c r="T23" s="138">
        <v>-154</v>
      </c>
      <c r="W23" s="208">
        <f t="shared" si="7"/>
        <v>-312.01442785</v>
      </c>
      <c r="X23" s="208">
        <f t="shared" si="8"/>
        <v>-253.52292313000004</v>
      </c>
      <c r="Y23" s="208">
        <f t="shared" si="9"/>
        <v>-280.14846467000001</v>
      </c>
      <c r="Z23" s="208">
        <f t="shared" si="10"/>
        <v>-344.98213433000035</v>
      </c>
      <c r="AA23" s="208">
        <f t="shared" si="11"/>
        <v>-304</v>
      </c>
    </row>
    <row r="24" spans="1:27">
      <c r="B24" s="213" t="s">
        <v>238</v>
      </c>
      <c r="C24" s="208">
        <v>-18</v>
      </c>
      <c r="D24" s="208">
        <v>-59</v>
      </c>
      <c r="E24" s="208">
        <v>-52</v>
      </c>
      <c r="F24" s="208">
        <v>-18</v>
      </c>
      <c r="G24" s="208">
        <v>43</v>
      </c>
      <c r="H24" s="208">
        <v>57</v>
      </c>
      <c r="I24" s="208">
        <v>39</v>
      </c>
      <c r="J24" s="208">
        <v>9</v>
      </c>
      <c r="K24" s="208">
        <v>-3.9380348399999998</v>
      </c>
      <c r="L24" s="208">
        <v>-34.088819459999996</v>
      </c>
      <c r="M24" s="208">
        <v>-84.631955980000001</v>
      </c>
      <c r="N24" s="208">
        <v>-125.25267432</v>
      </c>
      <c r="O24" s="208">
        <f>-146723/1000</f>
        <v>-146.72300000000001</v>
      </c>
      <c r="P24" s="208">
        <v>-182.00774041000003</v>
      </c>
      <c r="Q24" s="208">
        <v>-228.46880660999994</v>
      </c>
      <c r="R24" s="208">
        <v>-280.51403544999999</v>
      </c>
      <c r="S24" s="208">
        <v>-121</v>
      </c>
      <c r="T24" s="138">
        <v>-18</v>
      </c>
      <c r="W24" s="208">
        <f t="shared" si="7"/>
        <v>-147</v>
      </c>
      <c r="X24" s="208">
        <f t="shared" si="8"/>
        <v>148</v>
      </c>
      <c r="Y24" s="208">
        <f t="shared" si="9"/>
        <v>-247.91148459999999</v>
      </c>
      <c r="Z24" s="208">
        <f t="shared" si="10"/>
        <v>-837.71358246999989</v>
      </c>
      <c r="AA24" s="208">
        <f t="shared" si="11"/>
        <v>-139</v>
      </c>
    </row>
    <row r="25" spans="1:27">
      <c r="B25" s="76" t="s">
        <v>239</v>
      </c>
      <c r="C25" s="138">
        <v>152</v>
      </c>
      <c r="D25" s="138">
        <v>200</v>
      </c>
      <c r="E25" s="138">
        <v>254</v>
      </c>
      <c r="F25" s="138">
        <v>216</v>
      </c>
      <c r="G25" s="138">
        <v>142</v>
      </c>
      <c r="H25" s="138">
        <v>166</v>
      </c>
      <c r="I25" s="138">
        <v>124</v>
      </c>
      <c r="J25" s="149">
        <v>84.625999999999976</v>
      </c>
      <c r="K25" s="149">
        <v>101.333</v>
      </c>
      <c r="L25" s="138">
        <v>80.908000000000015</v>
      </c>
      <c r="M25" s="138">
        <v>188.83199999999997</v>
      </c>
      <c r="N25" s="149">
        <v>189.07705261627933</v>
      </c>
      <c r="O25" s="149">
        <v>291.08800000000002</v>
      </c>
      <c r="P25" s="149">
        <v>395.56599999999997</v>
      </c>
      <c r="Q25" s="149">
        <v>358.38799999999986</v>
      </c>
      <c r="R25" s="149">
        <v>386.78300000000013</v>
      </c>
      <c r="S25" s="149">
        <f>611762/1000</f>
        <v>611.76199999999994</v>
      </c>
      <c r="T25" s="149">
        <v>678</v>
      </c>
      <c r="U25" s="112"/>
      <c r="V25" s="274"/>
      <c r="W25" s="149">
        <f t="shared" si="7"/>
        <v>822</v>
      </c>
      <c r="X25" s="149">
        <f t="shared" si="8"/>
        <v>516.62599999999998</v>
      </c>
      <c r="Y25" s="149">
        <f t="shared" si="9"/>
        <v>560.15005261627925</v>
      </c>
      <c r="Z25" s="149">
        <f t="shared" si="10"/>
        <v>1431.825</v>
      </c>
      <c r="AA25" s="149">
        <f t="shared" si="11"/>
        <v>1289.7619999999999</v>
      </c>
    </row>
    <row r="26" spans="1:27">
      <c r="B26" s="73" t="s">
        <v>180</v>
      </c>
      <c r="C26" s="160">
        <v>230</v>
      </c>
      <c r="D26" s="160">
        <v>209</v>
      </c>
      <c r="E26" s="160">
        <v>246</v>
      </c>
      <c r="F26" s="160">
        <v>208.92999999999995</v>
      </c>
      <c r="G26" s="160">
        <v>171</v>
      </c>
      <c r="H26" s="160">
        <v>353</v>
      </c>
      <c r="I26" s="160">
        <v>133</v>
      </c>
      <c r="J26" s="162">
        <v>197.80700000000002</v>
      </c>
      <c r="K26" s="162">
        <v>115.73099999999999</v>
      </c>
      <c r="L26" s="160">
        <v>189.16899999999998</v>
      </c>
      <c r="M26" s="160">
        <v>193.32900000000001</v>
      </c>
      <c r="N26" s="162">
        <v>185.32234302000001</v>
      </c>
      <c r="O26" s="162">
        <v>208.874</v>
      </c>
      <c r="P26" s="162">
        <v>389.64</v>
      </c>
      <c r="Q26" s="162">
        <f>970594/1000-SUM(O26:P26)</f>
        <v>372.08000000000004</v>
      </c>
      <c r="R26" s="162">
        <v>411.81700000000001</v>
      </c>
      <c r="S26" s="162">
        <f>615753/1000</f>
        <v>615.75300000000004</v>
      </c>
      <c r="T26" s="149">
        <v>680</v>
      </c>
      <c r="V26" s="274"/>
      <c r="W26" s="162">
        <f t="shared" si="7"/>
        <v>893.93</v>
      </c>
      <c r="X26" s="162">
        <f t="shared" si="8"/>
        <v>854.80700000000002</v>
      </c>
      <c r="Y26" s="162">
        <f t="shared" si="9"/>
        <v>683.55134301999999</v>
      </c>
      <c r="Z26" s="162">
        <f t="shared" si="10"/>
        <v>1382.4110000000001</v>
      </c>
      <c r="AA26" s="162">
        <f t="shared" si="11"/>
        <v>1295.7530000000002</v>
      </c>
    </row>
    <row r="27" spans="1:27">
      <c r="B27" s="76" t="s">
        <v>236</v>
      </c>
      <c r="C27" s="138">
        <v>69</v>
      </c>
      <c r="D27" s="138">
        <v>69</v>
      </c>
      <c r="E27" s="138">
        <v>67</v>
      </c>
      <c r="F27" s="138">
        <v>68</v>
      </c>
      <c r="G27" s="138">
        <v>90</v>
      </c>
      <c r="H27" s="138">
        <v>135</v>
      </c>
      <c r="I27" s="138">
        <v>82</v>
      </c>
      <c r="J27" s="149">
        <v>125.61099999999999</v>
      </c>
      <c r="K27" s="149">
        <v>83.760999999999996</v>
      </c>
      <c r="L27" s="138">
        <v>102.79500000000002</v>
      </c>
      <c r="M27" s="138">
        <v>95.753999999999991</v>
      </c>
      <c r="N27" s="149">
        <v>118.51225635999998</v>
      </c>
      <c r="O27" s="149">
        <v>105.289</v>
      </c>
      <c r="P27" s="149">
        <v>118.18599999999999</v>
      </c>
      <c r="Q27" s="149">
        <v>127.67300000000003</v>
      </c>
      <c r="R27" s="149">
        <v>111.28099999999995</v>
      </c>
      <c r="S27" s="149">
        <f>119971/1000</f>
        <v>119.971</v>
      </c>
      <c r="T27" s="149">
        <v>115</v>
      </c>
      <c r="V27" s="274"/>
      <c r="W27" s="149">
        <f t="shared" si="7"/>
        <v>273</v>
      </c>
      <c r="X27" s="149">
        <f t="shared" si="8"/>
        <v>432.61099999999999</v>
      </c>
      <c r="Y27" s="149">
        <f t="shared" si="9"/>
        <v>400.82225635999998</v>
      </c>
      <c r="Z27" s="149">
        <f t="shared" si="10"/>
        <v>462.42899999999997</v>
      </c>
      <c r="AA27" s="149">
        <f t="shared" si="11"/>
        <v>234.971</v>
      </c>
    </row>
    <row r="28" spans="1:27" ht="7.5" customHeight="1">
      <c r="B28" s="73"/>
      <c r="C28" s="156"/>
      <c r="D28" s="156"/>
      <c r="E28" s="156"/>
      <c r="F28" s="156"/>
      <c r="G28" s="156"/>
      <c r="H28" s="156"/>
      <c r="I28" s="156"/>
      <c r="J28" s="161"/>
      <c r="K28" s="161"/>
      <c r="L28" s="156"/>
      <c r="M28" s="156"/>
      <c r="N28" s="161"/>
      <c r="O28" s="161"/>
      <c r="P28" s="161"/>
      <c r="Q28" s="161"/>
      <c r="R28" s="161"/>
      <c r="S28" s="161"/>
      <c r="T28" s="161"/>
      <c r="V28" s="274"/>
    </row>
    <row r="29" spans="1:27">
      <c r="B29" s="73"/>
      <c r="C29" s="163"/>
      <c r="D29" s="163"/>
      <c r="E29" s="163"/>
      <c r="F29" s="163"/>
      <c r="G29" s="163"/>
      <c r="H29" s="163"/>
      <c r="I29" s="163"/>
      <c r="J29" s="163"/>
      <c r="K29" s="163"/>
      <c r="L29" s="163"/>
      <c r="M29" s="163"/>
      <c r="N29" s="163"/>
      <c r="O29" s="163"/>
      <c r="P29" s="163"/>
      <c r="Q29" s="163"/>
      <c r="R29" s="163"/>
      <c r="S29" s="163"/>
      <c r="T29" s="163"/>
      <c r="V29" s="274"/>
    </row>
    <row r="30" spans="1:27" ht="14.5" customHeight="1" thickBot="1">
      <c r="A30" s="53"/>
      <c r="B30" s="74" t="s">
        <v>240</v>
      </c>
      <c r="C30" s="155"/>
      <c r="D30" s="155"/>
      <c r="E30" s="155"/>
      <c r="F30" s="155"/>
      <c r="G30" s="155"/>
      <c r="H30" s="155"/>
      <c r="I30" s="155"/>
      <c r="J30" s="164"/>
      <c r="K30" s="164"/>
      <c r="L30" s="155"/>
      <c r="M30" s="155"/>
      <c r="N30" s="164"/>
      <c r="O30" s="164"/>
      <c r="P30" s="164"/>
      <c r="Q30" s="164"/>
      <c r="R30" s="164"/>
      <c r="S30" s="164"/>
      <c r="T30" s="164"/>
      <c r="V30" s="274"/>
      <c r="W30" s="164"/>
      <c r="X30" s="164"/>
      <c r="Y30" s="164"/>
      <c r="Z30" s="164"/>
      <c r="AA30" s="164"/>
    </row>
    <row r="31" spans="1:27" s="55" customFormat="1">
      <c r="B31" s="139" t="s">
        <v>234</v>
      </c>
      <c r="C31" s="160">
        <v>253</v>
      </c>
      <c r="D31" s="160">
        <v>281</v>
      </c>
      <c r="E31" s="160">
        <v>323</v>
      </c>
      <c r="F31" s="160">
        <v>300.47600000000011</v>
      </c>
      <c r="G31" s="160">
        <v>309</v>
      </c>
      <c r="H31" s="160">
        <v>342</v>
      </c>
      <c r="I31" s="160">
        <v>368</v>
      </c>
      <c r="J31" s="161">
        <v>421.63499999999999</v>
      </c>
      <c r="K31" s="161">
        <v>264.63499999999999</v>
      </c>
      <c r="L31" s="160">
        <v>158.01834138108001</v>
      </c>
      <c r="M31" s="160">
        <v>183.00000000000006</v>
      </c>
      <c r="N31" s="161">
        <v>189.13165861891991</v>
      </c>
      <c r="O31" s="161">
        <v>185.25</v>
      </c>
      <c r="P31" s="161">
        <v>152.04500000000002</v>
      </c>
      <c r="Q31" s="161">
        <v>206.58599999999996</v>
      </c>
      <c r="R31" s="161">
        <v>182.52500000000001</v>
      </c>
      <c r="S31" s="161">
        <f>152157/1000</f>
        <v>152.15700000000001</v>
      </c>
      <c r="T31" s="161">
        <v>156</v>
      </c>
      <c r="V31" s="275"/>
      <c r="W31" s="161">
        <f>SUM(C31:F31)</f>
        <v>1157.4760000000001</v>
      </c>
      <c r="X31" s="161">
        <f t="shared" ref="X31:X34" si="12">SUM(G31:J31)</f>
        <v>1440.635</v>
      </c>
      <c r="Y31" s="161">
        <f t="shared" ref="Y31:Y34" si="13">SUM(K31:N31)</f>
        <v>794.78499999999997</v>
      </c>
      <c r="Z31" s="161">
        <f t="shared" ref="Z31:Z34" si="14">SUM(O31:R31)</f>
        <v>726.40599999999995</v>
      </c>
      <c r="AA31" s="161">
        <f t="shared" ref="AA31:AA34" si="15">SUM(S31:T31)</f>
        <v>308.15700000000004</v>
      </c>
    </row>
    <row r="32" spans="1:27">
      <c r="B32" s="76" t="s">
        <v>239</v>
      </c>
      <c r="C32" s="138">
        <v>82</v>
      </c>
      <c r="D32" s="138">
        <v>74</v>
      </c>
      <c r="E32" s="138">
        <v>15</v>
      </c>
      <c r="F32" s="138">
        <v>-12.567000000000007</v>
      </c>
      <c r="G32" s="138">
        <v>74</v>
      </c>
      <c r="H32" s="138">
        <v>38</v>
      </c>
      <c r="I32" s="138">
        <v>27</v>
      </c>
      <c r="J32" s="149">
        <v>44.276999999999987</v>
      </c>
      <c r="K32" s="149">
        <v>53.796999999999997</v>
      </c>
      <c r="L32" s="138">
        <v>-2.8000410643239775</v>
      </c>
      <c r="M32" s="138">
        <v>11</v>
      </c>
      <c r="N32" s="149">
        <v>0.74004106432398231</v>
      </c>
      <c r="O32" s="149">
        <v>157.47300000000001</v>
      </c>
      <c r="P32" s="149">
        <v>-4.7300000000000182</v>
      </c>
      <c r="Q32" s="149">
        <v>-39.588999999999999</v>
      </c>
      <c r="R32" s="149">
        <v>104.292</v>
      </c>
      <c r="S32" s="149">
        <f>-49786/1000</f>
        <v>-49.786000000000001</v>
      </c>
      <c r="T32" s="149">
        <v>-4</v>
      </c>
      <c r="U32" s="112"/>
      <c r="V32" s="274"/>
      <c r="W32" s="149">
        <f t="shared" ref="W32:W34" si="16">SUM(C32:F32)</f>
        <v>158.43299999999999</v>
      </c>
      <c r="X32" s="149">
        <f t="shared" si="12"/>
        <v>183.27699999999999</v>
      </c>
      <c r="Y32" s="149">
        <f t="shared" si="13"/>
        <v>62.737000000000002</v>
      </c>
      <c r="Z32" s="149">
        <f t="shared" si="14"/>
        <v>217.446</v>
      </c>
      <c r="AA32" s="149">
        <f t="shared" si="15"/>
        <v>-53.786000000000001</v>
      </c>
    </row>
    <row r="33" spans="1:27" ht="14.5">
      <c r="A33" s="57"/>
      <c r="B33" s="73" t="s">
        <v>180</v>
      </c>
      <c r="C33" s="160">
        <v>50</v>
      </c>
      <c r="D33" s="160">
        <v>72</v>
      </c>
      <c r="E33" s="160">
        <v>0</v>
      </c>
      <c r="F33" s="160">
        <v>66</v>
      </c>
      <c r="G33" s="160">
        <v>79</v>
      </c>
      <c r="H33" s="160">
        <v>47</v>
      </c>
      <c r="I33" s="160">
        <v>35</v>
      </c>
      <c r="J33" s="162">
        <v>53</v>
      </c>
      <c r="K33" s="162">
        <v>59.456000000000003</v>
      </c>
      <c r="L33" s="160">
        <v>3.0051083134261987</v>
      </c>
      <c r="M33" s="160">
        <v>17</v>
      </c>
      <c r="N33" s="162">
        <v>2.5388916865738054</v>
      </c>
      <c r="O33" s="162">
        <v>162.88999999999999</v>
      </c>
      <c r="P33" s="162">
        <v>-3.1279999999999859</v>
      </c>
      <c r="Q33" s="162">
        <v>-47.959000000000003</v>
      </c>
      <c r="R33" s="162">
        <v>99.548000000000002</v>
      </c>
      <c r="S33" s="162">
        <f>-50249/1000</f>
        <v>-50.249000000000002</v>
      </c>
      <c r="T33" s="162">
        <v>-2</v>
      </c>
      <c r="V33" s="274"/>
      <c r="W33" s="162">
        <f t="shared" si="16"/>
        <v>188</v>
      </c>
      <c r="X33" s="162">
        <f t="shared" si="12"/>
        <v>214</v>
      </c>
      <c r="Y33" s="162">
        <f t="shared" si="13"/>
        <v>82</v>
      </c>
      <c r="Z33" s="162">
        <f t="shared" si="14"/>
        <v>211.351</v>
      </c>
      <c r="AA33" s="162">
        <f t="shared" si="15"/>
        <v>-52.249000000000002</v>
      </c>
    </row>
    <row r="34" spans="1:27">
      <c r="B34" s="76" t="s">
        <v>236</v>
      </c>
      <c r="C34" s="138">
        <v>5</v>
      </c>
      <c r="D34" s="138">
        <v>9</v>
      </c>
      <c r="E34" s="138">
        <v>8</v>
      </c>
      <c r="F34" s="138">
        <v>7.2020000000000017</v>
      </c>
      <c r="G34" s="138">
        <v>7</v>
      </c>
      <c r="H34" s="138">
        <v>7</v>
      </c>
      <c r="I34" s="138">
        <v>8</v>
      </c>
      <c r="J34" s="149">
        <v>6.9420000000000002</v>
      </c>
      <c r="K34" s="149">
        <v>7.2370000000000001</v>
      </c>
      <c r="L34" s="138">
        <v>7.2406488253584804</v>
      </c>
      <c r="M34" s="138">
        <v>7.9999999999999982</v>
      </c>
      <c r="N34" s="149">
        <v>6.6383511746415209</v>
      </c>
      <c r="O34" s="149">
        <v>7.2249999999999996</v>
      </c>
      <c r="P34" s="149">
        <v>7.2420000000000009</v>
      </c>
      <c r="Q34" s="149">
        <v>8.6010000000000009</v>
      </c>
      <c r="R34" s="149">
        <v>7.3989999999999974</v>
      </c>
      <c r="S34" s="149">
        <f>7739/1000</f>
        <v>7.7389999999999999</v>
      </c>
      <c r="T34" s="149">
        <v>8</v>
      </c>
      <c r="V34" s="274"/>
      <c r="W34" s="149">
        <f t="shared" si="16"/>
        <v>29.202000000000002</v>
      </c>
      <c r="X34" s="149">
        <f t="shared" si="12"/>
        <v>28.942</v>
      </c>
      <c r="Y34" s="149">
        <f t="shared" si="13"/>
        <v>29.116</v>
      </c>
      <c r="Z34" s="149">
        <f t="shared" si="14"/>
        <v>30.466999999999999</v>
      </c>
      <c r="AA34" s="149">
        <f t="shared" si="15"/>
        <v>15.739000000000001</v>
      </c>
    </row>
    <row r="35" spans="1:27" ht="7.5" customHeight="1">
      <c r="B35" s="73"/>
      <c r="C35" s="156"/>
      <c r="D35" s="156"/>
      <c r="E35" s="156"/>
      <c r="F35" s="156"/>
      <c r="G35" s="156"/>
      <c r="H35" s="156"/>
      <c r="I35" s="156"/>
      <c r="J35" s="161"/>
      <c r="K35" s="161"/>
      <c r="L35" s="156"/>
      <c r="M35" s="156"/>
      <c r="N35" s="161"/>
      <c r="O35" s="161"/>
      <c r="P35" s="161"/>
      <c r="Q35" s="161"/>
      <c r="R35" s="161"/>
      <c r="S35" s="161"/>
      <c r="T35" s="161"/>
      <c r="V35" s="274"/>
      <c r="W35" s="161"/>
      <c r="X35" s="161"/>
      <c r="Y35" s="161"/>
      <c r="Z35" s="161"/>
      <c r="AA35" s="161"/>
    </row>
    <row r="36" spans="1:27">
      <c r="B36" s="73"/>
      <c r="C36" s="163"/>
      <c r="D36" s="163"/>
      <c r="E36" s="163"/>
      <c r="F36" s="163"/>
      <c r="G36" s="163"/>
      <c r="H36" s="163"/>
      <c r="I36" s="163"/>
      <c r="J36" s="163"/>
      <c r="K36" s="163"/>
      <c r="L36" s="163"/>
      <c r="M36" s="163"/>
      <c r="N36" s="163"/>
      <c r="O36" s="163"/>
      <c r="P36" s="163"/>
      <c r="Q36" s="163"/>
      <c r="R36" s="163"/>
      <c r="S36" s="163"/>
      <c r="T36" s="163"/>
      <c r="V36" s="274"/>
      <c r="W36" s="163"/>
      <c r="X36" s="163"/>
      <c r="Y36" s="163"/>
      <c r="Z36" s="163"/>
      <c r="AA36" s="163"/>
    </row>
    <row r="37" spans="1:27" ht="14.5" customHeight="1" thickBot="1">
      <c r="A37" s="53"/>
      <c r="B37" s="74" t="s">
        <v>241</v>
      </c>
      <c r="C37" s="155"/>
      <c r="D37" s="155"/>
      <c r="E37" s="155"/>
      <c r="F37" s="155"/>
      <c r="G37" s="155"/>
      <c r="H37" s="155"/>
      <c r="I37" s="155"/>
      <c r="J37" s="164"/>
      <c r="K37" s="164"/>
      <c r="L37" s="155"/>
      <c r="M37" s="155"/>
      <c r="N37" s="164"/>
      <c r="O37" s="164"/>
      <c r="P37" s="164"/>
      <c r="Q37" s="164"/>
      <c r="R37" s="164"/>
      <c r="S37" s="164"/>
      <c r="T37" s="164"/>
      <c r="V37" s="274"/>
      <c r="W37" s="164"/>
      <c r="X37" s="164"/>
      <c r="Y37" s="164"/>
      <c r="Z37" s="164"/>
      <c r="AA37" s="164"/>
    </row>
    <row r="38" spans="1:27" s="55" customFormat="1">
      <c r="B38" s="139" t="s">
        <v>234</v>
      </c>
      <c r="C38" s="160">
        <v>16</v>
      </c>
      <c r="D38" s="160">
        <v>10</v>
      </c>
      <c r="E38" s="160">
        <v>9</v>
      </c>
      <c r="F38" s="160">
        <v>3</v>
      </c>
      <c r="G38" s="160">
        <v>1</v>
      </c>
      <c r="H38" s="160">
        <v>2</v>
      </c>
      <c r="I38" s="160">
        <v>0</v>
      </c>
      <c r="J38" s="161">
        <v>5.0429999999999993</v>
      </c>
      <c r="K38" s="161">
        <v>2.7530000000000001</v>
      </c>
      <c r="L38" s="160">
        <v>4.5996612800000003</v>
      </c>
      <c r="M38" s="160">
        <v>1.9999999999999991</v>
      </c>
      <c r="N38" s="161">
        <v>4.3233387200000006</v>
      </c>
      <c r="O38" s="161">
        <v>7.1280000000000001</v>
      </c>
      <c r="P38" s="161">
        <v>10.119</v>
      </c>
      <c r="Q38" s="161">
        <v>6.5489999999999995</v>
      </c>
      <c r="R38" s="161">
        <v>2.1129999999999995</v>
      </c>
      <c r="S38" s="161">
        <f>3235/1000</f>
        <v>3.2349999999999999</v>
      </c>
      <c r="T38" s="161">
        <v>13</v>
      </c>
      <c r="U38" s="56"/>
      <c r="V38" s="275"/>
      <c r="W38" s="161">
        <f t="shared" ref="W38:W41" si="17">SUM(C38:F38)</f>
        <v>38</v>
      </c>
      <c r="X38" s="161">
        <f t="shared" ref="X38:X41" si="18">SUM(G38:J38)</f>
        <v>8.0429999999999993</v>
      </c>
      <c r="Y38" s="161">
        <f t="shared" ref="Y38:Y41" si="19">SUM(K38:N38)</f>
        <v>13.676</v>
      </c>
      <c r="Z38" s="161">
        <f t="shared" ref="Z38:Z41" si="20">SUM(O38:R38)</f>
        <v>25.908999999999999</v>
      </c>
      <c r="AA38" s="161">
        <f t="shared" ref="AA38:AA41" si="21">SUM(S38:T38)</f>
        <v>16.234999999999999</v>
      </c>
    </row>
    <row r="39" spans="1:27">
      <c r="B39" s="76" t="s">
        <v>239</v>
      </c>
      <c r="C39" s="138">
        <v>-15</v>
      </c>
      <c r="D39" s="138">
        <v>-8</v>
      </c>
      <c r="E39" s="138">
        <v>-3</v>
      </c>
      <c r="F39" s="138">
        <v>-5</v>
      </c>
      <c r="G39" s="138">
        <v>-7</v>
      </c>
      <c r="H39" s="138">
        <v>-16</v>
      </c>
      <c r="I39" s="138">
        <v>-10</v>
      </c>
      <c r="J39" s="149">
        <v>-9.3359999999999985</v>
      </c>
      <c r="K39" s="149">
        <v>-6.9859999999999998</v>
      </c>
      <c r="L39" s="138">
        <v>-14.373766489999998</v>
      </c>
      <c r="M39" s="138">
        <v>-9</v>
      </c>
      <c r="N39" s="149">
        <v>-11.85723351</v>
      </c>
      <c r="O39" s="149">
        <v>-4.7750000000000004</v>
      </c>
      <c r="P39" s="149">
        <v>-4.4789999999999992</v>
      </c>
      <c r="Q39" s="149">
        <v>-8.8330000000000002</v>
      </c>
      <c r="R39" s="149">
        <v>-7.4759999999999991</v>
      </c>
      <c r="S39" s="149">
        <f>-8026/1000</f>
        <v>-8.0259999999999998</v>
      </c>
      <c r="T39" s="149">
        <v>-12</v>
      </c>
      <c r="U39" s="112"/>
      <c r="V39" s="274"/>
      <c r="W39" s="149">
        <f t="shared" si="17"/>
        <v>-31</v>
      </c>
      <c r="X39" s="149">
        <f t="shared" si="18"/>
        <v>-42.335999999999999</v>
      </c>
      <c r="Y39" s="149">
        <f t="shared" si="19"/>
        <v>-42.216999999999999</v>
      </c>
      <c r="Z39" s="149">
        <f t="shared" si="20"/>
        <v>-25.562999999999999</v>
      </c>
      <c r="AA39" s="149">
        <f t="shared" si="21"/>
        <v>-20.026</v>
      </c>
    </row>
    <row r="40" spans="1:27" ht="14.5">
      <c r="A40" s="57"/>
      <c r="B40" s="73" t="s">
        <v>180</v>
      </c>
      <c r="C40" s="160">
        <v>-41</v>
      </c>
      <c r="D40" s="160">
        <v>-18</v>
      </c>
      <c r="E40" s="160">
        <v>-17</v>
      </c>
      <c r="F40" s="160">
        <v>-26.727000000000004</v>
      </c>
      <c r="G40" s="160">
        <v>-20</v>
      </c>
      <c r="H40" s="160">
        <v>-55</v>
      </c>
      <c r="I40" s="160">
        <v>-39</v>
      </c>
      <c r="J40" s="162">
        <v>34.388000000000005</v>
      </c>
      <c r="K40" s="162">
        <v>-13.361000000000001</v>
      </c>
      <c r="L40" s="160">
        <v>-20.219407809999996</v>
      </c>
      <c r="M40" s="160">
        <v>-51</v>
      </c>
      <c r="N40" s="162">
        <v>-18.754592189999997</v>
      </c>
      <c r="O40" s="162">
        <v>-11.343</v>
      </c>
      <c r="P40" s="162">
        <v>-23.138000000000002</v>
      </c>
      <c r="Q40" s="162">
        <v>-10.479999999999997</v>
      </c>
      <c r="R40" s="162">
        <v>-11.844000000000001</v>
      </c>
      <c r="S40" s="162">
        <f>-13169/1000</f>
        <v>-13.169</v>
      </c>
      <c r="T40" s="162">
        <v>-37</v>
      </c>
      <c r="W40" s="162">
        <f t="shared" si="17"/>
        <v>-102.727</v>
      </c>
      <c r="X40" s="162">
        <f t="shared" si="18"/>
        <v>-79.611999999999995</v>
      </c>
      <c r="Y40" s="162">
        <f t="shared" si="19"/>
        <v>-103.33499999999999</v>
      </c>
      <c r="Z40" s="162">
        <f t="shared" si="20"/>
        <v>-56.805</v>
      </c>
      <c r="AA40" s="162">
        <f t="shared" si="21"/>
        <v>-50.168999999999997</v>
      </c>
    </row>
    <row r="41" spans="1:27">
      <c r="B41" s="76" t="s">
        <v>236</v>
      </c>
      <c r="C41" s="138">
        <v>1</v>
      </c>
      <c r="D41" s="138">
        <v>0</v>
      </c>
      <c r="E41" s="138">
        <v>0</v>
      </c>
      <c r="F41" s="138">
        <v>0</v>
      </c>
      <c r="G41" s="138">
        <v>0</v>
      </c>
      <c r="H41" s="138">
        <v>0</v>
      </c>
      <c r="I41" s="138">
        <v>0</v>
      </c>
      <c r="J41" s="149">
        <v>1.008</v>
      </c>
      <c r="K41" s="149">
        <v>0.378</v>
      </c>
      <c r="L41" s="138">
        <v>0</v>
      </c>
      <c r="M41" s="138">
        <v>0</v>
      </c>
      <c r="N41" s="149">
        <v>1.907</v>
      </c>
      <c r="O41" s="149">
        <v>0.58599999999999997</v>
      </c>
      <c r="P41" s="149">
        <v>0.71299999999999997</v>
      </c>
      <c r="Q41" s="149">
        <v>0.87</v>
      </c>
      <c r="R41" s="149">
        <v>0.98</v>
      </c>
      <c r="S41" s="149">
        <f>1018/1000</f>
        <v>1.018</v>
      </c>
      <c r="T41" s="149">
        <v>1</v>
      </c>
      <c r="W41" s="149">
        <f t="shared" si="17"/>
        <v>1</v>
      </c>
      <c r="X41" s="149">
        <f t="shared" si="18"/>
        <v>1.008</v>
      </c>
      <c r="Y41" s="149">
        <f t="shared" si="19"/>
        <v>2.2850000000000001</v>
      </c>
      <c r="Z41" s="149">
        <f t="shared" si="20"/>
        <v>3.149</v>
      </c>
      <c r="AA41" s="149">
        <f t="shared" si="21"/>
        <v>2.0179999999999998</v>
      </c>
    </row>
    <row r="42" spans="1:27">
      <c r="B42" s="73"/>
      <c r="C42" s="156"/>
      <c r="D42" s="156"/>
      <c r="E42" s="156"/>
      <c r="F42" s="156"/>
      <c r="G42" s="156"/>
      <c r="H42" s="156"/>
      <c r="I42" s="156"/>
      <c r="J42" s="156"/>
      <c r="K42" s="156"/>
      <c r="L42" s="156"/>
      <c r="M42" s="156"/>
      <c r="N42" s="156"/>
      <c r="O42" s="156"/>
      <c r="P42" s="156"/>
      <c r="Q42" s="156"/>
      <c r="R42" s="156"/>
      <c r="S42" s="156"/>
      <c r="T42" s="156"/>
    </row>
    <row r="43" spans="1:27" s="58" customFormat="1" ht="14.15" customHeight="1">
      <c r="B43" s="165" t="s">
        <v>227</v>
      </c>
      <c r="C43" s="152">
        <v>3.2433000000000001</v>
      </c>
      <c r="D43" s="152">
        <v>3.6055999999999999</v>
      </c>
      <c r="E43" s="152">
        <v>3.9504999999999999</v>
      </c>
      <c r="F43" s="152">
        <v>3.8083999999999998</v>
      </c>
      <c r="G43" s="152">
        <v>3.7684000000000002</v>
      </c>
      <c r="H43" s="152">
        <v>3.92</v>
      </c>
      <c r="I43" s="152">
        <v>3.97</v>
      </c>
      <c r="J43" s="152">
        <v>4.1158000000000001</v>
      </c>
      <c r="K43" s="152">
        <v>4.4657</v>
      </c>
      <c r="L43" s="152">
        <v>5.3853999999999997</v>
      </c>
      <c r="M43" s="152">
        <v>5.3772000000000002</v>
      </c>
      <c r="N43" s="152">
        <v>5.3921000000000001</v>
      </c>
      <c r="O43" s="152">
        <v>5.4832999999999998</v>
      </c>
      <c r="P43" s="152">
        <v>5.2907241935483889</v>
      </c>
      <c r="Q43" s="152">
        <v>5.23</v>
      </c>
      <c r="R43" s="152">
        <v>5.59</v>
      </c>
      <c r="S43" s="152">
        <v>5.23</v>
      </c>
      <c r="T43" s="152">
        <v>4.9265612903225815</v>
      </c>
      <c r="W43" s="152">
        <v>3.6557843999999999</v>
      </c>
      <c r="X43" s="152">
        <v>3.9461185770751004</v>
      </c>
      <c r="Y43" s="152">
        <v>5.157772908366538</v>
      </c>
      <c r="Z43" s="152">
        <v>5.3955605577689196</v>
      </c>
      <c r="AA43" s="152"/>
    </row>
    <row r="44" spans="1:27" s="111" customFormat="1" ht="14.5">
      <c r="B44" s="165" t="s">
        <v>228</v>
      </c>
      <c r="C44" s="152">
        <v>3.3237999999999999</v>
      </c>
      <c r="D44" s="152">
        <v>3.8557999999999999</v>
      </c>
      <c r="E44" s="152">
        <v>4.0038999999999998</v>
      </c>
      <c r="F44" s="152">
        <v>3.8748</v>
      </c>
      <c r="G44" s="152">
        <v>3.8967000000000001</v>
      </c>
      <c r="H44" s="152">
        <v>3.83</v>
      </c>
      <c r="I44" s="152">
        <v>4.16</v>
      </c>
      <c r="J44" s="152">
        <v>4.0307000000000004</v>
      </c>
      <c r="K44" s="152">
        <v>5.1986999999999997</v>
      </c>
      <c r="L44" s="152">
        <v>5.476</v>
      </c>
      <c r="M44" s="152">
        <v>5.6406999999999998</v>
      </c>
      <c r="N44" s="152">
        <v>5.1966999999999999</v>
      </c>
      <c r="O44" s="152">
        <v>5.6973000000000003</v>
      </c>
      <c r="P44" s="152">
        <v>5.0022000000000002</v>
      </c>
      <c r="Q44" s="152">
        <v>5.44</v>
      </c>
      <c r="R44" s="152">
        <v>5.58</v>
      </c>
      <c r="S44" s="152">
        <v>4.74</v>
      </c>
      <c r="T44" s="152">
        <v>5.2380000000000004</v>
      </c>
      <c r="W44" s="152">
        <v>3.8748</v>
      </c>
      <c r="X44" s="152">
        <v>4.0307000000000004</v>
      </c>
      <c r="Y44" s="152">
        <v>5.1966999999999999</v>
      </c>
      <c r="Z44" s="152">
        <v>5.58</v>
      </c>
      <c r="AA44" s="152"/>
    </row>
    <row r="45" spans="1:27" s="111" customFormat="1" ht="14.5">
      <c r="B45" s="166" t="s">
        <v>229</v>
      </c>
      <c r="C45" s="212">
        <v>2159.1190476190477</v>
      </c>
      <c r="D45" s="212">
        <v>2259.2822580645161</v>
      </c>
      <c r="E45" s="212">
        <v>2056.8359375</v>
      </c>
      <c r="F45" s="212">
        <v>1970.53125</v>
      </c>
      <c r="G45" s="212">
        <v>1859.0079365079366</v>
      </c>
      <c r="H45" s="212">
        <v>1792.5081967213114</v>
      </c>
      <c r="I45" s="212">
        <v>1762.0923076923077</v>
      </c>
      <c r="J45" s="212">
        <v>1752.4921875</v>
      </c>
      <c r="K45" s="212">
        <v>1689.6875</v>
      </c>
      <c r="L45" s="212">
        <v>1496.516393442623</v>
      </c>
      <c r="M45" s="212">
        <v>1704.3153846153846</v>
      </c>
      <c r="N45" s="212">
        <v>1915.8203125</v>
      </c>
      <c r="O45" s="212">
        <v>2096.4206349206347</v>
      </c>
      <c r="P45" s="212">
        <v>2399.64</v>
      </c>
      <c r="Q45" s="212">
        <v>2648</v>
      </c>
      <c r="R45" s="212">
        <v>2762</v>
      </c>
      <c r="S45" s="212">
        <v>3280</v>
      </c>
      <c r="T45" s="212">
        <v>2874.7833333333333</v>
      </c>
      <c r="W45" s="212">
        <v>2110.084980237154</v>
      </c>
      <c r="X45" s="212">
        <v>1791.1304347826087</v>
      </c>
      <c r="Y45" s="212">
        <v>1704.017716535433</v>
      </c>
      <c r="Z45" s="212">
        <v>2479.620553359684</v>
      </c>
      <c r="AA45" s="212"/>
    </row>
    <row r="46" spans="1:27">
      <c r="C46" s="73"/>
      <c r="D46" s="73"/>
      <c r="E46" s="73"/>
    </row>
    <row r="47" spans="1:27">
      <c r="C47" s="112"/>
      <c r="D47" s="112"/>
      <c r="E47" s="112"/>
      <c r="F47" s="112"/>
      <c r="G47" s="112"/>
      <c r="H47" s="112"/>
      <c r="I47" s="112"/>
      <c r="J47" s="112"/>
      <c r="K47" s="112"/>
      <c r="L47" s="112"/>
      <c r="M47" s="112"/>
      <c r="N47" s="112"/>
      <c r="O47" s="112"/>
      <c r="P47" s="112"/>
      <c r="Q47" s="112"/>
      <c r="R47" s="112"/>
      <c r="S47" s="112"/>
      <c r="T47" s="274"/>
    </row>
  </sheetData>
  <pageMargins left="0.25" right="0.24" top="0.984251969" bottom="0.984251969" header="0.49212598499999999" footer="0.49212598499999999"/>
  <pageSetup paperSize="9" scale="77" orientation="landscape" r:id="rId1"/>
  <headerFooter alignWithMargins="0"/>
  <ignoredErrors>
    <ignoredError sqref="W18:Z27 W31:Z41"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5">
    <pageSetUpPr fitToPage="1"/>
  </sheetPr>
  <dimension ref="B2:T41"/>
  <sheetViews>
    <sheetView showGridLines="0" zoomScale="90" zoomScaleNormal="90" workbookViewId="0">
      <pane xSplit="2" ySplit="6" topLeftCell="D7" activePane="bottomRight" state="frozen"/>
      <selection pane="topRight" activeCell="N12" sqref="N12"/>
      <selection pane="bottomLeft" activeCell="N12" sqref="N12"/>
      <selection pane="bottomRight" activeCell="B1" sqref="B1:C25"/>
    </sheetView>
  </sheetViews>
  <sheetFormatPr defaultColWidth="9.1796875" defaultRowHeight="12.5"/>
  <cols>
    <col min="1" max="1" width="2.1796875" style="42" customWidth="1"/>
    <col min="2" max="2" width="16.1796875" style="42" bestFit="1" customWidth="1"/>
    <col min="3" max="14" width="9.1796875" style="42" customWidth="1"/>
    <col min="15" max="17" width="9.1796875" style="42"/>
    <col min="18" max="18" width="10.81640625" style="42" bestFit="1" customWidth="1"/>
    <col min="19" max="16384" width="9.1796875" style="42"/>
  </cols>
  <sheetData>
    <row r="2" spans="2:20" ht="13.5" customHeight="1"/>
    <row r="4" spans="2:20" ht="20.25" customHeight="1"/>
    <row r="5" spans="2:20" ht="13">
      <c r="B5" s="59"/>
    </row>
    <row r="6" spans="2:20" s="19" customFormat="1" ht="14.25" customHeight="1" thickBot="1">
      <c r="B6" s="60" t="s">
        <v>242</v>
      </c>
      <c r="C6" s="79" t="s">
        <v>104</v>
      </c>
      <c r="D6" s="79" t="s">
        <v>105</v>
      </c>
      <c r="E6" s="79" t="s">
        <v>106</v>
      </c>
      <c r="F6" s="79" t="s">
        <v>107</v>
      </c>
      <c r="G6" s="79" t="s">
        <v>108</v>
      </c>
      <c r="H6" s="79" t="s">
        <v>109</v>
      </c>
      <c r="I6" s="79" t="s">
        <v>110</v>
      </c>
      <c r="J6" s="79" t="s">
        <v>111</v>
      </c>
      <c r="K6" s="79" t="s">
        <v>112</v>
      </c>
      <c r="L6" s="79" t="s">
        <v>113</v>
      </c>
      <c r="M6" s="79" t="s">
        <v>114</v>
      </c>
      <c r="N6" s="79" t="s">
        <v>115</v>
      </c>
      <c r="O6" s="79" t="s">
        <v>116</v>
      </c>
      <c r="P6" s="79" t="s">
        <v>117</v>
      </c>
      <c r="Q6" s="79" t="s">
        <v>118</v>
      </c>
      <c r="R6" s="79" t="s">
        <v>119</v>
      </c>
      <c r="S6" s="79" t="s">
        <v>120</v>
      </c>
      <c r="T6" s="79" t="s">
        <v>121</v>
      </c>
    </row>
    <row r="7" spans="2:20" s="19" customFormat="1" ht="5.25" customHeight="1" thickTop="1">
      <c r="B7" s="72"/>
      <c r="C7" s="73"/>
      <c r="D7" s="73"/>
      <c r="E7" s="73"/>
      <c r="F7" s="73"/>
      <c r="G7" s="73"/>
      <c r="H7" s="73"/>
      <c r="I7" s="73"/>
      <c r="J7" s="73"/>
      <c r="K7" s="73"/>
      <c r="L7" s="73"/>
      <c r="M7" s="73"/>
      <c r="N7" s="73"/>
      <c r="O7" s="73"/>
      <c r="P7" s="73"/>
      <c r="Q7" s="73"/>
      <c r="R7" s="73"/>
      <c r="S7" s="73"/>
      <c r="T7" s="73"/>
    </row>
    <row r="8" spans="2:20" s="19" customFormat="1" ht="14.25" customHeight="1" thickBot="1">
      <c r="B8" s="74" t="s">
        <v>231</v>
      </c>
      <c r="C8" s="110">
        <v>1</v>
      </c>
      <c r="D8" s="110">
        <v>1</v>
      </c>
      <c r="E8" s="110">
        <v>1</v>
      </c>
      <c r="F8" s="110">
        <v>1</v>
      </c>
      <c r="G8" s="110">
        <v>1</v>
      </c>
      <c r="H8" s="110">
        <v>1</v>
      </c>
      <c r="I8" s="110">
        <v>1</v>
      </c>
      <c r="J8" s="110">
        <v>0.99999999999999989</v>
      </c>
      <c r="K8" s="110">
        <v>1</v>
      </c>
      <c r="L8" s="110">
        <v>1</v>
      </c>
      <c r="M8" s="110">
        <v>1</v>
      </c>
      <c r="N8" s="110">
        <v>1</v>
      </c>
      <c r="O8" s="110">
        <v>0.99999999999999989</v>
      </c>
      <c r="P8" s="110">
        <v>1</v>
      </c>
      <c r="Q8" s="110">
        <f>SUM(Q9:Q13)</f>
        <v>1</v>
      </c>
      <c r="R8" s="110">
        <v>0.99999999999999978</v>
      </c>
      <c r="S8" s="110">
        <v>0.99999999999999978</v>
      </c>
      <c r="T8" s="110">
        <f>SUM(T9:T13)</f>
        <v>1</v>
      </c>
    </row>
    <row r="9" spans="2:20" s="19" customFormat="1" ht="14.25" customHeight="1">
      <c r="B9" s="73" t="s">
        <v>243</v>
      </c>
      <c r="C9" s="107">
        <v>0.12882787750791974</v>
      </c>
      <c r="D9" s="107">
        <v>0.1219047619047619</v>
      </c>
      <c r="E9" s="107">
        <v>0.11006825938566553</v>
      </c>
      <c r="F9" s="107">
        <v>0.10238645111624327</v>
      </c>
      <c r="G9" s="107">
        <v>0.11170688114387846</v>
      </c>
      <c r="H9" s="107">
        <v>0.11639762107051826</v>
      </c>
      <c r="I9" s="107">
        <v>0.11348122866894197</v>
      </c>
      <c r="J9" s="107">
        <v>0.12478031634446397</v>
      </c>
      <c r="K9" s="107">
        <v>0.11855203619909502</v>
      </c>
      <c r="L9" s="107">
        <v>0.13500482160077146</v>
      </c>
      <c r="M9" s="107">
        <v>0.11171032357473036</v>
      </c>
      <c r="N9" s="107">
        <v>0.12437095614665708</v>
      </c>
      <c r="O9" s="107">
        <v>0.10575173253216924</v>
      </c>
      <c r="P9" s="107">
        <v>9.3647675180091677E-2</v>
      </c>
      <c r="Q9" s="107">
        <v>7.6306250210444362E-2</v>
      </c>
      <c r="R9" s="107">
        <v>8.3324414746843975E-2</v>
      </c>
      <c r="S9" s="107">
        <v>9.6555534135344401E-2</v>
      </c>
      <c r="T9" s="107">
        <v>0.1036338536536263</v>
      </c>
    </row>
    <row r="10" spans="2:20" s="19" customFormat="1" ht="14.25" customHeight="1">
      <c r="B10" s="75" t="s">
        <v>244</v>
      </c>
      <c r="C10" s="108">
        <v>3.3790918690601898E-2</v>
      </c>
      <c r="D10" s="108">
        <v>4.476190476190476E-2</v>
      </c>
      <c r="E10" s="108">
        <v>8.0204778156996587E-2</v>
      </c>
      <c r="F10" s="108">
        <v>4.7729022324865283E-2</v>
      </c>
      <c r="G10" s="108">
        <v>4.1108132260947276E-2</v>
      </c>
      <c r="H10" s="108">
        <v>2.9736618521665252E-2</v>
      </c>
      <c r="I10" s="108">
        <v>0.10068259385665529</v>
      </c>
      <c r="J10" s="108">
        <v>6.32688927943761E-2</v>
      </c>
      <c r="K10" s="108">
        <v>6.5158371040723986E-2</v>
      </c>
      <c r="L10" s="108">
        <v>7.0395371263259399E-2</v>
      </c>
      <c r="M10" s="108">
        <v>8.1664098613251149E-2</v>
      </c>
      <c r="N10" s="108">
        <v>7.1171818835370243E-2</v>
      </c>
      <c r="O10" s="108">
        <v>5.4797607478519861E-2</v>
      </c>
      <c r="P10" s="108">
        <v>4.6496398166339228E-2</v>
      </c>
      <c r="Q10" s="108">
        <v>4.3722174228341314E-2</v>
      </c>
      <c r="R10" s="108">
        <v>1.2925487665724137E-2</v>
      </c>
      <c r="S10" s="108">
        <v>5.5813525232848882E-2</v>
      </c>
      <c r="T10" s="108">
        <v>5.7686408160232766E-2</v>
      </c>
    </row>
    <row r="11" spans="2:20" s="19" customFormat="1" ht="14.25" customHeight="1">
      <c r="B11" s="76" t="s">
        <v>245</v>
      </c>
      <c r="C11" s="108">
        <v>7.8141499472016901E-2</v>
      </c>
      <c r="D11" s="108">
        <v>7.3333333333333334E-2</v>
      </c>
      <c r="E11" s="108">
        <v>6.2286689419795219E-2</v>
      </c>
      <c r="F11" s="108">
        <v>5.7736720554272515E-2</v>
      </c>
      <c r="G11" s="108">
        <v>8.3109919571045576E-2</v>
      </c>
      <c r="H11" s="108">
        <v>0.11554800339847068</v>
      </c>
      <c r="I11" s="108">
        <v>7.3378839590443681E-2</v>
      </c>
      <c r="J11" s="108">
        <v>0.12302284710017575</v>
      </c>
      <c r="K11" s="108">
        <v>7.8733031674208143E-2</v>
      </c>
      <c r="L11" s="108">
        <v>0.10607521697203472</v>
      </c>
      <c r="M11" s="108">
        <v>7.7812018489984591E-2</v>
      </c>
      <c r="N11" s="108">
        <v>8.8425593098490296E-2</v>
      </c>
      <c r="O11" s="108">
        <v>8.1472932173098297E-2</v>
      </c>
      <c r="P11" s="108">
        <v>7.9895219384413879E-2</v>
      </c>
      <c r="Q11" s="108">
        <v>6.6839645659418329E-2</v>
      </c>
      <c r="R11" s="108">
        <v>5.9457243262331032E-2</v>
      </c>
      <c r="S11" s="108">
        <v>7.1186586983481182E-2</v>
      </c>
      <c r="T11" s="108">
        <v>7.1966455998063478E-2</v>
      </c>
    </row>
    <row r="12" spans="2:20" s="19" customFormat="1" ht="14.25" customHeight="1">
      <c r="B12" s="76" t="s">
        <v>246</v>
      </c>
      <c r="C12" s="109">
        <v>0.6958817317845829</v>
      </c>
      <c r="D12" s="109">
        <v>0.74285714285714288</v>
      </c>
      <c r="E12" s="109">
        <v>0.64078498293515362</v>
      </c>
      <c r="F12" s="109">
        <v>0.73056197074672824</v>
      </c>
      <c r="G12" s="109">
        <v>0.72386058981233248</v>
      </c>
      <c r="H12" s="109">
        <v>0.68734069668649111</v>
      </c>
      <c r="I12" s="109">
        <v>0.62372013651877134</v>
      </c>
      <c r="J12" s="109">
        <v>0.6300527240773286</v>
      </c>
      <c r="K12" s="109">
        <v>0.6588235294117647</v>
      </c>
      <c r="L12" s="109">
        <v>0.62873674059787854</v>
      </c>
      <c r="M12" s="109">
        <v>0.66332819722650227</v>
      </c>
      <c r="N12" s="109">
        <v>0.58231488138030196</v>
      </c>
      <c r="O12" s="109">
        <v>0.66623747161864355</v>
      </c>
      <c r="P12" s="109">
        <v>0.66339227242960053</v>
      </c>
      <c r="Q12" s="109">
        <v>0.75533825132410348</v>
      </c>
      <c r="R12" s="109">
        <v>0.80344831330141231</v>
      </c>
      <c r="S12" s="109">
        <v>0.69694224887280132</v>
      </c>
      <c r="T12" s="109">
        <v>0.68804809187931248</v>
      </c>
    </row>
    <row r="13" spans="2:20" s="19" customFormat="1" ht="14.25" customHeight="1">
      <c r="B13" s="76" t="s">
        <v>132</v>
      </c>
      <c r="C13" s="109">
        <v>6.3357972544878557E-2</v>
      </c>
      <c r="D13" s="109">
        <v>1.7142857142857144E-2</v>
      </c>
      <c r="E13" s="109">
        <v>0.10665529010238908</v>
      </c>
      <c r="F13" s="109">
        <v>6.1585835257890686E-2</v>
      </c>
      <c r="G13" s="109">
        <v>4.0214477211796246E-2</v>
      </c>
      <c r="H13" s="109">
        <v>5.0977060322854713E-2</v>
      </c>
      <c r="I13" s="109">
        <v>8.8737201365187715E-2</v>
      </c>
      <c r="J13" s="109">
        <v>5.8875219683655534E-2</v>
      </c>
      <c r="K13" s="109">
        <v>7.8733031674208143E-2</v>
      </c>
      <c r="L13" s="109">
        <v>5.9787849566055928E-2</v>
      </c>
      <c r="M13" s="109">
        <v>6.5485362095531588E-2</v>
      </c>
      <c r="N13" s="109">
        <v>0.13371675053918045</v>
      </c>
      <c r="O13" s="109">
        <v>9.1740256197569078E-2</v>
      </c>
      <c r="P13" s="109">
        <v>0.11656843483955469</v>
      </c>
      <c r="Q13" s="109">
        <v>5.7793678577692548E-2</v>
      </c>
      <c r="R13" s="109">
        <v>4.0844541023688272E-2</v>
      </c>
      <c r="S13" s="109">
        <v>7.9502104775524177E-2</v>
      </c>
      <c r="T13" s="109">
        <v>7.8665190308764912E-2</v>
      </c>
    </row>
    <row r="14" spans="2:20" s="19" customFormat="1" ht="14.25" customHeight="1">
      <c r="B14" s="72"/>
      <c r="C14" s="73"/>
      <c r="D14" s="73"/>
      <c r="E14" s="73"/>
      <c r="F14" s="73"/>
      <c r="G14" s="73"/>
      <c r="H14" s="73"/>
      <c r="I14" s="73"/>
      <c r="J14" s="73"/>
      <c r="K14" s="73"/>
      <c r="L14" s="73"/>
      <c r="M14" s="73"/>
      <c r="N14" s="73"/>
      <c r="O14" s="73"/>
      <c r="P14" s="73"/>
      <c r="Q14" s="73"/>
      <c r="R14" s="73"/>
      <c r="S14" s="73"/>
      <c r="T14" s="73"/>
    </row>
    <row r="15" spans="2:20" ht="14.5" thickBot="1">
      <c r="B15" s="74" t="s">
        <v>237</v>
      </c>
      <c r="C15" s="115">
        <v>0.79471544715447151</v>
      </c>
      <c r="D15" s="115">
        <v>0.79338842975206614</v>
      </c>
      <c r="E15" s="115">
        <v>0.74481658692185004</v>
      </c>
      <c r="F15" s="115">
        <v>0.7636229749631811</v>
      </c>
      <c r="G15" s="115">
        <v>0.79198635976129583</v>
      </c>
      <c r="H15" s="115">
        <v>0.7423756019261637</v>
      </c>
      <c r="I15" s="115">
        <v>0.72120730738681493</v>
      </c>
      <c r="J15" s="115">
        <v>0.68305643431103835</v>
      </c>
      <c r="K15" s="115">
        <v>0.81195786257511604</v>
      </c>
      <c r="L15" s="115">
        <v>0.8379022409861635</v>
      </c>
      <c r="M15" s="115">
        <v>0.86635590370526716</v>
      </c>
      <c r="N15" s="115">
        <v>0.86215656144208275</v>
      </c>
      <c r="O15" s="115">
        <v>0.97220601451199062</v>
      </c>
      <c r="P15" s="115">
        <v>0.89310286322371213</v>
      </c>
      <c r="Q15" s="115">
        <v>0.89310286322371213</v>
      </c>
      <c r="R15" s="115">
        <v>0.92137660884163397</v>
      </c>
      <c r="S15" s="115">
        <v>0.88295115663169177</v>
      </c>
      <c r="T15" s="115">
        <v>0.9424805272618334</v>
      </c>
    </row>
    <row r="16" spans="2:20" ht="14.5" thickBot="1">
      <c r="B16" s="74" t="s">
        <v>240</v>
      </c>
      <c r="C16" s="115">
        <v>0.17378048780487804</v>
      </c>
      <c r="D16" s="115">
        <v>0.19008264462809918</v>
      </c>
      <c r="E16" s="115">
        <v>0.24561403508771928</v>
      </c>
      <c r="F16" s="115">
        <v>0.23048600883652431</v>
      </c>
      <c r="G16" s="115">
        <v>0.20119352088661552</v>
      </c>
      <c r="H16" s="115">
        <v>0.24317817014446227</v>
      </c>
      <c r="I16" s="115">
        <v>0.27084988085782369</v>
      </c>
      <c r="J16" s="115">
        <v>0.30530676591815298</v>
      </c>
      <c r="K16" s="115">
        <v>0.17973962911086691</v>
      </c>
      <c r="L16" s="115">
        <v>0.14515347567191758</v>
      </c>
      <c r="M16" s="115">
        <v>0.12523247700811732</v>
      </c>
      <c r="N16" s="115">
        <v>0.12715498743809975</v>
      </c>
      <c r="O16" s="115">
        <v>1.9456490294869809E-2</v>
      </c>
      <c r="P16" s="115">
        <v>9.7791359304572598E-2</v>
      </c>
      <c r="Q16" s="115">
        <v>9.7791359304572598E-2</v>
      </c>
      <c r="R16" s="115">
        <v>7.1348628987129264E-2</v>
      </c>
      <c r="S16" s="115">
        <v>0.11086656243000259</v>
      </c>
      <c r="T16" s="115">
        <v>9.5865787896944277E-2</v>
      </c>
    </row>
    <row r="17" spans="2:20" ht="14.5" thickBot="1">
      <c r="B17" s="74" t="s">
        <v>241</v>
      </c>
      <c r="C17" s="115">
        <v>3.1504065040650404E-2</v>
      </c>
      <c r="D17" s="115">
        <v>1.6528925619834711E-2</v>
      </c>
      <c r="E17" s="115">
        <v>9.5693779904306216E-3</v>
      </c>
      <c r="F17" s="115">
        <v>5.8910162002945507E-3</v>
      </c>
      <c r="G17" s="115">
        <v>6.8201193520886615E-3</v>
      </c>
      <c r="H17" s="115">
        <v>1.4446227929373997E-2</v>
      </c>
      <c r="I17" s="115">
        <v>7.9428117553613977E-3</v>
      </c>
      <c r="J17" s="115">
        <v>1.1636799770808701E-2</v>
      </c>
      <c r="K17" s="115">
        <v>8.3025083140170798E-3</v>
      </c>
      <c r="L17" s="115">
        <v>1.6944283341918793E-2</v>
      </c>
      <c r="M17" s="115">
        <v>8.4116192866154123E-3</v>
      </c>
      <c r="N17" s="115">
        <v>1.0688451119817477E-2</v>
      </c>
      <c r="O17" s="115">
        <v>8.3374951931394804E-3</v>
      </c>
      <c r="P17" s="115">
        <v>9.1057774717152023E-3</v>
      </c>
      <c r="Q17" s="115">
        <v>9.1057774717152023E-3</v>
      </c>
      <c r="R17" s="115">
        <v>7.2747621712367094E-3</v>
      </c>
      <c r="S17" s="115">
        <v>6.1822809383056563E-3</v>
      </c>
      <c r="T17" s="115">
        <v>1.4979029358897543E-2</v>
      </c>
    </row>
    <row r="18" spans="2:20" ht="14">
      <c r="B18" s="72"/>
      <c r="C18" s="114"/>
      <c r="D18" s="114"/>
      <c r="E18" s="114"/>
      <c r="F18" s="114"/>
      <c r="G18" s="114"/>
      <c r="H18" s="114"/>
      <c r="I18" s="114"/>
      <c r="J18" s="114"/>
      <c r="K18" s="114"/>
      <c r="L18" s="114"/>
      <c r="M18" s="114"/>
      <c r="N18" s="114"/>
      <c r="O18" s="114"/>
      <c r="P18" s="114"/>
      <c r="Q18" s="114"/>
      <c r="R18" s="114"/>
    </row>
    <row r="19" spans="2:20" ht="14">
      <c r="B19" s="72"/>
      <c r="C19" s="114"/>
      <c r="D19" s="114"/>
      <c r="E19" s="114"/>
      <c r="F19" s="114"/>
      <c r="G19" s="114"/>
      <c r="H19" s="114"/>
      <c r="I19" s="114"/>
      <c r="J19" s="114"/>
      <c r="K19" s="114"/>
      <c r="L19" s="114"/>
      <c r="M19" s="114"/>
      <c r="N19" s="114"/>
      <c r="O19" s="114"/>
      <c r="P19" s="114"/>
      <c r="Q19" s="114"/>
      <c r="R19" s="114"/>
    </row>
    <row r="20" spans="2:20" ht="14.5" thickBot="1">
      <c r="B20" s="71" t="s">
        <v>247</v>
      </c>
      <c r="C20" s="71"/>
      <c r="D20" s="71"/>
      <c r="E20" s="71"/>
      <c r="F20" s="71"/>
      <c r="G20" s="71"/>
      <c r="H20" s="71"/>
      <c r="I20" s="71"/>
      <c r="J20" s="71"/>
      <c r="K20" s="71"/>
      <c r="L20" s="71"/>
      <c r="M20" s="71"/>
      <c r="N20" s="71"/>
      <c r="O20" s="71"/>
      <c r="P20" s="71"/>
      <c r="Q20" s="71"/>
      <c r="R20" s="71"/>
      <c r="S20" s="71"/>
      <c r="T20" s="71"/>
    </row>
    <row r="21" spans="2:20" ht="14.5" thickTop="1">
      <c r="B21" s="73" t="s">
        <v>243</v>
      </c>
      <c r="C21" s="19"/>
      <c r="D21" s="19"/>
      <c r="E21" s="73"/>
      <c r="F21" s="73"/>
      <c r="G21" s="19"/>
      <c r="H21" s="73"/>
      <c r="I21" s="73"/>
      <c r="J21" s="73" t="s">
        <v>248</v>
      </c>
      <c r="K21" s="73"/>
      <c r="L21" s="73"/>
      <c r="M21" s="73"/>
      <c r="N21" s="73"/>
      <c r="O21" s="73"/>
      <c r="P21" s="73"/>
      <c r="Q21" s="73"/>
      <c r="R21" s="73"/>
      <c r="S21" s="73"/>
      <c r="T21" s="73"/>
    </row>
    <row r="22" spans="2:20" ht="14">
      <c r="B22" s="73" t="s">
        <v>244</v>
      </c>
      <c r="C22" s="19"/>
      <c r="D22" s="19"/>
      <c r="E22" s="73"/>
      <c r="F22" s="73"/>
      <c r="G22" s="19"/>
      <c r="H22" s="73"/>
      <c r="I22" s="73"/>
      <c r="J22" s="73" t="s">
        <v>249</v>
      </c>
      <c r="K22" s="73"/>
      <c r="L22" s="73"/>
      <c r="M22" s="73"/>
      <c r="N22" s="73"/>
      <c r="O22" s="73"/>
      <c r="P22" s="73"/>
      <c r="Q22" s="73"/>
      <c r="R22" s="73"/>
    </row>
    <row r="23" spans="2:20" ht="14">
      <c r="B23" s="73" t="s">
        <v>245</v>
      </c>
      <c r="C23" s="19"/>
      <c r="D23" s="19"/>
      <c r="E23" s="73"/>
      <c r="F23" s="73"/>
      <c r="G23" s="19"/>
      <c r="H23" s="73"/>
      <c r="I23" s="73"/>
      <c r="J23" s="73" t="s">
        <v>250</v>
      </c>
      <c r="K23" s="73"/>
      <c r="L23" s="73"/>
      <c r="M23" s="73"/>
      <c r="N23" s="73"/>
      <c r="O23" s="73"/>
      <c r="P23" s="73"/>
      <c r="Q23" s="73"/>
      <c r="R23" s="73"/>
    </row>
    <row r="24" spans="2:20" ht="14">
      <c r="B24" s="73" t="s">
        <v>246</v>
      </c>
      <c r="C24" s="19"/>
      <c r="D24" s="19"/>
      <c r="E24" s="73"/>
      <c r="F24" s="73"/>
      <c r="G24" s="19"/>
      <c r="H24" s="73"/>
      <c r="I24" s="73"/>
      <c r="J24" s="73" t="s">
        <v>251</v>
      </c>
      <c r="K24" s="73"/>
      <c r="L24" s="73"/>
      <c r="M24" s="73"/>
      <c r="N24" s="73"/>
      <c r="O24" s="73"/>
      <c r="P24" s="73"/>
      <c r="Q24" s="73"/>
      <c r="R24" s="73"/>
    </row>
    <row r="25" spans="2:20" ht="14">
      <c r="B25" s="73" t="s">
        <v>132</v>
      </c>
      <c r="C25" s="19"/>
      <c r="D25" s="19"/>
      <c r="E25" s="73"/>
      <c r="F25" s="73"/>
      <c r="G25" s="19"/>
      <c r="H25" s="73"/>
      <c r="I25" s="73"/>
      <c r="J25" s="73" t="s">
        <v>252</v>
      </c>
      <c r="K25" s="73"/>
      <c r="L25" s="73"/>
      <c r="M25" s="73"/>
      <c r="N25" s="73"/>
      <c r="O25" s="73"/>
      <c r="P25" s="73"/>
      <c r="Q25" s="73"/>
      <c r="R25" s="73"/>
    </row>
    <row r="26" spans="2:20" ht="14">
      <c r="B26" s="40"/>
    </row>
    <row r="35" spans="18:19">
      <c r="R35" s="267"/>
      <c r="S35" s="252"/>
    </row>
    <row r="36" spans="18:19">
      <c r="R36" s="267"/>
      <c r="S36" s="252"/>
    </row>
    <row r="37" spans="18:19">
      <c r="R37" s="267"/>
      <c r="S37" s="252"/>
    </row>
    <row r="38" spans="18:19">
      <c r="R38" s="267"/>
    </row>
    <row r="39" spans="18:19">
      <c r="R39" s="267"/>
    </row>
    <row r="41" spans="18:19">
      <c r="R41" s="206"/>
    </row>
  </sheetData>
  <phoneticPr fontId="0" type="noConversion"/>
  <pageMargins left="0.19685039370078741" right="0.19685039370078741" top="0.19685039370078741" bottom="0.19685039370078741" header="0.51181102362204722" footer="0.51181102362204722"/>
  <pageSetup paperSize="9" scale="83"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D8802D61BBECF4995C6758F40F56FC7" ma:contentTypeVersion="10" ma:contentTypeDescription="Crie um novo documento." ma:contentTypeScope="" ma:versionID="d18fdd0b25bd7f633a230ecc0a5d3204">
  <xsd:schema xmlns:xsd="http://www.w3.org/2001/XMLSchema" xmlns:xs="http://www.w3.org/2001/XMLSchema" xmlns:p="http://schemas.microsoft.com/office/2006/metadata/properties" xmlns:ns2="94b803e3-f83d-4918-a1c7-8e980dad5177" xmlns:ns3="76f07393-c221-4977-b1e0-abf988eb7d1a" targetNamespace="http://schemas.microsoft.com/office/2006/metadata/properties" ma:root="true" ma:fieldsID="2a5751c320f796877ceef56ab4ecf2e9" ns2:_="" ns3:_="">
    <xsd:import namespace="94b803e3-f83d-4918-a1c7-8e980dad5177"/>
    <xsd:import namespace="76f07393-c221-4977-b1e0-abf988eb7d1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b803e3-f83d-4918-a1c7-8e980dad51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3a177a3f-a282-46a4-a36e-c8c89ca2b67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6f07393-c221-4977-b1e0-abf988eb7d1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79877da-7f12-4c65-bf90-96bb298df4ae}" ma:internalName="TaxCatchAll" ma:showField="CatchAllData" ma:web="76f07393-c221-4977-b1e0-abf988eb7d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6f07393-c221-4977-b1e0-abf988eb7d1a" xsi:nil="true"/>
    <lcf76f155ced4ddcb4097134ff3c332f xmlns="94b803e3-f83d-4918-a1c7-8e980dad517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F9B3904-0684-42DD-AF12-E4DF2C2241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b803e3-f83d-4918-a1c7-8e980dad5177"/>
    <ds:schemaRef ds:uri="76f07393-c221-4977-b1e0-abf988eb7d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75C51F-D0F8-43CF-9E23-046C026D3FB4}">
  <ds:schemaRefs>
    <ds:schemaRef ds:uri="http://schemas.microsoft.com/sharepoint/v3/contenttype/forms"/>
  </ds:schemaRefs>
</ds:datastoreItem>
</file>

<file path=customXml/itemProps3.xml><?xml version="1.0" encoding="utf-8"?>
<ds:datastoreItem xmlns:ds="http://schemas.openxmlformats.org/officeDocument/2006/customXml" ds:itemID="{C1FA92D2-0A72-41B8-8E6D-A8EA6B0FFADF}">
  <ds:schemaRefs>
    <ds:schemaRef ds:uri="http://schemas.openxmlformats.org/package/2006/metadata/core-properties"/>
    <ds:schemaRef ds:uri="http://purl.org/dc/elements/1.1/"/>
    <ds:schemaRef ds:uri="76f07393-c221-4977-b1e0-abf988eb7d1a"/>
    <ds:schemaRef ds:uri="http://schemas.microsoft.com/office/2006/metadata/properties"/>
    <ds:schemaRef ds:uri="http://purl.org/dc/terms/"/>
    <ds:schemaRef ds:uri="94b803e3-f83d-4918-a1c7-8e980dad5177"/>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11</vt:i4>
      </vt:variant>
    </vt:vector>
  </HeadingPairs>
  <TitlesOfParts>
    <vt:vector size="24" baseType="lpstr">
      <vt:lpstr>Capa</vt:lpstr>
      <vt:lpstr>1 - Premissas</vt:lpstr>
      <vt:lpstr>2 - Processo Produtivo</vt:lpstr>
      <vt:lpstr>3 - Energia</vt:lpstr>
      <vt:lpstr>4 - Volume de Vendas Final</vt:lpstr>
      <vt:lpstr>5 - Dívida </vt:lpstr>
      <vt:lpstr>6 - Demonstrativos Financeiros</vt:lpstr>
      <vt:lpstr>7 - Resultados por negócio</vt:lpstr>
      <vt:lpstr>8 - Custos</vt:lpstr>
      <vt:lpstr>9 - Composição Custos</vt:lpstr>
      <vt:lpstr>10 - CAPEX</vt:lpstr>
      <vt:lpstr>11 - Ciclo Financeiro</vt:lpstr>
      <vt:lpstr>12 - FCL</vt:lpstr>
      <vt:lpstr>'1 - Premissas'!Area_de_impressao</vt:lpstr>
      <vt:lpstr>'10 - CAPEX'!Area_de_impressao</vt:lpstr>
      <vt:lpstr>'2 - Processo Produtivo'!Area_de_impressao</vt:lpstr>
      <vt:lpstr>'3 - Energia'!Area_de_impressao</vt:lpstr>
      <vt:lpstr>'4 - Volume de Vendas Final'!Area_de_impressao</vt:lpstr>
      <vt:lpstr>'5 - Dívida '!Area_de_impressao</vt:lpstr>
      <vt:lpstr>'6 - Demonstrativos Financeiros'!Area_de_impressao</vt:lpstr>
      <vt:lpstr>'7 - Resultados por negócio'!Area_de_impressao</vt:lpstr>
      <vt:lpstr>'8 - Custos'!Area_de_impressao</vt:lpstr>
      <vt:lpstr>'9 - Composição Custos'!Area_de_impressao</vt:lpstr>
      <vt:lpstr>Capa!Area_de_impressao</vt:lpstr>
    </vt:vector>
  </TitlesOfParts>
  <Manager/>
  <Company>GERDAU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Amabile Caroline Da Silva</cp:lastModifiedBy>
  <cp:revision/>
  <dcterms:created xsi:type="dcterms:W3CDTF">2011-05-20T17:14:49Z</dcterms:created>
  <dcterms:modified xsi:type="dcterms:W3CDTF">2022-08-09T20:56:13Z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0x010100ED8802D61BBECF4995C6758F40F56FC7</vt:lpwstr>
  </property>
  <property fmtid="{D5CDD505-2E9C-101B-9397-08002B2CF9AE}" pid="3" name="MediaServiceImageTags">
    <vt:lpwstr/>
  </property>
</Properties>
</file>