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codeName="EstaPasta_de_trabalho"/>
  <mc:AlternateContent xmlns:mc="http://schemas.openxmlformats.org/markup-compatibility/2006">
    <mc:Choice Requires="x15">
      <x15ac:absPath xmlns:x15ac="http://schemas.microsoft.com/office/spreadsheetml/2010/11/ac" url="Z:\Divulgação de Resultados\2022\1T22\Planilha de Resultados\"/>
    </mc:Choice>
  </mc:AlternateContent>
  <xr:revisionPtr revIDLastSave="0" documentId="13_ncr:1_{FD1C5BF5-C5F6-4FC1-88AB-32DF864DDA9A}" xr6:coauthVersionLast="47" xr6:coauthVersionMax="47" xr10:uidLastSave="{00000000-0000-0000-0000-000000000000}"/>
  <bookViews>
    <workbookView xWindow="-120" yWindow="-120" windowWidth="20730" windowHeight="11160" tabRatio="706" xr2:uid="{00000000-000D-0000-FFFF-FFFF00000000}"/>
  </bookViews>
  <sheets>
    <sheet name="Capa" sheetId="1" r:id="rId1"/>
    <sheet name="1 - Premissas" sheetId="15" r:id="rId2"/>
    <sheet name="2 - Processo Produtivo" sheetId="23" r:id="rId3"/>
    <sheet name="3 - Energia" sheetId="41" r:id="rId4"/>
    <sheet name="4 - Volume de Vendas Final" sheetId="35" r:id="rId5"/>
    <sheet name="5 - Dívida " sheetId="30" r:id="rId6"/>
    <sheet name="6 - Demonstrativos Financeiros" sheetId="31" r:id="rId7"/>
    <sheet name="7 - Resultados por negócio" sheetId="32" r:id="rId8"/>
    <sheet name="8 - Custos" sheetId="21" r:id="rId9"/>
    <sheet name="9 - Composição Custos" sheetId="40" r:id="rId10"/>
    <sheet name="10 - CAPEX" sheetId="39" r:id="rId11"/>
  </sheets>
  <externalReferences>
    <externalReference r:id="rId12"/>
    <externalReference r:id="rId13"/>
  </externalReferences>
  <definedNames>
    <definedName name="_xlnm.Print_Area" localSheetId="1">'1 - Premissas'!$A$1:$Q$27</definedName>
    <definedName name="_xlnm.Print_Area" localSheetId="10">'10 - CAPEX'!$B$1:$C$11</definedName>
    <definedName name="_xlnm.Print_Area" localSheetId="2">'2 - Processo Produtivo'!$A$1:$M$49</definedName>
    <definedName name="_xlnm.Print_Area" localSheetId="3">'3 - Energia'!$A$1:$K$13</definedName>
    <definedName name="_xlnm.Print_Area" localSheetId="4">'4 - Volume de Vendas Final'!$A$1:$B$8</definedName>
    <definedName name="_xlnm.Print_Area" localSheetId="5">'5 - Dívida '!$A$1:$D$37</definedName>
    <definedName name="_xlnm.Print_Area" localSheetId="6">'6 - Demonstrativos Financeiros'!$A$1:$B$101</definedName>
    <definedName name="_xlnm.Print_Area" localSheetId="7">'7 - Resultados por negócio'!$A$1:$B$43</definedName>
    <definedName name="_xlnm.Print_Area" localSheetId="8">'8 - Custos'!$B$1:$C$25</definedName>
    <definedName name="_xlnm.Print_Area" localSheetId="9">'9 - Composição Custos'!$A$1:$B$7</definedName>
    <definedName name="_xlnm.Print_Area" localSheetId="0">Capa!$A$1:$M$31</definedName>
    <definedName name="CIQWBGuid" hidden="1">"e7643438-fe4f-4a09-99e9-b54bb182bd71"</definedName>
    <definedName name="CIQWBInfo" hidden="1">"{ ""CIQVersion"":""9.45.614.5792"" }"</definedName>
    <definedName name="Dados_BPC">OFFSET('[1]Base BPC'!$A$1:$AA$1,0,0,COUNTA('[1]Base BPC'!$A:$A))</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"08/27/2021 17:48:57"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#REF!</definedName>
    <definedName name="Versao_Mes">[1]Aux!$C$16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8" i="39" l="1"/>
  <c r="Y9" i="39"/>
  <c r="Y10" i="39"/>
  <c r="Y7" i="39"/>
  <c r="X8" i="39"/>
  <c r="X9" i="39"/>
  <c r="X10" i="39"/>
  <c r="X7" i="39"/>
  <c r="W8" i="39"/>
  <c r="W9" i="39"/>
  <c r="W10" i="39"/>
  <c r="W7" i="39"/>
  <c r="V8" i="39"/>
  <c r="V9" i="39"/>
  <c r="V10" i="39"/>
  <c r="V7" i="39"/>
  <c r="Y41" i="32"/>
  <c r="Y40" i="32"/>
  <c r="Y39" i="32"/>
  <c r="Y38" i="32"/>
  <c r="Y34" i="32"/>
  <c r="Y33" i="32"/>
  <c r="Y32" i="32"/>
  <c r="Y31" i="32"/>
  <c r="X41" i="32"/>
  <c r="X40" i="32"/>
  <c r="X39" i="32"/>
  <c r="X38" i="32"/>
  <c r="X34" i="32"/>
  <c r="X33" i="32"/>
  <c r="X32" i="32"/>
  <c r="X31" i="32"/>
  <c r="W41" i="32"/>
  <c r="W40" i="32"/>
  <c r="W39" i="32"/>
  <c r="W38" i="32"/>
  <c r="W34" i="32"/>
  <c r="W33" i="32"/>
  <c r="W32" i="32"/>
  <c r="W31" i="32"/>
  <c r="V31" i="32"/>
  <c r="V41" i="32"/>
  <c r="V40" i="32"/>
  <c r="V39" i="32"/>
  <c r="V38" i="32"/>
  <c r="V32" i="32"/>
  <c r="V33" i="32"/>
  <c r="V34" i="32"/>
  <c r="Y19" i="32"/>
  <c r="Y20" i="32"/>
  <c r="Y21" i="32"/>
  <c r="Y22" i="32"/>
  <c r="Y23" i="32"/>
  <c r="Y24" i="32"/>
  <c r="Y25" i="32"/>
  <c r="Y26" i="32"/>
  <c r="Y27" i="32"/>
  <c r="X19" i="32"/>
  <c r="X20" i="32"/>
  <c r="X21" i="32"/>
  <c r="X22" i="32"/>
  <c r="X23" i="32"/>
  <c r="X24" i="32"/>
  <c r="X25" i="32"/>
  <c r="X26" i="32"/>
  <c r="X27" i="32"/>
  <c r="W19" i="32"/>
  <c r="W20" i="32"/>
  <c r="W21" i="32"/>
  <c r="W22" i="32"/>
  <c r="W23" i="32"/>
  <c r="W24" i="32"/>
  <c r="W25" i="32"/>
  <c r="W26" i="32"/>
  <c r="W27" i="32"/>
  <c r="V19" i="32"/>
  <c r="V20" i="32"/>
  <c r="V21" i="32"/>
  <c r="V22" i="32"/>
  <c r="V23" i="32"/>
  <c r="V24" i="32"/>
  <c r="V25" i="32"/>
  <c r="V26" i="32"/>
  <c r="V27" i="32"/>
  <c r="Y18" i="32"/>
  <c r="X18" i="32"/>
  <c r="W18" i="32"/>
  <c r="V18" i="32"/>
  <c r="Y9" i="32"/>
  <c r="X9" i="32"/>
  <c r="W9" i="32"/>
  <c r="V9" i="32"/>
  <c r="Y32" i="31"/>
  <c r="Y31" i="31"/>
  <c r="Y29" i="31"/>
  <c r="Y28" i="31"/>
  <c r="Y26" i="31"/>
  <c r="Y25" i="31"/>
  <c r="Y22" i="31"/>
  <c r="Y21" i="31"/>
  <c r="Y20" i="31"/>
  <c r="Y19" i="31"/>
  <c r="Y17" i="31"/>
  <c r="Y14" i="31"/>
  <c r="Y13" i="31"/>
  <c r="Y12" i="31"/>
  <c r="Y8" i="31"/>
  <c r="Y7" i="31"/>
  <c r="X33" i="31"/>
  <c r="X34" i="31" s="1"/>
  <c r="X32" i="31"/>
  <c r="X31" i="31"/>
  <c r="X29" i="31"/>
  <c r="X28" i="31"/>
  <c r="X26" i="31"/>
  <c r="X25" i="31"/>
  <c r="X24" i="31"/>
  <c r="X22" i="31"/>
  <c r="X21" i="31"/>
  <c r="X20" i="31"/>
  <c r="X19" i="31"/>
  <c r="X17" i="31"/>
  <c r="X14" i="31"/>
  <c r="X13" i="31"/>
  <c r="X12" i="31"/>
  <c r="X8" i="31"/>
  <c r="X9" i="31"/>
  <c r="X10" i="31" s="1"/>
  <c r="X7" i="31"/>
  <c r="W32" i="31"/>
  <c r="W33" i="31"/>
  <c r="W31" i="31"/>
  <c r="W29" i="31"/>
  <c r="W28" i="31"/>
  <c r="W26" i="31"/>
  <c r="W25" i="31"/>
  <c r="W22" i="31"/>
  <c r="W21" i="31"/>
  <c r="W20" i="31"/>
  <c r="W19" i="31"/>
  <c r="W18" i="31"/>
  <c r="W17" i="31"/>
  <c r="W14" i="31"/>
  <c r="W13" i="31"/>
  <c r="W12" i="31"/>
  <c r="W8" i="31"/>
  <c r="W7" i="31"/>
  <c r="V12" i="31"/>
  <c r="V13" i="31"/>
  <c r="V14" i="31"/>
  <c r="V15" i="31"/>
  <c r="V17" i="31"/>
  <c r="V19" i="31"/>
  <c r="V20" i="31"/>
  <c r="V22" i="31"/>
  <c r="V24" i="31"/>
  <c r="V25" i="31"/>
  <c r="V26" i="31"/>
  <c r="V28" i="31"/>
  <c r="V29" i="31"/>
  <c r="V31" i="31"/>
  <c r="V32" i="31"/>
  <c r="V33" i="31"/>
  <c r="V34" i="31" s="1"/>
  <c r="V8" i="31"/>
  <c r="V7" i="31"/>
  <c r="AA11" i="35"/>
  <c r="AA12" i="35"/>
  <c r="AA13" i="35"/>
  <c r="AA14" i="35"/>
  <c r="AA15" i="35"/>
  <c r="AA16" i="35"/>
  <c r="AA17" i="35"/>
  <c r="AA18" i="35"/>
  <c r="AA19" i="35"/>
  <c r="AA10" i="35"/>
  <c r="Y11" i="35"/>
  <c r="Y12" i="35"/>
  <c r="Y13" i="35"/>
  <c r="Y14" i="35"/>
  <c r="Y15" i="35"/>
  <c r="Y16" i="35"/>
  <c r="Y17" i="35"/>
  <c r="Y18" i="35"/>
  <c r="Y19" i="35"/>
  <c r="Y10" i="35"/>
  <c r="X11" i="35"/>
  <c r="X12" i="35"/>
  <c r="X13" i="35"/>
  <c r="X14" i="35"/>
  <c r="X15" i="35"/>
  <c r="X16" i="35"/>
  <c r="X17" i="35"/>
  <c r="X18" i="35"/>
  <c r="X19" i="35"/>
  <c r="X10" i="35"/>
  <c r="W14" i="35"/>
  <c r="W15" i="35"/>
  <c r="W16" i="35"/>
  <c r="W17" i="35"/>
  <c r="W18" i="35"/>
  <c r="W19" i="35"/>
  <c r="W13" i="35"/>
  <c r="W12" i="35"/>
  <c r="W11" i="35"/>
  <c r="W10" i="35"/>
  <c r="V19" i="35"/>
  <c r="V18" i="35"/>
  <c r="V16" i="35"/>
  <c r="V15" i="35"/>
  <c r="V14" i="35"/>
  <c r="V12" i="35"/>
  <c r="V11" i="35"/>
  <c r="V17" i="35"/>
  <c r="V13" i="35"/>
  <c r="V10" i="35"/>
  <c r="R9" i="35"/>
  <c r="Q9" i="35"/>
  <c r="P9" i="35"/>
  <c r="O9" i="35"/>
  <c r="N9" i="35"/>
  <c r="M9" i="35"/>
  <c r="L9" i="35"/>
  <c r="K9" i="35"/>
  <c r="J9" i="35"/>
  <c r="I9" i="35"/>
  <c r="H9" i="35"/>
  <c r="G9" i="35"/>
  <c r="F9" i="35"/>
  <c r="E9" i="35"/>
  <c r="D9" i="35"/>
  <c r="C9" i="35"/>
  <c r="S9" i="35"/>
  <c r="C10" i="39"/>
  <c r="D10" i="39"/>
  <c r="E10" i="39"/>
  <c r="F10" i="39"/>
  <c r="G10" i="39"/>
  <c r="H10" i="39"/>
  <c r="I10" i="39"/>
  <c r="J10" i="39"/>
  <c r="K10" i="39"/>
  <c r="L10" i="39"/>
  <c r="M10" i="39"/>
  <c r="N10" i="39"/>
  <c r="O10" i="39"/>
  <c r="P10" i="39"/>
  <c r="Q10" i="39"/>
  <c r="R10" i="39"/>
  <c r="S10" i="39"/>
  <c r="C8" i="40"/>
  <c r="D8" i="40"/>
  <c r="E8" i="40"/>
  <c r="F8" i="40"/>
  <c r="G8" i="40"/>
  <c r="H8" i="40"/>
  <c r="I8" i="40"/>
  <c r="J8" i="40"/>
  <c r="K8" i="40"/>
  <c r="C15" i="40"/>
  <c r="D15" i="40"/>
  <c r="E15" i="40"/>
  <c r="F15" i="40"/>
  <c r="G15" i="40"/>
  <c r="H15" i="40"/>
  <c r="I15" i="40"/>
  <c r="J15" i="40"/>
  <c r="K15" i="40"/>
  <c r="C21" i="40"/>
  <c r="D21" i="40"/>
  <c r="E21" i="40"/>
  <c r="F21" i="40"/>
  <c r="G21" i="40"/>
  <c r="H21" i="40"/>
  <c r="I21" i="40"/>
  <c r="J21" i="40"/>
  <c r="K21" i="40"/>
  <c r="C28" i="40"/>
  <c r="D28" i="40"/>
  <c r="E28" i="40"/>
  <c r="F28" i="40"/>
  <c r="G28" i="40"/>
  <c r="H28" i="40"/>
  <c r="I28" i="40"/>
  <c r="J28" i="40"/>
  <c r="K28" i="40"/>
  <c r="C38" i="40"/>
  <c r="C36" i="40"/>
  <c r="D38" i="40"/>
  <c r="D36" i="40"/>
  <c r="E38" i="40"/>
  <c r="E36" i="40" s="1"/>
  <c r="F38" i="40"/>
  <c r="F36" i="40"/>
  <c r="G38" i="40"/>
  <c r="G36" i="40"/>
  <c r="H38" i="40"/>
  <c r="H36" i="40"/>
  <c r="I38" i="40"/>
  <c r="I36" i="40"/>
  <c r="J38" i="40"/>
  <c r="J36" i="40"/>
  <c r="K38" i="40"/>
  <c r="K36" i="40"/>
  <c r="Q8" i="21"/>
  <c r="C9" i="32"/>
  <c r="D9" i="32"/>
  <c r="E9" i="32"/>
  <c r="F9" i="32"/>
  <c r="G9" i="32"/>
  <c r="H9" i="32"/>
  <c r="I9" i="32"/>
  <c r="J9" i="32"/>
  <c r="K9" i="32"/>
  <c r="L9" i="32"/>
  <c r="M9" i="32"/>
  <c r="N9" i="32"/>
  <c r="O9" i="32"/>
  <c r="P9" i="32"/>
  <c r="Q9" i="32"/>
  <c r="S18" i="32"/>
  <c r="S31" i="32"/>
  <c r="S38" i="32"/>
  <c r="C11" i="32"/>
  <c r="D11" i="32"/>
  <c r="D10" i="32" s="1"/>
  <c r="E11" i="32"/>
  <c r="E10" i="32" s="1"/>
  <c r="F11" i="32"/>
  <c r="G11" i="32"/>
  <c r="W11" i="32" s="1"/>
  <c r="H11" i="32"/>
  <c r="H10" i="32" s="1"/>
  <c r="I11" i="32"/>
  <c r="I10" i="32" s="1"/>
  <c r="J11" i="32"/>
  <c r="K11" i="32"/>
  <c r="L11" i="32"/>
  <c r="L10" i="32" s="1"/>
  <c r="M11" i="32"/>
  <c r="N11" i="32"/>
  <c r="O11" i="32"/>
  <c r="Y11" i="32" s="1"/>
  <c r="P11" i="32"/>
  <c r="P10" i="32" s="1"/>
  <c r="Q11" i="32"/>
  <c r="Q10" i="32" s="1"/>
  <c r="S10" i="32"/>
  <c r="R11" i="32"/>
  <c r="S11" i="32"/>
  <c r="C12" i="32"/>
  <c r="L12" i="32"/>
  <c r="C13" i="32"/>
  <c r="D13" i="32"/>
  <c r="V13" i="32" s="1"/>
  <c r="E13" i="32"/>
  <c r="F13" i="32"/>
  <c r="G13" i="32"/>
  <c r="H13" i="32"/>
  <c r="I13" i="32"/>
  <c r="J13" i="32"/>
  <c r="K13" i="32"/>
  <c r="L13" i="32"/>
  <c r="X13" i="32" s="1"/>
  <c r="M13" i="32"/>
  <c r="N13" i="32"/>
  <c r="O13" i="32"/>
  <c r="P13" i="32"/>
  <c r="C14" i="32"/>
  <c r="D14" i="32"/>
  <c r="E14" i="32"/>
  <c r="F14" i="32"/>
  <c r="G14" i="32"/>
  <c r="H14" i="32"/>
  <c r="I14" i="32"/>
  <c r="J14" i="32"/>
  <c r="K14" i="32"/>
  <c r="L14" i="32"/>
  <c r="M14" i="32"/>
  <c r="N14" i="32"/>
  <c r="O14" i="32"/>
  <c r="P14" i="32"/>
  <c r="Q14" i="32"/>
  <c r="R14" i="32"/>
  <c r="R18" i="32"/>
  <c r="O24" i="32"/>
  <c r="S25" i="32"/>
  <c r="Q26" i="32"/>
  <c r="S26" i="32"/>
  <c r="S27" i="32"/>
  <c r="S32" i="32"/>
  <c r="S33" i="32"/>
  <c r="S34" i="32"/>
  <c r="S39" i="32"/>
  <c r="S40" i="32"/>
  <c r="S41" i="32"/>
  <c r="C9" i="31"/>
  <c r="V9" i="31" s="1"/>
  <c r="V10" i="31" s="1"/>
  <c r="D9" i="31"/>
  <c r="D12" i="32" s="1"/>
  <c r="E9" i="31"/>
  <c r="E12" i="32" s="1"/>
  <c r="F9" i="31"/>
  <c r="F12" i="32" s="1"/>
  <c r="G9" i="31"/>
  <c r="H9" i="31"/>
  <c r="I9" i="31"/>
  <c r="I12" i="32" s="1"/>
  <c r="J9" i="31"/>
  <c r="J12" i="32" s="1"/>
  <c r="K9" i="31"/>
  <c r="K12" i="32" s="1"/>
  <c r="L9" i="31"/>
  <c r="M9" i="31"/>
  <c r="M12" i="32" s="1"/>
  <c r="N9" i="31"/>
  <c r="N12" i="32" s="1"/>
  <c r="O9" i="31"/>
  <c r="P9" i="31"/>
  <c r="Q9" i="31"/>
  <c r="Q12" i="32" s="1"/>
  <c r="R9" i="31"/>
  <c r="R12" i="32" s="1"/>
  <c r="S9" i="31"/>
  <c r="S12" i="32" s="1"/>
  <c r="C10" i="31"/>
  <c r="D10" i="31"/>
  <c r="E10" i="31"/>
  <c r="F10" i="31"/>
  <c r="G10" i="31"/>
  <c r="I10" i="31"/>
  <c r="J10" i="31"/>
  <c r="K10" i="31"/>
  <c r="L10" i="31"/>
  <c r="M10" i="31"/>
  <c r="N10" i="31"/>
  <c r="O10" i="31"/>
  <c r="R10" i="31"/>
  <c r="S10" i="31"/>
  <c r="C11" i="31"/>
  <c r="V11" i="31" s="1"/>
  <c r="D11" i="31"/>
  <c r="E11" i="31"/>
  <c r="F11" i="31"/>
  <c r="F15" i="31" s="1"/>
  <c r="G11" i="31"/>
  <c r="W11" i="31" s="1"/>
  <c r="H11" i="31"/>
  <c r="I11" i="31"/>
  <c r="I15" i="31" s="1"/>
  <c r="I23" i="31" s="1"/>
  <c r="J11" i="31"/>
  <c r="K11" i="31"/>
  <c r="X11" i="31" s="1"/>
  <c r="L11" i="31"/>
  <c r="M11" i="31"/>
  <c r="N11" i="31"/>
  <c r="N15" i="31" s="1"/>
  <c r="O11" i="31"/>
  <c r="Y11" i="31" s="1"/>
  <c r="P11" i="31"/>
  <c r="Q11" i="31"/>
  <c r="Q15" i="31" s="1"/>
  <c r="Q23" i="31" s="1"/>
  <c r="R11" i="31"/>
  <c r="S11" i="31"/>
  <c r="C15" i="31"/>
  <c r="D15" i="31"/>
  <c r="E15" i="31"/>
  <c r="J15" i="31"/>
  <c r="K15" i="31"/>
  <c r="X15" i="31" s="1"/>
  <c r="L15" i="31"/>
  <c r="M15" i="31"/>
  <c r="R15" i="31"/>
  <c r="S15" i="31"/>
  <c r="C16" i="31"/>
  <c r="V16" i="31" s="1"/>
  <c r="D16" i="31"/>
  <c r="E16" i="31"/>
  <c r="F16" i="31"/>
  <c r="G16" i="31"/>
  <c r="W16" i="31" s="1"/>
  <c r="H16" i="31"/>
  <c r="I16" i="31"/>
  <c r="J16" i="31"/>
  <c r="J23" i="31" s="1"/>
  <c r="J27" i="31" s="1"/>
  <c r="K16" i="31"/>
  <c r="L16" i="31"/>
  <c r="M16" i="31"/>
  <c r="X16" i="31" s="1"/>
  <c r="N16" i="31"/>
  <c r="O16" i="31"/>
  <c r="Y16" i="31" s="1"/>
  <c r="P16" i="31"/>
  <c r="Q16" i="31"/>
  <c r="R16" i="31"/>
  <c r="R23" i="31" s="1"/>
  <c r="R27" i="31" s="1"/>
  <c r="R33" i="31" s="1"/>
  <c r="S16" i="31"/>
  <c r="C18" i="31"/>
  <c r="D18" i="31"/>
  <c r="E18" i="31"/>
  <c r="F18" i="31"/>
  <c r="G18" i="31"/>
  <c r="H18" i="31"/>
  <c r="I18" i="31"/>
  <c r="J18" i="31"/>
  <c r="K18" i="31"/>
  <c r="L18" i="31"/>
  <c r="M18" i="31"/>
  <c r="N18" i="31"/>
  <c r="O18" i="31"/>
  <c r="Y18" i="31" s="1"/>
  <c r="P18" i="31"/>
  <c r="Q18" i="31"/>
  <c r="R18" i="31"/>
  <c r="S18" i="31"/>
  <c r="C24" i="31"/>
  <c r="D24" i="31"/>
  <c r="E24" i="31"/>
  <c r="F24" i="31"/>
  <c r="G24" i="31"/>
  <c r="W24" i="31" s="1"/>
  <c r="H24" i="31"/>
  <c r="I24" i="31"/>
  <c r="J24" i="31"/>
  <c r="K24" i="31"/>
  <c r="L24" i="31"/>
  <c r="M24" i="31"/>
  <c r="N24" i="31"/>
  <c r="O24" i="31"/>
  <c r="Y24" i="31" s="1"/>
  <c r="P24" i="31"/>
  <c r="Q24" i="31"/>
  <c r="R24" i="31"/>
  <c r="S24" i="31"/>
  <c r="S31" i="31"/>
  <c r="S14" i="32" s="1"/>
  <c r="S32" i="31"/>
  <c r="C34" i="31"/>
  <c r="D34" i="31"/>
  <c r="E34" i="31"/>
  <c r="F34" i="31"/>
  <c r="G34" i="31"/>
  <c r="H34" i="31"/>
  <c r="I34" i="31"/>
  <c r="J34" i="31"/>
  <c r="K34" i="31"/>
  <c r="L34" i="31"/>
  <c r="M34" i="31"/>
  <c r="N34" i="31"/>
  <c r="O34" i="31"/>
  <c r="P34" i="31"/>
  <c r="C39" i="31"/>
  <c r="D39" i="31"/>
  <c r="E39" i="31"/>
  <c r="E63" i="31" s="1"/>
  <c r="E99" i="31" s="1"/>
  <c r="F39" i="31"/>
  <c r="G39" i="31"/>
  <c r="H39" i="31"/>
  <c r="I39" i="31"/>
  <c r="J39" i="31"/>
  <c r="K39" i="31"/>
  <c r="L39" i="31"/>
  <c r="M39" i="31"/>
  <c r="N39" i="31"/>
  <c r="O39" i="31"/>
  <c r="P39" i="31"/>
  <c r="Q39" i="31"/>
  <c r="R39" i="31"/>
  <c r="S39" i="31"/>
  <c r="C49" i="31"/>
  <c r="D49" i="31"/>
  <c r="D63" i="31" s="1"/>
  <c r="D99" i="31" s="1"/>
  <c r="E49" i="31"/>
  <c r="F49" i="31"/>
  <c r="G49" i="31"/>
  <c r="H49" i="31"/>
  <c r="H63" i="31" s="1"/>
  <c r="H99" i="31" s="1"/>
  <c r="I49" i="31"/>
  <c r="J49" i="31"/>
  <c r="K49" i="31"/>
  <c r="L49" i="31"/>
  <c r="L63" i="31" s="1"/>
  <c r="L99" i="31" s="1"/>
  <c r="M49" i="31"/>
  <c r="N49" i="31"/>
  <c r="O49" i="31"/>
  <c r="P49" i="31"/>
  <c r="P63" i="31" s="1"/>
  <c r="P99" i="31" s="1"/>
  <c r="Q49" i="31"/>
  <c r="R49" i="31"/>
  <c r="S49" i="31"/>
  <c r="C63" i="31"/>
  <c r="C99" i="31" s="1"/>
  <c r="F63" i="31"/>
  <c r="F99" i="31" s="1"/>
  <c r="G63" i="31"/>
  <c r="G99" i="31" s="1"/>
  <c r="J63" i="31"/>
  <c r="K63" i="31"/>
  <c r="K99" i="31" s="1"/>
  <c r="M63" i="31"/>
  <c r="M99" i="31" s="1"/>
  <c r="N63" i="31"/>
  <c r="N99" i="31" s="1"/>
  <c r="O63" i="31"/>
  <c r="O99" i="31" s="1"/>
  <c r="R63" i="31"/>
  <c r="S63" i="31"/>
  <c r="C66" i="31"/>
  <c r="D66" i="31"/>
  <c r="E66" i="31"/>
  <c r="F66" i="31"/>
  <c r="G66" i="31"/>
  <c r="H66" i="31"/>
  <c r="I66" i="31"/>
  <c r="J66" i="31"/>
  <c r="K66" i="31"/>
  <c r="L66" i="31"/>
  <c r="M66" i="31"/>
  <c r="N66" i="31"/>
  <c r="O66" i="31"/>
  <c r="P66" i="31"/>
  <c r="Q66" i="31"/>
  <c r="R66" i="31"/>
  <c r="S66" i="31"/>
  <c r="C81" i="31"/>
  <c r="D81" i="31"/>
  <c r="E81" i="31"/>
  <c r="F81" i="31"/>
  <c r="G81" i="31"/>
  <c r="H81" i="31"/>
  <c r="I81" i="31"/>
  <c r="J81" i="31"/>
  <c r="K81" i="31"/>
  <c r="L81" i="31"/>
  <c r="M81" i="31"/>
  <c r="N81" i="31"/>
  <c r="O81" i="31"/>
  <c r="P81" i="31"/>
  <c r="Q81" i="31"/>
  <c r="R81" i="31"/>
  <c r="S81" i="31"/>
  <c r="C96" i="31"/>
  <c r="C91" i="31"/>
  <c r="D96" i="31"/>
  <c r="D91" i="31"/>
  <c r="E96" i="31"/>
  <c r="E91" i="31"/>
  <c r="F96" i="31"/>
  <c r="F91" i="31"/>
  <c r="G96" i="31"/>
  <c r="G91" i="31"/>
  <c r="H96" i="31"/>
  <c r="H91" i="31"/>
  <c r="I96" i="31"/>
  <c r="I91" i="31"/>
  <c r="J96" i="31"/>
  <c r="J91" i="31"/>
  <c r="K96" i="31"/>
  <c r="K91" i="31"/>
  <c r="L96" i="31"/>
  <c r="L91" i="31"/>
  <c r="M96" i="31"/>
  <c r="M91" i="31"/>
  <c r="N96" i="31"/>
  <c r="N91" i="31"/>
  <c r="O96" i="31"/>
  <c r="O91" i="31"/>
  <c r="P96" i="31"/>
  <c r="P91" i="31"/>
  <c r="Q96" i="31"/>
  <c r="Q91" i="31"/>
  <c r="Q98" i="31" s="1"/>
  <c r="R91" i="31"/>
  <c r="S91" i="31"/>
  <c r="S98" i="31"/>
  <c r="J99" i="31"/>
  <c r="R99" i="31"/>
  <c r="C8" i="30"/>
  <c r="D8" i="30"/>
  <c r="D12" i="30" s="1"/>
  <c r="E8" i="30"/>
  <c r="F8" i="30"/>
  <c r="F12" i="30" s="1"/>
  <c r="G8" i="30"/>
  <c r="H8" i="30"/>
  <c r="I8" i="30"/>
  <c r="J8" i="30"/>
  <c r="J12" i="30" s="1"/>
  <c r="K8" i="30"/>
  <c r="L8" i="30"/>
  <c r="L12" i="30" s="1"/>
  <c r="M8" i="30"/>
  <c r="N8" i="30"/>
  <c r="O8" i="30"/>
  <c r="P8" i="30"/>
  <c r="Q8" i="30"/>
  <c r="R8" i="30"/>
  <c r="R12" i="30" s="1"/>
  <c r="S8" i="30"/>
  <c r="C10" i="30"/>
  <c r="C12" i="30" s="1"/>
  <c r="D10" i="30"/>
  <c r="E10" i="30"/>
  <c r="E12" i="30" s="1"/>
  <c r="F10" i="30"/>
  <c r="G10" i="30"/>
  <c r="G12" i="30" s="1"/>
  <c r="H10" i="30"/>
  <c r="I10" i="30"/>
  <c r="J10" i="30"/>
  <c r="K10" i="30"/>
  <c r="K12" i="30" s="1"/>
  <c r="L10" i="30"/>
  <c r="M10" i="30"/>
  <c r="M12" i="30" s="1"/>
  <c r="N10" i="30"/>
  <c r="O10" i="30"/>
  <c r="O12" i="30" s="1"/>
  <c r="P10" i="30"/>
  <c r="Q10" i="30"/>
  <c r="R10" i="30"/>
  <c r="S10" i="30"/>
  <c r="S12" i="30" s="1"/>
  <c r="N12" i="30"/>
  <c r="C14" i="30"/>
  <c r="D14" i="30"/>
  <c r="E14" i="30"/>
  <c r="F14" i="30"/>
  <c r="G14" i="30"/>
  <c r="H14" i="30"/>
  <c r="I14" i="30"/>
  <c r="J14" i="30"/>
  <c r="K14" i="30"/>
  <c r="L14" i="30"/>
  <c r="M14" i="30"/>
  <c r="N14" i="30"/>
  <c r="O14" i="30"/>
  <c r="P14" i="30"/>
  <c r="Q14" i="30"/>
  <c r="R14" i="30"/>
  <c r="S14" i="30"/>
  <c r="C15" i="30"/>
  <c r="D15" i="30"/>
  <c r="E15" i="30"/>
  <c r="F15" i="30"/>
  <c r="G15" i="30"/>
  <c r="H15" i="30"/>
  <c r="I15" i="30"/>
  <c r="J15" i="30"/>
  <c r="K15" i="30"/>
  <c r="L15" i="30"/>
  <c r="M15" i="30"/>
  <c r="N15" i="30"/>
  <c r="O15" i="30"/>
  <c r="P15" i="30"/>
  <c r="Q15" i="30"/>
  <c r="R15" i="30"/>
  <c r="S15" i="30"/>
  <c r="C16" i="30"/>
  <c r="D16" i="30"/>
  <c r="E16" i="30"/>
  <c r="F16" i="30"/>
  <c r="G16" i="30"/>
  <c r="H16" i="30"/>
  <c r="I16" i="30"/>
  <c r="J16" i="30"/>
  <c r="K16" i="30"/>
  <c r="L16" i="30"/>
  <c r="M16" i="30"/>
  <c r="N16" i="30"/>
  <c r="O16" i="30"/>
  <c r="P16" i="30"/>
  <c r="Q16" i="30"/>
  <c r="R16" i="30"/>
  <c r="S16" i="30"/>
  <c r="C17" i="30"/>
  <c r="D17" i="30"/>
  <c r="E17" i="30"/>
  <c r="F17" i="30"/>
  <c r="G17" i="30"/>
  <c r="H17" i="30"/>
  <c r="I17" i="30"/>
  <c r="J17" i="30"/>
  <c r="K17" i="30"/>
  <c r="L17" i="30"/>
  <c r="M17" i="30"/>
  <c r="N17" i="30"/>
  <c r="O17" i="30"/>
  <c r="P17" i="30"/>
  <c r="Q17" i="30"/>
  <c r="R17" i="30"/>
  <c r="S17" i="30"/>
  <c r="Q35" i="30"/>
  <c r="C10" i="35"/>
  <c r="C13" i="35"/>
  <c r="C17" i="35"/>
  <c r="C23" i="35"/>
  <c r="D10" i="35"/>
  <c r="D13" i="35"/>
  <c r="D17" i="35"/>
  <c r="D23" i="35"/>
  <c r="E10" i="35"/>
  <c r="E13" i="35"/>
  <c r="E17" i="35"/>
  <c r="E23" i="35"/>
  <c r="F10" i="35"/>
  <c r="F13" i="35"/>
  <c r="F17" i="35"/>
  <c r="F23" i="35"/>
  <c r="G10" i="35"/>
  <c r="G13" i="35"/>
  <c r="G17" i="35"/>
  <c r="G23" i="35"/>
  <c r="H10" i="35"/>
  <c r="H13" i="35"/>
  <c r="H17" i="35"/>
  <c r="H23" i="35"/>
  <c r="I10" i="35"/>
  <c r="I13" i="35"/>
  <c r="I17" i="35"/>
  <c r="I23" i="35"/>
  <c r="J10" i="35"/>
  <c r="J13" i="35"/>
  <c r="J17" i="35"/>
  <c r="J23" i="35"/>
  <c r="K10" i="35"/>
  <c r="K13" i="35"/>
  <c r="K17" i="35"/>
  <c r="K23" i="35"/>
  <c r="L10" i="35"/>
  <c r="L13" i="35"/>
  <c r="L17" i="35"/>
  <c r="L23" i="35"/>
  <c r="M10" i="35"/>
  <c r="M13" i="35"/>
  <c r="M17" i="35"/>
  <c r="M23" i="35"/>
  <c r="N10" i="35"/>
  <c r="N13" i="35"/>
  <c r="N17" i="35"/>
  <c r="N23" i="35"/>
  <c r="O10" i="35"/>
  <c r="O13" i="35"/>
  <c r="O17" i="35"/>
  <c r="O23" i="35"/>
  <c r="P10" i="35"/>
  <c r="P13" i="35"/>
  <c r="P17" i="35"/>
  <c r="P23" i="35"/>
  <c r="Q10" i="35"/>
  <c r="Q13" i="35"/>
  <c r="Q17" i="35"/>
  <c r="Q23" i="35"/>
  <c r="S10" i="35"/>
  <c r="S13" i="35"/>
  <c r="S17" i="35"/>
  <c r="S23" i="35"/>
  <c r="E29" i="41"/>
  <c r="D38" i="41"/>
  <c r="D39" i="41"/>
  <c r="D40" i="41"/>
  <c r="D41" i="41" s="1"/>
  <c r="X12" i="32" l="1"/>
  <c r="R13" i="32"/>
  <c r="R34" i="31"/>
  <c r="Q12" i="30"/>
  <c r="I12" i="30"/>
  <c r="L23" i="31"/>
  <c r="L27" i="31" s="1"/>
  <c r="Y14" i="32"/>
  <c r="O10" i="32"/>
  <c r="Y10" i="32" s="1"/>
  <c r="V12" i="32"/>
  <c r="S99" i="31"/>
  <c r="K23" i="31"/>
  <c r="C23" i="31"/>
  <c r="Q10" i="31"/>
  <c r="O15" i="31"/>
  <c r="G15" i="31"/>
  <c r="V14" i="32"/>
  <c r="X11" i="32"/>
  <c r="X18" i="31"/>
  <c r="E23" i="31"/>
  <c r="E27" i="31" s="1"/>
  <c r="N23" i="31"/>
  <c r="N27" i="31" s="1"/>
  <c r="F23" i="31"/>
  <c r="F27" i="31" s="1"/>
  <c r="X14" i="32"/>
  <c r="Y9" i="31"/>
  <c r="Y10" i="31" s="1"/>
  <c r="Q63" i="31"/>
  <c r="Q99" i="31" s="1"/>
  <c r="I63" i="31"/>
  <c r="I99" i="31" s="1"/>
  <c r="W14" i="32"/>
  <c r="G12" i="32"/>
  <c r="W13" i="32"/>
  <c r="O12" i="32"/>
  <c r="V18" i="31"/>
  <c r="W34" i="31"/>
  <c r="Q27" i="31"/>
  <c r="Q33" i="31" s="1"/>
  <c r="Y33" i="31" s="1"/>
  <c r="Y34" i="31" s="1"/>
  <c r="M23" i="31"/>
  <c r="M27" i="31" s="1"/>
  <c r="V11" i="32"/>
  <c r="W9" i="31"/>
  <c r="W10" i="31" s="1"/>
  <c r="M10" i="32"/>
  <c r="N10" i="32"/>
  <c r="F10" i="32"/>
  <c r="G10" i="32"/>
  <c r="W10" i="32" s="1"/>
  <c r="K10" i="32"/>
  <c r="C10" i="32"/>
  <c r="Q19" i="30"/>
  <c r="J10" i="32"/>
  <c r="S9" i="32"/>
  <c r="I27" i="31"/>
  <c r="H12" i="32"/>
  <c r="W12" i="32" s="1"/>
  <c r="H10" i="31"/>
  <c r="H15" i="31"/>
  <c r="H23" i="31" s="1"/>
  <c r="H27" i="31" s="1"/>
  <c r="S23" i="31"/>
  <c r="S27" i="31" s="1"/>
  <c r="S33" i="31" s="1"/>
  <c r="P12" i="32"/>
  <c r="P10" i="31"/>
  <c r="P15" i="31"/>
  <c r="P23" i="31" s="1"/>
  <c r="P27" i="31" s="1"/>
  <c r="S19" i="30"/>
  <c r="R19" i="30"/>
  <c r="P12" i="30"/>
  <c r="H12" i="30"/>
  <c r="D23" i="31"/>
  <c r="D27" i="31" s="1"/>
  <c r="G23" i="31" l="1"/>
  <c r="W15" i="31"/>
  <c r="O23" i="31"/>
  <c r="Y15" i="31"/>
  <c r="Q34" i="31"/>
  <c r="C27" i="31"/>
  <c r="V27" i="31" s="1"/>
  <c r="V23" i="31"/>
  <c r="Q13" i="32"/>
  <c r="Y13" i="32" s="1"/>
  <c r="Y12" i="32"/>
  <c r="K27" i="31"/>
  <c r="X27" i="31" s="1"/>
  <c r="X23" i="31"/>
  <c r="V10" i="32"/>
  <c r="X10" i="32"/>
  <c r="S34" i="31"/>
  <c r="S13" i="32"/>
  <c r="O27" i="31" l="1"/>
  <c r="Y27" i="31" s="1"/>
  <c r="Y23" i="31"/>
  <c r="G27" i="31"/>
  <c r="W27" i="31" s="1"/>
  <c r="W23" i="31"/>
</calcChain>
</file>

<file path=xl/sharedStrings.xml><?xml version="1.0" encoding="utf-8"?>
<sst xmlns="http://schemas.openxmlformats.org/spreadsheetml/2006/main" count="562" uniqueCount="297">
  <si>
    <t>Total</t>
  </si>
  <si>
    <t>CURTO PRAZO</t>
  </si>
  <si>
    <t>LONGO PRAZO</t>
  </si>
  <si>
    <t>APLIC. FINANCEIRAS</t>
  </si>
  <si>
    <t>Real</t>
  </si>
  <si>
    <t>Dólar Norte-Americano</t>
  </si>
  <si>
    <t>Lucro bruto</t>
  </si>
  <si>
    <t>Participação dos controladores</t>
  </si>
  <si>
    <t>Participação dos não-controladores</t>
  </si>
  <si>
    <t>Depreciação</t>
  </si>
  <si>
    <t>Outros</t>
  </si>
  <si>
    <t>Contas a receber de clientes</t>
  </si>
  <si>
    <t>Estoques</t>
  </si>
  <si>
    <t>Investimentos</t>
  </si>
  <si>
    <t>Intangível</t>
  </si>
  <si>
    <t>Imobilizado</t>
  </si>
  <si>
    <t>Fornecedores</t>
  </si>
  <si>
    <t>Capital social</t>
  </si>
  <si>
    <t>Pessoal</t>
  </si>
  <si>
    <t>Manutenção</t>
  </si>
  <si>
    <t>DEPRECIAÇÃO</t>
  </si>
  <si>
    <t>NÃO CIRCULANTE</t>
  </si>
  <si>
    <t>TOTAL DO ATIVO</t>
  </si>
  <si>
    <t>PATRIMÔNIO LÍQUIDO</t>
  </si>
  <si>
    <t>R$ milhões</t>
  </si>
  <si>
    <t>% dos custos</t>
  </si>
  <si>
    <t>Câmbio médio</t>
  </si>
  <si>
    <t>Câmbio final</t>
  </si>
  <si>
    <t>Receita Líquida</t>
  </si>
  <si>
    <t>Lucro Bruto</t>
  </si>
  <si>
    <t>Consolidado</t>
  </si>
  <si>
    <t>DÍVIDA BRUTA</t>
  </si>
  <si>
    <t>DÍVIDA LÍQUIDA</t>
  </si>
  <si>
    <t>DÍVIDA BRUTA POR MOEDA</t>
  </si>
  <si>
    <t>EBITDA Ajustado</t>
  </si>
  <si>
    <t>1.  Premissas</t>
  </si>
  <si>
    <t xml:space="preserve">        </t>
  </si>
  <si>
    <t>Acesse aqui</t>
  </si>
  <si>
    <t xml:space="preserve">Para conhecer um pouco mais sobre o processo de produção assista ao vídeo:  </t>
  </si>
  <si>
    <t>MARGEM EBITDA ajustada</t>
  </si>
  <si>
    <t>ATIVO CIRCULANTE</t>
  </si>
  <si>
    <t>PASSIVO CIRCULANTE</t>
  </si>
  <si>
    <t>1T18</t>
  </si>
  <si>
    <t>2T18</t>
  </si>
  <si>
    <t>3T18</t>
  </si>
  <si>
    <t>4T18</t>
  </si>
  <si>
    <t>1T19</t>
  </si>
  <si>
    <t>2T19</t>
  </si>
  <si>
    <t>3T19</t>
  </si>
  <si>
    <t>4T19</t>
  </si>
  <si>
    <t>1T20</t>
  </si>
  <si>
    <t>2T20</t>
  </si>
  <si>
    <t>3T20</t>
  </si>
  <si>
    <t>TOTAL DO PASSIVO E PATRIMONIO LÍQUIDO</t>
  </si>
  <si>
    <t>4T20</t>
  </si>
  <si>
    <t xml:space="preserve">DÍVIDA BRUTA - VENCIMENTO </t>
  </si>
  <si>
    <t>2027 E APÓS</t>
  </si>
  <si>
    <t>1T21</t>
  </si>
  <si>
    <t>Menu</t>
  </si>
  <si>
    <t>Premissas da Planilha de Fundamentos</t>
  </si>
  <si>
    <t>Operações por Segmento:</t>
  </si>
  <si>
    <t>DEMONSTRAÇÃO DE RESULTADO (R$ Milhões)</t>
  </si>
  <si>
    <t>BALANÇO PATRIMONIAL (R$ Milhões)</t>
  </si>
  <si>
    <t>Lucro (prejuízo) líquido do período</t>
  </si>
  <si>
    <t>Margem Bruta</t>
  </si>
  <si>
    <t>Mil toneladas</t>
  </si>
  <si>
    <t xml:space="preserve"> R$ milhões </t>
  </si>
  <si>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</si>
  <si>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</si>
  <si>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</si>
  <si>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</si>
  <si>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Energia</t>
  </si>
  <si>
    <t>Lingote¹</t>
  </si>
  <si>
    <t>VAP²</t>
  </si>
  <si>
    <t>Folhas</t>
  </si>
  <si>
    <t>Chapas</t>
  </si>
  <si>
    <t>Vendas</t>
  </si>
  <si>
    <t>Serviços</t>
  </si>
  <si>
    <t>Alumina</t>
  </si>
  <si>
    <t>Alumínio</t>
  </si>
  <si>
    <t>Níquel</t>
  </si>
  <si>
    <t>Matérias-primas</t>
  </si>
  <si>
    <t>Receita líquida dos produtos vendidos e dos serviços prestados</t>
  </si>
  <si>
    <t>Custo dos produtos vendidos e dos serviços prestados</t>
  </si>
  <si>
    <t>Receitas (despesas) operacionais</t>
  </si>
  <si>
    <t xml:space="preserve">Com vendas </t>
  </si>
  <si>
    <t>Gerais e administrativas</t>
  </si>
  <si>
    <t>Outras receitas (despesas) operacionais, líquidas</t>
  </si>
  <si>
    <t>Resultado de participações societárias</t>
  </si>
  <si>
    <t xml:space="preserve">Equivalência patrimonial </t>
  </si>
  <si>
    <t xml:space="preserve">Resultado financeiro líquido </t>
  </si>
  <si>
    <t>Receitas financeiras</t>
  </si>
  <si>
    <t>Despesas financeiras</t>
  </si>
  <si>
    <t>Variações cambiais, líquidas</t>
  </si>
  <si>
    <t>Lucro (prejuízo) antes do imposto de renda e da contribuição social</t>
  </si>
  <si>
    <t xml:space="preserve">Imposto de renda e contribuição social </t>
  </si>
  <si>
    <t>Correntes</t>
  </si>
  <si>
    <t>Diferidos</t>
  </si>
  <si>
    <t>Caixa e equivalentes de caixa</t>
  </si>
  <si>
    <t>Aplicações financeiras</t>
  </si>
  <si>
    <t xml:space="preserve">Instrumentos financeiros derivativos </t>
  </si>
  <si>
    <t>Tributos a recuperar</t>
  </si>
  <si>
    <t>Dividendos a receber</t>
  </si>
  <si>
    <t>Outros ativos</t>
  </si>
  <si>
    <t>Realizável a longo prazo</t>
  </si>
  <si>
    <t>Instrumentos financeiros derivativos</t>
  </si>
  <si>
    <t>Imposto de renda e contribuição social diferidos</t>
  </si>
  <si>
    <t xml:space="preserve">Partes relacionadas </t>
  </si>
  <si>
    <t>Depósitos judiciais</t>
  </si>
  <si>
    <t>Direito de uso</t>
  </si>
  <si>
    <t>Empréstimos e financiamentos</t>
  </si>
  <si>
    <t>Arrendamentos</t>
  </si>
  <si>
    <t>Risco sacado a pagar</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</si>
  <si>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</si>
  <si>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</si>
  <si>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</si>
  <si>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</si>
  <si>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</si>
  <si>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</si>
  <si>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</si>
  <si>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</si>
  <si>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</si>
  <si>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</si>
  <si>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Ajustes de avaliação patrimonial</t>
  </si>
  <si>
    <t>Patrimônio líquido atribuído aos acionistas controladores</t>
  </si>
  <si>
    <t>Participação dos acionistas não controladores</t>
  </si>
  <si>
    <t>Resultado dos intrumentos financeiros derivativos</t>
  </si>
  <si>
    <t>Itens excepcionais</t>
  </si>
  <si>
    <t>Instrumentos financeiros - compromisso firme</t>
  </si>
  <si>
    <t>CAIXA E EQUIVALENTES</t>
  </si>
  <si>
    <t>INSTRUMENTOS FINANCEIROS DERIVATIVOS</t>
  </si>
  <si>
    <t>Lucro (prejuízos) acumulados</t>
  </si>
  <si>
    <t>ARRENDAMENTOS</t>
  </si>
  <si>
    <t>Lucro (prejuízo) Bruto</t>
  </si>
  <si>
    <t>Depreciação, amortização e exaustão</t>
  </si>
  <si>
    <t>Despesas com salários e benefícios a empregados</t>
  </si>
  <si>
    <t>Custo com manutenção, conservação e serviços na operação</t>
  </si>
  <si>
    <t>Matérias-primas, insumos e materiais de consumo, incluindo custo com energia</t>
  </si>
  <si>
    <t>Outras despesas e serviços gerais</t>
  </si>
  <si>
    <t>LME Médio (US$)</t>
  </si>
  <si>
    <t xml:space="preserve">Extrudados </t>
  </si>
  <si>
    <t>Primários</t>
  </si>
  <si>
    <t>Transformados</t>
  </si>
  <si>
    <t>Reciclagem</t>
  </si>
  <si>
    <t>Diagrama da Cadeia Produtiva:</t>
  </si>
  <si>
    <t>2.  Processo Produtivo</t>
  </si>
  <si>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</si>
  <si>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</si>
  <si>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t>Nessa etapa, para aumentar o valor agregado dos produtos, o alumínio primário é modificado para alumínio transformado por meio de laminação e extrusão, resultando em produtos como folhas, chapas, extrudados, entre outros.</t>
  </si>
  <si>
    <r>
      <t>1.</t>
    </r>
    <r>
      <rPr>
        <b/>
        <sz val="7"/>
        <color indexed="18"/>
        <rFont val="Times New Roman"/>
        <family val="1"/>
      </rPr>
      <t xml:space="preserve">     </t>
    </r>
    <r>
      <rPr>
        <b/>
        <sz val="10"/>
        <color indexed="18"/>
        <rFont val="Tahoma"/>
        <family val="2"/>
      </rPr>
      <t>Mineração</t>
    </r>
  </si>
  <si>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</si>
  <si>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</si>
  <si>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</si>
  <si>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</si>
  <si>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</si>
  <si>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r>
      <t>5.</t>
    </r>
    <r>
      <rPr>
        <b/>
        <sz val="7"/>
        <color indexed="18"/>
        <rFont val="Times New Roman"/>
        <family val="1"/>
      </rPr>
      <t xml:space="preserve">     </t>
    </r>
    <r>
      <rPr>
        <b/>
        <sz val="10"/>
        <color indexed="18"/>
        <rFont val="Tahoma"/>
        <family val="2"/>
      </rPr>
      <t>Transformação Plástica</t>
    </r>
  </si>
  <si>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</si>
  <si>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</si>
  <si>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ÍNDICE DE ALAVANCAGEM FINANCEIRA            (Dívida Líquida/EBITDA Ajustado)</t>
  </si>
  <si>
    <t>Lucro operacional antes das participações societárias e do resultado financeiro</t>
  </si>
  <si>
    <t>2T21</t>
  </si>
  <si>
    <t>Diversos</t>
  </si>
  <si>
    <t>(-) Eliminações</t>
  </si>
  <si>
    <t>Hedge</t>
  </si>
  <si>
    <t>3T21</t>
  </si>
  <si>
    <t>Lingote</t>
  </si>
  <si>
    <t xml:space="preserve">Depreciação &amp; amortização </t>
  </si>
  <si>
    <t>Receita Líquida - Sem eliminações</t>
  </si>
  <si>
    <r>
      <t xml:space="preserve">  </t>
    </r>
    <r>
      <rPr>
        <b/>
        <sz val="10"/>
        <color indexed="63"/>
        <rFont val="Votorantim Sans Black"/>
      </rPr>
      <t>Dados a partir do 1T18</t>
    </r>
  </si>
  <si>
    <t>¹ Lingote de alumínio e alumínio líquido</t>
  </si>
  <si>
    <t>² Ligas de alumínio, tarugo e vergalhão</t>
  </si>
  <si>
    <t>³ Trading de lingote</t>
  </si>
  <si>
    <t>CAPEX</t>
  </si>
  <si>
    <t>Reforma de fornos</t>
  </si>
  <si>
    <t>4T21</t>
  </si>
  <si>
    <t>TOTAL</t>
  </si>
  <si>
    <t>R$/t</t>
  </si>
  <si>
    <t>Alumínio líquido</t>
  </si>
  <si>
    <t>Pasta anódica</t>
  </si>
  <si>
    <t>Energia elétrica</t>
  </si>
  <si>
    <t>Custos fixos</t>
  </si>
  <si>
    <t>Adição de metal</t>
  </si>
  <si>
    <t>Custo de transformação variável</t>
  </si>
  <si>
    <t>Custo de transformação fixo</t>
  </si>
  <si>
    <t>Volume produzido (mil toneladas)</t>
  </si>
  <si>
    <t xml:space="preserve">Lingote³ </t>
  </si>
  <si>
    <t>Outros custos variáveis</t>
  </si>
  <si>
    <t>Expansão &amp; Modernização</t>
  </si>
  <si>
    <t>Reciclagem:</t>
  </si>
  <si>
    <t>Alumina:</t>
  </si>
  <si>
    <t>Compõem matérias-primas de consumo na produção da Alumina e demais custos fixos e variáveis</t>
  </si>
  <si>
    <t>Pasta anódica:</t>
  </si>
  <si>
    <t>Energia Elétrica:</t>
  </si>
  <si>
    <t>Depreciação:</t>
  </si>
  <si>
    <t>Depreciação dos imobilizados e intangíveis relativos às usinas, minerações, alumina e salas fornos</t>
  </si>
  <si>
    <t>Custos Fixos:</t>
  </si>
  <si>
    <t>Despesas com pessoal e despesas gerais de fabricação</t>
  </si>
  <si>
    <t>Alumínio líquido:</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</si>
  <si>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</si>
  <si>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</si>
  <si>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</si>
  <si>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</si>
  <si>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</si>
  <si>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</si>
  <si>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</si>
  <si>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</si>
  <si>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</si>
  <si>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CPV Trading de Lingote:</t>
  </si>
  <si>
    <t>Custo total do produto vendido de lingote importado</t>
  </si>
  <si>
    <t>CPV Outros:</t>
  </si>
  <si>
    <t>Custo total do produto vendido de tarugo e do serviço prestado na transformação de sucata de terceiro</t>
  </si>
  <si>
    <t xml:space="preserve">Despesas com energia elétrica auxiliar e outras matérias-primas </t>
  </si>
  <si>
    <t>Alumínio Líquido</t>
  </si>
  <si>
    <t xml:space="preserve">Custos de energia consumida sobre a operação e geração das usinas </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</si>
  <si>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</si>
  <si>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Piche e coque e demais custos fixos e variáveis</t>
  </si>
  <si>
    <t>Legenda</t>
  </si>
  <si>
    <t>Custo do alumínio para produção de 1 tonelada de transformados, inferior ao custo da tonelada de alumínio líquido produzido dado que é necessário menos que 1 tonelada de alumínio líquido para produção de 1 tonelada de transformados</t>
  </si>
  <si>
    <t>Custo do alumínio líquido para produção de 1 tonelada de primários, inferior ao custo da tonelada de alumínio líquido produzido dado que é necessário menos que 1 tonelada de alumínio líquido para produção de 1 tonelada de primários</t>
  </si>
  <si>
    <t>Geração de energia</t>
  </si>
  <si>
    <t xml:space="preserve">A Companhia possui 21 usinas hidrelétricas com capacidade instalada para geração de 1,4 GW de energia, capaz de atender a praticamente a totalidade do requerimento de energia elétrica para a sua produção de alumínio. A Companhia possui usinas conectadas ao Sistema Integrado Nacional (SIN) e ativos ligados diretamente à unidade de Alumínio, garantindo suprimento e custo competitivo do insumo, além da isenção de alguns encargos, que são aplicados a quem não é autoprodutor. </t>
  </si>
  <si>
    <t>Usina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</si>
  <si>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</si>
  <si>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</si>
  <si>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</si>
  <si>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</si>
  <si>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</si>
  <si>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</si>
  <si>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</si>
  <si>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</si>
  <si>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</si>
  <si>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</si>
  <si>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</si>
  <si>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</si>
  <si>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</si>
  <si>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jun-16¹</t>
  </si>
  <si>
    <t>UHE Barra </t>
  </si>
  <si>
    <t>UHE Fumaça </t>
  </si>
  <si>
    <t>UHE França </t>
  </si>
  <si>
    <t>UHE Porto Raso </t>
  </si>
  <si>
    <t>UHE Serraria </t>
  </si>
  <si>
    <t>UHE Salto do Iporanga </t>
  </si>
  <si>
    <t>nov-21²</t>
  </si>
  <si>
    <t>UHE Itupararanga </t>
  </si>
  <si>
    <t>Sorocaba</t>
  </si>
  <si>
    <t>UHE Jurupará </t>
  </si>
  <si>
    <t>CGH Santa Helena </t>
  </si>
  <si>
    <t>Prazo Indeterminado</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</si>
  <si>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</si>
  <si>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</si>
  <si>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</si>
  <si>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</si>
  <si>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</si>
  <si>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</si>
  <si>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</si>
  <si>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</si>
  <si>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</si>
  <si>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</si>
  <si>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</si>
  <si>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</si>
  <si>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</si>
  <si>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</si>
  <si>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</si>
  <si>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</si>
  <si>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</si>
  <si>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</si>
  <si>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</si>
  <si>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CBA Machadinho</t>
  </si>
  <si>
    <t>UHE Campos Novos </t>
  </si>
  <si>
    <t>Enercan</t>
  </si>
  <si>
    <t>CBA Energia</t>
  </si>
  <si>
    <t>UHE Barra Grande </t>
  </si>
  <si>
    <t>RS</t>
  </si>
  <si>
    <t>Baesa</t>
  </si>
  <si>
    <r>
      <rPr>
        <b/>
        <sz val="10"/>
        <rFont val="Votorantim Sans Black"/>
      </rPr>
      <t>²</t>
    </r>
    <r>
      <rPr>
        <sz val="10"/>
        <rFont val="Votorantim Sans Black"/>
      </rPr>
      <t xml:space="preserve"> O processo de prorrogação aguarda decisão pelo Ministério de Minas e Energia. </t>
    </r>
  </si>
  <si>
    <t>³ Referente à participação da CBA</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</si>
  <si>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</si>
  <si>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</si>
  <si>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</si>
  <si>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</si>
  <si>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</si>
  <si>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</si>
  <si>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</si>
  <si>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</si>
  <si>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4.  Volume de Vendas</t>
  </si>
  <si>
    <t>5.  Dívida</t>
  </si>
  <si>
    <t>6.  Demonstrativos Financeiros</t>
  </si>
  <si>
    <t>7.  Resultados por negócio</t>
  </si>
  <si>
    <t xml:space="preserve">8.  Custos </t>
  </si>
  <si>
    <t>9.  Composição Custos</t>
  </si>
  <si>
    <t>3.  Energia</t>
  </si>
  <si>
    <t>10. CAPEX</t>
  </si>
  <si>
    <r>
      <rPr>
        <b/>
        <sz val="10"/>
        <rFont val="Votorantim Sans Black"/>
      </rPr>
      <t>¹</t>
    </r>
    <r>
      <rPr>
        <sz val="10"/>
        <rFont val="Votorantim Sans Black"/>
      </rPr>
      <t xml:space="preserve"> O Ministério de Minas e Energia solicitou esclarecimentos à ANEEL relativos à conexão da usina ao SIN. Aguardando a manifestação da ANEEL para o MME.</t>
    </r>
  </si>
  <si>
    <t>Outros custos variáveis:</t>
  </si>
  <si>
    <t>1T22</t>
  </si>
  <si>
    <t>Reserva de Lucros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</si>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</sst>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s>
  <fonts count="74">
    <font>
      <sz val="10"/>
      <name val="Arial"/>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sz val="11"/>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sz val="9"/>
      <color theme="1"/>
      <name val="Calibri"/>
      <family val="2"/>
      <scheme val="minor"/>
    </font>
    <font>
      <i/>
      <sz val="11"/>
      <color theme="1"/>
      <name val="Votorantim Sans Black"/>
    </font>
    <font>
      <sz val="11"/>
      <color theme="4"/>
      <name val="Votorantim Sans Black"/>
    </font>
    <font>
      <i/>
      <sz val="10"/>
      <color rgb="FF242424"/>
      <name val="Votorantim Sans Black"/>
    </font>
  </fonts>
  <fills count="6">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s>
  <cellStyleXfs count="22">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41" fillId="0" borderId="0"/>
    <xf numFmtId="0" fontId="6" fillId="2" borderId="1"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1"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8" fillId="0" borderId="0" applyFont="0" applyFill="0" applyBorder="0" applyAlignment="0" applyProtection="0"/>
    <xf numFmtId="9" fontId="68" fillId="0" borderId="0" applyFont="0" applyFill="0" applyBorder="0" applyAlignment="0" applyProtection="0"/>
  </cellStyleXfs>
  <cellXfs count="314">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42" fillId="3" borderId="0" xfId="0" applyFont="1" applyFill="1"/>
    <xf numFmtId="0" fontId="42" fillId="3" borderId="0" xfId="3" applyFont="1" applyFill="1" applyAlignment="1" applyProtection="1"/>
    <xf numFmtId="0" fontId="43" fillId="3" borderId="0" xfId="0" applyFont="1" applyFill="1"/>
    <xf numFmtId="0" fontId="43" fillId="4" borderId="0" xfId="0" applyFont="1" applyFill="1"/>
    <xf numFmtId="0" fontId="43" fillId="0" borderId="0" xfId="0" applyFont="1"/>
    <xf numFmtId="0" fontId="42" fillId="4" borderId="0" xfId="0" applyFont="1" applyFill="1"/>
    <xf numFmtId="0" fontId="42" fillId="0" borderId="0" xfId="0" applyFont="1"/>
    <xf numFmtId="0" fontId="44" fillId="3" borderId="0" xfId="3" applyFont="1" applyFill="1" applyAlignment="1" applyProtection="1">
      <alignment vertical="center"/>
    </xf>
    <xf numFmtId="0" fontId="13" fillId="3" borderId="0" xfId="0" applyFont="1" applyFill="1"/>
    <xf numFmtId="0" fontId="45" fillId="3" borderId="0" xfId="3" applyFont="1" applyFill="1" applyAlignment="1" applyProtection="1">
      <alignment vertical="center"/>
    </xf>
    <xf numFmtId="0" fontId="46" fillId="3" borderId="0" xfId="0" applyFont="1" applyFill="1"/>
    <xf numFmtId="0" fontId="46" fillId="3" borderId="0" xfId="0" applyFont="1" applyFill="1" applyAlignment="1">
      <alignment horizontal="center"/>
    </xf>
    <xf numFmtId="0" fontId="47"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8" fillId="0" borderId="0" xfId="0" applyFont="1"/>
    <xf numFmtId="14" fontId="15" fillId="0" borderId="0" xfId="0" applyNumberFormat="1" applyFont="1"/>
    <xf numFmtId="0" fontId="25" fillId="0" borderId="0" xfId="3" applyFont="1" applyAlignment="1" applyProtection="1"/>
    <xf numFmtId="0" fontId="26" fillId="0" borderId="0" xfId="0" applyFont="1"/>
    <xf numFmtId="0" fontId="27" fillId="0" borderId="0" xfId="3" applyFont="1" applyAlignment="1" applyProtection="1"/>
    <xf numFmtId="0" fontId="28" fillId="4" borderId="0" xfId="0" applyFont="1" applyFill="1"/>
    <xf numFmtId="0" fontId="49" fillId="0" borderId="0" xfId="0" applyFont="1"/>
    <xf numFmtId="0" fontId="15" fillId="3" borderId="0" xfId="0" applyFont="1" applyFill="1"/>
    <xf numFmtId="0" fontId="50" fillId="0" borderId="0" xfId="0" applyFont="1"/>
    <xf numFmtId="0" fontId="29" fillId="3" borderId="0" xfId="0" applyFont="1" applyFill="1"/>
    <xf numFmtId="0" fontId="14" fillId="3" borderId="0" xfId="0" applyFont="1" applyFill="1"/>
    <xf numFmtId="0" fontId="15" fillId="0" borderId="0" xfId="0" applyFont="1" applyFill="1"/>
    <xf numFmtId="0" fontId="15" fillId="3" borderId="0" xfId="0" applyFont="1" applyFill="1" applyAlignment="1">
      <alignment vertical="center"/>
    </xf>
    <xf numFmtId="0" fontId="28"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51" fillId="3" borderId="0" xfId="0" applyFont="1" applyFill="1" applyAlignment="1">
      <alignment vertical="center"/>
    </xf>
    <xf numFmtId="165" fontId="28" fillId="3" borderId="0" xfId="0" applyNumberFormat="1" applyFont="1" applyFill="1"/>
    <xf numFmtId="0" fontId="24" fillId="3" borderId="0" xfId="0" applyFont="1" applyFill="1" applyAlignment="1">
      <alignment horizontal="right" vertical="center"/>
    </xf>
    <xf numFmtId="0" fontId="52" fillId="3" borderId="0" xfId="0" applyFont="1" applyFill="1" applyAlignment="1">
      <alignment vertical="center"/>
    </xf>
    <xf numFmtId="165" fontId="52" fillId="3" borderId="0" xfId="0" applyNumberFormat="1" applyFont="1" applyFill="1" applyAlignment="1">
      <alignment vertical="center"/>
    </xf>
    <xf numFmtId="0" fontId="32" fillId="3" borderId="0" xfId="0" applyFont="1" applyFill="1"/>
    <xf numFmtId="0" fontId="33" fillId="3" borderId="0" xfId="0" applyFont="1" applyFill="1"/>
    <xf numFmtId="0" fontId="23" fillId="3" borderId="0" xfId="0" applyFont="1" applyFill="1"/>
    <xf numFmtId="0" fontId="53" fillId="5" borderId="3" xfId="0" applyFont="1" applyFill="1" applyBorder="1" applyAlignment="1">
      <alignment horizontal="left" vertical="center"/>
    </xf>
    <xf numFmtId="0" fontId="53" fillId="5" borderId="3" xfId="0" applyFont="1" applyFill="1" applyBorder="1" applyAlignment="1">
      <alignment horizontal="center" vertical="center" wrapText="1"/>
    </xf>
    <xf numFmtId="0" fontId="54" fillId="3" borderId="0" xfId="0" applyFont="1" applyFill="1" applyAlignment="1">
      <alignment horizontal="left" vertical="center"/>
    </xf>
    <xf numFmtId="0" fontId="54" fillId="4" borderId="0" xfId="0" applyFont="1" applyFill="1" applyAlignment="1">
      <alignment horizontal="center" vertical="center" wrapText="1"/>
    </xf>
    <xf numFmtId="0" fontId="54" fillId="3" borderId="0" xfId="0" applyFont="1" applyFill="1" applyAlignment="1">
      <alignment vertical="center"/>
    </xf>
    <xf numFmtId="165" fontId="56" fillId="0" borderId="0" xfId="13" applyNumberFormat="1" applyFont="1" applyFill="1" applyBorder="1"/>
    <xf numFmtId="0" fontId="54" fillId="0" borderId="4" xfId="0" applyFont="1" applyFill="1" applyBorder="1"/>
    <xf numFmtId="165" fontId="54" fillId="0" borderId="4" xfId="13" applyNumberFormat="1" applyFont="1" applyFill="1" applyBorder="1"/>
    <xf numFmtId="165" fontId="56" fillId="0" borderId="5" xfId="13" applyNumberFormat="1" applyFont="1" applyFill="1" applyBorder="1"/>
    <xf numFmtId="165" fontId="56" fillId="0" borderId="6" xfId="13" applyNumberFormat="1" applyFont="1" applyFill="1" applyBorder="1"/>
    <xf numFmtId="0" fontId="13" fillId="3" borderId="0" xfId="0" applyFont="1" applyFill="1" applyAlignment="1">
      <alignment horizontal="left" vertical="center"/>
    </xf>
    <xf numFmtId="0" fontId="31" fillId="0" borderId="3" xfId="0" applyFont="1" applyFill="1" applyBorder="1" applyAlignment="1">
      <alignment horizontal="left" vertical="center"/>
    </xf>
    <xf numFmtId="0" fontId="31" fillId="0" borderId="0" xfId="0" applyFont="1" applyFill="1"/>
    <xf numFmtId="0" fontId="28" fillId="0" borderId="0" xfId="0" applyFont="1" applyFill="1"/>
    <xf numFmtId="0" fontId="31" fillId="0" borderId="4" xfId="0" applyFont="1" applyFill="1" applyBorder="1"/>
    <xf numFmtId="0" fontId="28" fillId="0" borderId="5" xfId="0" applyFont="1" applyFill="1" applyBorder="1"/>
    <xf numFmtId="0" fontId="28" fillId="0" borderId="0" xfId="0" applyFont="1" applyFill="1" applyBorder="1"/>
    <xf numFmtId="0" fontId="28" fillId="0" borderId="7" xfId="0" applyFont="1" applyFill="1" applyBorder="1"/>
    <xf numFmtId="0" fontId="53" fillId="5" borderId="3" xfId="0" applyFont="1" applyFill="1" applyBorder="1"/>
    <xf numFmtId="0" fontId="53" fillId="5" borderId="3" xfId="0" applyFont="1" applyFill="1" applyBorder="1" applyAlignment="1">
      <alignment horizontal="right"/>
    </xf>
    <xf numFmtId="0" fontId="53" fillId="5" borderId="3" xfId="0" applyFont="1" applyFill="1" applyBorder="1" applyAlignment="1">
      <alignment horizontal="right" vertical="center" wrapText="1"/>
    </xf>
    <xf numFmtId="0" fontId="58" fillId="0" borderId="0" xfId="0" applyFont="1" applyAlignment="1">
      <alignment horizontal="left"/>
    </xf>
    <xf numFmtId="0" fontId="59" fillId="0" borderId="0" xfId="0" applyFont="1"/>
    <xf numFmtId="0" fontId="60" fillId="0" borderId="0" xfId="0" applyFont="1"/>
    <xf numFmtId="0" fontId="61" fillId="0" borderId="0" xfId="0" applyFont="1"/>
    <xf numFmtId="0" fontId="62" fillId="0" borderId="0" xfId="0" applyFont="1"/>
    <xf numFmtId="0" fontId="63" fillId="0" borderId="0" xfId="0" applyFont="1"/>
    <xf numFmtId="165" fontId="63" fillId="0" borderId="0" xfId="0" applyNumberFormat="1" applyFont="1"/>
    <xf numFmtId="0" fontId="55" fillId="0" borderId="0" xfId="0" applyFont="1"/>
    <xf numFmtId="0" fontId="58" fillId="0" borderId="0" xfId="0" applyFont="1" applyAlignment="1"/>
    <xf numFmtId="0" fontId="56" fillId="0" borderId="5" xfId="0" applyFont="1" applyFill="1" applyBorder="1" applyAlignment="1">
      <alignment horizontal="left" indent="2"/>
    </xf>
    <xf numFmtId="0" fontId="56" fillId="0" borderId="6" xfId="0" applyFont="1" applyFill="1" applyBorder="1" applyAlignment="1">
      <alignment horizontal="left" indent="2"/>
    </xf>
    <xf numFmtId="0" fontId="56" fillId="0" borderId="0" xfId="0" applyFont="1" applyFill="1" applyBorder="1" applyAlignment="1">
      <alignment horizontal="left" indent="2"/>
    </xf>
    <xf numFmtId="0" fontId="54" fillId="0" borderId="9" xfId="0" applyFont="1" applyFill="1" applyBorder="1"/>
    <xf numFmtId="165" fontId="54" fillId="0" borderId="9" xfId="13" applyNumberFormat="1" applyFont="1" applyFill="1" applyBorder="1"/>
    <xf numFmtId="0" fontId="64" fillId="3" borderId="0" xfId="0" applyFont="1" applyFill="1" applyAlignment="1">
      <alignment vertical="center"/>
    </xf>
    <xf numFmtId="0" fontId="35" fillId="0" borderId="5" xfId="0" applyFont="1" applyBorder="1" applyAlignment="1">
      <alignment horizontal="left" indent="2"/>
    </xf>
    <xf numFmtId="0" fontId="35" fillId="0" borderId="7" xfId="0" applyFont="1" applyBorder="1" applyAlignment="1">
      <alignment horizontal="left" indent="2"/>
    </xf>
    <xf numFmtId="0" fontId="35" fillId="0" borderId="6" xfId="0" applyFont="1" applyBorder="1" applyAlignment="1">
      <alignment horizontal="left" indent="2"/>
    </xf>
    <xf numFmtId="0" fontId="36" fillId="0" borderId="4" xfId="0" applyFont="1" applyBorder="1" applyAlignment="1">
      <alignment horizontal="left"/>
    </xf>
    <xf numFmtId="0" fontId="36" fillId="0" borderId="9" xfId="0" applyFont="1" applyBorder="1" applyAlignment="1">
      <alignment horizontal="left"/>
    </xf>
    <xf numFmtId="0" fontId="35" fillId="0" borderId="0" xfId="0" applyFont="1" applyAlignment="1">
      <alignment horizontal="left" indent="2"/>
    </xf>
    <xf numFmtId="0" fontId="28" fillId="0" borderId="0" xfId="0" applyFont="1" applyAlignment="1">
      <alignment horizontal="left" indent="2"/>
    </xf>
    <xf numFmtId="0" fontId="28" fillId="0" borderId="7" xfId="0" applyFont="1" applyBorder="1" applyAlignment="1">
      <alignment horizontal="left" indent="2"/>
    </xf>
    <xf numFmtId="0" fontId="28" fillId="0" borderId="0" xfId="0" applyFont="1"/>
    <xf numFmtId="0" fontId="28" fillId="0" borderId="7" xfId="0" applyFont="1" applyBorder="1"/>
    <xf numFmtId="0" fontId="28" fillId="0" borderId="5" xfId="0" applyFont="1" applyBorder="1"/>
    <xf numFmtId="0" fontId="53" fillId="5" borderId="3" xfId="0" applyFont="1" applyFill="1" applyBorder="1" applyAlignment="1">
      <alignment horizontal="left" vertical="center"/>
    </xf>
    <xf numFmtId="0" fontId="52" fillId="3" borderId="0" xfId="0" applyFont="1" applyFill="1" applyAlignment="1">
      <alignment horizontal="left" vertical="center"/>
    </xf>
    <xf numFmtId="0" fontId="65" fillId="0" borderId="0" xfId="0" applyFont="1"/>
    <xf numFmtId="0" fontId="15" fillId="0" borderId="0" xfId="0" applyFont="1" applyAlignment="1">
      <alignment wrapText="1"/>
    </xf>
    <xf numFmtId="0" fontId="66" fillId="0" borderId="0" xfId="3" applyFont="1" applyAlignment="1" applyProtection="1"/>
    <xf numFmtId="9" fontId="28" fillId="0" borderId="0" xfId="8" applyFont="1" applyFill="1"/>
    <xf numFmtId="9" fontId="28" fillId="0" borderId="5" xfId="8" applyFont="1" applyFill="1" applyBorder="1"/>
    <xf numFmtId="9" fontId="28" fillId="0" borderId="7" xfId="8" applyFont="1" applyFill="1" applyBorder="1"/>
    <xf numFmtId="9" fontId="31" fillId="0" borderId="4" xfId="8" applyFont="1" applyFill="1" applyBorder="1" applyAlignment="1">
      <alignment horizontal="right"/>
    </xf>
    <xf numFmtId="0" fontId="32" fillId="4" borderId="0" xfId="0" applyFont="1" applyFill="1"/>
    <xf numFmtId="165" fontId="28" fillId="4" borderId="0" xfId="0" applyNumberFormat="1" applyFont="1" applyFill="1"/>
    <xf numFmtId="37" fontId="13" fillId="0" borderId="0" xfId="0" applyNumberFormat="1" applyFont="1" applyFill="1"/>
    <xf numFmtId="0" fontId="31" fillId="0" borderId="0" xfId="0" applyFont="1" applyFill="1" applyBorder="1"/>
    <xf numFmtId="9" fontId="31" fillId="0" borderId="0" xfId="9" applyFont="1" applyFill="1" applyBorder="1" applyAlignment="1">
      <alignment horizontal="right"/>
    </xf>
    <xf numFmtId="9" fontId="31" fillId="0" borderId="4" xfId="9" applyFont="1" applyFill="1" applyBorder="1" applyAlignment="1">
      <alignment horizontal="right"/>
    </xf>
    <xf numFmtId="0" fontId="54" fillId="0" borderId="4" xfId="0" applyFont="1" applyBorder="1" applyAlignment="1">
      <alignment vertical="center"/>
    </xf>
    <xf numFmtId="0" fontId="54" fillId="0" borderId="0" xfId="0" applyFont="1" applyAlignment="1">
      <alignment vertical="center"/>
    </xf>
    <xf numFmtId="0" fontId="56" fillId="0" borderId="0" xfId="0" applyFont="1" applyAlignment="1">
      <alignment vertical="center"/>
    </xf>
    <xf numFmtId="0" fontId="56" fillId="0" borderId="4" xfId="0" applyFont="1" applyBorder="1" applyAlignment="1">
      <alignment vertical="center"/>
    </xf>
    <xf numFmtId="0" fontId="54" fillId="0" borderId="9" xfId="0" applyFont="1" applyBorder="1" applyAlignment="1">
      <alignment vertical="center"/>
    </xf>
    <xf numFmtId="0" fontId="54" fillId="0" borderId="8" xfId="0" applyFont="1" applyBorder="1" applyAlignment="1">
      <alignment horizontal="left" vertical="center"/>
    </xf>
    <xf numFmtId="0" fontId="56" fillId="0" borderId="10" xfId="0" applyFont="1" applyBorder="1" applyAlignment="1">
      <alignment vertical="center"/>
    </xf>
    <xf numFmtId="0" fontId="56" fillId="0" borderId="8" xfId="0" applyFont="1" applyBorder="1" applyAlignment="1">
      <alignment vertical="center"/>
    </xf>
    <xf numFmtId="0" fontId="57" fillId="0" borderId="4" xfId="0" applyFont="1" applyBorder="1" applyAlignment="1">
      <alignment vertical="center"/>
    </xf>
    <xf numFmtId="0" fontId="56" fillId="0" borderId="7" xfId="0" applyFont="1" applyBorder="1" applyAlignment="1">
      <alignment horizontal="left" vertical="center"/>
    </xf>
    <xf numFmtId="0" fontId="56" fillId="0" borderId="0" xfId="20" applyNumberFormat="1" applyFont="1" applyFill="1" applyAlignment="1">
      <alignment horizontal="left" vertical="center"/>
    </xf>
    <xf numFmtId="0" fontId="56" fillId="0" borderId="0" xfId="0" applyFont="1" applyAlignment="1">
      <alignment horizontal="left" vertical="center"/>
    </xf>
    <xf numFmtId="0" fontId="56" fillId="0" borderId="5" xfId="0" applyFont="1" applyBorder="1" applyAlignment="1">
      <alignment horizontal="left" vertical="center"/>
    </xf>
    <xf numFmtId="0" fontId="54" fillId="0" borderId="4" xfId="0" applyFont="1" applyBorder="1" applyAlignment="1">
      <alignment horizontal="center" vertical="center" wrapText="1"/>
    </xf>
    <xf numFmtId="0" fontId="31" fillId="0" borderId="4" xfId="0" applyFont="1" applyBorder="1" applyAlignment="1">
      <alignment vertical="center"/>
    </xf>
    <xf numFmtId="0" fontId="28" fillId="0" borderId="0" xfId="0" applyFont="1" applyAlignment="1">
      <alignment horizontal="left" vertical="center"/>
    </xf>
    <xf numFmtId="165" fontId="28" fillId="0" borderId="0" xfId="20" applyNumberFormat="1" applyFont="1" applyFill="1" applyBorder="1" applyAlignment="1">
      <alignment vertical="center"/>
    </xf>
    <xf numFmtId="0" fontId="32" fillId="0" borderId="0" xfId="0" applyFont="1" applyAlignment="1">
      <alignment horizontal="left" vertical="center"/>
    </xf>
    <xf numFmtId="0" fontId="31" fillId="0" borderId="8" xfId="0" applyFont="1" applyBorder="1" applyAlignment="1">
      <alignment vertical="center"/>
    </xf>
    <xf numFmtId="0" fontId="28" fillId="0" borderId="0" xfId="0" applyFont="1" applyAlignment="1">
      <alignment horizontal="left" vertical="center" indent="2"/>
    </xf>
    <xf numFmtId="0" fontId="51" fillId="0" borderId="0" xfId="0" applyFont="1" applyAlignment="1">
      <alignment vertical="center"/>
    </xf>
    <xf numFmtId="0" fontId="28" fillId="0" borderId="7" xfId="0" applyFont="1" applyBorder="1" applyAlignment="1">
      <alignment horizontal="left" vertical="center" indent="2"/>
    </xf>
    <xf numFmtId="165" fontId="28" fillId="0" borderId="7" xfId="20" applyNumberFormat="1" applyFont="1" applyFill="1" applyBorder="1" applyAlignment="1">
      <alignment horizontal="center" vertical="center"/>
    </xf>
    <xf numFmtId="0" fontId="28" fillId="0" borderId="0" xfId="0" applyFont="1" applyAlignment="1">
      <alignment vertical="center"/>
    </xf>
    <xf numFmtId="0" fontId="31" fillId="0" borderId="0" xfId="0" applyFont="1" applyAlignment="1">
      <alignment horizontal="left" vertical="center"/>
    </xf>
    <xf numFmtId="0" fontId="28" fillId="0" borderId="10" xfId="0" applyFont="1" applyBorder="1" applyAlignment="1">
      <alignment horizontal="left" vertical="center"/>
    </xf>
    <xf numFmtId="0" fontId="28" fillId="0" borderId="6" xfId="0" applyFont="1" applyBorder="1" applyAlignment="1">
      <alignment vertical="center"/>
    </xf>
    <xf numFmtId="3" fontId="28" fillId="0" borderId="0" xfId="0" applyNumberFormat="1" applyFont="1" applyAlignment="1">
      <alignment vertical="center"/>
    </xf>
    <xf numFmtId="0" fontId="31" fillId="0" borderId="0" xfId="0" applyFont="1" applyAlignment="1">
      <alignment vertical="center"/>
    </xf>
    <xf numFmtId="0" fontId="31" fillId="0" borderId="0" xfId="0" applyFont="1" applyAlignment="1">
      <alignment horizontal="center" vertical="center"/>
    </xf>
    <xf numFmtId="0" fontId="31" fillId="0" borderId="4" xfId="0" applyFont="1" applyBorder="1" applyAlignment="1">
      <alignment horizontal="left" vertical="center"/>
    </xf>
    <xf numFmtId="0" fontId="28" fillId="0" borderId="7" xfId="0" applyFont="1" applyBorder="1" applyAlignment="1">
      <alignment horizontal="left" vertical="center"/>
    </xf>
    <xf numFmtId="0" fontId="28" fillId="0" borderId="7" xfId="0" applyFont="1" applyBorder="1" applyAlignment="1">
      <alignment vertical="center"/>
    </xf>
    <xf numFmtId="165" fontId="28" fillId="0" borderId="7" xfId="20" applyNumberFormat="1" applyFont="1" applyFill="1" applyBorder="1" applyAlignment="1">
      <alignment vertical="center"/>
    </xf>
    <xf numFmtId="165" fontId="28" fillId="0" borderId="0" xfId="20" quotePrefix="1" applyNumberFormat="1" applyFont="1" applyFill="1" applyBorder="1" applyAlignment="1">
      <alignment vertical="center"/>
    </xf>
    <xf numFmtId="0" fontId="32" fillId="0" borderId="0" xfId="0" applyFont="1" applyAlignment="1">
      <alignment vertical="center"/>
    </xf>
    <xf numFmtId="164" fontId="32" fillId="0" borderId="0" xfId="20" applyFont="1" applyFill="1" applyBorder="1" applyAlignment="1">
      <alignment vertical="center"/>
    </xf>
    <xf numFmtId="164" fontId="32" fillId="0" borderId="0" xfId="20" applyFont="1" applyFill="1" applyBorder="1" applyAlignment="1">
      <alignment horizontal="right" vertical="center"/>
    </xf>
    <xf numFmtId="0" fontId="64" fillId="0" borderId="0" xfId="0" applyFont="1" applyAlignment="1">
      <alignment vertical="center"/>
    </xf>
    <xf numFmtId="0" fontId="31" fillId="0" borderId="4" xfId="0" applyFont="1" applyBorder="1"/>
    <xf numFmtId="0" fontId="31" fillId="0" borderId="4" xfId="0" applyFont="1" applyBorder="1" applyAlignment="1">
      <alignment horizontal="right" vertical="center"/>
    </xf>
    <xf numFmtId="165" fontId="31" fillId="0" borderId="0" xfId="20" applyNumberFormat="1" applyFont="1" applyFill="1" applyAlignment="1">
      <alignment vertical="center"/>
    </xf>
    <xf numFmtId="165" fontId="31" fillId="0" borderId="7" xfId="20" applyNumberFormat="1" applyFont="1" applyFill="1" applyBorder="1" applyAlignment="1">
      <alignment vertical="center"/>
    </xf>
    <xf numFmtId="165" fontId="31" fillId="0" borderId="0" xfId="20" applyNumberFormat="1" applyFont="1" applyFill="1" applyAlignment="1">
      <alignment horizontal="right" vertical="center"/>
    </xf>
    <xf numFmtId="37" fontId="31" fillId="0" borderId="4" xfId="0" applyNumberFormat="1" applyFont="1" applyBorder="1" applyAlignment="1">
      <alignment horizontal="right"/>
    </xf>
    <xf numFmtId="165" fontId="28" fillId="0" borderId="0" xfId="20" applyNumberFormat="1" applyFont="1" applyFill="1" applyAlignment="1">
      <alignment horizontal="center" vertical="center"/>
    </xf>
    <xf numFmtId="165" fontId="28" fillId="0" borderId="0" xfId="20" applyNumberFormat="1" applyFont="1" applyFill="1" applyAlignment="1">
      <alignment vertical="center"/>
    </xf>
    <xf numFmtId="165" fontId="28" fillId="0" borderId="0" xfId="20" applyNumberFormat="1" applyFont="1" applyFill="1" applyAlignment="1">
      <alignment horizontal="right" vertical="center"/>
    </xf>
    <xf numFmtId="37" fontId="28" fillId="0" borderId="0" xfId="0" applyNumberFormat="1" applyFont="1" applyAlignment="1">
      <alignment horizontal="right"/>
    </xf>
    <xf numFmtId="0" fontId="28" fillId="0" borderId="4" xfId="0" applyFont="1" applyBorder="1" applyAlignment="1">
      <alignment horizontal="right" vertical="center"/>
    </xf>
    <xf numFmtId="0" fontId="30" fillId="0" borderId="0" xfId="0" applyFont="1" applyAlignment="1">
      <alignment vertical="center"/>
    </xf>
    <xf numFmtId="0" fontId="67" fillId="0" borderId="0" xfId="0" applyFont="1" applyAlignment="1">
      <alignment vertical="center"/>
    </xf>
    <xf numFmtId="165" fontId="56" fillId="0" borderId="0" xfId="20" applyNumberFormat="1" applyFont="1" applyFill="1" applyAlignment="1">
      <alignment vertical="center"/>
    </xf>
    <xf numFmtId="165" fontId="56" fillId="0" borderId="4" xfId="20" applyNumberFormat="1" applyFont="1" applyFill="1" applyBorder="1" applyAlignment="1">
      <alignment vertical="center"/>
    </xf>
    <xf numFmtId="165" fontId="54" fillId="0" borderId="4" xfId="20" applyNumberFormat="1" applyFont="1" applyFill="1" applyBorder="1" applyAlignment="1">
      <alignment vertical="center"/>
    </xf>
    <xf numFmtId="165" fontId="54" fillId="0" borderId="9" xfId="20" applyNumberFormat="1" applyFont="1" applyFill="1" applyBorder="1" applyAlignment="1">
      <alignment vertical="center"/>
    </xf>
    <xf numFmtId="0" fontId="54" fillId="0" borderId="8" xfId="0" applyFont="1" applyFill="1" applyBorder="1" applyAlignment="1">
      <alignment vertical="center"/>
    </xf>
    <xf numFmtId="165" fontId="56" fillId="0" borderId="10" xfId="20" applyNumberFormat="1" applyFont="1" applyFill="1" applyBorder="1" applyAlignment="1">
      <alignment vertical="center"/>
    </xf>
    <xf numFmtId="165" fontId="56" fillId="0" borderId="8" xfId="20" applyNumberFormat="1" applyFont="1" applyFill="1" applyBorder="1" applyAlignment="1">
      <alignment vertical="center"/>
    </xf>
    <xf numFmtId="165" fontId="56" fillId="0" borderId="8" xfId="20" applyNumberFormat="1" applyFont="1" applyFill="1" applyBorder="1" applyAlignment="1">
      <alignment horizontal="center" vertical="center"/>
    </xf>
    <xf numFmtId="0" fontId="55" fillId="0" borderId="0" xfId="0" applyFont="1" applyFill="1" applyAlignment="1">
      <alignment vertical="center"/>
    </xf>
    <xf numFmtId="0" fontId="54" fillId="0" borderId="0" xfId="0" applyFont="1" applyFill="1" applyAlignment="1">
      <alignment vertical="center"/>
    </xf>
    <xf numFmtId="165" fontId="54" fillId="0" borderId="0" xfId="20" applyNumberFormat="1" applyFont="1" applyFill="1" applyAlignment="1">
      <alignment vertical="center"/>
    </xf>
    <xf numFmtId="0" fontId="54" fillId="0" borderId="4" xfId="0" applyFont="1" applyFill="1" applyBorder="1" applyAlignment="1">
      <alignment vertical="center"/>
    </xf>
    <xf numFmtId="0" fontId="55" fillId="0" borderId="4" xfId="0" applyFont="1" applyFill="1" applyBorder="1" applyAlignment="1">
      <alignment vertical="center"/>
    </xf>
    <xf numFmtId="165" fontId="56" fillId="0" borderId="7" xfId="20" applyNumberFormat="1" applyFont="1" applyFill="1" applyBorder="1" applyAlignment="1">
      <alignment vertical="center"/>
    </xf>
    <xf numFmtId="164" fontId="55" fillId="0" borderId="7" xfId="20" applyFont="1" applyFill="1" applyBorder="1" applyAlignment="1">
      <alignment vertical="center"/>
    </xf>
    <xf numFmtId="0" fontId="55" fillId="0" borderId="5" xfId="0" applyFont="1" applyFill="1" applyBorder="1" applyAlignment="1">
      <alignment vertical="center"/>
    </xf>
    <xf numFmtId="165" fontId="56" fillId="0" borderId="5" xfId="20" applyNumberFormat="1" applyFont="1" applyFill="1" applyBorder="1" applyAlignment="1">
      <alignment vertical="center"/>
    </xf>
    <xf numFmtId="164" fontId="54" fillId="0" borderId="4" xfId="20" applyFont="1" applyFill="1" applyBorder="1" applyAlignment="1">
      <alignment vertical="center"/>
    </xf>
    <xf numFmtId="165" fontId="31" fillId="0" borderId="4" xfId="20" applyNumberFormat="1" applyFont="1" applyFill="1" applyBorder="1" applyAlignment="1">
      <alignment vertical="center"/>
    </xf>
    <xf numFmtId="165" fontId="31" fillId="0" borderId="4" xfId="20" applyNumberFormat="1" applyFont="1" applyFill="1" applyBorder="1" applyAlignment="1">
      <alignment horizontal="right" vertical="center"/>
    </xf>
    <xf numFmtId="9" fontId="32" fillId="0" borderId="0" xfId="21" applyFont="1" applyFill="1" applyBorder="1" applyAlignment="1">
      <alignment vertical="center"/>
    </xf>
    <xf numFmtId="165" fontId="31" fillId="0" borderId="8" xfId="20" applyNumberFormat="1" applyFont="1" applyFill="1" applyBorder="1" applyAlignment="1">
      <alignment vertical="center"/>
    </xf>
    <xf numFmtId="165" fontId="28" fillId="0" borderId="0" xfId="20" applyNumberFormat="1" applyFont="1" applyFill="1" applyBorder="1" applyAlignment="1">
      <alignment horizontal="center" vertical="center"/>
    </xf>
    <xf numFmtId="165" fontId="31" fillId="0" borderId="0" xfId="20" applyNumberFormat="1" applyFont="1" applyFill="1" applyBorder="1" applyAlignment="1">
      <alignment horizontal="center" vertical="center"/>
    </xf>
    <xf numFmtId="165" fontId="28" fillId="0" borderId="5" xfId="20" applyNumberFormat="1" applyFont="1" applyFill="1" applyBorder="1" applyAlignment="1">
      <alignment horizontal="center" vertical="center"/>
    </xf>
    <xf numFmtId="165" fontId="28" fillId="0" borderId="6" xfId="20" applyNumberFormat="1" applyFont="1" applyFill="1" applyBorder="1" applyAlignment="1">
      <alignment horizontal="center" vertical="center"/>
    </xf>
    <xf numFmtId="165" fontId="31" fillId="0" borderId="4" xfId="20" applyNumberFormat="1" applyFont="1" applyFill="1" applyBorder="1" applyAlignment="1">
      <alignment horizontal="center" vertical="center"/>
    </xf>
    <xf numFmtId="165" fontId="31" fillId="0" borderId="9" xfId="20" applyNumberFormat="1" applyFont="1" applyFill="1" applyBorder="1" applyAlignment="1">
      <alignment horizontal="center" vertical="center"/>
    </xf>
    <xf numFmtId="165" fontId="28" fillId="0" borderId="10" xfId="20" applyNumberFormat="1" applyFont="1" applyFill="1" applyBorder="1" applyAlignment="1">
      <alignment horizontal="center" vertical="center"/>
    </xf>
    <xf numFmtId="165" fontId="28" fillId="0" borderId="6" xfId="20" applyNumberFormat="1" applyFont="1" applyFill="1" applyBorder="1" applyAlignment="1">
      <alignment vertical="center"/>
    </xf>
    <xf numFmtId="165" fontId="31" fillId="0" borderId="4" xfId="0" applyNumberFormat="1" applyFont="1" applyFill="1" applyBorder="1" applyAlignment="1">
      <alignment horizontal="right" vertical="center"/>
    </xf>
    <xf numFmtId="3" fontId="28" fillId="0" borderId="0" xfId="0" applyNumberFormat="1" applyFont="1" applyFill="1" applyAlignment="1">
      <alignment vertical="center"/>
    </xf>
    <xf numFmtId="165" fontId="28" fillId="0" borderId="0" xfId="0" applyNumberFormat="1" applyFont="1" applyFill="1" applyAlignment="1">
      <alignment vertical="center"/>
    </xf>
    <xf numFmtId="3" fontId="28" fillId="0" borderId="7" xfId="0" applyNumberFormat="1" applyFont="1" applyFill="1" applyBorder="1" applyAlignment="1">
      <alignment vertical="center"/>
    </xf>
    <xf numFmtId="165" fontId="28" fillId="0" borderId="7" xfId="0" applyNumberFormat="1" applyFont="1" applyFill="1" applyBorder="1" applyAlignment="1">
      <alignment vertical="center"/>
    </xf>
    <xf numFmtId="168" fontId="28" fillId="0" borderId="7" xfId="20" applyNumberFormat="1" applyFont="1" applyFill="1" applyBorder="1" applyAlignment="1">
      <alignment vertical="center"/>
    </xf>
    <xf numFmtId="164" fontId="28" fillId="0" borderId="7" xfId="20" applyFont="1" applyFill="1" applyBorder="1" applyAlignment="1">
      <alignment vertical="center"/>
    </xf>
    <xf numFmtId="3" fontId="31" fillId="0" borderId="0" xfId="0" applyNumberFormat="1" applyFont="1" applyFill="1" applyAlignment="1">
      <alignment horizontal="right" vertical="center"/>
    </xf>
    <xf numFmtId="3" fontId="28" fillId="0" borderId="7" xfId="0" applyNumberFormat="1" applyFont="1" applyFill="1" applyBorder="1" applyAlignment="1">
      <alignment horizontal="right" vertical="center"/>
    </xf>
    <xf numFmtId="3" fontId="28" fillId="0" borderId="6" xfId="0" applyNumberFormat="1" applyFont="1" applyFill="1" applyBorder="1" applyAlignment="1">
      <alignment vertical="center"/>
    </xf>
    <xf numFmtId="165" fontId="31" fillId="0" borderId="0" xfId="20" applyNumberFormat="1" applyFont="1" applyFill="1" applyBorder="1" applyAlignment="1">
      <alignment vertical="center"/>
    </xf>
    <xf numFmtId="168" fontId="28" fillId="0" borderId="0" xfId="20" applyNumberFormat="1" applyFont="1" applyFill="1" applyBorder="1" applyAlignment="1">
      <alignment vertical="center"/>
    </xf>
    <xf numFmtId="0" fontId="31" fillId="0" borderId="4" xfId="0" applyFont="1" applyFill="1" applyBorder="1" applyAlignment="1">
      <alignment horizontal="right" vertical="center"/>
    </xf>
    <xf numFmtId="37" fontId="31" fillId="0" borderId="4" xfId="0" applyNumberFormat="1" applyFont="1" applyFill="1" applyBorder="1" applyAlignment="1">
      <alignment horizontal="right"/>
    </xf>
    <xf numFmtId="37" fontId="28" fillId="0" borderId="0" xfId="0" applyNumberFormat="1" applyFont="1" applyFill="1" applyAlignment="1">
      <alignment horizontal="right"/>
    </xf>
    <xf numFmtId="0" fontId="28" fillId="0" borderId="4" xfId="0" applyFont="1" applyFill="1" applyBorder="1" applyAlignment="1">
      <alignment horizontal="right" vertical="center"/>
    </xf>
    <xf numFmtId="165" fontId="15" fillId="3" borderId="0" xfId="0" applyNumberFormat="1" applyFont="1" applyFill="1"/>
    <xf numFmtId="0" fontId="13" fillId="0" borderId="0" xfId="0" applyFont="1" applyFill="1" applyAlignment="1">
      <alignment horizontal="center"/>
    </xf>
    <xf numFmtId="165" fontId="28" fillId="0" borderId="7" xfId="20" applyNumberFormat="1" applyFont="1" applyFill="1" applyBorder="1" applyAlignment="1">
      <alignment horizontal="right" vertical="center"/>
    </xf>
    <xf numFmtId="165" fontId="55" fillId="0" borderId="0" xfId="0" applyNumberFormat="1" applyFont="1" applyFill="1" applyAlignment="1">
      <alignment vertical="center"/>
    </xf>
    <xf numFmtId="0" fontId="31" fillId="0" borderId="8" xfId="0" applyFont="1" applyFill="1" applyBorder="1" applyAlignment="1">
      <alignment vertical="center"/>
    </xf>
    <xf numFmtId="0" fontId="52" fillId="0" borderId="0" xfId="0" applyFont="1" applyFill="1" applyAlignment="1">
      <alignment vertical="center"/>
    </xf>
    <xf numFmtId="0" fontId="28" fillId="0" borderId="0" xfId="0" applyFont="1" applyFill="1" applyAlignment="1">
      <alignment vertical="center"/>
    </xf>
    <xf numFmtId="165" fontId="28" fillId="0" borderId="0" xfId="13" applyNumberFormat="1" applyFont="1" applyFill="1" applyBorder="1" applyAlignment="1">
      <alignment horizontal="center" vertical="center"/>
    </xf>
    <xf numFmtId="0" fontId="51" fillId="0" borderId="0" xfId="0" applyFont="1" applyFill="1" applyAlignment="1">
      <alignment vertical="center"/>
    </xf>
    <xf numFmtId="165" fontId="64" fillId="0" borderId="0" xfId="20" applyNumberFormat="1" applyFont="1" applyFill="1" applyBorder="1" applyAlignment="1">
      <alignment vertical="center"/>
    </xf>
    <xf numFmtId="0" fontId="28" fillId="0" borderId="7" xfId="0" applyFont="1" applyBorder="1" applyAlignment="1">
      <alignment horizontal="left" indent="1"/>
    </xf>
    <xf numFmtId="0" fontId="28" fillId="0" borderId="0" xfId="0" applyFont="1" applyAlignment="1">
      <alignment horizontal="left" indent="1"/>
    </xf>
    <xf numFmtId="0" fontId="28" fillId="0" borderId="7" xfId="0" applyFont="1" applyFill="1" applyBorder="1" applyAlignment="1">
      <alignment horizontal="left" indent="1"/>
    </xf>
    <xf numFmtId="165" fontId="31" fillId="0" borderId="0" xfId="20" applyNumberFormat="1" applyFont="1" applyFill="1" applyAlignment="1">
      <alignment horizontal="center" vertical="center"/>
    </xf>
    <xf numFmtId="165" fontId="13" fillId="3" borderId="0" xfId="13" applyNumberFormat="1" applyFont="1" applyFill="1"/>
    <xf numFmtId="165" fontId="31" fillId="0" borderId="4" xfId="9" applyNumberFormat="1" applyFont="1" applyFill="1" applyBorder="1" applyAlignment="1">
      <alignment horizontal="right"/>
    </xf>
    <xf numFmtId="0" fontId="13" fillId="0" borderId="0" xfId="0" applyFont="1" applyFill="1" applyAlignment="1">
      <alignment horizontal="center"/>
    </xf>
    <xf numFmtId="37" fontId="13" fillId="0" borderId="0" xfId="0" applyNumberFormat="1" applyFont="1"/>
    <xf numFmtId="0" fontId="54" fillId="0" borderId="4" xfId="0" applyFont="1" applyBorder="1"/>
    <xf numFmtId="0" fontId="56" fillId="0" borderId="0" xfId="0" applyFont="1" applyAlignment="1">
      <alignment horizontal="left" indent="2"/>
    </xf>
    <xf numFmtId="0" fontId="56" fillId="0" borderId="5" xfId="0" applyFont="1" applyBorder="1" applyAlignment="1">
      <alignment horizontal="left" indent="2"/>
    </xf>
    <xf numFmtId="165" fontId="56" fillId="0" borderId="5" xfId="13" applyNumberFormat="1" applyFont="1" applyFill="1" applyBorder="1" applyAlignment="1">
      <alignment horizontal="left" indent="2"/>
    </xf>
    <xf numFmtId="0" fontId="56" fillId="0" borderId="7" xfId="0" applyFont="1" applyBorder="1" applyAlignment="1">
      <alignment horizontal="left" indent="2"/>
    </xf>
    <xf numFmtId="165" fontId="56" fillId="0" borderId="7" xfId="13" applyNumberFormat="1" applyFont="1" applyFill="1" applyBorder="1"/>
    <xf numFmtId="0" fontId="63" fillId="0" borderId="0" xfId="0" applyFont="1" applyAlignment="1">
      <alignment horizontal="left" indent="2"/>
    </xf>
    <xf numFmtId="0" fontId="54" fillId="0" borderId="9" xfId="0" applyFont="1" applyBorder="1"/>
    <xf numFmtId="0" fontId="56" fillId="0" borderId="6" xfId="0" applyFont="1" applyBorder="1" applyAlignment="1">
      <alignment horizontal="left" indent="2"/>
    </xf>
    <xf numFmtId="165" fontId="69" fillId="3" borderId="0" xfId="13" applyNumberFormat="1" applyFont="1" applyFill="1"/>
    <xf numFmtId="0" fontId="54" fillId="0" borderId="8" xfId="0" applyFont="1" applyBorder="1" applyAlignment="1">
      <alignment vertical="center"/>
    </xf>
    <xf numFmtId="0" fontId="55" fillId="0" borderId="0" xfId="0" applyFont="1" applyAlignment="1">
      <alignment vertical="center"/>
    </xf>
    <xf numFmtId="0" fontId="55" fillId="0" borderId="4" xfId="0" applyFont="1" applyBorder="1" applyAlignment="1">
      <alignment vertical="center"/>
    </xf>
    <xf numFmtId="3" fontId="28" fillId="0" borderId="7" xfId="0" applyNumberFormat="1" applyFont="1" applyBorder="1" applyAlignment="1">
      <alignment vertical="center"/>
    </xf>
    <xf numFmtId="3" fontId="31" fillId="0" borderId="0" xfId="0" applyNumberFormat="1" applyFont="1" applyAlignment="1">
      <alignment horizontal="right" vertical="center"/>
    </xf>
    <xf numFmtId="3" fontId="28" fillId="0" borderId="7" xfId="0" applyNumberFormat="1" applyFont="1" applyBorder="1" applyAlignment="1">
      <alignment horizontal="right" vertical="center"/>
    </xf>
    <xf numFmtId="165" fontId="28" fillId="0" borderId="7" xfId="0" applyNumberFormat="1" applyFont="1" applyBorder="1" applyAlignment="1">
      <alignment vertical="center"/>
    </xf>
    <xf numFmtId="3" fontId="28" fillId="0" borderId="6" xfId="0" applyNumberFormat="1" applyFont="1" applyBorder="1" applyAlignment="1">
      <alignment vertical="center"/>
    </xf>
    <xf numFmtId="165" fontId="15" fillId="3" borderId="0" xfId="0" applyNumberFormat="1" applyFont="1" applyFill="1" applyAlignment="1">
      <alignment vertical="center"/>
    </xf>
    <xf numFmtId="165" fontId="15" fillId="0" borderId="0" xfId="0" applyNumberFormat="1" applyFont="1" applyFill="1"/>
    <xf numFmtId="0" fontId="70" fillId="4" borderId="0" xfId="0" applyFont="1" applyFill="1"/>
    <xf numFmtId="0" fontId="63" fillId="4" borderId="0" xfId="0" applyFont="1" applyFill="1"/>
    <xf numFmtId="0" fontId="54" fillId="4" borderId="0" xfId="0" applyFont="1" applyFill="1"/>
    <xf numFmtId="0" fontId="56" fillId="0" borderId="0" xfId="0" applyFont="1"/>
    <xf numFmtId="0" fontId="56" fillId="4" borderId="0" xfId="0" applyFont="1" applyFill="1"/>
    <xf numFmtId="0" fontId="56" fillId="0" borderId="0" xfId="0" applyFont="1" applyFill="1"/>
    <xf numFmtId="0" fontId="56" fillId="4" borderId="0" xfId="0" applyFont="1" applyFill="1" applyAlignment="1">
      <alignment horizontal="justify"/>
    </xf>
    <xf numFmtId="0" fontId="63" fillId="0" borderId="0" xfId="0" applyFont="1" applyFill="1"/>
    <xf numFmtId="0" fontId="15" fillId="0" borderId="0" xfId="0" applyFont="1" applyAlignment="1">
      <alignment horizontal="left" wrapText="1"/>
    </xf>
    <xf numFmtId="0" fontId="1" fillId="0" borderId="0" xfId="0" applyFont="1" applyAlignment="1">
      <alignment horizontal="left" vertical="center" wrapText="1"/>
    </xf>
    <xf numFmtId="0" fontId="53" fillId="5" borderId="11" xfId="0" applyFont="1" applyFill="1" applyBorder="1" applyAlignment="1">
      <alignment horizontal="left" vertical="center"/>
    </xf>
    <xf numFmtId="0" fontId="53" fillId="5" borderId="11" xfId="0" applyFont="1" applyFill="1" applyBorder="1" applyAlignment="1">
      <alignment horizontal="center" vertical="center"/>
    </xf>
    <xf numFmtId="0" fontId="53" fillId="5" borderId="11" xfId="0" applyFont="1" applyFill="1" applyBorder="1" applyAlignment="1">
      <alignment horizontal="center" vertical="center" wrapText="1"/>
    </xf>
    <xf numFmtId="0" fontId="56" fillId="0" borderId="12" xfId="0" applyFont="1" applyBorder="1" applyAlignment="1">
      <alignment horizontal="left" vertical="center"/>
    </xf>
    <xf numFmtId="0" fontId="56" fillId="0" borderId="0" xfId="0" applyFont="1" applyAlignment="1">
      <alignment horizontal="center" vertical="center"/>
    </xf>
    <xf numFmtId="9" fontId="72" fillId="0" borderId="13" xfId="0" applyNumberFormat="1" applyFont="1" applyBorder="1" applyAlignment="1">
      <alignment horizontal="center" vertical="center"/>
    </xf>
    <xf numFmtId="169" fontId="28" fillId="0" borderId="7" xfId="0" applyNumberFormat="1" applyFont="1" applyBorder="1" applyAlignment="1">
      <alignment horizontal="center" vertical="center"/>
    </xf>
    <xf numFmtId="170" fontId="28" fillId="0" borderId="7" xfId="0" applyNumberFormat="1" applyFont="1" applyBorder="1" applyAlignment="1">
      <alignment horizontal="center" vertical="center"/>
    </xf>
    <xf numFmtId="0" fontId="56" fillId="0" borderId="14" xfId="0" applyFont="1" applyBorder="1" applyAlignment="1">
      <alignment horizontal="left" vertical="center"/>
    </xf>
    <xf numFmtId="0" fontId="56" fillId="0" borderId="7" xfId="0" applyFont="1" applyBorder="1" applyAlignment="1">
      <alignment horizontal="center" vertical="center"/>
    </xf>
    <xf numFmtId="9" fontId="72" fillId="0" borderId="7" xfId="0" applyNumberFormat="1" applyFont="1" applyBorder="1" applyAlignment="1">
      <alignment horizontal="center" vertical="center"/>
    </xf>
    <xf numFmtId="171" fontId="56" fillId="0" borderId="7" xfId="0" applyNumberFormat="1" applyFont="1" applyBorder="1" applyAlignment="1">
      <alignment horizontal="center" vertical="center"/>
    </xf>
    <xf numFmtId="169" fontId="53" fillId="5" borderId="11" xfId="0" applyNumberFormat="1" applyFont="1" applyFill="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169" fontId="13" fillId="0" borderId="6" xfId="0" applyNumberFormat="1" applyFont="1" applyBorder="1" applyAlignment="1">
      <alignment horizontal="center"/>
    </xf>
    <xf numFmtId="9" fontId="15" fillId="0" borderId="0" xfId="8" applyFont="1" applyAlignment="1">
      <alignment horizontal="center"/>
    </xf>
    <xf numFmtId="0" fontId="30" fillId="0" borderId="0" xfId="0" applyFont="1"/>
    <xf numFmtId="0" fontId="31" fillId="0" borderId="3" xfId="0" applyFont="1" applyBorder="1" applyAlignment="1">
      <alignment horizontal="left" vertical="center"/>
    </xf>
    <xf numFmtId="0" fontId="15" fillId="0" borderId="0" xfId="0" applyFont="1" applyAlignment="1">
      <alignment horizontal="left" vertical="top" wrapText="1"/>
    </xf>
    <xf numFmtId="0" fontId="15" fillId="0" borderId="0" xfId="0" applyFont="1" applyAlignment="1">
      <alignment horizontal="right"/>
    </xf>
    <xf numFmtId="0" fontId="15" fillId="0" borderId="0" xfId="0" applyFont="1" applyAlignment="1">
      <alignment horizontal="left" wrapText="1"/>
    </xf>
    <xf numFmtId="0" fontId="1" fillId="0" borderId="0" xfId="0" applyFont="1" applyAlignment="1">
      <alignment horizontal="left" vertical="center" wrapText="1"/>
    </xf>
    <xf numFmtId="0" fontId="13" fillId="0" borderId="0" xfId="0" applyFont="1" applyFill="1" applyAlignment="1">
      <alignment horizontal="center"/>
    </xf>
    <xf numFmtId="0" fontId="56" fillId="0" borderId="0" xfId="0" applyFont="1" applyAlignment="1">
      <alignment horizontal="justify" vertical="top"/>
    </xf>
    <xf numFmtId="9" fontId="15" fillId="3" borderId="0" xfId="8" applyFont="1" applyFill="1"/>
    <xf numFmtId="9" fontId="54" fillId="0" borderId="4" xfId="8" applyFont="1" applyFill="1" applyBorder="1"/>
    <xf numFmtId="9" fontId="54" fillId="0" borderId="9" xfId="8" applyFont="1" applyFill="1" applyBorder="1"/>
    <xf numFmtId="9" fontId="56" fillId="0" borderId="0" xfId="8" applyFont="1" applyFill="1" applyBorder="1"/>
    <xf numFmtId="9" fontId="56" fillId="0" borderId="5" xfId="8" applyFont="1" applyFill="1" applyBorder="1"/>
    <xf numFmtId="9" fontId="56" fillId="0" borderId="6" xfId="8" applyFont="1" applyFill="1" applyBorder="1"/>
    <xf numFmtId="9" fontId="56" fillId="0" borderId="15" xfId="8" applyFont="1" applyFill="1" applyBorder="1"/>
    <xf numFmtId="0" fontId="53" fillId="0" borderId="0" xfId="0" applyFont="1" applyFill="1" applyBorder="1" applyAlignment="1">
      <alignment horizontal="right"/>
    </xf>
    <xf numFmtId="0" fontId="51" fillId="0" borderId="0" xfId="0" applyFont="1" applyFill="1" applyBorder="1" applyAlignment="1">
      <alignment vertical="center"/>
    </xf>
    <xf numFmtId="0" fontId="31" fillId="0" borderId="0" xfId="0" applyFont="1" applyFill="1" applyBorder="1" applyAlignment="1">
      <alignment horizontal="center" vertical="center"/>
    </xf>
    <xf numFmtId="165" fontId="31" fillId="0" borderId="0" xfId="0" applyNumberFormat="1" applyFont="1" applyFill="1" applyBorder="1" applyAlignment="1">
      <alignment horizontal="right" vertical="center"/>
    </xf>
    <xf numFmtId="3" fontId="28" fillId="0" borderId="0" xfId="0" applyNumberFormat="1" applyFont="1" applyFill="1" applyBorder="1" applyAlignment="1">
      <alignment vertical="center"/>
    </xf>
    <xf numFmtId="164" fontId="28" fillId="0" borderId="0" xfId="20" applyFont="1" applyFill="1" applyBorder="1" applyAlignment="1">
      <alignment vertical="center"/>
    </xf>
    <xf numFmtId="165" fontId="31" fillId="0" borderId="0" xfId="20" applyNumberFormat="1" applyFont="1" applyFill="1" applyBorder="1" applyAlignment="1">
      <alignment horizontal="right" vertical="center"/>
    </xf>
    <xf numFmtId="0" fontId="52" fillId="0" borderId="0" xfId="0" applyFont="1" applyFill="1" applyBorder="1" applyAlignment="1">
      <alignment vertical="center"/>
    </xf>
    <xf numFmtId="3" fontId="31" fillId="0" borderId="0" xfId="0" applyNumberFormat="1" applyFont="1" applyFill="1" applyBorder="1" applyAlignment="1">
      <alignment horizontal="right" vertical="center"/>
    </xf>
    <xf numFmtId="3" fontId="28" fillId="0" borderId="0" xfId="0" applyNumberFormat="1" applyFont="1" applyFill="1" applyBorder="1" applyAlignment="1">
      <alignment horizontal="right" vertical="center"/>
    </xf>
    <xf numFmtId="165" fontId="28" fillId="0" borderId="0" xfId="0" applyNumberFormat="1" applyFont="1" applyFill="1" applyBorder="1" applyAlignment="1">
      <alignment vertical="center"/>
    </xf>
    <xf numFmtId="0" fontId="28" fillId="4" borderId="5" xfId="0" applyFont="1" applyFill="1" applyBorder="1"/>
  </cellXfs>
  <cellStyles count="22">
    <cellStyle name="%" xfId="1" xr:uid="{00000000-0005-0000-0000-000000000000}"/>
    <cellStyle name="% 2 3" xfId="2" xr:uid="{00000000-0005-0000-0000-000001000000}"/>
    <cellStyle name="Hiperlink" xfId="3" builtinId="8"/>
    <cellStyle name="Hiperlink 2" xfId="4" xr:uid="{00000000-0005-0000-0000-000003000000}"/>
    <cellStyle name="Normal" xfId="0" builtinId="0"/>
    <cellStyle name="Normal 10" xfId="5" xr:uid="{00000000-0005-0000-0000-000005000000}"/>
    <cellStyle name="Normal 2" xfId="6" xr:uid="{00000000-0005-0000-0000-000006000000}"/>
    <cellStyle name="Nota 2" xfId="7" xr:uid="{00000000-0005-0000-0000-000007000000}"/>
    <cellStyle name="Porcentagem" xfId="8" builtinId="5"/>
    <cellStyle name="Porcentagem 2" xfId="9" xr:uid="{00000000-0005-0000-0000-000009000000}"/>
    <cellStyle name="Porcentagem 3" xfId="21" xr:uid="{13D241A6-BB80-4379-960A-5D02A6F55036}"/>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4.emf"/><Relationship Id="rId16" Type="http://schemas.openxmlformats.org/officeDocument/2006/relationships/image" Target="../media/image19.png"/><Relationship Id="rId1" Type="http://schemas.openxmlformats.org/officeDocument/2006/relationships/hyperlink" Target="#Capa!A1"/><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jpe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22</xdr:row>
      <xdr:rowOff>133486</xdr:rowOff>
    </xdr:to>
    <xdr:sp macro="" textlink="">
      <xdr:nvSpPr>
        <xdr:cNvPr id="9" name="CaixaDeTexto 8">
          <a:extLst>
            <a:ext uri="{FF2B5EF4-FFF2-40B4-BE49-F238E27FC236}">
              <a16:creationId xmlns:a16="http://schemas.microsoft.com/office/drawing/2014/main" id="{9A1828D4-1B68-42D3-9EBC-4781C8940251}"/>
            </a:ext>
          </a:extLst>
        </xdr:cNvPr>
        <xdr:cNvSpPr txBox="1"/>
      </xdr:nvSpPr>
      <xdr:spPr>
        <a:xfrm>
          <a:off x="25400" y="4079876"/>
          <a:ext cx="8839200" cy="42876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142875</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17</xdr:row>
      <xdr:rowOff>152400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11</xdr:row>
      <xdr:rowOff>6350</xdr:rowOff>
    </xdr:from>
    <xdr:to>
      <xdr:col>5</xdr:col>
      <xdr:colOff>416024</xdr:colOff>
      <xdr:row>17</xdr:row>
      <xdr:rowOff>25572</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2101850"/>
          <a:ext cx="3051274" cy="1400347"/>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378961</xdr:colOff>
      <xdr:row>15</xdr:row>
      <xdr:rowOff>30820</xdr:rowOff>
    </xdr:from>
    <xdr:to>
      <xdr:col>4</xdr:col>
      <xdr:colOff>54983</xdr:colOff>
      <xdr:row>17</xdr:row>
      <xdr:rowOff>22583</xdr:rowOff>
    </xdr:to>
    <xdr:sp macro="" textlink="">
      <xdr:nvSpPr>
        <xdr:cNvPr id="17" name="TextBox 1">
          <a:extLst>
            <a:ext uri="{FF2B5EF4-FFF2-40B4-BE49-F238E27FC236}">
              <a16:creationId xmlns:a16="http://schemas.microsoft.com/office/drawing/2014/main" id="{C085B569-8009-4F0E-873C-BD4F2B30AB15}"/>
            </a:ext>
          </a:extLst>
        </xdr:cNvPr>
        <xdr:cNvSpPr txBox="1"/>
      </xdr:nvSpPr>
      <xdr:spPr>
        <a:xfrm>
          <a:off x="1598161" y="3031195"/>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1T22</a:t>
          </a:r>
        </a:p>
      </xdr:txBody>
    </xdr:sp>
    <xdr:clientData/>
  </xdr:twoCellAnchor>
  <xdr:twoCellAnchor editAs="oneCell">
    <xdr:from>
      <xdr:col>9</xdr:col>
      <xdr:colOff>1638299</xdr:colOff>
      <xdr:row>13</xdr:row>
      <xdr:rowOff>66675</xdr:rowOff>
    </xdr:from>
    <xdr:to>
      <xdr:col>12</xdr:col>
      <xdr:colOff>57149</xdr:colOff>
      <xdr:row>16</xdr:row>
      <xdr:rowOff>225588</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43699" y="2590800"/>
          <a:ext cx="1704975" cy="873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9524</xdr:colOff>
      <xdr:row>0</xdr:row>
      <xdr:rowOff>0</xdr:rowOff>
    </xdr:from>
    <xdr:to>
      <xdr:col>11</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97507"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43076"/>
          <a:ext cx="18975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Composição Custos</a:t>
          </a:r>
        </a:p>
      </xdr:txBody>
    </xdr:sp>
    <xdr:clientData/>
  </xdr:oneCellAnchor>
  <xdr:twoCellAnchor editAs="oneCell">
    <xdr:from>
      <xdr:col>1</xdr:col>
      <xdr:colOff>9525</xdr:colOff>
      <xdr:row>0</xdr:row>
      <xdr:rowOff>0</xdr:rowOff>
    </xdr:from>
    <xdr:to>
      <xdr:col>1</xdr:col>
      <xdr:colOff>1328209</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209550</xdr:colOff>
      <xdr:row>0</xdr:row>
      <xdr:rowOff>95250</xdr:rowOff>
    </xdr:from>
    <xdr:to>
      <xdr:col>12</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8296275" y="95250"/>
          <a:ext cx="752475" cy="619125"/>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19</xdr:col>
      <xdr:colOff>123825</xdr:colOff>
      <xdr:row>0</xdr:row>
      <xdr:rowOff>38100</xdr:rowOff>
    </xdr:from>
    <xdr:to>
      <xdr:col>20</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13420725" y="38100"/>
          <a:ext cx="781050" cy="619125"/>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048625" y="57150"/>
          <a:ext cx="876300" cy="609600"/>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5</xdr:row>
      <xdr:rowOff>28575</xdr:rowOff>
    </xdr:from>
    <xdr:to>
      <xdr:col>9</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048625" y="19050"/>
          <a:ext cx="876300" cy="619125"/>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123825</xdr:colOff>
      <xdr:row>5</xdr:row>
      <xdr:rowOff>66675</xdr:rowOff>
    </xdr:from>
    <xdr:to>
      <xdr:col>9</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19050</xdr:rowOff>
    </xdr:from>
    <xdr:to>
      <xdr:col>9</xdr:col>
      <xdr:colOff>85725</xdr:colOff>
      <xdr:row>2</xdr:row>
      <xdr:rowOff>409575</xdr:rowOff>
    </xdr:to>
    <xdr:sp macro="" textlink="">
      <xdr:nvSpPr>
        <xdr:cNvPr id="2" name="Retângulo 6">
          <a:extLst>
            <a:ext uri="{FF2B5EF4-FFF2-40B4-BE49-F238E27FC236}">
              <a16:creationId xmlns:a16="http://schemas.microsoft.com/office/drawing/2014/main" id="{E268FA45-CEC3-465E-921A-7F192BB46D84}"/>
            </a:ext>
          </a:extLst>
        </xdr:cNvPr>
        <xdr:cNvSpPr>
          <a:spLocks noChangeArrowheads="1"/>
        </xdr:cNvSpPr>
      </xdr:nvSpPr>
      <xdr:spPr bwMode="auto">
        <a:xfrm>
          <a:off x="12700" y="19050"/>
          <a:ext cx="1184592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507DFE73-0C49-44EE-AF09-1FA62E523092}"/>
            </a:ext>
          </a:extLst>
        </xdr:cNvPr>
        <xdr:cNvSpPr txBox="1">
          <a:spLocks noChangeArrowheads="1"/>
        </xdr:cNvSpPr>
      </xdr:nvSpPr>
      <xdr:spPr bwMode="auto">
        <a:xfrm>
          <a:off x="13426"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Energia</a:t>
          </a:r>
        </a:p>
      </xdr:txBody>
    </xdr:sp>
    <xdr:clientData/>
  </xdr:oneCellAnchor>
  <xdr:twoCellAnchor>
    <xdr:from>
      <xdr:col>9</xdr:col>
      <xdr:colOff>95249</xdr:colOff>
      <xdr:row>0</xdr:row>
      <xdr:rowOff>19050</xdr:rowOff>
    </xdr:from>
    <xdr:to>
      <xdr:col>11</xdr:col>
      <xdr:colOff>257171</xdr:colOff>
      <xdr:row>2</xdr:row>
      <xdr:rowOff>314325</xdr:rowOff>
    </xdr:to>
    <xdr:grpSp>
      <xdr:nvGrpSpPr>
        <xdr:cNvPr id="4" name="Agrupar 11">
          <a:hlinkClick xmlns:r="http://schemas.openxmlformats.org/officeDocument/2006/relationships" r:id="rId1"/>
          <a:extLst>
            <a:ext uri="{FF2B5EF4-FFF2-40B4-BE49-F238E27FC236}">
              <a16:creationId xmlns:a16="http://schemas.microsoft.com/office/drawing/2014/main" id="{BC084B50-CEE5-47BF-8F2D-5CCCA58B1955}"/>
            </a:ext>
          </a:extLst>
        </xdr:cNvPr>
        <xdr:cNvGrpSpPr>
          <a:grpSpLocks/>
        </xdr:cNvGrpSpPr>
      </xdr:nvGrpSpPr>
      <xdr:grpSpPr bwMode="auto">
        <a:xfrm>
          <a:off x="11868149" y="19050"/>
          <a:ext cx="1381122" cy="619125"/>
          <a:chOff x="11133666" y="131229"/>
          <a:chExt cx="928736" cy="609603"/>
        </a:xfrm>
      </xdr:grpSpPr>
      <xdr:sp macro="" textlink="">
        <xdr:nvSpPr>
          <xdr:cNvPr id="5" name="Seta: Curva para Cima 4" descr="Menu">
            <a:extLst>
              <a:ext uri="{FF2B5EF4-FFF2-40B4-BE49-F238E27FC236}">
                <a16:creationId xmlns:a16="http://schemas.microsoft.com/office/drawing/2014/main" id="{84024F6C-BD89-4F24-B91B-293174B6ED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E93C4055-BF23-4E74-8F71-C7367D048511}"/>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0</xdr:rowOff>
    </xdr:from>
    <xdr:to>
      <xdr:col>0</xdr:col>
      <xdr:colOff>1263650</xdr:colOff>
      <xdr:row>2</xdr:row>
      <xdr:rowOff>114300</xdr:rowOff>
    </xdr:to>
    <xdr:pic>
      <xdr:nvPicPr>
        <xdr:cNvPr id="7" name="Picture 2">
          <a:extLst>
            <a:ext uri="{FF2B5EF4-FFF2-40B4-BE49-F238E27FC236}">
              <a16:creationId xmlns:a16="http://schemas.microsoft.com/office/drawing/2014/main" id="{30B9C367-6D53-45CB-8C8E-D565DB093D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36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328613</xdr:colOff>
      <xdr:row>61</xdr:row>
      <xdr:rowOff>93663</xdr:rowOff>
    </xdr:from>
    <xdr:to>
      <xdr:col>6</xdr:col>
      <xdr:colOff>25401</xdr:colOff>
      <xdr:row>64</xdr:row>
      <xdr:rowOff>144463</xdr:rowOff>
    </xdr:to>
    <xdr:pic>
      <xdr:nvPicPr>
        <xdr:cNvPr id="8" name="Imagem 7">
          <a:extLst>
            <a:ext uri="{FF2B5EF4-FFF2-40B4-BE49-F238E27FC236}">
              <a16:creationId xmlns:a16="http://schemas.microsoft.com/office/drawing/2014/main" id="{7B5A61EB-F1E3-499C-8DB8-ABB3B34DE9D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8" y="10780713"/>
          <a:ext cx="811213"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881063</xdr:colOff>
      <xdr:row>61</xdr:row>
      <xdr:rowOff>96838</xdr:rowOff>
    </xdr:from>
    <xdr:to>
      <xdr:col>4</xdr:col>
      <xdr:colOff>579438</xdr:colOff>
      <xdr:row>65</xdr:row>
      <xdr:rowOff>0</xdr:rowOff>
    </xdr:to>
    <xdr:pic>
      <xdr:nvPicPr>
        <xdr:cNvPr id="9" name="Imagem 8">
          <a:extLst>
            <a:ext uri="{FF2B5EF4-FFF2-40B4-BE49-F238E27FC236}">
              <a16:creationId xmlns:a16="http://schemas.microsoft.com/office/drawing/2014/main" id="{12D9FFE4-2D1D-48C0-BF2D-75DA68195B1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67188" y="10783888"/>
          <a:ext cx="812800" cy="550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873811</xdr:colOff>
      <xdr:row>56</xdr:row>
      <xdr:rowOff>160338</xdr:rowOff>
    </xdr:from>
    <xdr:to>
      <xdr:col>4</xdr:col>
      <xdr:colOff>565836</xdr:colOff>
      <xdr:row>60</xdr:row>
      <xdr:rowOff>53975</xdr:rowOff>
    </xdr:to>
    <xdr:pic>
      <xdr:nvPicPr>
        <xdr:cNvPr id="10" name="Imagem 9">
          <a:extLst>
            <a:ext uri="{FF2B5EF4-FFF2-40B4-BE49-F238E27FC236}">
              <a16:creationId xmlns:a16="http://schemas.microsoft.com/office/drawing/2014/main" id="{108ABBF8-36DB-4E48-8A86-50C38F4C7169}"/>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59936" y="10037763"/>
          <a:ext cx="80645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457201</xdr:colOff>
      <xdr:row>55</xdr:row>
      <xdr:rowOff>87313</xdr:rowOff>
    </xdr:from>
    <xdr:to>
      <xdr:col>1</xdr:col>
      <xdr:colOff>465138</xdr:colOff>
      <xdr:row>55</xdr:row>
      <xdr:rowOff>87313</xdr:rowOff>
    </xdr:to>
    <xdr:sp macro="" textlink="">
      <xdr:nvSpPr>
        <xdr:cNvPr id="11" name="Rectangle 81">
          <a:extLst>
            <a:ext uri="{FF2B5EF4-FFF2-40B4-BE49-F238E27FC236}">
              <a16:creationId xmlns:a16="http://schemas.microsoft.com/office/drawing/2014/main" id="{5BF6A551-6E3E-4C01-BC9D-4FAB66E31B3D}"/>
            </a:ext>
          </a:extLst>
        </xdr:cNvPr>
        <xdr:cNvSpPr>
          <a:spLocks noChangeAspect="1" noChangeArrowheads="1"/>
        </xdr:cNvSpPr>
      </xdr:nvSpPr>
      <xdr:spPr bwMode="gray">
        <a:xfrm>
          <a:off x="1990726" y="980281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42</xdr:row>
      <xdr:rowOff>146050</xdr:rowOff>
    </xdr:from>
    <xdr:to>
      <xdr:col>1</xdr:col>
      <xdr:colOff>263526</xdr:colOff>
      <xdr:row>51</xdr:row>
      <xdr:rowOff>36513</xdr:rowOff>
    </xdr:to>
    <xdr:sp macro="" textlink="">
      <xdr:nvSpPr>
        <xdr:cNvPr id="12" name="Freeform 82">
          <a:extLst>
            <a:ext uri="{FF2B5EF4-FFF2-40B4-BE49-F238E27FC236}">
              <a16:creationId xmlns:a16="http://schemas.microsoft.com/office/drawing/2014/main" id="{E43C99F6-7E6D-4030-BBE1-7B1F0DE6A2B2}"/>
            </a:ext>
          </a:extLst>
        </xdr:cNvPr>
        <xdr:cNvSpPr>
          <a:spLocks noChangeAspect="1"/>
        </xdr:cNvSpPr>
      </xdr:nvSpPr>
      <xdr:spPr bwMode="gray">
        <a:xfrm>
          <a:off x="0" y="7756525"/>
          <a:ext cx="1797051" cy="1347788"/>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919163</xdr:colOff>
      <xdr:row>41</xdr:row>
      <xdr:rowOff>0</xdr:rowOff>
    </xdr:from>
    <xdr:to>
      <xdr:col>0</xdr:col>
      <xdr:colOff>1531938</xdr:colOff>
      <xdr:row>45</xdr:row>
      <xdr:rowOff>12700</xdr:rowOff>
    </xdr:to>
    <xdr:sp macro="" textlink="">
      <xdr:nvSpPr>
        <xdr:cNvPr id="13" name="Freeform 83">
          <a:extLst>
            <a:ext uri="{FF2B5EF4-FFF2-40B4-BE49-F238E27FC236}">
              <a16:creationId xmlns:a16="http://schemas.microsoft.com/office/drawing/2014/main" id="{69BD8C98-5799-4B8A-BDF4-F61DCFA76992}"/>
            </a:ext>
          </a:extLst>
        </xdr:cNvPr>
        <xdr:cNvSpPr>
          <a:spLocks noChangeAspect="1"/>
        </xdr:cNvSpPr>
      </xdr:nvSpPr>
      <xdr:spPr bwMode="gray">
        <a:xfrm>
          <a:off x="919163" y="7448550"/>
          <a:ext cx="612775" cy="660400"/>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730251</xdr:colOff>
      <xdr:row>53</xdr:row>
      <xdr:rowOff>46038</xdr:rowOff>
    </xdr:from>
    <xdr:to>
      <xdr:col>0</xdr:col>
      <xdr:colOff>1450976</xdr:colOff>
      <xdr:row>56</xdr:row>
      <xdr:rowOff>120650</xdr:rowOff>
    </xdr:to>
    <xdr:sp macro="" textlink="">
      <xdr:nvSpPr>
        <xdr:cNvPr id="14" name="Freeform 84">
          <a:extLst>
            <a:ext uri="{FF2B5EF4-FFF2-40B4-BE49-F238E27FC236}">
              <a16:creationId xmlns:a16="http://schemas.microsoft.com/office/drawing/2014/main" id="{72F84BBA-A3A0-4F1A-9C61-1BFF1B824038}"/>
            </a:ext>
          </a:extLst>
        </xdr:cNvPr>
        <xdr:cNvSpPr>
          <a:spLocks noChangeAspect="1"/>
        </xdr:cNvSpPr>
      </xdr:nvSpPr>
      <xdr:spPr bwMode="gray">
        <a:xfrm>
          <a:off x="730251" y="9437688"/>
          <a:ext cx="720725" cy="560387"/>
        </a:xfrm>
        <a:custGeom>
          <a:avLst/>
          <a:gdLst>
            <a:gd name="T0" fmla="*/ 550 w 107"/>
            <a:gd name="T1" fmla="*/ 482 h 89"/>
            <a:gd name="T2" fmla="*/ 567 w 107"/>
            <a:gd name="T3" fmla="*/ 448 h 89"/>
            <a:gd name="T4" fmla="*/ 596 w 107"/>
            <a:gd name="T5" fmla="*/ 420 h 89"/>
            <a:gd name="T6" fmla="*/ 607 w 107"/>
            <a:gd name="T7" fmla="*/ 374 h 89"/>
            <a:gd name="T8" fmla="*/ 590 w 107"/>
            <a:gd name="T9" fmla="*/ 329 h 89"/>
            <a:gd name="T10" fmla="*/ 596 w 107"/>
            <a:gd name="T11" fmla="*/ 278 h 89"/>
            <a:gd name="T12" fmla="*/ 556 w 107"/>
            <a:gd name="T13" fmla="*/ 278 h 89"/>
            <a:gd name="T14" fmla="*/ 533 w 107"/>
            <a:gd name="T15" fmla="*/ 267 h 89"/>
            <a:gd name="T16" fmla="*/ 494 w 107"/>
            <a:gd name="T17" fmla="*/ 244 h 89"/>
            <a:gd name="T18" fmla="*/ 460 w 107"/>
            <a:gd name="T19" fmla="*/ 210 h 89"/>
            <a:gd name="T20" fmla="*/ 460 w 107"/>
            <a:gd name="T21" fmla="*/ 159 h 89"/>
            <a:gd name="T22" fmla="*/ 460 w 107"/>
            <a:gd name="T23" fmla="*/ 113 h 89"/>
            <a:gd name="T24" fmla="*/ 454 w 107"/>
            <a:gd name="T25" fmla="*/ 68 h 89"/>
            <a:gd name="T26" fmla="*/ 431 w 107"/>
            <a:gd name="T27" fmla="*/ 51 h 89"/>
            <a:gd name="T28" fmla="*/ 397 w 107"/>
            <a:gd name="T29" fmla="*/ 45 h 89"/>
            <a:gd name="T30" fmla="*/ 363 w 107"/>
            <a:gd name="T31" fmla="*/ 28 h 89"/>
            <a:gd name="T32" fmla="*/ 323 w 107"/>
            <a:gd name="T33" fmla="*/ 6 h 89"/>
            <a:gd name="T34" fmla="*/ 289 w 107"/>
            <a:gd name="T35" fmla="*/ 0 h 89"/>
            <a:gd name="T36" fmla="*/ 255 w 107"/>
            <a:gd name="T37" fmla="*/ 6 h 89"/>
            <a:gd name="T38" fmla="*/ 227 w 107"/>
            <a:gd name="T39" fmla="*/ 45 h 89"/>
            <a:gd name="T40" fmla="*/ 199 w 107"/>
            <a:gd name="T41" fmla="*/ 79 h 89"/>
            <a:gd name="T42" fmla="*/ 165 w 107"/>
            <a:gd name="T43" fmla="*/ 68 h 89"/>
            <a:gd name="T44" fmla="*/ 147 w 107"/>
            <a:gd name="T45" fmla="*/ 113 h 89"/>
            <a:gd name="T46" fmla="*/ 130 w 107"/>
            <a:gd name="T47" fmla="*/ 125 h 89"/>
            <a:gd name="T48" fmla="*/ 96 w 107"/>
            <a:gd name="T49" fmla="*/ 142 h 89"/>
            <a:gd name="T50" fmla="*/ 57 w 107"/>
            <a:gd name="T51" fmla="*/ 125 h 89"/>
            <a:gd name="T52" fmla="*/ 23 w 107"/>
            <a:gd name="T53" fmla="*/ 125 h 89"/>
            <a:gd name="T54" fmla="*/ 0 w 107"/>
            <a:gd name="T55" fmla="*/ 159 h 89"/>
            <a:gd name="T56" fmla="*/ 62 w 107"/>
            <a:gd name="T57" fmla="*/ 153 h 89"/>
            <a:gd name="T58" fmla="*/ 96 w 107"/>
            <a:gd name="T59" fmla="*/ 153 h 89"/>
            <a:gd name="T60" fmla="*/ 108 w 107"/>
            <a:gd name="T61" fmla="*/ 170 h 89"/>
            <a:gd name="T62" fmla="*/ 119 w 107"/>
            <a:gd name="T63" fmla="*/ 221 h 89"/>
            <a:gd name="T64" fmla="*/ 119 w 107"/>
            <a:gd name="T65" fmla="*/ 267 h 89"/>
            <a:gd name="T66" fmla="*/ 130 w 107"/>
            <a:gd name="T67" fmla="*/ 312 h 89"/>
            <a:gd name="T68" fmla="*/ 165 w 107"/>
            <a:gd name="T69" fmla="*/ 374 h 89"/>
            <a:gd name="T70" fmla="*/ 199 w 107"/>
            <a:gd name="T71" fmla="*/ 397 h 89"/>
            <a:gd name="T72" fmla="*/ 244 w 107"/>
            <a:gd name="T73" fmla="*/ 409 h 89"/>
            <a:gd name="T74" fmla="*/ 278 w 107"/>
            <a:gd name="T75" fmla="*/ 409 h 89"/>
            <a:gd name="T76" fmla="*/ 318 w 107"/>
            <a:gd name="T77" fmla="*/ 420 h 89"/>
            <a:gd name="T78" fmla="*/ 363 w 107"/>
            <a:gd name="T79" fmla="*/ 448 h 89"/>
            <a:gd name="T80" fmla="*/ 397 w 107"/>
            <a:gd name="T81" fmla="*/ 454 h 89"/>
            <a:gd name="T82" fmla="*/ 431 w 107"/>
            <a:gd name="T83" fmla="*/ 494 h 89"/>
            <a:gd name="T84" fmla="*/ 471 w 107"/>
            <a:gd name="T85" fmla="*/ 505 h 89"/>
            <a:gd name="T86" fmla="*/ 505 w 107"/>
            <a:gd name="T87" fmla="*/ 494 h 89"/>
            <a:gd name="T88" fmla="*/ 533 w 107"/>
            <a:gd name="T89" fmla="*/ 505 h 89"/>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07" h="89">
              <a:moveTo>
                <a:pt x="94" y="89"/>
              </a:moveTo>
              <a:lnTo>
                <a:pt x="97" y="85"/>
              </a:lnTo>
              <a:lnTo>
                <a:pt x="98" y="80"/>
              </a:lnTo>
              <a:lnTo>
                <a:pt x="100" y="79"/>
              </a:lnTo>
              <a:lnTo>
                <a:pt x="102" y="76"/>
              </a:lnTo>
              <a:lnTo>
                <a:pt x="105" y="74"/>
              </a:lnTo>
              <a:lnTo>
                <a:pt x="107" y="70"/>
              </a:lnTo>
              <a:lnTo>
                <a:pt x="107" y="66"/>
              </a:lnTo>
              <a:lnTo>
                <a:pt x="105" y="62"/>
              </a:lnTo>
              <a:lnTo>
                <a:pt x="104" y="58"/>
              </a:lnTo>
              <a:lnTo>
                <a:pt x="104" y="53"/>
              </a:lnTo>
              <a:lnTo>
                <a:pt x="105" y="49"/>
              </a:lnTo>
              <a:lnTo>
                <a:pt x="102" y="49"/>
              </a:lnTo>
              <a:lnTo>
                <a:pt x="98" y="49"/>
              </a:lnTo>
              <a:lnTo>
                <a:pt x="97" y="45"/>
              </a:lnTo>
              <a:lnTo>
                <a:pt x="94" y="47"/>
              </a:lnTo>
              <a:lnTo>
                <a:pt x="91" y="45"/>
              </a:lnTo>
              <a:lnTo>
                <a:pt x="87" y="43"/>
              </a:lnTo>
              <a:lnTo>
                <a:pt x="85" y="41"/>
              </a:lnTo>
              <a:lnTo>
                <a:pt x="81" y="37"/>
              </a:lnTo>
              <a:lnTo>
                <a:pt x="80" y="33"/>
              </a:lnTo>
              <a:lnTo>
                <a:pt x="81" y="28"/>
              </a:lnTo>
              <a:lnTo>
                <a:pt x="83" y="24"/>
              </a:lnTo>
              <a:lnTo>
                <a:pt x="81" y="20"/>
              </a:lnTo>
              <a:lnTo>
                <a:pt x="80" y="16"/>
              </a:lnTo>
              <a:lnTo>
                <a:pt x="80" y="12"/>
              </a:lnTo>
              <a:lnTo>
                <a:pt x="80" y="9"/>
              </a:lnTo>
              <a:lnTo>
                <a:pt x="76" y="9"/>
              </a:lnTo>
              <a:lnTo>
                <a:pt x="73" y="8"/>
              </a:lnTo>
              <a:lnTo>
                <a:pt x="70" y="8"/>
              </a:lnTo>
              <a:lnTo>
                <a:pt x="67" y="8"/>
              </a:lnTo>
              <a:lnTo>
                <a:pt x="64" y="5"/>
              </a:lnTo>
              <a:lnTo>
                <a:pt x="60" y="3"/>
              </a:lnTo>
              <a:lnTo>
                <a:pt x="57" y="1"/>
              </a:lnTo>
              <a:lnTo>
                <a:pt x="54" y="1"/>
              </a:lnTo>
              <a:lnTo>
                <a:pt x="51" y="0"/>
              </a:lnTo>
              <a:lnTo>
                <a:pt x="48" y="3"/>
              </a:lnTo>
              <a:lnTo>
                <a:pt x="45" y="1"/>
              </a:lnTo>
              <a:lnTo>
                <a:pt x="41" y="3"/>
              </a:lnTo>
              <a:lnTo>
                <a:pt x="40" y="8"/>
              </a:lnTo>
              <a:lnTo>
                <a:pt x="39" y="12"/>
              </a:lnTo>
              <a:lnTo>
                <a:pt x="35" y="14"/>
              </a:lnTo>
              <a:lnTo>
                <a:pt x="32" y="14"/>
              </a:lnTo>
              <a:lnTo>
                <a:pt x="29" y="12"/>
              </a:lnTo>
              <a:lnTo>
                <a:pt x="27" y="16"/>
              </a:lnTo>
              <a:lnTo>
                <a:pt x="26" y="20"/>
              </a:lnTo>
              <a:lnTo>
                <a:pt x="24" y="24"/>
              </a:lnTo>
              <a:lnTo>
                <a:pt x="23" y="22"/>
              </a:lnTo>
              <a:lnTo>
                <a:pt x="19" y="22"/>
              </a:lnTo>
              <a:lnTo>
                <a:pt x="17" y="25"/>
              </a:lnTo>
              <a:lnTo>
                <a:pt x="13" y="22"/>
              </a:lnTo>
              <a:lnTo>
                <a:pt x="10" y="22"/>
              </a:lnTo>
              <a:lnTo>
                <a:pt x="7" y="22"/>
              </a:lnTo>
              <a:lnTo>
                <a:pt x="4" y="22"/>
              </a:lnTo>
              <a:lnTo>
                <a:pt x="0" y="26"/>
              </a:lnTo>
              <a:lnTo>
                <a:pt x="0" y="28"/>
              </a:lnTo>
              <a:lnTo>
                <a:pt x="7" y="28"/>
              </a:lnTo>
              <a:lnTo>
                <a:pt x="11" y="27"/>
              </a:lnTo>
              <a:lnTo>
                <a:pt x="14" y="27"/>
              </a:lnTo>
              <a:lnTo>
                <a:pt x="17" y="27"/>
              </a:lnTo>
              <a:lnTo>
                <a:pt x="19" y="28"/>
              </a:lnTo>
              <a:lnTo>
                <a:pt x="19" y="30"/>
              </a:lnTo>
              <a:lnTo>
                <a:pt x="19" y="34"/>
              </a:lnTo>
              <a:lnTo>
                <a:pt x="21" y="39"/>
              </a:lnTo>
              <a:lnTo>
                <a:pt x="21" y="43"/>
              </a:lnTo>
              <a:lnTo>
                <a:pt x="21" y="47"/>
              </a:lnTo>
              <a:lnTo>
                <a:pt x="21" y="51"/>
              </a:lnTo>
              <a:lnTo>
                <a:pt x="23" y="55"/>
              </a:lnTo>
              <a:lnTo>
                <a:pt x="26" y="62"/>
              </a:lnTo>
              <a:lnTo>
                <a:pt x="29" y="66"/>
              </a:lnTo>
              <a:lnTo>
                <a:pt x="32" y="68"/>
              </a:lnTo>
              <a:lnTo>
                <a:pt x="35" y="70"/>
              </a:lnTo>
              <a:lnTo>
                <a:pt x="39" y="72"/>
              </a:lnTo>
              <a:lnTo>
                <a:pt x="43" y="72"/>
              </a:lnTo>
              <a:lnTo>
                <a:pt x="46" y="72"/>
              </a:lnTo>
              <a:lnTo>
                <a:pt x="49" y="72"/>
              </a:lnTo>
              <a:lnTo>
                <a:pt x="52" y="72"/>
              </a:lnTo>
              <a:lnTo>
                <a:pt x="56" y="74"/>
              </a:lnTo>
              <a:lnTo>
                <a:pt x="59" y="76"/>
              </a:lnTo>
              <a:lnTo>
                <a:pt x="64" y="79"/>
              </a:lnTo>
              <a:lnTo>
                <a:pt x="67" y="79"/>
              </a:lnTo>
              <a:lnTo>
                <a:pt x="70" y="80"/>
              </a:lnTo>
              <a:lnTo>
                <a:pt x="73" y="85"/>
              </a:lnTo>
              <a:lnTo>
                <a:pt x="76" y="87"/>
              </a:lnTo>
              <a:lnTo>
                <a:pt x="80" y="89"/>
              </a:lnTo>
              <a:lnTo>
                <a:pt x="83" y="89"/>
              </a:lnTo>
              <a:lnTo>
                <a:pt x="86" y="87"/>
              </a:lnTo>
              <a:lnTo>
                <a:pt x="89" y="87"/>
              </a:lnTo>
              <a:lnTo>
                <a:pt x="92" y="89"/>
              </a:lnTo>
              <a:lnTo>
                <a:pt x="94" y="89"/>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409576</xdr:colOff>
      <xdr:row>41</xdr:row>
      <xdr:rowOff>101600</xdr:rowOff>
    </xdr:from>
    <xdr:to>
      <xdr:col>2</xdr:col>
      <xdr:colOff>284163</xdr:colOff>
      <xdr:row>44</xdr:row>
      <xdr:rowOff>150813</xdr:rowOff>
    </xdr:to>
    <xdr:sp macro="" textlink="">
      <xdr:nvSpPr>
        <xdr:cNvPr id="15" name="Freeform 85">
          <a:extLst>
            <a:ext uri="{FF2B5EF4-FFF2-40B4-BE49-F238E27FC236}">
              <a16:creationId xmlns:a16="http://schemas.microsoft.com/office/drawing/2014/main" id="{DE458568-9014-459C-9DB0-270226DCECF7}"/>
            </a:ext>
          </a:extLst>
        </xdr:cNvPr>
        <xdr:cNvSpPr>
          <a:spLocks noChangeAspect="1"/>
        </xdr:cNvSpPr>
      </xdr:nvSpPr>
      <xdr:spPr bwMode="gray">
        <a:xfrm>
          <a:off x="1943101" y="7550150"/>
          <a:ext cx="512762" cy="534988"/>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1282701</xdr:colOff>
      <xdr:row>48</xdr:row>
      <xdr:rowOff>144463</xdr:rowOff>
    </xdr:from>
    <xdr:to>
      <xdr:col>2</xdr:col>
      <xdr:colOff>263526</xdr:colOff>
      <xdr:row>55</xdr:row>
      <xdr:rowOff>50800</xdr:rowOff>
    </xdr:to>
    <xdr:sp macro="" textlink="">
      <xdr:nvSpPr>
        <xdr:cNvPr id="16" name="Freeform 86">
          <a:extLst>
            <a:ext uri="{FF2B5EF4-FFF2-40B4-BE49-F238E27FC236}">
              <a16:creationId xmlns:a16="http://schemas.microsoft.com/office/drawing/2014/main" id="{E514CDE2-2F7A-42FE-B932-A412F9F9956E}"/>
            </a:ext>
          </a:extLst>
        </xdr:cNvPr>
        <xdr:cNvSpPr>
          <a:spLocks noChangeAspect="1"/>
        </xdr:cNvSpPr>
      </xdr:nvSpPr>
      <xdr:spPr bwMode="gray">
        <a:xfrm>
          <a:off x="1282701" y="8726488"/>
          <a:ext cx="1152525" cy="1039812"/>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444501</xdr:colOff>
      <xdr:row>44</xdr:row>
      <xdr:rowOff>155575</xdr:rowOff>
    </xdr:from>
    <xdr:to>
      <xdr:col>2</xdr:col>
      <xdr:colOff>1111251</xdr:colOff>
      <xdr:row>50</xdr:row>
      <xdr:rowOff>104775</xdr:rowOff>
    </xdr:to>
    <xdr:sp macro="" textlink="">
      <xdr:nvSpPr>
        <xdr:cNvPr id="17" name="Freeform 87">
          <a:extLst>
            <a:ext uri="{FF2B5EF4-FFF2-40B4-BE49-F238E27FC236}">
              <a16:creationId xmlns:a16="http://schemas.microsoft.com/office/drawing/2014/main" id="{03522602-1E5C-49BA-B410-477B5A16CDA8}"/>
            </a:ext>
          </a:extLst>
        </xdr:cNvPr>
        <xdr:cNvSpPr>
          <a:spLocks noChangeAspect="1"/>
        </xdr:cNvSpPr>
      </xdr:nvSpPr>
      <xdr:spPr bwMode="gray">
        <a:xfrm>
          <a:off x="2616201" y="8089900"/>
          <a:ext cx="666750" cy="920750"/>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673101</xdr:colOff>
      <xdr:row>46</xdr:row>
      <xdr:rowOff>9525</xdr:rowOff>
    </xdr:from>
    <xdr:to>
      <xdr:col>2</xdr:col>
      <xdr:colOff>1260476</xdr:colOff>
      <xdr:row>50</xdr:row>
      <xdr:rowOff>160338</xdr:rowOff>
    </xdr:to>
    <xdr:sp macro="" textlink="">
      <xdr:nvSpPr>
        <xdr:cNvPr id="18" name="Freeform 88">
          <a:extLst>
            <a:ext uri="{FF2B5EF4-FFF2-40B4-BE49-F238E27FC236}">
              <a16:creationId xmlns:a16="http://schemas.microsoft.com/office/drawing/2014/main" id="{3E314AA2-2B42-46C4-9D70-5E3203C87470}"/>
            </a:ext>
          </a:extLst>
        </xdr:cNvPr>
        <xdr:cNvSpPr>
          <a:spLocks noChangeAspect="1"/>
        </xdr:cNvSpPr>
      </xdr:nvSpPr>
      <xdr:spPr bwMode="gray">
        <a:xfrm>
          <a:off x="2844801" y="8267700"/>
          <a:ext cx="444500" cy="798513"/>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highlight>
              <a:srgbClr val="FFFF00"/>
            </a:highlight>
            <a:latin typeface="Calibri" panose="020F0502020204030204"/>
          </a:endParaRPr>
        </a:p>
      </xdr:txBody>
    </xdr:sp>
    <xdr:clientData/>
  </xdr:twoCellAnchor>
  <xdr:twoCellAnchor>
    <xdr:from>
      <xdr:col>2</xdr:col>
      <xdr:colOff>1435101</xdr:colOff>
      <xdr:row>47</xdr:row>
      <xdr:rowOff>42863</xdr:rowOff>
    </xdr:from>
    <xdr:to>
      <xdr:col>3</xdr:col>
      <xdr:colOff>249238</xdr:colOff>
      <xdr:row>48</xdr:row>
      <xdr:rowOff>112713</xdr:rowOff>
    </xdr:to>
    <xdr:sp macro="" textlink="">
      <xdr:nvSpPr>
        <xdr:cNvPr id="19" name="Freeform 89">
          <a:extLst>
            <a:ext uri="{FF2B5EF4-FFF2-40B4-BE49-F238E27FC236}">
              <a16:creationId xmlns:a16="http://schemas.microsoft.com/office/drawing/2014/main" id="{C5654EAB-F4F1-4359-B1C4-745CF561D1EB}"/>
            </a:ext>
          </a:extLst>
        </xdr:cNvPr>
        <xdr:cNvSpPr>
          <a:spLocks noChangeAspect="1"/>
        </xdr:cNvSpPr>
      </xdr:nvSpPr>
      <xdr:spPr bwMode="gray">
        <a:xfrm>
          <a:off x="3282951" y="8462963"/>
          <a:ext cx="252412" cy="231775"/>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1177926</xdr:colOff>
      <xdr:row>46</xdr:row>
      <xdr:rowOff>9525</xdr:rowOff>
    </xdr:from>
    <xdr:to>
      <xdr:col>3</xdr:col>
      <xdr:colOff>31751</xdr:colOff>
      <xdr:row>49</xdr:row>
      <xdr:rowOff>39688</xdr:rowOff>
    </xdr:to>
    <xdr:sp macro="" textlink="">
      <xdr:nvSpPr>
        <xdr:cNvPr id="20" name="Freeform 90">
          <a:extLst>
            <a:ext uri="{FF2B5EF4-FFF2-40B4-BE49-F238E27FC236}">
              <a16:creationId xmlns:a16="http://schemas.microsoft.com/office/drawing/2014/main" id="{1C6E8C57-2B44-4812-90D9-1D8938FD3155}"/>
            </a:ext>
          </a:extLst>
        </xdr:cNvPr>
        <xdr:cNvSpPr>
          <a:spLocks noChangeAspect="1"/>
        </xdr:cNvSpPr>
      </xdr:nvSpPr>
      <xdr:spPr bwMode="gray">
        <a:xfrm>
          <a:off x="3282951" y="8267700"/>
          <a:ext cx="34925" cy="515938"/>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1468438</xdr:colOff>
      <xdr:row>49</xdr:row>
      <xdr:rowOff>158750</xdr:rowOff>
    </xdr:from>
    <xdr:to>
      <xdr:col>3</xdr:col>
      <xdr:colOff>241301</xdr:colOff>
      <xdr:row>51</xdr:row>
      <xdr:rowOff>87313</xdr:rowOff>
    </xdr:to>
    <xdr:sp macro="" textlink="">
      <xdr:nvSpPr>
        <xdr:cNvPr id="21" name="Freeform 91">
          <a:extLst>
            <a:ext uri="{FF2B5EF4-FFF2-40B4-BE49-F238E27FC236}">
              <a16:creationId xmlns:a16="http://schemas.microsoft.com/office/drawing/2014/main" id="{43E63BAF-78FF-49D4-8FDE-79FC57196DA0}"/>
            </a:ext>
          </a:extLst>
        </xdr:cNvPr>
        <xdr:cNvSpPr>
          <a:spLocks noChangeAspect="1"/>
        </xdr:cNvSpPr>
      </xdr:nvSpPr>
      <xdr:spPr bwMode="gray">
        <a:xfrm>
          <a:off x="3287713" y="8902700"/>
          <a:ext cx="239713" cy="252413"/>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633413</xdr:colOff>
      <xdr:row>49</xdr:row>
      <xdr:rowOff>109538</xdr:rowOff>
    </xdr:from>
    <xdr:to>
      <xdr:col>3</xdr:col>
      <xdr:colOff>6351</xdr:colOff>
      <xdr:row>55</xdr:row>
      <xdr:rowOff>120650</xdr:rowOff>
    </xdr:to>
    <xdr:sp macro="" textlink="">
      <xdr:nvSpPr>
        <xdr:cNvPr id="22" name="Freeform 92">
          <a:extLst>
            <a:ext uri="{FF2B5EF4-FFF2-40B4-BE49-F238E27FC236}">
              <a16:creationId xmlns:a16="http://schemas.microsoft.com/office/drawing/2014/main" id="{D750E592-E02F-42B8-9069-C28399F56F0A}"/>
            </a:ext>
          </a:extLst>
        </xdr:cNvPr>
        <xdr:cNvSpPr>
          <a:spLocks noChangeAspect="1"/>
        </xdr:cNvSpPr>
      </xdr:nvSpPr>
      <xdr:spPr bwMode="gray">
        <a:xfrm>
          <a:off x="2805113" y="8853488"/>
          <a:ext cx="487363" cy="982662"/>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1044576</xdr:colOff>
      <xdr:row>55</xdr:row>
      <xdr:rowOff>69850</xdr:rowOff>
    </xdr:from>
    <xdr:to>
      <xdr:col>2</xdr:col>
      <xdr:colOff>1273176</xdr:colOff>
      <xdr:row>57</xdr:row>
      <xdr:rowOff>73025</xdr:rowOff>
    </xdr:to>
    <xdr:sp macro="" textlink="">
      <xdr:nvSpPr>
        <xdr:cNvPr id="23" name="Freeform 93">
          <a:extLst>
            <a:ext uri="{FF2B5EF4-FFF2-40B4-BE49-F238E27FC236}">
              <a16:creationId xmlns:a16="http://schemas.microsoft.com/office/drawing/2014/main" id="{7FFC98FB-0EE1-4BFC-8D6B-623D77B9A21D}"/>
            </a:ext>
          </a:extLst>
        </xdr:cNvPr>
        <xdr:cNvSpPr>
          <a:spLocks noChangeAspect="1"/>
        </xdr:cNvSpPr>
      </xdr:nvSpPr>
      <xdr:spPr bwMode="gray">
        <a:xfrm>
          <a:off x="3216276" y="9785350"/>
          <a:ext cx="66675" cy="327025"/>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754063</xdr:colOff>
      <xdr:row>57</xdr:row>
      <xdr:rowOff>28575</xdr:rowOff>
    </xdr:from>
    <xdr:to>
      <xdr:col>2</xdr:col>
      <xdr:colOff>1131888</xdr:colOff>
      <xdr:row>58</xdr:row>
      <xdr:rowOff>74613</xdr:rowOff>
    </xdr:to>
    <xdr:sp macro="" textlink="">
      <xdr:nvSpPr>
        <xdr:cNvPr id="24" name="Freeform 94">
          <a:extLst>
            <a:ext uri="{FF2B5EF4-FFF2-40B4-BE49-F238E27FC236}">
              <a16:creationId xmlns:a16="http://schemas.microsoft.com/office/drawing/2014/main" id="{2888EE1B-4CC5-42C8-B6EF-C5CDEB8882A9}"/>
            </a:ext>
          </a:extLst>
        </xdr:cNvPr>
        <xdr:cNvSpPr>
          <a:spLocks noChangeAspect="1"/>
        </xdr:cNvSpPr>
      </xdr:nvSpPr>
      <xdr:spPr bwMode="gray">
        <a:xfrm>
          <a:off x="2925763" y="10067925"/>
          <a:ext cx="358775" cy="207963"/>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906463</xdr:colOff>
      <xdr:row>58</xdr:row>
      <xdr:rowOff>19050</xdr:rowOff>
    </xdr:from>
    <xdr:to>
      <xdr:col>2</xdr:col>
      <xdr:colOff>1284288</xdr:colOff>
      <xdr:row>59</xdr:row>
      <xdr:rowOff>65088</xdr:rowOff>
    </xdr:to>
    <xdr:sp macro="" textlink="">
      <xdr:nvSpPr>
        <xdr:cNvPr id="25" name="Freeform 95">
          <a:extLst>
            <a:ext uri="{FF2B5EF4-FFF2-40B4-BE49-F238E27FC236}">
              <a16:creationId xmlns:a16="http://schemas.microsoft.com/office/drawing/2014/main" id="{850BD997-0994-4D6B-9EB5-36A0439F9288}"/>
            </a:ext>
          </a:extLst>
        </xdr:cNvPr>
        <xdr:cNvSpPr>
          <a:spLocks noChangeAspect="1"/>
        </xdr:cNvSpPr>
      </xdr:nvSpPr>
      <xdr:spPr bwMode="gray">
        <a:xfrm>
          <a:off x="3078163" y="10220325"/>
          <a:ext cx="206375" cy="207963"/>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155576</xdr:colOff>
      <xdr:row>53</xdr:row>
      <xdr:rowOff>9525</xdr:rowOff>
    </xdr:from>
    <xdr:to>
      <xdr:col>2</xdr:col>
      <xdr:colOff>1260476</xdr:colOff>
      <xdr:row>58</xdr:row>
      <xdr:rowOff>49213</xdr:rowOff>
    </xdr:to>
    <xdr:sp macro="" textlink="">
      <xdr:nvSpPr>
        <xdr:cNvPr id="26" name="Freeform 96">
          <a:extLst>
            <a:ext uri="{FF2B5EF4-FFF2-40B4-BE49-F238E27FC236}">
              <a16:creationId xmlns:a16="http://schemas.microsoft.com/office/drawing/2014/main" id="{C4819D39-B06E-4009-983D-3C495898944A}"/>
            </a:ext>
          </a:extLst>
        </xdr:cNvPr>
        <xdr:cNvSpPr>
          <a:spLocks noChangeAspect="1"/>
        </xdr:cNvSpPr>
      </xdr:nvSpPr>
      <xdr:spPr bwMode="gray">
        <a:xfrm>
          <a:off x="2327276" y="9401175"/>
          <a:ext cx="962025" cy="849313"/>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1</xdr:col>
      <xdr:colOff>106363</xdr:colOff>
      <xdr:row>54</xdr:row>
      <xdr:rowOff>130175</xdr:rowOff>
    </xdr:from>
    <xdr:to>
      <xdr:col>2</xdr:col>
      <xdr:colOff>168276</xdr:colOff>
      <xdr:row>59</xdr:row>
      <xdr:rowOff>25400</xdr:rowOff>
    </xdr:to>
    <xdr:sp macro="" textlink="">
      <xdr:nvSpPr>
        <xdr:cNvPr id="27" name="Freeform 97">
          <a:extLst>
            <a:ext uri="{FF2B5EF4-FFF2-40B4-BE49-F238E27FC236}">
              <a16:creationId xmlns:a16="http://schemas.microsoft.com/office/drawing/2014/main" id="{28719B88-2E13-414F-B3FD-8D472E5F6AAF}"/>
            </a:ext>
          </a:extLst>
        </xdr:cNvPr>
        <xdr:cNvSpPr>
          <a:spLocks noChangeAspect="1"/>
        </xdr:cNvSpPr>
      </xdr:nvSpPr>
      <xdr:spPr bwMode="gray">
        <a:xfrm>
          <a:off x="1639888" y="9683750"/>
          <a:ext cx="700088" cy="704850"/>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596901</xdr:colOff>
      <xdr:row>56</xdr:row>
      <xdr:rowOff>52388</xdr:rowOff>
    </xdr:from>
    <xdr:to>
      <xdr:col>2</xdr:col>
      <xdr:colOff>787401</xdr:colOff>
      <xdr:row>59</xdr:row>
      <xdr:rowOff>127000</xdr:rowOff>
    </xdr:to>
    <xdr:sp macro="" textlink="">
      <xdr:nvSpPr>
        <xdr:cNvPr id="28" name="Freeform 98">
          <a:extLst>
            <a:ext uri="{FF2B5EF4-FFF2-40B4-BE49-F238E27FC236}">
              <a16:creationId xmlns:a16="http://schemas.microsoft.com/office/drawing/2014/main" id="{1FC9D707-0C3E-4E92-A628-428C6AD7EB27}"/>
            </a:ext>
          </a:extLst>
        </xdr:cNvPr>
        <xdr:cNvSpPr>
          <a:spLocks noChangeAspect="1"/>
        </xdr:cNvSpPr>
      </xdr:nvSpPr>
      <xdr:spPr bwMode="gray">
        <a:xfrm>
          <a:off x="2130426" y="9929813"/>
          <a:ext cx="828675" cy="560387"/>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1</xdr:col>
      <xdr:colOff>449263</xdr:colOff>
      <xdr:row>58</xdr:row>
      <xdr:rowOff>6350</xdr:rowOff>
    </xdr:from>
    <xdr:to>
      <xdr:col>2</xdr:col>
      <xdr:colOff>423863</xdr:colOff>
      <xdr:row>60</xdr:row>
      <xdr:rowOff>111125</xdr:rowOff>
    </xdr:to>
    <xdr:sp macro="" textlink="">
      <xdr:nvSpPr>
        <xdr:cNvPr id="29" name="Freeform 99">
          <a:extLst>
            <a:ext uri="{FF2B5EF4-FFF2-40B4-BE49-F238E27FC236}">
              <a16:creationId xmlns:a16="http://schemas.microsoft.com/office/drawing/2014/main" id="{0C484DCC-D7A5-4888-8B26-83BC1420476D}"/>
            </a:ext>
          </a:extLst>
        </xdr:cNvPr>
        <xdr:cNvSpPr>
          <a:spLocks noChangeAspect="1"/>
        </xdr:cNvSpPr>
      </xdr:nvSpPr>
      <xdr:spPr bwMode="gray">
        <a:xfrm>
          <a:off x="1982788" y="10207625"/>
          <a:ext cx="612775" cy="428625"/>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536576</xdr:colOff>
      <xdr:row>60</xdr:row>
      <xdr:rowOff>41275</xdr:rowOff>
    </xdr:from>
    <xdr:to>
      <xdr:col>2</xdr:col>
      <xdr:colOff>377826</xdr:colOff>
      <xdr:row>62</xdr:row>
      <xdr:rowOff>44450</xdr:rowOff>
    </xdr:to>
    <xdr:sp macro="" textlink="">
      <xdr:nvSpPr>
        <xdr:cNvPr id="30" name="Freeform 100">
          <a:extLst>
            <a:ext uri="{FF2B5EF4-FFF2-40B4-BE49-F238E27FC236}">
              <a16:creationId xmlns:a16="http://schemas.microsoft.com/office/drawing/2014/main" id="{D12A05CE-137C-4E0F-9839-5F58CB86E69E}"/>
            </a:ext>
          </a:extLst>
        </xdr:cNvPr>
        <xdr:cNvSpPr>
          <a:spLocks noChangeAspect="1"/>
        </xdr:cNvSpPr>
      </xdr:nvSpPr>
      <xdr:spPr bwMode="gray">
        <a:xfrm>
          <a:off x="2070101" y="10566400"/>
          <a:ext cx="479425" cy="327025"/>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1</xdr:col>
      <xdr:colOff>200026</xdr:colOff>
      <xdr:row>60</xdr:row>
      <xdr:rowOff>130175</xdr:rowOff>
    </xdr:from>
    <xdr:to>
      <xdr:col>2</xdr:col>
      <xdr:colOff>284163</xdr:colOff>
      <xdr:row>64</xdr:row>
      <xdr:rowOff>136525</xdr:rowOff>
    </xdr:to>
    <xdr:sp macro="" textlink="">
      <xdr:nvSpPr>
        <xdr:cNvPr id="31" name="Freeform 101">
          <a:extLst>
            <a:ext uri="{FF2B5EF4-FFF2-40B4-BE49-F238E27FC236}">
              <a16:creationId xmlns:a16="http://schemas.microsoft.com/office/drawing/2014/main" id="{21AD9D78-A812-4467-9336-AA271C258731}"/>
            </a:ext>
          </a:extLst>
        </xdr:cNvPr>
        <xdr:cNvSpPr>
          <a:spLocks noChangeAspect="1"/>
        </xdr:cNvSpPr>
      </xdr:nvSpPr>
      <xdr:spPr bwMode="gray">
        <a:xfrm>
          <a:off x="1733551" y="10655300"/>
          <a:ext cx="722312" cy="654050"/>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1157288</xdr:colOff>
      <xdr:row>50</xdr:row>
      <xdr:rowOff>12700</xdr:rowOff>
    </xdr:from>
    <xdr:to>
      <xdr:col>3</xdr:col>
      <xdr:colOff>268288</xdr:colOff>
      <xdr:row>51</xdr:row>
      <xdr:rowOff>84138</xdr:rowOff>
    </xdr:to>
    <xdr:sp macro="" textlink="">
      <xdr:nvSpPr>
        <xdr:cNvPr id="32" name="Freeform 102">
          <a:extLst>
            <a:ext uri="{FF2B5EF4-FFF2-40B4-BE49-F238E27FC236}">
              <a16:creationId xmlns:a16="http://schemas.microsoft.com/office/drawing/2014/main" id="{11D1ED93-1A1E-4A9B-A3F4-5AFDEE919567}"/>
            </a:ext>
          </a:extLst>
        </xdr:cNvPr>
        <xdr:cNvSpPr>
          <a:spLocks noChangeAspect="1"/>
        </xdr:cNvSpPr>
      </xdr:nvSpPr>
      <xdr:spPr bwMode="gray">
        <a:xfrm>
          <a:off x="3281363" y="8918575"/>
          <a:ext cx="273050" cy="233363"/>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1427163</xdr:colOff>
      <xdr:row>49</xdr:row>
      <xdr:rowOff>61913</xdr:rowOff>
    </xdr:from>
    <xdr:to>
      <xdr:col>3</xdr:col>
      <xdr:colOff>268288</xdr:colOff>
      <xdr:row>50</xdr:row>
      <xdr:rowOff>138113</xdr:rowOff>
    </xdr:to>
    <xdr:sp macro="" textlink="">
      <xdr:nvSpPr>
        <xdr:cNvPr id="33" name="Freeform 103">
          <a:extLst>
            <a:ext uri="{FF2B5EF4-FFF2-40B4-BE49-F238E27FC236}">
              <a16:creationId xmlns:a16="http://schemas.microsoft.com/office/drawing/2014/main" id="{DBA19264-074A-4B7E-BC8B-B68953675367}"/>
            </a:ext>
          </a:extLst>
        </xdr:cNvPr>
        <xdr:cNvSpPr>
          <a:spLocks noChangeAspect="1"/>
        </xdr:cNvSpPr>
      </xdr:nvSpPr>
      <xdr:spPr bwMode="gray">
        <a:xfrm>
          <a:off x="3284538" y="8805863"/>
          <a:ext cx="269875" cy="238125"/>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1525588</xdr:colOff>
      <xdr:row>42</xdr:row>
      <xdr:rowOff>88900</xdr:rowOff>
    </xdr:from>
    <xdr:to>
      <xdr:col>2</xdr:col>
      <xdr:colOff>679451</xdr:colOff>
      <xdr:row>50</xdr:row>
      <xdr:rowOff>53975</xdr:rowOff>
    </xdr:to>
    <xdr:sp macro="" textlink="">
      <xdr:nvSpPr>
        <xdr:cNvPr id="34" name="Freeform 104">
          <a:extLst>
            <a:ext uri="{FF2B5EF4-FFF2-40B4-BE49-F238E27FC236}">
              <a16:creationId xmlns:a16="http://schemas.microsoft.com/office/drawing/2014/main" id="{E1139B32-78D6-4337-A430-EF16029FB130}"/>
            </a:ext>
          </a:extLst>
        </xdr:cNvPr>
        <xdr:cNvSpPr>
          <a:spLocks noChangeAspect="1"/>
        </xdr:cNvSpPr>
      </xdr:nvSpPr>
      <xdr:spPr bwMode="gray">
        <a:xfrm>
          <a:off x="1525588" y="7699375"/>
          <a:ext cx="1325563" cy="1260475"/>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592138</xdr:colOff>
      <xdr:row>52</xdr:row>
      <xdr:rowOff>1588</xdr:rowOff>
    </xdr:from>
    <xdr:to>
      <xdr:col>2</xdr:col>
      <xdr:colOff>673101</xdr:colOff>
      <xdr:row>56</xdr:row>
      <xdr:rowOff>33338</xdr:rowOff>
    </xdr:to>
    <xdr:sp macro="" textlink="">
      <xdr:nvSpPr>
        <xdr:cNvPr id="35" name="Freeform 105">
          <a:extLst>
            <a:ext uri="{FF2B5EF4-FFF2-40B4-BE49-F238E27FC236}">
              <a16:creationId xmlns:a16="http://schemas.microsoft.com/office/drawing/2014/main" id="{E2CD0CE3-15C9-4B58-A807-A9EF6309CB11}"/>
            </a:ext>
          </a:extLst>
        </xdr:cNvPr>
        <xdr:cNvSpPr>
          <a:spLocks noChangeAspect="1"/>
        </xdr:cNvSpPr>
      </xdr:nvSpPr>
      <xdr:spPr bwMode="gray">
        <a:xfrm>
          <a:off x="2125663" y="9231313"/>
          <a:ext cx="719138" cy="679450"/>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203201</xdr:colOff>
      <xdr:row>47</xdr:row>
      <xdr:rowOff>60325</xdr:rowOff>
    </xdr:from>
    <xdr:to>
      <xdr:col>2</xdr:col>
      <xdr:colOff>679451</xdr:colOff>
      <xdr:row>52</xdr:row>
      <xdr:rowOff>88900</xdr:rowOff>
    </xdr:to>
    <xdr:sp macro="" textlink="">
      <xdr:nvSpPr>
        <xdr:cNvPr id="36" name="Freeform 106">
          <a:extLst>
            <a:ext uri="{FF2B5EF4-FFF2-40B4-BE49-F238E27FC236}">
              <a16:creationId xmlns:a16="http://schemas.microsoft.com/office/drawing/2014/main" id="{8594A8D3-4230-4E8A-A2AF-D018F96F4760}"/>
            </a:ext>
          </a:extLst>
        </xdr:cNvPr>
        <xdr:cNvSpPr>
          <a:spLocks noChangeAspect="1"/>
        </xdr:cNvSpPr>
      </xdr:nvSpPr>
      <xdr:spPr bwMode="gray">
        <a:xfrm>
          <a:off x="2374901" y="8480425"/>
          <a:ext cx="476250" cy="838200"/>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1462088</xdr:colOff>
      <xdr:row>50</xdr:row>
      <xdr:rowOff>111125</xdr:rowOff>
    </xdr:from>
    <xdr:to>
      <xdr:col>3</xdr:col>
      <xdr:colOff>60326</xdr:colOff>
      <xdr:row>51</xdr:row>
      <xdr:rowOff>93663</xdr:rowOff>
    </xdr:to>
    <xdr:sp macro="" textlink="">
      <xdr:nvSpPr>
        <xdr:cNvPr id="37" name="Freeform 108">
          <a:extLst>
            <a:ext uri="{FF2B5EF4-FFF2-40B4-BE49-F238E27FC236}">
              <a16:creationId xmlns:a16="http://schemas.microsoft.com/office/drawing/2014/main" id="{2CF0AC1C-4434-47F0-90B6-4C08454106A0}"/>
            </a:ext>
          </a:extLst>
        </xdr:cNvPr>
        <xdr:cNvSpPr>
          <a:spLocks noChangeAspect="1"/>
        </xdr:cNvSpPr>
      </xdr:nvSpPr>
      <xdr:spPr bwMode="gray">
        <a:xfrm>
          <a:off x="3281363" y="9017000"/>
          <a:ext cx="65088" cy="144463"/>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1196976</xdr:colOff>
      <xdr:row>56</xdr:row>
      <xdr:rowOff>60325</xdr:rowOff>
    </xdr:from>
    <xdr:to>
      <xdr:col>2</xdr:col>
      <xdr:colOff>1425576</xdr:colOff>
      <xdr:row>58</xdr:row>
      <xdr:rowOff>63500</xdr:rowOff>
    </xdr:to>
    <xdr:sp macro="" textlink="">
      <xdr:nvSpPr>
        <xdr:cNvPr id="38" name="Freeform 109">
          <a:extLst>
            <a:ext uri="{FF2B5EF4-FFF2-40B4-BE49-F238E27FC236}">
              <a16:creationId xmlns:a16="http://schemas.microsoft.com/office/drawing/2014/main" id="{D9CCA6AE-2CD6-4B94-A109-9C9FD6A5C520}"/>
            </a:ext>
          </a:extLst>
        </xdr:cNvPr>
        <xdr:cNvSpPr>
          <a:spLocks noChangeAspect="1"/>
        </xdr:cNvSpPr>
      </xdr:nvSpPr>
      <xdr:spPr bwMode="gray">
        <a:xfrm>
          <a:off x="3282951" y="9937750"/>
          <a:ext cx="0" cy="327025"/>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415926</xdr:colOff>
      <xdr:row>53</xdr:row>
      <xdr:rowOff>157163</xdr:rowOff>
    </xdr:from>
    <xdr:to>
      <xdr:col>2</xdr:col>
      <xdr:colOff>512763</xdr:colOff>
      <xdr:row>54</xdr:row>
      <xdr:rowOff>52388</xdr:rowOff>
    </xdr:to>
    <xdr:sp macro="" textlink="">
      <xdr:nvSpPr>
        <xdr:cNvPr id="39" name="Retângulo 38">
          <a:extLst>
            <a:ext uri="{FF2B5EF4-FFF2-40B4-BE49-F238E27FC236}">
              <a16:creationId xmlns:a16="http://schemas.microsoft.com/office/drawing/2014/main" id="{55AD75D8-B9E4-4211-9B4F-C908870B652C}"/>
            </a:ext>
          </a:extLst>
        </xdr:cNvPr>
        <xdr:cNvSpPr/>
      </xdr:nvSpPr>
      <xdr:spPr bwMode="auto">
        <a:xfrm>
          <a:off x="2587626" y="9548813"/>
          <a:ext cx="96837" cy="57150"/>
        </a:xfrm>
        <a:prstGeom prst="rect">
          <a:avLst/>
        </a:prstGeom>
        <a:solidFill>
          <a:schemeClr val="bg1">
            <a:lumMod val="85000"/>
          </a:schemeClr>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419101</xdr:colOff>
      <xdr:row>45</xdr:row>
      <xdr:rowOff>147638</xdr:rowOff>
    </xdr:from>
    <xdr:to>
      <xdr:col>2</xdr:col>
      <xdr:colOff>638176</xdr:colOff>
      <xdr:row>47</xdr:row>
      <xdr:rowOff>123825</xdr:rowOff>
    </xdr:to>
    <xdr:sp macro="" textlink="">
      <xdr:nvSpPr>
        <xdr:cNvPr id="40" name="CaixaDeTexto 43">
          <a:extLst>
            <a:ext uri="{FF2B5EF4-FFF2-40B4-BE49-F238E27FC236}">
              <a16:creationId xmlns:a16="http://schemas.microsoft.com/office/drawing/2014/main" id="{4DB3A0E3-1C6B-4F07-8EE0-4D876A68C227}"/>
            </a:ext>
          </a:extLst>
        </xdr:cNvPr>
        <xdr:cNvSpPr txBox="1"/>
      </xdr:nvSpPr>
      <xdr:spPr>
        <a:xfrm>
          <a:off x="1952626" y="8243888"/>
          <a:ext cx="857250" cy="300037"/>
        </a:xfrm>
        <a:prstGeom prst="rect">
          <a:avLst/>
        </a:prstGeom>
        <a:noFill/>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1</xdr:col>
      <xdr:colOff>485776</xdr:colOff>
      <xdr:row>47</xdr:row>
      <xdr:rowOff>68263</xdr:rowOff>
    </xdr:from>
    <xdr:to>
      <xdr:col>2</xdr:col>
      <xdr:colOff>654051</xdr:colOff>
      <xdr:row>50</xdr:row>
      <xdr:rowOff>120650</xdr:rowOff>
    </xdr:to>
    <xdr:pic>
      <xdr:nvPicPr>
        <xdr:cNvPr id="41" name="Imagem 40">
          <a:extLst>
            <a:ext uri="{FF2B5EF4-FFF2-40B4-BE49-F238E27FC236}">
              <a16:creationId xmlns:a16="http://schemas.microsoft.com/office/drawing/2014/main" id="{784867EC-0CEF-48E5-BFD1-D5B4440D7454}"/>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9301" y="8488363"/>
          <a:ext cx="806450" cy="538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617538</xdr:colOff>
      <xdr:row>50</xdr:row>
      <xdr:rowOff>92075</xdr:rowOff>
    </xdr:from>
    <xdr:to>
      <xdr:col>5</xdr:col>
      <xdr:colOff>212726</xdr:colOff>
      <xdr:row>51</xdr:row>
      <xdr:rowOff>125413</xdr:rowOff>
    </xdr:to>
    <xdr:sp macro="" textlink="">
      <xdr:nvSpPr>
        <xdr:cNvPr id="42" name="Retângulo 41">
          <a:extLst>
            <a:ext uri="{FF2B5EF4-FFF2-40B4-BE49-F238E27FC236}">
              <a16:creationId xmlns:a16="http://schemas.microsoft.com/office/drawing/2014/main" id="{3B694B07-EBD1-4796-A7A7-B72B257642F1}"/>
            </a:ext>
          </a:extLst>
        </xdr:cNvPr>
        <xdr:cNvSpPr/>
      </xdr:nvSpPr>
      <xdr:spPr>
        <a:xfrm>
          <a:off x="5018088" y="8997950"/>
          <a:ext cx="709613" cy="195263"/>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693738</xdr:colOff>
      <xdr:row>51</xdr:row>
      <xdr:rowOff>92075</xdr:rowOff>
    </xdr:from>
    <xdr:to>
      <xdr:col>5</xdr:col>
      <xdr:colOff>392113</xdr:colOff>
      <xdr:row>54</xdr:row>
      <xdr:rowOff>142875</xdr:rowOff>
    </xdr:to>
    <xdr:pic>
      <xdr:nvPicPr>
        <xdr:cNvPr id="43" name="Imagem 42">
          <a:extLst>
            <a:ext uri="{FF2B5EF4-FFF2-40B4-BE49-F238E27FC236}">
              <a16:creationId xmlns:a16="http://schemas.microsoft.com/office/drawing/2014/main" id="{A803E238-8D2F-4EB6-8FEB-3A63E68284F6}"/>
            </a:ext>
          </a:extLst>
        </xdr:cNvPr>
        <xdr:cNvPicPr preferRelativeResize="0">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4288" y="9159875"/>
          <a:ext cx="812800"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985838</xdr:colOff>
      <xdr:row>53</xdr:row>
      <xdr:rowOff>36513</xdr:rowOff>
    </xdr:from>
    <xdr:to>
      <xdr:col>1</xdr:col>
      <xdr:colOff>258763</xdr:colOff>
      <xdr:row>56</xdr:row>
      <xdr:rowOff>87313</xdr:rowOff>
    </xdr:to>
    <xdr:pic>
      <xdr:nvPicPr>
        <xdr:cNvPr id="44" name="Imagem 43">
          <a:extLst>
            <a:ext uri="{FF2B5EF4-FFF2-40B4-BE49-F238E27FC236}">
              <a16:creationId xmlns:a16="http://schemas.microsoft.com/office/drawing/2014/main" id="{1163AACF-34BA-4A4B-93D8-7C63DAB7DAF7}"/>
            </a:ext>
          </a:extLst>
        </xdr:cNvPr>
        <xdr:cNvPicPr preferRelativeResize="0">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85838" y="9428163"/>
          <a:ext cx="806450"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928688</xdr:colOff>
      <xdr:row>52</xdr:row>
      <xdr:rowOff>44450</xdr:rowOff>
    </xdr:from>
    <xdr:to>
      <xdr:col>1</xdr:col>
      <xdr:colOff>33338</xdr:colOff>
      <xdr:row>53</xdr:row>
      <xdr:rowOff>79375</xdr:rowOff>
    </xdr:to>
    <xdr:sp macro="" textlink="">
      <xdr:nvSpPr>
        <xdr:cNvPr id="45" name="Retângulo 44">
          <a:extLst>
            <a:ext uri="{FF2B5EF4-FFF2-40B4-BE49-F238E27FC236}">
              <a16:creationId xmlns:a16="http://schemas.microsoft.com/office/drawing/2014/main" id="{BE205651-519A-4463-B20C-E61A0B64DCBD}"/>
            </a:ext>
          </a:extLst>
        </xdr:cNvPr>
        <xdr:cNvSpPr/>
      </xdr:nvSpPr>
      <xdr:spPr>
        <a:xfrm>
          <a:off x="928688" y="9274175"/>
          <a:ext cx="638175" cy="196850"/>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0</xdr:col>
      <xdr:colOff>977901</xdr:colOff>
      <xdr:row>57</xdr:row>
      <xdr:rowOff>84138</xdr:rowOff>
    </xdr:from>
    <xdr:to>
      <xdr:col>1</xdr:col>
      <xdr:colOff>257176</xdr:colOff>
      <xdr:row>60</xdr:row>
      <xdr:rowOff>141288</xdr:rowOff>
    </xdr:to>
    <xdr:pic>
      <xdr:nvPicPr>
        <xdr:cNvPr id="46" name="Imagem 45">
          <a:extLst>
            <a:ext uri="{FF2B5EF4-FFF2-40B4-BE49-F238E27FC236}">
              <a16:creationId xmlns:a16="http://schemas.microsoft.com/office/drawing/2014/main" id="{55A06C53-CEBF-41C3-AD80-4B454D52B708}"/>
            </a:ext>
          </a:extLst>
        </xdr:cNvPr>
        <xdr:cNvPicPr preferRelativeResize="0">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77901" y="10123488"/>
          <a:ext cx="812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915988</xdr:colOff>
      <xdr:row>56</xdr:row>
      <xdr:rowOff>90488</xdr:rowOff>
    </xdr:from>
    <xdr:to>
      <xdr:col>1</xdr:col>
      <xdr:colOff>157163</xdr:colOff>
      <xdr:row>57</xdr:row>
      <xdr:rowOff>125413</xdr:rowOff>
    </xdr:to>
    <xdr:sp macro="" textlink="">
      <xdr:nvSpPr>
        <xdr:cNvPr id="47" name="Retângulo 46">
          <a:extLst>
            <a:ext uri="{FF2B5EF4-FFF2-40B4-BE49-F238E27FC236}">
              <a16:creationId xmlns:a16="http://schemas.microsoft.com/office/drawing/2014/main" id="{1D220A09-F98C-4FDD-8C51-97E5D492D921}"/>
            </a:ext>
          </a:extLst>
        </xdr:cNvPr>
        <xdr:cNvSpPr/>
      </xdr:nvSpPr>
      <xdr:spPr>
        <a:xfrm>
          <a:off x="915988" y="9967913"/>
          <a:ext cx="774700" cy="196850"/>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editAs="oneCell">
    <xdr:from>
      <xdr:col>2</xdr:col>
      <xdr:colOff>1120776</xdr:colOff>
      <xdr:row>56</xdr:row>
      <xdr:rowOff>160338</xdr:rowOff>
    </xdr:from>
    <xdr:to>
      <xdr:col>3</xdr:col>
      <xdr:colOff>809626</xdr:colOff>
      <xdr:row>60</xdr:row>
      <xdr:rowOff>53975</xdr:rowOff>
    </xdr:to>
    <xdr:pic>
      <xdr:nvPicPr>
        <xdr:cNvPr id="48" name="Imagem 47" descr="FranÃ§a (UHE)">
          <a:extLst>
            <a:ext uri="{FF2B5EF4-FFF2-40B4-BE49-F238E27FC236}">
              <a16:creationId xmlns:a16="http://schemas.microsoft.com/office/drawing/2014/main" id="{E8172065-31F2-4251-AF75-41A16627E80F}"/>
            </a:ext>
          </a:extLst>
        </xdr:cNvPr>
        <xdr:cNvPicPr preferRelativeResize="0">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82951" y="10037763"/>
          <a:ext cx="81280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67583</xdr:colOff>
      <xdr:row>56</xdr:row>
      <xdr:rowOff>9979</xdr:rowOff>
    </xdr:from>
    <xdr:to>
      <xdr:col>3</xdr:col>
      <xdr:colOff>861785</xdr:colOff>
      <xdr:row>57</xdr:row>
      <xdr:rowOff>44696</xdr:rowOff>
    </xdr:to>
    <xdr:sp macro="" textlink="">
      <xdr:nvSpPr>
        <xdr:cNvPr id="49" name="Retângulo 48">
          <a:extLst>
            <a:ext uri="{FF2B5EF4-FFF2-40B4-BE49-F238E27FC236}">
              <a16:creationId xmlns:a16="http://schemas.microsoft.com/office/drawing/2014/main" id="{77BCAECB-9073-44AA-B43C-711E7D79CEE9}"/>
            </a:ext>
          </a:extLst>
        </xdr:cNvPr>
        <xdr:cNvSpPr/>
      </xdr:nvSpPr>
      <xdr:spPr>
        <a:xfrm>
          <a:off x="3353708" y="9887404"/>
          <a:ext cx="794202" cy="196642"/>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3</xdr:col>
      <xdr:colOff>940028</xdr:colOff>
      <xdr:row>56</xdr:row>
      <xdr:rowOff>907</xdr:rowOff>
    </xdr:from>
    <xdr:to>
      <xdr:col>4</xdr:col>
      <xdr:colOff>477839</xdr:colOff>
      <xdr:row>57</xdr:row>
      <xdr:rowOff>34245</xdr:rowOff>
    </xdr:to>
    <xdr:sp macro="" textlink="">
      <xdr:nvSpPr>
        <xdr:cNvPr id="50" name="Retângulo 49">
          <a:extLst>
            <a:ext uri="{FF2B5EF4-FFF2-40B4-BE49-F238E27FC236}">
              <a16:creationId xmlns:a16="http://schemas.microsoft.com/office/drawing/2014/main" id="{0D275252-DE12-43B9-8D8A-AB6740EB4D5A}"/>
            </a:ext>
          </a:extLst>
        </xdr:cNvPr>
        <xdr:cNvSpPr/>
      </xdr:nvSpPr>
      <xdr:spPr>
        <a:xfrm>
          <a:off x="4226153" y="9878332"/>
          <a:ext cx="652236"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editAs="oneCell">
    <xdr:from>
      <xdr:col>4</xdr:col>
      <xdr:colOff>599174</xdr:colOff>
      <xdr:row>56</xdr:row>
      <xdr:rowOff>160338</xdr:rowOff>
    </xdr:from>
    <xdr:to>
      <xdr:col>5</xdr:col>
      <xdr:colOff>235410</xdr:colOff>
      <xdr:row>60</xdr:row>
      <xdr:rowOff>53975</xdr:rowOff>
    </xdr:to>
    <xdr:pic>
      <xdr:nvPicPr>
        <xdr:cNvPr id="51" name="Imagem 50">
          <a:extLst>
            <a:ext uri="{FF2B5EF4-FFF2-40B4-BE49-F238E27FC236}">
              <a16:creationId xmlns:a16="http://schemas.microsoft.com/office/drawing/2014/main" id="{3A5FCECD-FEA0-4376-9EEA-9633DB961921}"/>
            </a:ext>
          </a:extLst>
        </xdr:cNvPr>
        <xdr:cNvPicPr preferRelativeResize="0">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999724" y="10037763"/>
          <a:ext cx="750661"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769484</xdr:colOff>
      <xdr:row>56</xdr:row>
      <xdr:rowOff>9979</xdr:rowOff>
    </xdr:from>
    <xdr:to>
      <xdr:col>5</xdr:col>
      <xdr:colOff>219983</xdr:colOff>
      <xdr:row>57</xdr:row>
      <xdr:rowOff>43317</xdr:rowOff>
    </xdr:to>
    <xdr:sp macro="" textlink="">
      <xdr:nvSpPr>
        <xdr:cNvPr id="52" name="Retângulo 51">
          <a:extLst>
            <a:ext uri="{FF2B5EF4-FFF2-40B4-BE49-F238E27FC236}">
              <a16:creationId xmlns:a16="http://schemas.microsoft.com/office/drawing/2014/main" id="{B5908E2B-9D5C-4205-A03F-D0CBF879C509}"/>
            </a:ext>
          </a:extLst>
        </xdr:cNvPr>
        <xdr:cNvSpPr/>
      </xdr:nvSpPr>
      <xdr:spPr>
        <a:xfrm>
          <a:off x="5170034" y="9887404"/>
          <a:ext cx="564924"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editAs="oneCell">
    <xdr:from>
      <xdr:col>5</xdr:col>
      <xdr:colOff>268747</xdr:colOff>
      <xdr:row>56</xdr:row>
      <xdr:rowOff>160338</xdr:rowOff>
    </xdr:from>
    <xdr:to>
      <xdr:col>6</xdr:col>
      <xdr:colOff>7036</xdr:colOff>
      <xdr:row>60</xdr:row>
      <xdr:rowOff>53975</xdr:rowOff>
    </xdr:to>
    <xdr:pic>
      <xdr:nvPicPr>
        <xdr:cNvPr id="53" name="Imagem 52">
          <a:extLst>
            <a:ext uri="{FF2B5EF4-FFF2-40B4-BE49-F238E27FC236}">
              <a16:creationId xmlns:a16="http://schemas.microsoft.com/office/drawing/2014/main" id="{646D62E8-FF02-4499-8961-CD2C7969BB8D}"/>
            </a:ext>
          </a:extLst>
        </xdr:cNvPr>
        <xdr:cNvPicPr preferRelativeResize="0">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783722" y="10037763"/>
          <a:ext cx="852714"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368981</xdr:colOff>
      <xdr:row>55</xdr:row>
      <xdr:rowOff>146050</xdr:rowOff>
    </xdr:from>
    <xdr:to>
      <xdr:col>6</xdr:col>
      <xdr:colOff>108630</xdr:colOff>
      <xdr:row>57</xdr:row>
      <xdr:rowOff>16102</xdr:rowOff>
    </xdr:to>
    <xdr:sp macro="" textlink="">
      <xdr:nvSpPr>
        <xdr:cNvPr id="54" name="Retângulo 53">
          <a:extLst>
            <a:ext uri="{FF2B5EF4-FFF2-40B4-BE49-F238E27FC236}">
              <a16:creationId xmlns:a16="http://schemas.microsoft.com/office/drawing/2014/main" id="{2F00892E-AABF-464D-812C-49DA3D769674}"/>
            </a:ext>
          </a:extLst>
        </xdr:cNvPr>
        <xdr:cNvSpPr/>
      </xdr:nvSpPr>
      <xdr:spPr>
        <a:xfrm>
          <a:off x="5883956" y="9861550"/>
          <a:ext cx="854074" cy="193902"/>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PCH Porto Raso</a:t>
          </a:r>
        </a:p>
      </xdr:txBody>
    </xdr:sp>
    <xdr:clientData/>
  </xdr:twoCellAnchor>
  <xdr:twoCellAnchor editAs="oneCell">
    <xdr:from>
      <xdr:col>5</xdr:col>
      <xdr:colOff>1161149</xdr:colOff>
      <xdr:row>56</xdr:row>
      <xdr:rowOff>160338</xdr:rowOff>
    </xdr:from>
    <xdr:to>
      <xdr:col>6</xdr:col>
      <xdr:colOff>854761</xdr:colOff>
      <xdr:row>60</xdr:row>
      <xdr:rowOff>53975</xdr:rowOff>
    </xdr:to>
    <xdr:pic>
      <xdr:nvPicPr>
        <xdr:cNvPr id="55" name="Imagem 54">
          <a:extLst>
            <a:ext uri="{FF2B5EF4-FFF2-40B4-BE49-F238E27FC236}">
              <a16:creationId xmlns:a16="http://schemas.microsoft.com/office/drawing/2014/main" id="{7E0849FC-D1E5-4A12-9538-CF1796222F33}"/>
            </a:ext>
          </a:extLst>
        </xdr:cNvPr>
        <xdr:cNvPicPr preferRelativeResize="0">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28499" y="10037763"/>
          <a:ext cx="855662"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150359</xdr:colOff>
      <xdr:row>55</xdr:row>
      <xdr:rowOff>155122</xdr:rowOff>
    </xdr:from>
    <xdr:to>
      <xdr:col>6</xdr:col>
      <xdr:colOff>917349</xdr:colOff>
      <xdr:row>57</xdr:row>
      <xdr:rowOff>25174</xdr:rowOff>
    </xdr:to>
    <xdr:sp macro="" textlink="">
      <xdr:nvSpPr>
        <xdr:cNvPr id="56" name="Retângulo 55">
          <a:extLst>
            <a:ext uri="{FF2B5EF4-FFF2-40B4-BE49-F238E27FC236}">
              <a16:creationId xmlns:a16="http://schemas.microsoft.com/office/drawing/2014/main" id="{71912950-A3B9-4F1E-B78C-182337F2BCF2}"/>
            </a:ext>
          </a:extLst>
        </xdr:cNvPr>
        <xdr:cNvSpPr/>
      </xdr:nvSpPr>
      <xdr:spPr>
        <a:xfrm>
          <a:off x="6779759" y="9870622"/>
          <a:ext cx="766990" cy="193902"/>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editAs="oneCell">
    <xdr:from>
      <xdr:col>6</xdr:col>
      <xdr:colOff>884924</xdr:colOff>
      <xdr:row>56</xdr:row>
      <xdr:rowOff>160338</xdr:rowOff>
    </xdr:from>
    <xdr:to>
      <xdr:col>6</xdr:col>
      <xdr:colOff>1691374</xdr:colOff>
      <xdr:row>60</xdr:row>
      <xdr:rowOff>53975</xdr:rowOff>
    </xdr:to>
    <xdr:pic>
      <xdr:nvPicPr>
        <xdr:cNvPr id="57" name="Imagem 56" descr="Serraria (UHE)">
          <a:extLst>
            <a:ext uri="{FF2B5EF4-FFF2-40B4-BE49-F238E27FC236}">
              <a16:creationId xmlns:a16="http://schemas.microsoft.com/office/drawing/2014/main" id="{451CA5B0-9F3B-4636-BD95-BBAB7011019F}"/>
            </a:ext>
          </a:extLst>
        </xdr:cNvPr>
        <xdr:cNvPicPr preferRelativeResize="0">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14324" y="10037763"/>
          <a:ext cx="80645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982437</xdr:colOff>
      <xdr:row>56</xdr:row>
      <xdr:rowOff>907</xdr:rowOff>
    </xdr:from>
    <xdr:to>
      <xdr:col>6</xdr:col>
      <xdr:colOff>1709512</xdr:colOff>
      <xdr:row>57</xdr:row>
      <xdr:rowOff>34245</xdr:rowOff>
    </xdr:to>
    <xdr:sp macro="" textlink="">
      <xdr:nvSpPr>
        <xdr:cNvPr id="58" name="Retângulo 57">
          <a:extLst>
            <a:ext uri="{FF2B5EF4-FFF2-40B4-BE49-F238E27FC236}">
              <a16:creationId xmlns:a16="http://schemas.microsoft.com/office/drawing/2014/main" id="{36FC8874-7176-45E1-BE08-0767D210A0C3}"/>
            </a:ext>
          </a:extLst>
        </xdr:cNvPr>
        <xdr:cNvSpPr/>
      </xdr:nvSpPr>
      <xdr:spPr>
        <a:xfrm>
          <a:off x="7611837" y="9878332"/>
          <a:ext cx="727075"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editAs="oneCell">
    <xdr:from>
      <xdr:col>6</xdr:col>
      <xdr:colOff>1719949</xdr:colOff>
      <xdr:row>56</xdr:row>
      <xdr:rowOff>160338</xdr:rowOff>
    </xdr:from>
    <xdr:to>
      <xdr:col>7</xdr:col>
      <xdr:colOff>640449</xdr:colOff>
      <xdr:row>60</xdr:row>
      <xdr:rowOff>53975</xdr:rowOff>
    </xdr:to>
    <xdr:pic>
      <xdr:nvPicPr>
        <xdr:cNvPr id="59" name="Imagem 58">
          <a:extLst>
            <a:ext uri="{FF2B5EF4-FFF2-40B4-BE49-F238E27FC236}">
              <a16:creationId xmlns:a16="http://schemas.microsoft.com/office/drawing/2014/main" id="{DBB6F3C9-D89F-40A9-842C-8024FC465511}"/>
            </a:ext>
          </a:extLst>
        </xdr:cNvPr>
        <xdr:cNvPicPr preferRelativeResize="0">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349349" y="10037763"/>
          <a:ext cx="80645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1763033</xdr:colOff>
      <xdr:row>55</xdr:row>
      <xdr:rowOff>155121</xdr:rowOff>
    </xdr:from>
    <xdr:to>
      <xdr:col>8</xdr:col>
      <xdr:colOff>735920</xdr:colOff>
      <xdr:row>57</xdr:row>
      <xdr:rowOff>25173</xdr:rowOff>
    </xdr:to>
    <xdr:sp macro="" textlink="">
      <xdr:nvSpPr>
        <xdr:cNvPr id="60" name="Retângulo 59">
          <a:extLst>
            <a:ext uri="{FF2B5EF4-FFF2-40B4-BE49-F238E27FC236}">
              <a16:creationId xmlns:a16="http://schemas.microsoft.com/office/drawing/2014/main" id="{D23DE9A9-5E56-420C-9F79-D09309FAB189}"/>
            </a:ext>
          </a:extLst>
        </xdr:cNvPr>
        <xdr:cNvSpPr/>
      </xdr:nvSpPr>
      <xdr:spPr>
        <a:xfrm>
          <a:off x="8392433" y="9870621"/>
          <a:ext cx="2744787" cy="193902"/>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6</xdr:col>
      <xdr:colOff>1867586</xdr:colOff>
      <xdr:row>59</xdr:row>
      <xdr:rowOff>88900</xdr:rowOff>
    </xdr:from>
    <xdr:to>
      <xdr:col>7</xdr:col>
      <xdr:colOff>453577</xdr:colOff>
      <xdr:row>60</xdr:row>
      <xdr:rowOff>54428</xdr:rowOff>
    </xdr:to>
    <xdr:sp macro="" textlink="">
      <xdr:nvSpPr>
        <xdr:cNvPr id="61" name="Retângulo 60">
          <a:extLst>
            <a:ext uri="{FF2B5EF4-FFF2-40B4-BE49-F238E27FC236}">
              <a16:creationId xmlns:a16="http://schemas.microsoft.com/office/drawing/2014/main" id="{CC5A4FE5-8F7D-4870-B221-80C5C3A0DE39}"/>
            </a:ext>
          </a:extLst>
        </xdr:cNvPr>
        <xdr:cNvSpPr/>
      </xdr:nvSpPr>
      <xdr:spPr>
        <a:xfrm>
          <a:off x="8496986" y="10452100"/>
          <a:ext cx="471941" cy="12745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37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editAs="oneCell">
    <xdr:from>
      <xdr:col>3</xdr:col>
      <xdr:colOff>19051</xdr:colOff>
      <xdr:row>61</xdr:row>
      <xdr:rowOff>115888</xdr:rowOff>
    </xdr:from>
    <xdr:to>
      <xdr:col>3</xdr:col>
      <xdr:colOff>827088</xdr:colOff>
      <xdr:row>65</xdr:row>
      <xdr:rowOff>11113</xdr:rowOff>
    </xdr:to>
    <xdr:pic>
      <xdr:nvPicPr>
        <xdr:cNvPr id="62" name="Imagem 61">
          <a:extLst>
            <a:ext uri="{FF2B5EF4-FFF2-40B4-BE49-F238E27FC236}">
              <a16:creationId xmlns:a16="http://schemas.microsoft.com/office/drawing/2014/main" id="{73E511CD-9F26-409F-B450-C4FC96EBA855}"/>
            </a:ext>
          </a:extLst>
        </xdr:cNvPr>
        <xdr:cNvPicPr preferRelativeResize="0">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305176" y="10802938"/>
          <a:ext cx="808037"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1482726</xdr:colOff>
      <xdr:row>60</xdr:row>
      <xdr:rowOff>134938</xdr:rowOff>
    </xdr:from>
    <xdr:to>
      <xdr:col>3</xdr:col>
      <xdr:colOff>873126</xdr:colOff>
      <xdr:row>62</xdr:row>
      <xdr:rowOff>7938</xdr:rowOff>
    </xdr:to>
    <xdr:sp macro="" textlink="">
      <xdr:nvSpPr>
        <xdr:cNvPr id="63" name="Retângulo 62">
          <a:extLst>
            <a:ext uri="{FF2B5EF4-FFF2-40B4-BE49-F238E27FC236}">
              <a16:creationId xmlns:a16="http://schemas.microsoft.com/office/drawing/2014/main" id="{0A1FC265-8316-481F-BE4A-A511A8F65DC9}"/>
            </a:ext>
          </a:extLst>
        </xdr:cNvPr>
        <xdr:cNvSpPr/>
      </xdr:nvSpPr>
      <xdr:spPr>
        <a:xfrm>
          <a:off x="3282951" y="10660063"/>
          <a:ext cx="876300" cy="196850"/>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2</xdr:col>
      <xdr:colOff>471488</xdr:colOff>
      <xdr:row>58</xdr:row>
      <xdr:rowOff>111125</xdr:rowOff>
    </xdr:from>
    <xdr:to>
      <xdr:col>2</xdr:col>
      <xdr:colOff>531813</xdr:colOff>
      <xdr:row>59</xdr:row>
      <xdr:rowOff>15875</xdr:rowOff>
    </xdr:to>
    <xdr:sp macro="" textlink="">
      <xdr:nvSpPr>
        <xdr:cNvPr id="64" name="Elipse 63">
          <a:extLst>
            <a:ext uri="{FF2B5EF4-FFF2-40B4-BE49-F238E27FC236}">
              <a16:creationId xmlns:a16="http://schemas.microsoft.com/office/drawing/2014/main" id="{3A12FA5C-F7BB-41FC-8B35-47662CF58C52}"/>
            </a:ext>
          </a:extLst>
        </xdr:cNvPr>
        <xdr:cNvSpPr/>
      </xdr:nvSpPr>
      <xdr:spPr>
        <a:xfrm>
          <a:off x="2643188" y="10312400"/>
          <a:ext cx="60325"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2</xdr:col>
      <xdr:colOff>1257301</xdr:colOff>
      <xdr:row>60</xdr:row>
      <xdr:rowOff>115888</xdr:rowOff>
    </xdr:from>
    <xdr:to>
      <xdr:col>8</xdr:col>
      <xdr:colOff>180976</xdr:colOff>
      <xdr:row>60</xdr:row>
      <xdr:rowOff>134938</xdr:rowOff>
    </xdr:to>
    <xdr:cxnSp macro="">
      <xdr:nvCxnSpPr>
        <xdr:cNvPr id="65" name="Conector reto 64">
          <a:extLst>
            <a:ext uri="{FF2B5EF4-FFF2-40B4-BE49-F238E27FC236}">
              <a16:creationId xmlns:a16="http://schemas.microsoft.com/office/drawing/2014/main" id="{79F24B06-C484-46DE-9248-C1FBB98CE984}"/>
            </a:ext>
          </a:extLst>
        </xdr:cNvPr>
        <xdr:cNvCxnSpPr>
          <a:cxnSpLocks/>
        </xdr:cNvCxnSpPr>
      </xdr:nvCxnSpPr>
      <xdr:spPr>
        <a:xfrm flipH="1" flipV="1">
          <a:off x="3286126" y="10641013"/>
          <a:ext cx="7296150" cy="19050"/>
        </a:xfrm>
        <a:prstGeom prst="line">
          <a:avLst/>
        </a:prstGeom>
        <a:solidFill>
          <a:schemeClr val="bg1"/>
        </a:solid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2</xdr:col>
      <xdr:colOff>193676</xdr:colOff>
      <xdr:row>58</xdr:row>
      <xdr:rowOff>9525</xdr:rowOff>
    </xdr:from>
    <xdr:to>
      <xdr:col>2</xdr:col>
      <xdr:colOff>254001</xdr:colOff>
      <xdr:row>58</xdr:row>
      <xdr:rowOff>76200</xdr:rowOff>
    </xdr:to>
    <xdr:sp macro="" textlink="">
      <xdr:nvSpPr>
        <xdr:cNvPr id="66" name="Elipse 65">
          <a:extLst>
            <a:ext uri="{FF2B5EF4-FFF2-40B4-BE49-F238E27FC236}">
              <a16:creationId xmlns:a16="http://schemas.microsoft.com/office/drawing/2014/main" id="{01948E07-CF39-450C-AF6B-E3B5A9631D01}"/>
            </a:ext>
          </a:extLst>
        </xdr:cNvPr>
        <xdr:cNvSpPr/>
      </xdr:nvSpPr>
      <xdr:spPr>
        <a:xfrm>
          <a:off x="2365376" y="10210800"/>
          <a:ext cx="60325"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1</xdr:col>
      <xdr:colOff>325438</xdr:colOff>
      <xdr:row>53</xdr:row>
      <xdr:rowOff>44450</xdr:rowOff>
    </xdr:from>
    <xdr:to>
      <xdr:col>1</xdr:col>
      <xdr:colOff>325438</xdr:colOff>
      <xdr:row>61</xdr:row>
      <xdr:rowOff>9525</xdr:rowOff>
    </xdr:to>
    <xdr:cxnSp macro="">
      <xdr:nvCxnSpPr>
        <xdr:cNvPr id="67" name="Conector reto 66">
          <a:extLst>
            <a:ext uri="{FF2B5EF4-FFF2-40B4-BE49-F238E27FC236}">
              <a16:creationId xmlns:a16="http://schemas.microsoft.com/office/drawing/2014/main" id="{A17009C3-9674-4FD6-B4D4-F35A5CB55F93}"/>
            </a:ext>
          </a:extLst>
        </xdr:cNvPr>
        <xdr:cNvCxnSpPr>
          <a:cxnSpLocks/>
        </xdr:cNvCxnSpPr>
      </xdr:nvCxnSpPr>
      <xdr:spPr>
        <a:xfrm>
          <a:off x="1858963" y="9436100"/>
          <a:ext cx="0" cy="1260475"/>
        </a:xfrm>
        <a:prstGeom prst="line">
          <a:avLst/>
        </a:prstGeom>
        <a:solidFill>
          <a:schemeClr val="bg1"/>
        </a:solid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335238</xdr:colOff>
      <xdr:row>57</xdr:row>
      <xdr:rowOff>3118</xdr:rowOff>
    </xdr:from>
    <xdr:to>
      <xdr:col>2</xdr:col>
      <xdr:colOff>223839</xdr:colOff>
      <xdr:row>58</xdr:row>
      <xdr:rowOff>9525</xdr:rowOff>
    </xdr:to>
    <xdr:cxnSp macro="">
      <xdr:nvCxnSpPr>
        <xdr:cNvPr id="68" name="Conector angulado 162">
          <a:extLst>
            <a:ext uri="{FF2B5EF4-FFF2-40B4-BE49-F238E27FC236}">
              <a16:creationId xmlns:a16="http://schemas.microsoft.com/office/drawing/2014/main" id="{FADBE594-D672-4632-BE05-CFC7BED044B2}"/>
            </a:ext>
          </a:extLst>
        </xdr:cNvPr>
        <xdr:cNvCxnSpPr>
          <a:cxnSpLocks/>
          <a:stCxn id="27" idx="37"/>
          <a:endCxn id="66" idx="0"/>
        </xdr:cNvCxnSpPr>
      </xdr:nvCxnSpPr>
      <xdr:spPr>
        <a:xfrm>
          <a:off x="1868763" y="10042468"/>
          <a:ext cx="526776" cy="168332"/>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223838</xdr:colOff>
      <xdr:row>55</xdr:row>
      <xdr:rowOff>88900</xdr:rowOff>
    </xdr:from>
    <xdr:to>
      <xdr:col>2</xdr:col>
      <xdr:colOff>284163</xdr:colOff>
      <xdr:row>55</xdr:row>
      <xdr:rowOff>155575</xdr:rowOff>
    </xdr:to>
    <xdr:sp macro="" textlink="">
      <xdr:nvSpPr>
        <xdr:cNvPr id="69" name="Elipse 68">
          <a:extLst>
            <a:ext uri="{FF2B5EF4-FFF2-40B4-BE49-F238E27FC236}">
              <a16:creationId xmlns:a16="http://schemas.microsoft.com/office/drawing/2014/main" id="{63DB2879-7DD2-408E-ABED-1678C550D7E9}"/>
            </a:ext>
          </a:extLst>
        </xdr:cNvPr>
        <xdr:cNvSpPr/>
      </xdr:nvSpPr>
      <xdr:spPr>
        <a:xfrm>
          <a:off x="2395538" y="9804400"/>
          <a:ext cx="60325"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2</xdr:col>
      <xdr:colOff>252413</xdr:colOff>
      <xdr:row>50</xdr:row>
      <xdr:rowOff>123825</xdr:rowOff>
    </xdr:from>
    <xdr:to>
      <xdr:col>2</xdr:col>
      <xdr:colOff>254000</xdr:colOff>
      <xdr:row>55</xdr:row>
      <xdr:rowOff>88900</xdr:rowOff>
    </xdr:to>
    <xdr:cxnSp macro="">
      <xdr:nvCxnSpPr>
        <xdr:cNvPr id="70" name="Conector angulado 160">
          <a:extLst>
            <a:ext uri="{FF2B5EF4-FFF2-40B4-BE49-F238E27FC236}">
              <a16:creationId xmlns:a16="http://schemas.microsoft.com/office/drawing/2014/main" id="{9D3FCE56-5624-43D8-8628-891E5D9BE926}"/>
            </a:ext>
          </a:extLst>
        </xdr:cNvPr>
        <xdr:cNvCxnSpPr>
          <a:cxnSpLocks/>
          <a:stCxn id="41" idx="2"/>
          <a:endCxn id="69" idx="0"/>
        </xdr:cNvCxnSpPr>
      </xdr:nvCxnSpPr>
      <xdr:spPr>
        <a:xfrm rot="16200000" flipH="1">
          <a:off x="2037557" y="9416256"/>
          <a:ext cx="774700" cy="1587"/>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884238</xdr:colOff>
      <xdr:row>57</xdr:row>
      <xdr:rowOff>69850</xdr:rowOff>
    </xdr:from>
    <xdr:to>
      <xdr:col>2</xdr:col>
      <xdr:colOff>946151</xdr:colOff>
      <xdr:row>57</xdr:row>
      <xdr:rowOff>136525</xdr:rowOff>
    </xdr:to>
    <xdr:sp macro="" textlink="">
      <xdr:nvSpPr>
        <xdr:cNvPr id="71" name="Elipse 70">
          <a:extLst>
            <a:ext uri="{FF2B5EF4-FFF2-40B4-BE49-F238E27FC236}">
              <a16:creationId xmlns:a16="http://schemas.microsoft.com/office/drawing/2014/main" id="{35895868-4471-4636-8E50-77BE3E619650}"/>
            </a:ext>
          </a:extLst>
        </xdr:cNvPr>
        <xdr:cNvSpPr/>
      </xdr:nvSpPr>
      <xdr:spPr>
        <a:xfrm>
          <a:off x="3055938" y="10109200"/>
          <a:ext cx="61913"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2</xdr:col>
      <xdr:colOff>915195</xdr:colOff>
      <xdr:row>54</xdr:row>
      <xdr:rowOff>146051</xdr:rowOff>
    </xdr:from>
    <xdr:to>
      <xdr:col>4</xdr:col>
      <xdr:colOff>1098551</xdr:colOff>
      <xdr:row>57</xdr:row>
      <xdr:rowOff>69851</xdr:rowOff>
    </xdr:to>
    <xdr:cxnSp macro="">
      <xdr:nvCxnSpPr>
        <xdr:cNvPr id="72" name="Conector angulado 203">
          <a:extLst>
            <a:ext uri="{FF2B5EF4-FFF2-40B4-BE49-F238E27FC236}">
              <a16:creationId xmlns:a16="http://schemas.microsoft.com/office/drawing/2014/main" id="{565CF55F-F2F3-4AF6-AFF0-9A987854EA53}"/>
            </a:ext>
          </a:extLst>
        </xdr:cNvPr>
        <xdr:cNvCxnSpPr>
          <a:cxnSpLocks/>
          <a:stCxn id="71" idx="0"/>
          <a:endCxn id="43" idx="2"/>
        </xdr:cNvCxnSpPr>
      </xdr:nvCxnSpPr>
      <xdr:spPr>
        <a:xfrm rot="5400000" flipH="1" flipV="1">
          <a:off x="4088210" y="8698311"/>
          <a:ext cx="409575" cy="2412206"/>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501651</xdr:colOff>
      <xdr:row>59</xdr:row>
      <xdr:rowOff>15875</xdr:rowOff>
    </xdr:from>
    <xdr:to>
      <xdr:col>3</xdr:col>
      <xdr:colOff>6351</xdr:colOff>
      <xdr:row>59</xdr:row>
      <xdr:rowOff>79375</xdr:rowOff>
    </xdr:to>
    <xdr:cxnSp macro="">
      <xdr:nvCxnSpPr>
        <xdr:cNvPr id="73" name="Conector angulado 140">
          <a:extLst>
            <a:ext uri="{FF2B5EF4-FFF2-40B4-BE49-F238E27FC236}">
              <a16:creationId xmlns:a16="http://schemas.microsoft.com/office/drawing/2014/main" id="{2577E503-5D2D-475B-933C-7B8D13CCD319}"/>
            </a:ext>
          </a:extLst>
        </xdr:cNvPr>
        <xdr:cNvCxnSpPr>
          <a:cxnSpLocks/>
          <a:stCxn id="64" idx="4"/>
        </xdr:cNvCxnSpPr>
      </xdr:nvCxnSpPr>
      <xdr:spPr>
        <a:xfrm rot="16200000" flipH="1">
          <a:off x="2951164" y="10101262"/>
          <a:ext cx="63500" cy="619125"/>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857251</xdr:colOff>
      <xdr:row>60</xdr:row>
      <xdr:rowOff>117475</xdr:rowOff>
    </xdr:from>
    <xdr:to>
      <xdr:col>4</xdr:col>
      <xdr:colOff>509588</xdr:colOff>
      <xdr:row>61</xdr:row>
      <xdr:rowOff>150813</xdr:rowOff>
    </xdr:to>
    <xdr:sp macro="" textlink="">
      <xdr:nvSpPr>
        <xdr:cNvPr id="74" name="Retângulo 73">
          <a:extLst>
            <a:ext uri="{FF2B5EF4-FFF2-40B4-BE49-F238E27FC236}">
              <a16:creationId xmlns:a16="http://schemas.microsoft.com/office/drawing/2014/main" id="{F627EC4D-61AD-4880-BF2D-E0A466E0EE6E}"/>
            </a:ext>
          </a:extLst>
        </xdr:cNvPr>
        <xdr:cNvSpPr/>
      </xdr:nvSpPr>
      <xdr:spPr>
        <a:xfrm>
          <a:off x="4143376" y="10642600"/>
          <a:ext cx="766762"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Jurupara</a:t>
          </a:r>
        </a:p>
      </xdr:txBody>
    </xdr:sp>
    <xdr:clientData/>
  </xdr:twoCellAnchor>
  <xdr:twoCellAnchor editAs="oneCell">
    <xdr:from>
      <xdr:col>4</xdr:col>
      <xdr:colOff>595313</xdr:colOff>
      <xdr:row>61</xdr:row>
      <xdr:rowOff>98425</xdr:rowOff>
    </xdr:from>
    <xdr:to>
      <xdr:col>5</xdr:col>
      <xdr:colOff>293688</xdr:colOff>
      <xdr:row>64</xdr:row>
      <xdr:rowOff>152400</xdr:rowOff>
    </xdr:to>
    <xdr:pic>
      <xdr:nvPicPr>
        <xdr:cNvPr id="75" name="Imagem 74">
          <a:extLst>
            <a:ext uri="{FF2B5EF4-FFF2-40B4-BE49-F238E27FC236}">
              <a16:creationId xmlns:a16="http://schemas.microsoft.com/office/drawing/2014/main" id="{5FED0860-01F5-4BC7-B016-D9FEA220E1AA}"/>
            </a:ext>
          </a:extLst>
        </xdr:cNvPr>
        <xdr:cNvPicPr preferRelativeResize="0">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95863" y="10785475"/>
          <a:ext cx="81280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541338</xdr:colOff>
      <xdr:row>60</xdr:row>
      <xdr:rowOff>117475</xdr:rowOff>
    </xdr:from>
    <xdr:to>
      <xdr:col>5</xdr:col>
      <xdr:colOff>266701</xdr:colOff>
      <xdr:row>61</xdr:row>
      <xdr:rowOff>150813</xdr:rowOff>
    </xdr:to>
    <xdr:sp macro="" textlink="">
      <xdr:nvSpPr>
        <xdr:cNvPr id="76" name="Retângulo 75">
          <a:extLst>
            <a:ext uri="{FF2B5EF4-FFF2-40B4-BE49-F238E27FC236}">
              <a16:creationId xmlns:a16="http://schemas.microsoft.com/office/drawing/2014/main" id="{8B6F35BD-91DE-4F0A-A28C-EB1BCF9C8BA5}"/>
            </a:ext>
          </a:extLst>
        </xdr:cNvPr>
        <xdr:cNvSpPr/>
      </xdr:nvSpPr>
      <xdr:spPr>
        <a:xfrm>
          <a:off x="4941888" y="10642600"/>
          <a:ext cx="839788"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4</xdr:col>
      <xdr:colOff>601663</xdr:colOff>
      <xdr:row>64</xdr:row>
      <xdr:rowOff>17463</xdr:rowOff>
    </xdr:from>
    <xdr:to>
      <xdr:col>4</xdr:col>
      <xdr:colOff>1006476</xdr:colOff>
      <xdr:row>64</xdr:row>
      <xdr:rowOff>152400</xdr:rowOff>
    </xdr:to>
    <xdr:sp macro="" textlink="">
      <xdr:nvSpPr>
        <xdr:cNvPr id="77" name="Retângulo 76">
          <a:extLst>
            <a:ext uri="{FF2B5EF4-FFF2-40B4-BE49-F238E27FC236}">
              <a16:creationId xmlns:a16="http://schemas.microsoft.com/office/drawing/2014/main" id="{29A93EAB-815A-44B7-967A-91E46AB131A4}"/>
            </a:ext>
          </a:extLst>
        </xdr:cNvPr>
        <xdr:cNvSpPr/>
      </xdr:nvSpPr>
      <xdr:spPr>
        <a:xfrm>
          <a:off x="5002213" y="11190288"/>
          <a:ext cx="404813" cy="1349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600" b="1">
              <a:solidFill>
                <a:srgbClr val="0070C0"/>
              </a:solidFill>
              <a:latin typeface="Votorantim Sans" panose="02010503030202050203" pitchFamily="2" charset="0"/>
            </a:rPr>
            <a:t>37 </a:t>
          </a:r>
          <a:r>
            <a:rPr lang="pt-BR" sz="450" b="1">
              <a:solidFill>
                <a:srgbClr val="0070C0"/>
              </a:solidFill>
              <a:latin typeface="Votorantim Sans" panose="02010503030202050203" pitchFamily="2" charset="0"/>
            </a:rPr>
            <a:t>MW</a:t>
          </a:r>
          <a:endParaRPr lang="en-US" sz="450" b="1">
            <a:solidFill>
              <a:srgbClr val="0070C0"/>
            </a:solidFill>
            <a:latin typeface="Votorantim Sans" panose="02010503030202050203" pitchFamily="2" charset="0"/>
          </a:endParaRPr>
        </a:p>
      </xdr:txBody>
    </xdr:sp>
    <xdr:clientData/>
  </xdr:twoCellAnchor>
  <xdr:twoCellAnchor>
    <xdr:from>
      <xdr:col>5</xdr:col>
      <xdr:colOff>244476</xdr:colOff>
      <xdr:row>60</xdr:row>
      <xdr:rowOff>117475</xdr:rowOff>
    </xdr:from>
    <xdr:to>
      <xdr:col>6</xdr:col>
      <xdr:colOff>9526</xdr:colOff>
      <xdr:row>61</xdr:row>
      <xdr:rowOff>150813</xdr:rowOff>
    </xdr:to>
    <xdr:sp macro="" textlink="">
      <xdr:nvSpPr>
        <xdr:cNvPr id="78" name="Retângulo 77">
          <a:extLst>
            <a:ext uri="{FF2B5EF4-FFF2-40B4-BE49-F238E27FC236}">
              <a16:creationId xmlns:a16="http://schemas.microsoft.com/office/drawing/2014/main" id="{C35BF5DB-C2D8-41D0-B161-AC3FB7C73CCE}"/>
            </a:ext>
          </a:extLst>
        </xdr:cNvPr>
        <xdr:cNvSpPr/>
      </xdr:nvSpPr>
      <xdr:spPr>
        <a:xfrm>
          <a:off x="5759451" y="10642600"/>
          <a:ext cx="879475"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4</xdr:col>
      <xdr:colOff>596901</xdr:colOff>
      <xdr:row>61</xdr:row>
      <xdr:rowOff>109538</xdr:rowOff>
    </xdr:from>
    <xdr:to>
      <xdr:col>5</xdr:col>
      <xdr:colOff>295276</xdr:colOff>
      <xdr:row>65</xdr:row>
      <xdr:rowOff>1588</xdr:rowOff>
    </xdr:to>
    <xdr:pic>
      <xdr:nvPicPr>
        <xdr:cNvPr id="79" name="Imagem 78">
          <a:extLst>
            <a:ext uri="{FF2B5EF4-FFF2-40B4-BE49-F238E27FC236}">
              <a16:creationId xmlns:a16="http://schemas.microsoft.com/office/drawing/2014/main" id="{1404685B-FF6D-4B7D-A84D-54657BC581AA}"/>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97451" y="10796588"/>
          <a:ext cx="81280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465138</xdr:colOff>
      <xdr:row>59</xdr:row>
      <xdr:rowOff>153988</xdr:rowOff>
    </xdr:from>
    <xdr:to>
      <xdr:col>1</xdr:col>
      <xdr:colOff>471488</xdr:colOff>
      <xdr:row>59</xdr:row>
      <xdr:rowOff>153988</xdr:rowOff>
    </xdr:to>
    <xdr:sp macro="" textlink="">
      <xdr:nvSpPr>
        <xdr:cNvPr id="80" name="Rectangle 81">
          <a:extLst>
            <a:ext uri="{FF2B5EF4-FFF2-40B4-BE49-F238E27FC236}">
              <a16:creationId xmlns:a16="http://schemas.microsoft.com/office/drawing/2014/main" id="{9B52F3D3-768E-49FB-A33F-F84886891742}"/>
            </a:ext>
          </a:extLst>
        </xdr:cNvPr>
        <xdr:cNvSpPr>
          <a:spLocks noChangeAspect="1" noChangeArrowheads="1"/>
        </xdr:cNvSpPr>
      </xdr:nvSpPr>
      <xdr:spPr bwMode="gray">
        <a:xfrm>
          <a:off x="1998663" y="1051718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6</xdr:col>
      <xdr:colOff>1016686</xdr:colOff>
      <xdr:row>59</xdr:row>
      <xdr:rowOff>93663</xdr:rowOff>
    </xdr:from>
    <xdr:to>
      <xdr:col>6</xdr:col>
      <xdr:colOff>1497699</xdr:colOff>
      <xdr:row>60</xdr:row>
      <xdr:rowOff>53975</xdr:rowOff>
    </xdr:to>
    <xdr:sp macro="" textlink="">
      <xdr:nvSpPr>
        <xdr:cNvPr id="81" name="Retângulo 80">
          <a:extLst>
            <a:ext uri="{FF2B5EF4-FFF2-40B4-BE49-F238E27FC236}">
              <a16:creationId xmlns:a16="http://schemas.microsoft.com/office/drawing/2014/main" id="{83161F52-A745-4286-B92A-787738BEEE58}"/>
            </a:ext>
          </a:extLst>
        </xdr:cNvPr>
        <xdr:cNvSpPr/>
      </xdr:nvSpPr>
      <xdr:spPr>
        <a:xfrm>
          <a:off x="7646086" y="10456863"/>
          <a:ext cx="481013" cy="12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24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6</xdr:col>
      <xdr:colOff>119521</xdr:colOff>
      <xdr:row>59</xdr:row>
      <xdr:rowOff>85725</xdr:rowOff>
    </xdr:from>
    <xdr:to>
      <xdr:col>6</xdr:col>
      <xdr:colOff>654736</xdr:colOff>
      <xdr:row>60</xdr:row>
      <xdr:rowOff>47625</xdr:rowOff>
    </xdr:to>
    <xdr:sp macro="" textlink="">
      <xdr:nvSpPr>
        <xdr:cNvPr id="82" name="Retângulo 81">
          <a:extLst>
            <a:ext uri="{FF2B5EF4-FFF2-40B4-BE49-F238E27FC236}">
              <a16:creationId xmlns:a16="http://schemas.microsoft.com/office/drawing/2014/main" id="{A5789B8E-BF56-4F61-830B-4ABA34C88CFC}"/>
            </a:ext>
          </a:extLst>
        </xdr:cNvPr>
        <xdr:cNvSpPr/>
      </xdr:nvSpPr>
      <xdr:spPr>
        <a:xfrm>
          <a:off x="6748921" y="10448925"/>
          <a:ext cx="535215"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72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5</xdr:col>
      <xdr:colOff>465824</xdr:colOff>
      <xdr:row>59</xdr:row>
      <xdr:rowOff>88900</xdr:rowOff>
    </xdr:from>
    <xdr:to>
      <xdr:col>5</xdr:col>
      <xdr:colOff>945249</xdr:colOff>
      <xdr:row>60</xdr:row>
      <xdr:rowOff>50800</xdr:rowOff>
    </xdr:to>
    <xdr:sp macro="" textlink="">
      <xdr:nvSpPr>
        <xdr:cNvPr id="83" name="Retângulo 82">
          <a:extLst>
            <a:ext uri="{FF2B5EF4-FFF2-40B4-BE49-F238E27FC236}">
              <a16:creationId xmlns:a16="http://schemas.microsoft.com/office/drawing/2014/main" id="{7AAA677B-1B86-41EC-8CA8-81C10E676002}"/>
            </a:ext>
          </a:extLst>
        </xdr:cNvPr>
        <xdr:cNvSpPr/>
      </xdr:nvSpPr>
      <xdr:spPr>
        <a:xfrm>
          <a:off x="5980799" y="10452100"/>
          <a:ext cx="479425"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28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4</xdr:col>
      <xdr:colOff>730936</xdr:colOff>
      <xdr:row>59</xdr:row>
      <xdr:rowOff>84138</xdr:rowOff>
    </xdr:from>
    <xdr:to>
      <xdr:col>5</xdr:col>
      <xdr:colOff>41735</xdr:colOff>
      <xdr:row>60</xdr:row>
      <xdr:rowOff>46038</xdr:rowOff>
    </xdr:to>
    <xdr:sp macro="" textlink="">
      <xdr:nvSpPr>
        <xdr:cNvPr id="84" name="Retângulo 83">
          <a:extLst>
            <a:ext uri="{FF2B5EF4-FFF2-40B4-BE49-F238E27FC236}">
              <a16:creationId xmlns:a16="http://schemas.microsoft.com/office/drawing/2014/main" id="{FA5095D8-4C04-46A8-BB5E-232FAB171BC4}"/>
            </a:ext>
          </a:extLst>
        </xdr:cNvPr>
        <xdr:cNvSpPr/>
      </xdr:nvSpPr>
      <xdr:spPr>
        <a:xfrm>
          <a:off x="5131486" y="10447338"/>
          <a:ext cx="425224"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40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1010336</xdr:colOff>
      <xdr:row>59</xdr:row>
      <xdr:rowOff>85725</xdr:rowOff>
    </xdr:from>
    <xdr:to>
      <xdr:col>4</xdr:col>
      <xdr:colOff>321135</xdr:colOff>
      <xdr:row>60</xdr:row>
      <xdr:rowOff>46038</xdr:rowOff>
    </xdr:to>
    <xdr:sp macro="" textlink="">
      <xdr:nvSpPr>
        <xdr:cNvPr id="85" name="Retângulo 84">
          <a:extLst>
            <a:ext uri="{FF2B5EF4-FFF2-40B4-BE49-F238E27FC236}">
              <a16:creationId xmlns:a16="http://schemas.microsoft.com/office/drawing/2014/main" id="{A4861E01-CF24-4FD8-9ABB-24F77A2D66D8}"/>
            </a:ext>
          </a:extLst>
        </xdr:cNvPr>
        <xdr:cNvSpPr/>
      </xdr:nvSpPr>
      <xdr:spPr>
        <a:xfrm>
          <a:off x="4296461" y="10448925"/>
          <a:ext cx="425224"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36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159884</xdr:colOff>
      <xdr:row>59</xdr:row>
      <xdr:rowOff>70531</xdr:rowOff>
    </xdr:from>
    <xdr:to>
      <xdr:col>3</xdr:col>
      <xdr:colOff>607785</xdr:colOff>
      <xdr:row>60</xdr:row>
      <xdr:rowOff>45357</xdr:rowOff>
    </xdr:to>
    <xdr:sp macro="" textlink="">
      <xdr:nvSpPr>
        <xdr:cNvPr id="86" name="Retângulo 85">
          <a:extLst>
            <a:ext uri="{FF2B5EF4-FFF2-40B4-BE49-F238E27FC236}">
              <a16:creationId xmlns:a16="http://schemas.microsoft.com/office/drawing/2014/main" id="{CDE18CEA-6D3D-486C-8878-DE6B0B079E81}"/>
            </a:ext>
          </a:extLst>
        </xdr:cNvPr>
        <xdr:cNvSpPr/>
      </xdr:nvSpPr>
      <xdr:spPr>
        <a:xfrm>
          <a:off x="3446009" y="10433731"/>
          <a:ext cx="447901" cy="136751"/>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29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20638</xdr:colOff>
      <xdr:row>64</xdr:row>
      <xdr:rowOff>47625</xdr:rowOff>
    </xdr:from>
    <xdr:to>
      <xdr:col>3</xdr:col>
      <xdr:colOff>500063</xdr:colOff>
      <xdr:row>65</xdr:row>
      <xdr:rowOff>7938</xdr:rowOff>
    </xdr:to>
    <xdr:sp macro="" textlink="">
      <xdr:nvSpPr>
        <xdr:cNvPr id="87" name="Retângulo 86">
          <a:extLst>
            <a:ext uri="{FF2B5EF4-FFF2-40B4-BE49-F238E27FC236}">
              <a16:creationId xmlns:a16="http://schemas.microsoft.com/office/drawing/2014/main" id="{465E7DC7-0B8C-4BFD-98C6-E63005F54C01}"/>
            </a:ext>
          </a:extLst>
        </xdr:cNvPr>
        <xdr:cNvSpPr/>
      </xdr:nvSpPr>
      <xdr:spPr>
        <a:xfrm>
          <a:off x="3306763" y="11220450"/>
          <a:ext cx="479425"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55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890588</xdr:colOff>
      <xdr:row>64</xdr:row>
      <xdr:rowOff>50800</xdr:rowOff>
    </xdr:from>
    <xdr:to>
      <xdr:col>4</xdr:col>
      <xdr:colOff>257176</xdr:colOff>
      <xdr:row>65</xdr:row>
      <xdr:rowOff>11113</xdr:rowOff>
    </xdr:to>
    <xdr:sp macro="" textlink="">
      <xdr:nvSpPr>
        <xdr:cNvPr id="88" name="Retângulo 87">
          <a:extLst>
            <a:ext uri="{FF2B5EF4-FFF2-40B4-BE49-F238E27FC236}">
              <a16:creationId xmlns:a16="http://schemas.microsoft.com/office/drawing/2014/main" id="{B1660BA2-DDE4-41E1-935C-D354C0E1B6B8}"/>
            </a:ext>
          </a:extLst>
        </xdr:cNvPr>
        <xdr:cNvSpPr/>
      </xdr:nvSpPr>
      <xdr:spPr>
        <a:xfrm>
          <a:off x="4176713" y="11223625"/>
          <a:ext cx="481013"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7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4</xdr:col>
      <xdr:colOff>606426</xdr:colOff>
      <xdr:row>64</xdr:row>
      <xdr:rowOff>33338</xdr:rowOff>
    </xdr:from>
    <xdr:to>
      <xdr:col>4</xdr:col>
      <xdr:colOff>1085851</xdr:colOff>
      <xdr:row>64</xdr:row>
      <xdr:rowOff>157163</xdr:rowOff>
    </xdr:to>
    <xdr:sp macro="" textlink="">
      <xdr:nvSpPr>
        <xdr:cNvPr id="89" name="Retângulo 88">
          <a:extLst>
            <a:ext uri="{FF2B5EF4-FFF2-40B4-BE49-F238E27FC236}">
              <a16:creationId xmlns:a16="http://schemas.microsoft.com/office/drawing/2014/main" id="{7697BD92-F994-4161-B3E9-AB25633E8543}"/>
            </a:ext>
          </a:extLst>
        </xdr:cNvPr>
        <xdr:cNvSpPr/>
      </xdr:nvSpPr>
      <xdr:spPr>
        <a:xfrm>
          <a:off x="5006976" y="11206163"/>
          <a:ext cx="479425"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5</xdr:col>
      <xdr:colOff>342901</xdr:colOff>
      <xdr:row>64</xdr:row>
      <xdr:rowOff>23813</xdr:rowOff>
    </xdr:from>
    <xdr:to>
      <xdr:col>5</xdr:col>
      <xdr:colOff>823913</xdr:colOff>
      <xdr:row>64</xdr:row>
      <xdr:rowOff>147638</xdr:rowOff>
    </xdr:to>
    <xdr:sp macro="" textlink="">
      <xdr:nvSpPr>
        <xdr:cNvPr id="90" name="Retângulo 89">
          <a:extLst>
            <a:ext uri="{FF2B5EF4-FFF2-40B4-BE49-F238E27FC236}">
              <a16:creationId xmlns:a16="http://schemas.microsoft.com/office/drawing/2014/main" id="{8C7DEE60-A570-4170-8D71-DE5BF52172EA}"/>
            </a:ext>
          </a:extLst>
        </xdr:cNvPr>
        <xdr:cNvSpPr/>
      </xdr:nvSpPr>
      <xdr:spPr>
        <a:xfrm>
          <a:off x="5857876" y="11196638"/>
          <a:ext cx="481012"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3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4</xdr:col>
      <xdr:colOff>704851</xdr:colOff>
      <xdr:row>54</xdr:row>
      <xdr:rowOff>19050</xdr:rowOff>
    </xdr:from>
    <xdr:to>
      <xdr:col>5</xdr:col>
      <xdr:colOff>71438</xdr:colOff>
      <xdr:row>54</xdr:row>
      <xdr:rowOff>141288</xdr:rowOff>
    </xdr:to>
    <xdr:sp macro="" textlink="">
      <xdr:nvSpPr>
        <xdr:cNvPr id="91" name="Retângulo 90">
          <a:extLst>
            <a:ext uri="{FF2B5EF4-FFF2-40B4-BE49-F238E27FC236}">
              <a16:creationId xmlns:a16="http://schemas.microsoft.com/office/drawing/2014/main" id="{E2A186B8-2F74-487C-AB1B-0BA8A44BCD33}"/>
            </a:ext>
          </a:extLst>
        </xdr:cNvPr>
        <xdr:cNvSpPr/>
      </xdr:nvSpPr>
      <xdr:spPr>
        <a:xfrm>
          <a:off x="5105401" y="9572625"/>
          <a:ext cx="481012"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60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1</xdr:col>
      <xdr:colOff>493713</xdr:colOff>
      <xdr:row>49</xdr:row>
      <xdr:rowOff>152400</xdr:rowOff>
    </xdr:from>
    <xdr:to>
      <xdr:col>2</xdr:col>
      <xdr:colOff>336551</xdr:colOff>
      <xdr:row>50</xdr:row>
      <xdr:rowOff>112713</xdr:rowOff>
    </xdr:to>
    <xdr:sp macro="" textlink="">
      <xdr:nvSpPr>
        <xdr:cNvPr id="92" name="Retângulo 91">
          <a:extLst>
            <a:ext uri="{FF2B5EF4-FFF2-40B4-BE49-F238E27FC236}">
              <a16:creationId xmlns:a16="http://schemas.microsoft.com/office/drawing/2014/main" id="{3B946763-5AA6-4373-9F42-A8B389C355B3}"/>
            </a:ext>
          </a:extLst>
        </xdr:cNvPr>
        <xdr:cNvSpPr/>
      </xdr:nvSpPr>
      <xdr:spPr>
        <a:xfrm>
          <a:off x="2027238" y="8896350"/>
          <a:ext cx="481013"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93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0</xdr:col>
      <xdr:colOff>993776</xdr:colOff>
      <xdr:row>55</xdr:row>
      <xdr:rowOff>127000</xdr:rowOff>
    </xdr:from>
    <xdr:to>
      <xdr:col>0</xdr:col>
      <xdr:colOff>1474788</xdr:colOff>
      <xdr:row>56</xdr:row>
      <xdr:rowOff>87313</xdr:rowOff>
    </xdr:to>
    <xdr:sp macro="" textlink="">
      <xdr:nvSpPr>
        <xdr:cNvPr id="93" name="Retângulo 92">
          <a:extLst>
            <a:ext uri="{FF2B5EF4-FFF2-40B4-BE49-F238E27FC236}">
              <a16:creationId xmlns:a16="http://schemas.microsoft.com/office/drawing/2014/main" id="{C09D39D1-9DA7-42B7-AA07-47E6663C3678}"/>
            </a:ext>
          </a:extLst>
        </xdr:cNvPr>
        <xdr:cNvSpPr/>
      </xdr:nvSpPr>
      <xdr:spPr>
        <a:xfrm>
          <a:off x="993776" y="9842500"/>
          <a:ext cx="481012"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80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0</xdr:col>
      <xdr:colOff>982663</xdr:colOff>
      <xdr:row>60</xdr:row>
      <xdr:rowOff>9525</xdr:rowOff>
    </xdr:from>
    <xdr:to>
      <xdr:col>0</xdr:col>
      <xdr:colOff>1463676</xdr:colOff>
      <xdr:row>60</xdr:row>
      <xdr:rowOff>133350</xdr:rowOff>
    </xdr:to>
    <xdr:sp macro="" textlink="">
      <xdr:nvSpPr>
        <xdr:cNvPr id="94" name="Retângulo 93">
          <a:extLst>
            <a:ext uri="{FF2B5EF4-FFF2-40B4-BE49-F238E27FC236}">
              <a16:creationId xmlns:a16="http://schemas.microsoft.com/office/drawing/2014/main" id="{DC70E81A-5F05-4DDE-AA90-FC8DF0C904B7}"/>
            </a:ext>
          </a:extLst>
        </xdr:cNvPr>
        <xdr:cNvSpPr/>
      </xdr:nvSpPr>
      <xdr:spPr>
        <a:xfrm>
          <a:off x="982663" y="10534650"/>
          <a:ext cx="481013"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44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19</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36726"/>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Volume de Vendas</a:t>
          </a:r>
        </a:p>
      </xdr:txBody>
    </xdr:sp>
    <xdr:clientData/>
  </xdr:oneCellAnchor>
  <xdr:twoCellAnchor>
    <xdr:from>
      <xdr:col>19</xdr:col>
      <xdr:colOff>159104</xdr:colOff>
      <xdr:row>0</xdr:row>
      <xdr:rowOff>72672</xdr:rowOff>
    </xdr:from>
    <xdr:to>
      <xdr:col>20</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13758687" y="72672"/>
          <a:ext cx="888295" cy="600075"/>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1328209</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0</xdr:rowOff>
    </xdr:from>
    <xdr:to>
      <xdr:col>18</xdr:col>
      <xdr:colOff>603250</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5" y="0"/>
          <a:ext cx="12563475" cy="7207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16658"/>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Dívida</a:t>
          </a:r>
        </a:p>
      </xdr:txBody>
    </xdr:sp>
    <xdr:clientData/>
  </xdr:oneCellAnchor>
  <xdr:twoCellAnchor>
    <xdr:from>
      <xdr:col>19</xdr:col>
      <xdr:colOff>171451</xdr:colOff>
      <xdr:row>0</xdr:row>
      <xdr:rowOff>65616</xdr:rowOff>
    </xdr:from>
    <xdr:to>
      <xdr:col>20</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2755034" y="65616"/>
          <a:ext cx="890058" cy="59690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19</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1655646"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07139"/>
          <a:ext cx="1655646"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Demonstrativos</a:t>
          </a:r>
          <a:r>
            <a:rPr lang="en-US" sz="1600" b="1" i="0" u="none" strike="noStrike" baseline="0">
              <a:solidFill>
                <a:srgbClr val="000080"/>
              </a:solidFill>
              <a:latin typeface="Votorantim Sans Black" panose="02010A03030202050203"/>
            </a:rPr>
            <a:t> </a:t>
          </a:r>
        </a:p>
      </xdr:txBody>
    </xdr:sp>
    <xdr:clientData/>
  </xdr:oneCellAnchor>
  <xdr:twoCellAnchor>
    <xdr:from>
      <xdr:col>19</xdr:col>
      <xdr:colOff>204610</xdr:colOff>
      <xdr:row>0</xdr:row>
      <xdr:rowOff>74436</xdr:rowOff>
    </xdr:from>
    <xdr:to>
      <xdr:col>20</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5211777" y="74436"/>
          <a:ext cx="864305" cy="751064"/>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1228725</xdr:colOff>
      <xdr:row>2</xdr:row>
      <xdr:rowOff>104775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Resultados por negócio</a:t>
          </a:r>
        </a:p>
      </xdr:txBody>
    </xdr:sp>
    <xdr:clientData/>
  </xdr:oneCellAnchor>
  <xdr:twoCellAnchor>
    <xdr:from>
      <xdr:col>19</xdr:col>
      <xdr:colOff>115358</xdr:colOff>
      <xdr:row>0</xdr:row>
      <xdr:rowOff>56797</xdr:rowOff>
    </xdr:from>
    <xdr:to>
      <xdr:col>20</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3725525" y="56797"/>
          <a:ext cx="794808" cy="625475"/>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xdr:colOff>
      <xdr:row>3</xdr:row>
      <xdr:rowOff>247650</xdr:rowOff>
    </xdr:to>
    <xdr:sp macro="" textlink="">
      <xdr:nvSpPr>
        <xdr:cNvPr id="286818" name="Retângulo 6">
          <a:extLst>
            <a:ext uri="{FF2B5EF4-FFF2-40B4-BE49-F238E27FC236}">
              <a16:creationId xmlns:a16="http://schemas.microsoft.com/office/drawing/2014/main" id="{964EDA3C-9B26-477E-BD1B-E20E5AE9B260}"/>
            </a:ext>
          </a:extLst>
        </xdr:cNvPr>
        <xdr:cNvSpPr>
          <a:spLocks noChangeArrowheads="1"/>
        </xdr:cNvSpPr>
      </xdr:nvSpPr>
      <xdr:spPr bwMode="auto">
        <a:xfrm>
          <a:off x="0" y="0"/>
          <a:ext cx="12658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21505" name="Text Box 1">
          <a:extLst>
            <a:ext uri="{FF2B5EF4-FFF2-40B4-BE49-F238E27FC236}">
              <a16:creationId xmlns:a16="http://schemas.microsoft.com/office/drawing/2014/main" id="{9126133E-8F2C-4A8D-85C1-91A7F2D1D82B}"/>
            </a:ext>
          </a:extLst>
        </xdr:cNvPr>
        <xdr:cNvSpPr txBox="1">
          <a:spLocks noChangeArrowheads="1"/>
        </xdr:cNvSpPr>
      </xdr:nvSpPr>
      <xdr:spPr bwMode="auto">
        <a:xfrm>
          <a:off x="171450" y="423757"/>
          <a:ext cx="3238288"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Custos </a:t>
          </a:r>
        </a:p>
      </xdr:txBody>
    </xdr:sp>
    <xdr:clientData/>
  </xdr:oneCellAnchor>
  <xdr:twoCellAnchor>
    <xdr:from>
      <xdr:col>19</xdr:col>
      <xdr:colOff>180975</xdr:colOff>
      <xdr:row>0</xdr:row>
      <xdr:rowOff>57150</xdr:rowOff>
    </xdr:from>
    <xdr:to>
      <xdr:col>20</xdr:col>
      <xdr:colOff>57150</xdr:colOff>
      <xdr:row>3</xdr:row>
      <xdr:rowOff>180975</xdr:rowOff>
    </xdr:to>
    <xdr:grpSp>
      <xdr:nvGrpSpPr>
        <xdr:cNvPr id="286820" name="Agrupar 6">
          <a:hlinkClick xmlns:r="http://schemas.openxmlformats.org/officeDocument/2006/relationships" r:id="rId1"/>
          <a:extLst>
            <a:ext uri="{FF2B5EF4-FFF2-40B4-BE49-F238E27FC236}">
              <a16:creationId xmlns:a16="http://schemas.microsoft.com/office/drawing/2014/main" id="{CF2C6975-62BD-41F0-93E0-B9FD97DFD335}"/>
            </a:ext>
          </a:extLst>
        </xdr:cNvPr>
        <xdr:cNvGrpSpPr>
          <a:grpSpLocks/>
        </xdr:cNvGrpSpPr>
      </xdr:nvGrpSpPr>
      <xdr:grpSpPr bwMode="auto">
        <a:xfrm>
          <a:off x="12830175" y="57150"/>
          <a:ext cx="485775" cy="619125"/>
          <a:chOff x="11133666" y="131229"/>
          <a:chExt cx="928738" cy="609603"/>
        </a:xfrm>
      </xdr:grpSpPr>
      <xdr:sp macro="" textlink="">
        <xdr:nvSpPr>
          <xdr:cNvPr id="8" name="Seta: Curva para Cima 7" descr="Menu">
            <a:extLst>
              <a:ext uri="{FF2B5EF4-FFF2-40B4-BE49-F238E27FC236}">
                <a16:creationId xmlns:a16="http://schemas.microsoft.com/office/drawing/2014/main" id="{C5377B1C-B66B-4BD3-A9AE-B74C4AC05CE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936C791B-67DB-4952-8E74-9CB27C79330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286821" name="Picture 2">
          <a:extLst>
            <a:ext uri="{FF2B5EF4-FFF2-40B4-BE49-F238E27FC236}">
              <a16:creationId xmlns:a16="http://schemas.microsoft.com/office/drawing/2014/main" id="{5557D347-33A7-4FA8-8E52-9E830B7F4E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71534%20-%20GCE%20-%20Ger&#234;ncia%20de%20Comercializa&#231;&#227;o%20de%20Energia/Gest&#227;o%20Energia/2015/Gest&#227;o%20de%20Clientes/6%20-%20Relat&#243;rios%20Externos/MODELOS%20RELAT&#211;RIOS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cell r="N51"/>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Show/Processo-Produtivo?=orH58N8G/Nby57IHVX/H0A=="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19"/>
  <sheetViews>
    <sheetView showGridLines="0" tabSelected="1" zoomScaleNormal="100" workbookViewId="0">
      <selection activeCell="N17" sqref="N17"/>
    </sheetView>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4"/>
    </row>
    <row r="2" spans="4:18" ht="15.6" customHeight="1">
      <c r="Q2" s="6"/>
      <c r="R2" s="8"/>
    </row>
    <row r="3" spans="4:18" ht="15.6" customHeight="1">
      <c r="N3" s="18" t="s">
        <v>58</v>
      </c>
      <c r="Q3" s="6"/>
      <c r="R3" s="8"/>
    </row>
    <row r="4" spans="4:18" ht="15.6" customHeight="1">
      <c r="Q4" s="6"/>
      <c r="R4" s="8"/>
    </row>
    <row r="5" spans="4:18" ht="15.6" customHeight="1">
      <c r="N5" s="15" t="s">
        <v>35</v>
      </c>
      <c r="O5" s="16"/>
      <c r="P5" s="7"/>
      <c r="Q5" s="6"/>
      <c r="R5" s="8"/>
    </row>
    <row r="6" spans="4:18" ht="15.6" customHeight="1">
      <c r="N6" s="15" t="s">
        <v>145</v>
      </c>
      <c r="O6" s="17"/>
      <c r="P6" s="7"/>
      <c r="Q6" s="6"/>
      <c r="R6" s="8"/>
    </row>
    <row r="7" spans="4:18" ht="15.6" customHeight="1">
      <c r="N7" s="15" t="s">
        <v>290</v>
      </c>
      <c r="O7" s="17"/>
      <c r="P7" s="7"/>
      <c r="Q7" s="6"/>
      <c r="R7" s="8"/>
    </row>
    <row r="8" spans="4:18" ht="15.6" customHeight="1">
      <c r="E8" s="2"/>
      <c r="N8" s="15" t="s">
        <v>284</v>
      </c>
      <c r="O8" s="17"/>
      <c r="P8" s="7"/>
      <c r="Q8" s="6"/>
      <c r="R8" s="8"/>
    </row>
    <row r="9" spans="4:18" ht="15.6" customHeight="1">
      <c r="E9" s="2"/>
      <c r="N9" s="15" t="s">
        <v>285</v>
      </c>
      <c r="O9" s="17"/>
      <c r="P9" s="7"/>
      <c r="Q9" s="6"/>
      <c r="R9" s="8"/>
    </row>
    <row r="10" spans="4:18" ht="15.6" customHeight="1">
      <c r="E10" s="2"/>
      <c r="N10" s="15" t="s">
        <v>286</v>
      </c>
      <c r="O10" s="17"/>
      <c r="P10" s="7"/>
      <c r="Q10" s="6"/>
      <c r="R10" s="9"/>
    </row>
    <row r="11" spans="4:18" ht="15.6" customHeight="1">
      <c r="E11" s="2"/>
      <c r="N11" s="15" t="s">
        <v>287</v>
      </c>
      <c r="O11" s="17"/>
      <c r="P11" s="7"/>
      <c r="Q11" s="11"/>
      <c r="R11" s="10"/>
    </row>
    <row r="12" spans="4:18" ht="15.6" customHeight="1">
      <c r="E12" s="2"/>
      <c r="N12" s="15" t="s">
        <v>288</v>
      </c>
      <c r="O12" s="16"/>
      <c r="P12" s="6"/>
      <c r="Q12" s="12"/>
      <c r="R12" s="10"/>
    </row>
    <row r="13" spans="4:18" ht="18.75">
      <c r="N13" s="15" t="s">
        <v>289</v>
      </c>
      <c r="O13" s="16"/>
      <c r="P13" s="6"/>
      <c r="Q13" s="12"/>
      <c r="R13" s="10"/>
    </row>
    <row r="14" spans="4:18" ht="18.75">
      <c r="N14" s="15" t="s">
        <v>291</v>
      </c>
      <c r="O14" s="12"/>
      <c r="P14" s="12"/>
      <c r="Q14" s="12"/>
      <c r="R14" s="10"/>
    </row>
    <row r="15" spans="4:18" ht="18.75">
      <c r="O15" s="12"/>
      <c r="P15" s="12"/>
      <c r="Q15" s="12"/>
      <c r="R15" s="10"/>
    </row>
    <row r="16" spans="4:18" ht="18.75">
      <c r="D16" s="3"/>
      <c r="E16" s="4"/>
      <c r="J16" s="5"/>
      <c r="N16" s="13"/>
      <c r="O16" s="12"/>
      <c r="P16" s="12"/>
      <c r="Q16" s="12"/>
      <c r="R16" s="10"/>
    </row>
    <row r="17" spans="4:18" ht="18.75">
      <c r="D17" s="3"/>
      <c r="E17" s="4"/>
      <c r="J17" s="5"/>
      <c r="N17" s="13"/>
      <c r="O17" s="12"/>
      <c r="P17" s="12"/>
      <c r="Q17" s="12"/>
      <c r="R17" s="10"/>
    </row>
    <row r="18" spans="4:18" ht="18.75">
      <c r="D18" s="3"/>
      <c r="E18" s="4"/>
      <c r="J18" s="5"/>
      <c r="N18" s="13"/>
      <c r="O18" s="12"/>
      <c r="P18" s="12"/>
      <c r="Q18" s="12"/>
      <c r="R18" s="10"/>
    </row>
    <row r="19" spans="4:18" ht="18.75">
      <c r="D19" s="3"/>
      <c r="E19" s="4"/>
      <c r="J19" s="5"/>
      <c r="N19" s="13"/>
      <c r="O19" s="12"/>
      <c r="P19" s="12"/>
      <c r="Q19" s="12"/>
      <c r="R19" s="10"/>
    </row>
  </sheetData>
  <phoneticPr fontId="0" type="noConversion"/>
  <hyperlinks>
    <hyperlink ref="N12" location="'8 - Custos'!Area_de_impressao" display="8.  Custos " xr:uid="{00000000-0004-0000-0000-000000000000}"/>
    <hyperlink ref="N11" location="'7 - Resultados por negócio'!Area_de_impressao" display="7.  Resultados por negócio" xr:uid="{00000000-0004-0000-0000-000001000000}"/>
    <hyperlink ref="N10" location="'6 - Demonstrativos Financeiros'!Area_de_impressao" display="6.  Demonstrativos Financeiros" xr:uid="{00000000-0004-0000-0000-000002000000}"/>
    <hyperlink ref="N9" location="'5 - Dívida '!Area_de_impressao" display="5.  Dívida" xr:uid="{00000000-0004-0000-0000-000003000000}"/>
    <hyperlink ref="N8" location="'4 - Volume de Vendas Final'!Area_de_impressao" display="4.  Volume de Vendas" xr:uid="{00000000-0004-0000-0000-000004000000}"/>
    <hyperlink ref="N6" location="'2 - Processo Produtivo'!Area_de_impressao" display="2.  Processo Produtivo" xr:uid="{00000000-0004-0000-0000-000005000000}"/>
    <hyperlink ref="N5" location="'1 - Premissas'!Area_de_impressao" display="1.  Premissas" xr:uid="{00000000-0004-0000-0000-000006000000}"/>
    <hyperlink ref="N14" location="'10 - CAPEX'!A1" display="10. CAPEX" xr:uid="{19D9895C-EEB4-4749-BC8F-9A5C239DDE39}"/>
    <hyperlink ref="N13" location="'9 - Composição Custos'!Area_de_impressao" display="9.  Composição Custos" xr:uid="{7D3167A8-D5A4-4D16-9D4E-04DB6D7EF23D}"/>
    <hyperlink ref="N7" location="'3 - Energia'!A1" display="3.  Energia" xr:uid="{F37AD7C1-5923-4BE6-A85B-CD16D2787406}"/>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T70"/>
  <sheetViews>
    <sheetView showGridLines="0" topLeftCell="A46" zoomScaleNormal="100" zoomScaleSheetLayoutView="90" workbookViewId="0">
      <selection activeCell="M39" sqref="M39"/>
    </sheetView>
  </sheetViews>
  <sheetFormatPr defaultColWidth="9.140625" defaultRowHeight="12.75"/>
  <cols>
    <col min="1" max="1" width="2.140625" style="42" customWidth="1"/>
    <col min="2" max="2" width="40.7109375" style="42" bestFit="1" customWidth="1"/>
    <col min="3" max="11" width="8.7109375" style="42" customWidth="1"/>
    <col min="12" max="16384" width="9.140625" style="42"/>
  </cols>
  <sheetData>
    <row r="1" spans="1:13">
      <c r="A1" s="19"/>
      <c r="B1" s="41"/>
    </row>
    <row r="2" spans="1:13">
      <c r="A2" s="19"/>
      <c r="B2" s="41"/>
    </row>
    <row r="3" spans="1:13">
      <c r="A3" s="19"/>
      <c r="B3" s="41"/>
    </row>
    <row r="4" spans="1:13" ht="21" customHeight="1">
      <c r="A4" s="19"/>
      <c r="B4" s="43"/>
    </row>
    <row r="5" spans="1:13">
      <c r="B5" s="71"/>
      <c r="C5" s="221"/>
      <c r="D5" s="221"/>
      <c r="E5" s="221"/>
      <c r="F5" s="221"/>
      <c r="G5" s="221"/>
      <c r="H5" s="221"/>
      <c r="I5" s="221"/>
      <c r="J5" s="221"/>
    </row>
    <row r="6" spans="1:13" s="34" customFormat="1" ht="14.25" customHeight="1" thickBot="1">
      <c r="B6" s="108" t="s">
        <v>176</v>
      </c>
      <c r="C6" s="62" t="s">
        <v>50</v>
      </c>
      <c r="D6" s="62" t="s">
        <v>51</v>
      </c>
      <c r="E6" s="62" t="s">
        <v>52</v>
      </c>
      <c r="F6" s="62" t="s">
        <v>54</v>
      </c>
      <c r="G6" s="62" t="s">
        <v>57</v>
      </c>
      <c r="H6" s="62" t="s">
        <v>160</v>
      </c>
      <c r="I6" s="62" t="s">
        <v>164</v>
      </c>
      <c r="J6" s="62" t="s">
        <v>174</v>
      </c>
      <c r="K6" s="62" t="s">
        <v>294</v>
      </c>
    </row>
    <row r="7" spans="1:13" ht="14.25" customHeight="1" thickTop="1">
      <c r="B7" s="45"/>
      <c r="D7" s="238"/>
    </row>
    <row r="8" spans="1:13" ht="14.25" customHeight="1" thickBot="1">
      <c r="B8" s="239" t="s">
        <v>177</v>
      </c>
      <c r="C8" s="68">
        <f t="shared" ref="C8:J8" si="0">SUM(C9:C14)</f>
        <v>6299.1521599968</v>
      </c>
      <c r="D8" s="68">
        <f t="shared" si="0"/>
        <v>6656.3298933347087</v>
      </c>
      <c r="E8" s="68">
        <f t="shared" si="0"/>
        <v>6925.1271216895448</v>
      </c>
      <c r="F8" s="68">
        <f t="shared" si="0"/>
        <v>7365.0042710935559</v>
      </c>
      <c r="G8" s="68">
        <f t="shared" si="0"/>
        <v>7033.1031063665368</v>
      </c>
      <c r="H8" s="68">
        <f t="shared" si="0"/>
        <v>7382.2246150528581</v>
      </c>
      <c r="I8" s="68">
        <f t="shared" si="0"/>
        <v>8729.5719868550459</v>
      </c>
      <c r="J8" s="68">
        <f t="shared" si="0"/>
        <v>9096.126943351228</v>
      </c>
      <c r="K8" s="68">
        <f t="shared" ref="K8" si="1">SUM(K9:K14)</f>
        <v>8895.9399474776619</v>
      </c>
    </row>
    <row r="9" spans="1:13" ht="14.25">
      <c r="B9" s="240" t="s">
        <v>78</v>
      </c>
      <c r="C9" s="66">
        <v>2547.415873228033</v>
      </c>
      <c r="D9" s="66">
        <v>2457.9244625049264</v>
      </c>
      <c r="E9" s="66">
        <v>2391.3826231024741</v>
      </c>
      <c r="F9" s="66">
        <v>2475.0842806840878</v>
      </c>
      <c r="G9" s="66">
        <v>2507.4289222523876</v>
      </c>
      <c r="H9" s="66">
        <v>2512.5677629821694</v>
      </c>
      <c r="I9" s="66">
        <v>2628.3254078339442</v>
      </c>
      <c r="J9" s="66">
        <v>2841.4209267557235</v>
      </c>
      <c r="K9" s="66">
        <v>3251.6983634936764</v>
      </c>
    </row>
    <row r="10" spans="1:13" ht="14.25">
      <c r="B10" s="241" t="s">
        <v>178</v>
      </c>
      <c r="C10" s="69">
        <v>1022.7875892395779</v>
      </c>
      <c r="D10" s="69">
        <v>1122.1625629089547</v>
      </c>
      <c r="E10" s="69">
        <v>1274.3703651368348</v>
      </c>
      <c r="F10" s="69">
        <v>1282.5869274210336</v>
      </c>
      <c r="G10" s="69">
        <v>1264.1244278163647</v>
      </c>
      <c r="H10" s="69">
        <v>1457.9295237393558</v>
      </c>
      <c r="I10" s="69">
        <v>1659.8912021197943</v>
      </c>
      <c r="J10" s="69">
        <v>2051.4174903212879</v>
      </c>
      <c r="K10" s="69">
        <v>2077.3831185579638</v>
      </c>
    </row>
    <row r="11" spans="1:13" ht="14.25">
      <c r="B11" s="241" t="s">
        <v>179</v>
      </c>
      <c r="C11" s="69">
        <v>947.77264281013299</v>
      </c>
      <c r="D11" s="69">
        <v>1037.1796758894861</v>
      </c>
      <c r="E11" s="69">
        <v>1337.725754159703</v>
      </c>
      <c r="F11" s="69">
        <v>1430.7595059626044</v>
      </c>
      <c r="G11" s="69">
        <v>1410.3301674969709</v>
      </c>
      <c r="H11" s="69">
        <v>1550.2439097803233</v>
      </c>
      <c r="I11" s="69">
        <v>2384.5944984892649</v>
      </c>
      <c r="J11" s="69">
        <v>2232.2805504492353</v>
      </c>
      <c r="K11" s="69">
        <v>1390.1616006069755</v>
      </c>
    </row>
    <row r="12" spans="1:13" ht="14.25">
      <c r="B12" s="241" t="s">
        <v>186</v>
      </c>
      <c r="C12" s="69">
        <v>216.49658012815254</v>
      </c>
      <c r="D12" s="69">
        <v>201.59753605064273</v>
      </c>
      <c r="E12" s="69">
        <v>282.56220284015166</v>
      </c>
      <c r="F12" s="69">
        <v>285.30969313503141</v>
      </c>
      <c r="G12" s="69">
        <v>255.10034094748326</v>
      </c>
      <c r="H12" s="69">
        <v>255.64743264321248</v>
      </c>
      <c r="I12" s="69">
        <v>304.57774917391777</v>
      </c>
      <c r="J12" s="69">
        <v>314.251855749237</v>
      </c>
      <c r="K12" s="69">
        <v>331.28797512910057</v>
      </c>
      <c r="L12" s="258"/>
      <c r="M12" s="258"/>
    </row>
    <row r="13" spans="1:13" ht="14.25">
      <c r="B13" s="241" t="s">
        <v>180</v>
      </c>
      <c r="C13" s="69">
        <v>802.48626527025613</v>
      </c>
      <c r="D13" s="69">
        <v>839.04217605237386</v>
      </c>
      <c r="E13" s="69">
        <v>808.61835496284164</v>
      </c>
      <c r="F13" s="69">
        <v>898.02021342072601</v>
      </c>
      <c r="G13" s="69">
        <v>760.36825349817718</v>
      </c>
      <c r="H13" s="69">
        <v>716.74897346782245</v>
      </c>
      <c r="I13" s="69">
        <v>752.97644789492904</v>
      </c>
      <c r="J13" s="69">
        <v>799.24755641472905</v>
      </c>
      <c r="K13" s="69">
        <v>890.52951967113529</v>
      </c>
      <c r="L13" s="258"/>
      <c r="M13" s="258"/>
    </row>
    <row r="14" spans="1:13" ht="14.25">
      <c r="B14" s="241" t="s">
        <v>9</v>
      </c>
      <c r="C14" s="69">
        <v>762.19320932064795</v>
      </c>
      <c r="D14" s="69">
        <v>998.42347992832515</v>
      </c>
      <c r="E14" s="69">
        <v>830.46782148753994</v>
      </c>
      <c r="F14" s="69">
        <v>993.24365047007382</v>
      </c>
      <c r="G14" s="69">
        <v>835.75099435515313</v>
      </c>
      <c r="H14" s="69">
        <v>889.08701243997439</v>
      </c>
      <c r="I14" s="69">
        <v>999.20668134319419</v>
      </c>
      <c r="J14" s="69">
        <v>857.50856366101414</v>
      </c>
      <c r="K14" s="69">
        <v>954.87937001881005</v>
      </c>
    </row>
    <row r="15" spans="1:13" ht="15.75" thickBot="1">
      <c r="B15" s="239" t="s">
        <v>141</v>
      </c>
      <c r="C15" s="68">
        <f t="shared" ref="C15:J15" si="2">SUM(C16:C20)</f>
        <v>7293.1681516866356</v>
      </c>
      <c r="D15" s="68">
        <f t="shared" si="2"/>
        <v>7221.6231371067188</v>
      </c>
      <c r="E15" s="68">
        <f t="shared" si="2"/>
        <v>7529.0293614029752</v>
      </c>
      <c r="F15" s="68">
        <f t="shared" si="2"/>
        <v>8086.5073291608223</v>
      </c>
      <c r="G15" s="68">
        <f t="shared" si="2"/>
        <v>8138.8161433581936</v>
      </c>
      <c r="H15" s="68">
        <f t="shared" si="2"/>
        <v>8891.8907820241038</v>
      </c>
      <c r="I15" s="68">
        <f t="shared" si="2"/>
        <v>9785.6565983827677</v>
      </c>
      <c r="J15" s="68">
        <f t="shared" si="2"/>
        <v>10565.82305442381</v>
      </c>
      <c r="K15" s="68">
        <f t="shared" ref="K15" si="3">SUM(K16:K20)</f>
        <v>10434.629665614139</v>
      </c>
    </row>
    <row r="16" spans="1:13" ht="14.25">
      <c r="B16" s="240" t="s">
        <v>177</v>
      </c>
      <c r="C16" s="66">
        <v>4243.3553785919457</v>
      </c>
      <c r="D16" s="66">
        <v>4476.5266177894518</v>
      </c>
      <c r="E16" s="66">
        <v>4651.4757597384623</v>
      </c>
      <c r="F16" s="66">
        <v>4942.3832660710941</v>
      </c>
      <c r="G16" s="66">
        <v>4996.5947034264336</v>
      </c>
      <c r="H16" s="66">
        <v>5432.7192948453458</v>
      </c>
      <c r="I16" s="66">
        <v>6475.750245570257</v>
      </c>
      <c r="J16" s="66">
        <v>6928.1177294861682</v>
      </c>
      <c r="K16" s="66">
        <v>6857.860245510099</v>
      </c>
    </row>
    <row r="17" spans="2:11" ht="14.25">
      <c r="B17" s="241" t="s">
        <v>181</v>
      </c>
      <c r="C17" s="69">
        <v>1940.7887547764337</v>
      </c>
      <c r="D17" s="69">
        <v>1463.0090936012823</v>
      </c>
      <c r="E17" s="69">
        <v>1792.837201107701</v>
      </c>
      <c r="F17" s="69">
        <v>1879.6485062660026</v>
      </c>
      <c r="G17" s="69">
        <v>1990.6598622076388</v>
      </c>
      <c r="H17" s="69">
        <v>2187.296634907007</v>
      </c>
      <c r="I17" s="69">
        <v>1913.6081965227531</v>
      </c>
      <c r="J17" s="69">
        <v>2319.3376904163997</v>
      </c>
      <c r="K17" s="69">
        <v>1956.0280479451674</v>
      </c>
    </row>
    <row r="18" spans="2:11" ht="14.25">
      <c r="B18" s="241" t="s">
        <v>182</v>
      </c>
      <c r="C18" s="69">
        <v>199.08161596916</v>
      </c>
      <c r="D18" s="69">
        <v>152.85561384714342</v>
      </c>
      <c r="E18" s="69">
        <v>137.29683853581807</v>
      </c>
      <c r="F18" s="69">
        <v>150.65569233415366</v>
      </c>
      <c r="G18" s="69">
        <v>121.0964940739704</v>
      </c>
      <c r="H18" s="69">
        <v>222.50731332427628</v>
      </c>
      <c r="I18" s="69">
        <v>240.6188938264209</v>
      </c>
      <c r="J18" s="69">
        <v>273.34566202026343</v>
      </c>
      <c r="K18" s="69">
        <v>312.70748002274212</v>
      </c>
    </row>
    <row r="19" spans="2:11" ht="14.25">
      <c r="B19" s="241" t="s">
        <v>183</v>
      </c>
      <c r="C19" s="69">
        <v>249.78668091315163</v>
      </c>
      <c r="D19" s="69">
        <v>260.04583118475767</v>
      </c>
      <c r="E19" s="69">
        <v>244.20816627896249</v>
      </c>
      <c r="F19" s="69">
        <v>267.43909432408867</v>
      </c>
      <c r="G19" s="69">
        <v>247.03215820773116</v>
      </c>
      <c r="H19" s="69">
        <v>241.98656497574135</v>
      </c>
      <c r="I19" s="69">
        <v>250.70069444723973</v>
      </c>
      <c r="J19" s="69">
        <v>254.99174726201883</v>
      </c>
      <c r="K19" s="69">
        <v>286.76989571927612</v>
      </c>
    </row>
    <row r="20" spans="2:11" ht="14.25">
      <c r="B20" s="241" t="s">
        <v>9</v>
      </c>
      <c r="C20" s="69">
        <v>660.15572143594352</v>
      </c>
      <c r="D20" s="69">
        <v>869.18598068408403</v>
      </c>
      <c r="E20" s="69">
        <v>703.21139574203187</v>
      </c>
      <c r="F20" s="69">
        <v>846.3807701654822</v>
      </c>
      <c r="G20" s="69">
        <v>783.43292544241967</v>
      </c>
      <c r="H20" s="69">
        <v>807.3809739717334</v>
      </c>
      <c r="I20" s="69">
        <v>904.97856801609885</v>
      </c>
      <c r="J20" s="69">
        <v>790.03022523896095</v>
      </c>
      <c r="K20" s="69">
        <v>1021.2639964168536</v>
      </c>
    </row>
    <row r="21" spans="2:11" ht="15.75" thickBot="1">
      <c r="B21" s="239" t="s">
        <v>142</v>
      </c>
      <c r="C21" s="68">
        <f t="shared" ref="C21:J21" si="4">SUM(C22:C26)</f>
        <v>13088.285413827907</v>
      </c>
      <c r="D21" s="68">
        <f t="shared" si="4"/>
        <v>13155.473572396235</v>
      </c>
      <c r="E21" s="68">
        <f t="shared" si="4"/>
        <v>13006.839445989628</v>
      </c>
      <c r="F21" s="68">
        <f t="shared" si="4"/>
        <v>13340.788389252823</v>
      </c>
      <c r="G21" s="68">
        <f t="shared" si="4"/>
        <v>13722.636907328157</v>
      </c>
      <c r="H21" s="68">
        <f t="shared" si="4"/>
        <v>14208.544063842999</v>
      </c>
      <c r="I21" s="68">
        <f t="shared" si="4"/>
        <v>15757.234814378156</v>
      </c>
      <c r="J21" s="68">
        <f t="shared" si="4"/>
        <v>17109.143993479422</v>
      </c>
      <c r="K21" s="68">
        <f t="shared" ref="K21" si="5">SUM(K22:K26)</f>
        <v>18650.903508733201</v>
      </c>
    </row>
    <row r="22" spans="2:11" ht="14.25">
      <c r="B22" s="240" t="s">
        <v>177</v>
      </c>
      <c r="C22" s="69">
        <v>3322.8158183751084</v>
      </c>
      <c r="D22" s="69">
        <v>3230.5958065701725</v>
      </c>
      <c r="E22" s="69">
        <v>3081.3161096158938</v>
      </c>
      <c r="F22" s="69">
        <v>3142.7149165433093</v>
      </c>
      <c r="G22" s="69">
        <v>2937.1515373071725</v>
      </c>
      <c r="H22" s="69">
        <v>3401.9169204995128</v>
      </c>
      <c r="I22" s="69">
        <v>4264.5343117185967</v>
      </c>
      <c r="J22" s="69">
        <v>4872.8323376999206</v>
      </c>
      <c r="K22" s="69">
        <v>5050.5103522973586</v>
      </c>
    </row>
    <row r="23" spans="2:11" ht="14.25">
      <c r="B23" s="241" t="s">
        <v>181</v>
      </c>
      <c r="C23" s="69">
        <v>4412.7186741665791</v>
      </c>
      <c r="D23" s="69">
        <v>4056.8339948169996</v>
      </c>
      <c r="E23" s="69">
        <v>5109.4370653792685</v>
      </c>
      <c r="F23" s="69">
        <v>5135.9122511774785</v>
      </c>
      <c r="G23" s="69">
        <v>6191.3184198095287</v>
      </c>
      <c r="H23" s="69">
        <v>5982.9527391877873</v>
      </c>
      <c r="I23" s="69">
        <v>6122.2252460747495</v>
      </c>
      <c r="J23" s="69">
        <v>6395.0577931964071</v>
      </c>
      <c r="K23" s="69">
        <v>7372.7727842137647</v>
      </c>
    </row>
    <row r="24" spans="2:11" ht="14.25">
      <c r="B24" s="241" t="s">
        <v>182</v>
      </c>
      <c r="C24" s="69">
        <v>1518.3754583404657</v>
      </c>
      <c r="D24" s="69">
        <v>1604.3267430995281</v>
      </c>
      <c r="E24" s="69">
        <v>1498.3445720672335</v>
      </c>
      <c r="F24" s="69">
        <v>1436.8998875449856</v>
      </c>
      <c r="G24" s="69">
        <v>1498.6260771330737</v>
      </c>
      <c r="H24" s="69">
        <v>1700.1246204359138</v>
      </c>
      <c r="I24" s="69">
        <v>2001.9107328387518</v>
      </c>
      <c r="J24" s="69">
        <v>2132.9364424879964</v>
      </c>
      <c r="K24" s="69">
        <v>2245.208620199176</v>
      </c>
    </row>
    <row r="25" spans="2:11" ht="14.25">
      <c r="B25" s="241" t="s">
        <v>183</v>
      </c>
      <c r="C25" s="69">
        <v>2699.3612698432594</v>
      </c>
      <c r="D25" s="69">
        <v>2941.3689687313376</v>
      </c>
      <c r="E25" s="69">
        <v>2315.0122587481719</v>
      </c>
      <c r="F25" s="69">
        <v>2572.0611113801165</v>
      </c>
      <c r="G25" s="69">
        <v>2197.8230499555257</v>
      </c>
      <c r="H25" s="69">
        <v>2129.1411970999252</v>
      </c>
      <c r="I25" s="69">
        <v>2267.6561935580521</v>
      </c>
      <c r="J25" s="69">
        <v>2615.2687452066284</v>
      </c>
      <c r="K25" s="69">
        <v>2750.983196137684</v>
      </c>
    </row>
    <row r="26" spans="2:11" ht="14.25">
      <c r="B26" s="241" t="s">
        <v>9</v>
      </c>
      <c r="C26" s="69">
        <v>1135.0141931024962</v>
      </c>
      <c r="D26" s="69">
        <v>1322.3480591781979</v>
      </c>
      <c r="E26" s="69">
        <v>1002.7294401790618</v>
      </c>
      <c r="F26" s="69">
        <v>1053.2002226069324</v>
      </c>
      <c r="G26" s="69">
        <v>897.71782312285802</v>
      </c>
      <c r="H26" s="69">
        <v>994.40858661986067</v>
      </c>
      <c r="I26" s="69">
        <v>1100.9083301880071</v>
      </c>
      <c r="J26" s="69">
        <v>1093.0486748884689</v>
      </c>
      <c r="K26" s="69">
        <v>1231.4285558852162</v>
      </c>
    </row>
    <row r="27" spans="2:11" ht="14.25">
      <c r="B27" s="241"/>
      <c r="C27" s="69"/>
      <c r="D27" s="69"/>
      <c r="E27" s="69"/>
      <c r="F27" s="69"/>
      <c r="G27" s="69"/>
      <c r="H27" s="69"/>
      <c r="I27" s="69"/>
      <c r="J27" s="69"/>
      <c r="K27" s="69"/>
    </row>
    <row r="28" spans="2:11" ht="15.75" thickBot="1">
      <c r="B28" s="239" t="s">
        <v>184</v>
      </c>
      <c r="C28" s="68">
        <f t="shared" ref="C28:J28" si="6">SUM(C29:C31)</f>
        <v>161.27436600000001</v>
      </c>
      <c r="D28" s="68">
        <f t="shared" si="6"/>
        <v>161.376162502</v>
      </c>
      <c r="E28" s="68">
        <f t="shared" si="6"/>
        <v>181.64663899999999</v>
      </c>
      <c r="F28" s="68">
        <f t="shared" si="6"/>
        <v>193.447865111</v>
      </c>
      <c r="G28" s="68">
        <f t="shared" si="6"/>
        <v>196.21373000100002</v>
      </c>
      <c r="H28" s="68">
        <f t="shared" si="6"/>
        <v>202.10549281900001</v>
      </c>
      <c r="I28" s="68">
        <f t="shared" si="6"/>
        <v>199.22940149300001</v>
      </c>
      <c r="J28" s="68">
        <f t="shared" si="6"/>
        <v>196.31945432499998</v>
      </c>
      <c r="K28" s="68">
        <f t="shared" ref="K28" si="7">SUM(K29:K31)</f>
        <v>182.447001443</v>
      </c>
    </row>
    <row r="29" spans="2:11" ht="14.25">
      <c r="B29" s="240" t="s">
        <v>177</v>
      </c>
      <c r="C29" s="242">
        <v>72.272445000000005</v>
      </c>
      <c r="D29" s="242">
        <v>72.227784501999992</v>
      </c>
      <c r="E29" s="242">
        <v>79.473219999999998</v>
      </c>
      <c r="F29" s="242">
        <v>83.346918111000008</v>
      </c>
      <c r="G29" s="242">
        <v>84.548930001000002</v>
      </c>
      <c r="H29" s="242">
        <v>86.888590002000001</v>
      </c>
      <c r="I29" s="242">
        <v>87.091770006000004</v>
      </c>
      <c r="J29" s="242">
        <v>86.400676505999996</v>
      </c>
      <c r="K29" s="242">
        <v>83.667260000000013</v>
      </c>
    </row>
    <row r="30" spans="2:11" ht="14.25">
      <c r="B30" s="241" t="s">
        <v>141</v>
      </c>
      <c r="C30" s="242">
        <v>63.037610000000001</v>
      </c>
      <c r="D30" s="242">
        <v>62.985299000000005</v>
      </c>
      <c r="E30" s="242">
        <v>68.960170000000005</v>
      </c>
      <c r="F30" s="242">
        <v>73.689449999999994</v>
      </c>
      <c r="G30" s="242">
        <v>72.463149999999999</v>
      </c>
      <c r="H30" s="242">
        <v>75.94041</v>
      </c>
      <c r="I30" s="242">
        <v>73.380390000000006</v>
      </c>
      <c r="J30" s="242">
        <v>73.417880000000011</v>
      </c>
      <c r="K30" s="242">
        <v>64.611249360000002</v>
      </c>
    </row>
    <row r="31" spans="2:11" ht="14.25">
      <c r="B31" s="243" t="s">
        <v>142</v>
      </c>
      <c r="C31" s="244">
        <v>25.964311000000002</v>
      </c>
      <c r="D31" s="244">
        <v>26.163078999999996</v>
      </c>
      <c r="E31" s="244">
        <v>33.213248999999998</v>
      </c>
      <c r="F31" s="244">
        <v>36.411497000000004</v>
      </c>
      <c r="G31" s="244">
        <v>39.201650000000001</v>
      </c>
      <c r="H31" s="244">
        <v>39.276492817000005</v>
      </c>
      <c r="I31" s="244">
        <v>38.757241487000002</v>
      </c>
      <c r="J31" s="244">
        <v>36.500897819000002</v>
      </c>
      <c r="K31" s="244">
        <v>34.168492082999997</v>
      </c>
    </row>
    <row r="32" spans="2:11" ht="14.25">
      <c r="B32" s="245"/>
      <c r="C32" s="66"/>
      <c r="D32" s="66"/>
      <c r="E32" s="66"/>
      <c r="F32" s="66"/>
      <c r="G32" s="66"/>
      <c r="H32" s="66"/>
      <c r="I32" s="66"/>
      <c r="J32" s="66"/>
      <c r="K32" s="66"/>
    </row>
    <row r="33" spans="2:20" ht="14.25">
      <c r="B33" s="240"/>
      <c r="C33" s="66"/>
      <c r="D33" s="66"/>
      <c r="E33" s="66"/>
      <c r="F33" s="66"/>
      <c r="G33" s="66"/>
      <c r="H33" s="66"/>
      <c r="I33" s="66"/>
      <c r="J33" s="66"/>
      <c r="K33" s="66"/>
    </row>
    <row r="34" spans="2:20" ht="15.75" thickBot="1">
      <c r="B34" s="79" t="s">
        <v>66</v>
      </c>
      <c r="C34" s="62" t="s">
        <v>50</v>
      </c>
      <c r="D34" s="62" t="s">
        <v>51</v>
      </c>
      <c r="E34" s="62" t="s">
        <v>52</v>
      </c>
      <c r="F34" s="62" t="s">
        <v>54</v>
      </c>
      <c r="G34" s="62" t="s">
        <v>57</v>
      </c>
      <c r="H34" s="62" t="s">
        <v>160</v>
      </c>
      <c r="I34" s="62" t="s">
        <v>164</v>
      </c>
      <c r="J34" s="62" t="s">
        <v>174</v>
      </c>
      <c r="K34" s="62" t="s">
        <v>294</v>
      </c>
    </row>
    <row r="35" spans="2:20" ht="14.25" customHeight="1" thickTop="1">
      <c r="B35" s="45"/>
      <c r="D35" s="238"/>
    </row>
    <row r="36" spans="2:20" s="34" customFormat="1" ht="15.75" thickBot="1">
      <c r="B36" s="239" t="s">
        <v>0</v>
      </c>
      <c r="C36" s="68">
        <f>SUM(C37:C38)</f>
        <v>257.0148306836154</v>
      </c>
      <c r="D36" s="68">
        <f t="shared" ref="D36:J36" si="8">SUM(D37:D38)</f>
        <v>234.25802908974217</v>
      </c>
      <c r="E36" s="68">
        <f t="shared" si="8"/>
        <v>289.21935207391061</v>
      </c>
      <c r="F36" s="68">
        <f t="shared" si="8"/>
        <v>374.76262896323374</v>
      </c>
      <c r="G36" s="68">
        <f t="shared" si="8"/>
        <v>415.52722624156172</v>
      </c>
      <c r="H36" s="68">
        <f t="shared" si="8"/>
        <v>414.45236635587469</v>
      </c>
      <c r="I36" s="68">
        <f t="shared" si="8"/>
        <v>666.63779163909066</v>
      </c>
      <c r="J36" s="68">
        <f t="shared" si="8"/>
        <v>711.97076493422014</v>
      </c>
      <c r="K36" s="68">
        <f t="shared" ref="K36" si="9">SUM(K37:K38)</f>
        <v>550.47058903801474</v>
      </c>
    </row>
    <row r="37" spans="2:20" ht="15.75" thickBot="1">
      <c r="B37" s="246" t="s">
        <v>143</v>
      </c>
      <c r="C37" s="95">
        <v>81.434300853942773</v>
      </c>
      <c r="D37" s="95">
        <v>50.74784324783267</v>
      </c>
      <c r="E37" s="95">
        <v>87.98157277411218</v>
      </c>
      <c r="F37" s="95">
        <v>104.18744450970667</v>
      </c>
      <c r="G37" s="95">
        <v>92.492754424862966</v>
      </c>
      <c r="H37" s="95">
        <v>99.268639492147145</v>
      </c>
      <c r="I37" s="95">
        <v>118.72318004768745</v>
      </c>
      <c r="J37" s="95">
        <v>133.47393628483206</v>
      </c>
      <c r="K37" s="95">
        <v>187.7215562676987</v>
      </c>
    </row>
    <row r="38" spans="2:20" ht="15.75" thickBot="1">
      <c r="B38" s="239" t="s">
        <v>10</v>
      </c>
      <c r="C38" s="68">
        <f t="shared" ref="C38:J38" si="10">SUM(C39:C40)</f>
        <v>175.58052982967263</v>
      </c>
      <c r="D38" s="68">
        <f t="shared" si="10"/>
        <v>183.5101858419095</v>
      </c>
      <c r="E38" s="68">
        <f t="shared" si="10"/>
        <v>201.2377792997984</v>
      </c>
      <c r="F38" s="68">
        <f t="shared" si="10"/>
        <v>270.57518445352707</v>
      </c>
      <c r="G38" s="68">
        <f t="shared" si="10"/>
        <v>323.03447181669878</v>
      </c>
      <c r="H38" s="68">
        <f t="shared" si="10"/>
        <v>315.18372686372754</v>
      </c>
      <c r="I38" s="68">
        <f t="shared" si="10"/>
        <v>547.91461159140317</v>
      </c>
      <c r="J38" s="68">
        <f t="shared" si="10"/>
        <v>578.49682864938814</v>
      </c>
      <c r="K38" s="68">
        <f t="shared" ref="K38" si="11">SUM(K39:K40)</f>
        <v>362.74903277031603</v>
      </c>
    </row>
    <row r="39" spans="2:20" ht="14.25">
      <c r="B39" s="247" t="s">
        <v>165</v>
      </c>
      <c r="C39" s="70">
        <v>84.862527243991707</v>
      </c>
      <c r="D39" s="70">
        <v>62.882023593812583</v>
      </c>
      <c r="E39" s="70">
        <v>68.468145201584719</v>
      </c>
      <c r="F39" s="70">
        <v>219.44085254714949</v>
      </c>
      <c r="G39" s="70">
        <v>197.64347105148386</v>
      </c>
      <c r="H39" s="70">
        <v>230.75597492445826</v>
      </c>
      <c r="I39" s="70">
        <v>363.10689621469049</v>
      </c>
      <c r="J39" s="70">
        <v>431.09158147269142</v>
      </c>
      <c r="K39" s="70">
        <v>231.56955576660584</v>
      </c>
    </row>
    <row r="40" spans="2:20" ht="14.25">
      <c r="B40" s="247" t="s">
        <v>161</v>
      </c>
      <c r="C40" s="70">
        <v>90.718002585680935</v>
      </c>
      <c r="D40" s="70">
        <v>120.62816224809691</v>
      </c>
      <c r="E40" s="70">
        <v>132.76963409821369</v>
      </c>
      <c r="F40" s="70">
        <v>51.134331906377611</v>
      </c>
      <c r="G40" s="70">
        <v>125.39100076521493</v>
      </c>
      <c r="H40" s="70">
        <v>84.427751939269299</v>
      </c>
      <c r="I40" s="70">
        <v>184.80771537671274</v>
      </c>
      <c r="J40" s="70">
        <v>147.40524717669666</v>
      </c>
      <c r="K40" s="70">
        <v>131.17947700371016</v>
      </c>
    </row>
    <row r="41" spans="2:20">
      <c r="B41" s="248"/>
      <c r="C41" s="221"/>
      <c r="D41" s="221"/>
      <c r="E41" s="221"/>
      <c r="F41" s="221"/>
      <c r="G41" s="221"/>
      <c r="H41" s="221"/>
      <c r="I41" s="221"/>
      <c r="J41" s="221"/>
    </row>
    <row r="42" spans="2:20" ht="15.75" thickBot="1">
      <c r="B42" s="72" t="s">
        <v>216</v>
      </c>
      <c r="C42" s="72"/>
      <c r="D42" s="72"/>
      <c r="E42" s="72"/>
      <c r="F42" s="72"/>
      <c r="G42" s="72"/>
      <c r="H42" s="72"/>
      <c r="I42" s="72"/>
      <c r="J42" s="72"/>
      <c r="K42" s="72"/>
      <c r="L42" s="72"/>
      <c r="M42" s="72"/>
      <c r="N42" s="72"/>
      <c r="O42" s="72"/>
      <c r="P42" s="72"/>
      <c r="Q42" s="72"/>
      <c r="R42" s="259"/>
      <c r="S42" s="259"/>
      <c r="T42" s="259"/>
    </row>
    <row r="43" spans="2:20" ht="15.75" thickTop="1">
      <c r="B43" s="261" t="s">
        <v>212</v>
      </c>
      <c r="C43" s="262"/>
      <c r="D43" s="263"/>
      <c r="E43" s="263"/>
      <c r="F43" s="263"/>
      <c r="G43" s="263"/>
      <c r="H43" s="263"/>
      <c r="I43" s="263"/>
      <c r="J43" s="263"/>
      <c r="K43" s="263"/>
      <c r="L43" s="263"/>
      <c r="M43" s="263"/>
      <c r="N43" s="263"/>
      <c r="O43" s="263"/>
      <c r="P43" s="263"/>
      <c r="Q43" s="263"/>
      <c r="R43" s="260"/>
      <c r="S43" s="260"/>
      <c r="T43" s="260"/>
    </row>
    <row r="44" spans="2:20" ht="14.25">
      <c r="B44" s="263" t="s">
        <v>189</v>
      </c>
      <c r="C44" s="262" t="s">
        <v>190</v>
      </c>
      <c r="D44" s="263"/>
      <c r="E44" s="263"/>
      <c r="F44" s="263"/>
      <c r="G44" s="263"/>
      <c r="H44" s="263"/>
      <c r="I44" s="263"/>
      <c r="J44" s="263"/>
      <c r="K44" s="263"/>
      <c r="L44" s="263"/>
      <c r="M44" s="263"/>
      <c r="N44" s="263"/>
      <c r="O44" s="263"/>
      <c r="P44" s="263"/>
      <c r="Q44" s="263"/>
      <c r="R44" s="260"/>
      <c r="S44" s="260"/>
      <c r="T44" s="260"/>
    </row>
    <row r="45" spans="2:20" ht="14.25">
      <c r="B45" s="263" t="s">
        <v>191</v>
      </c>
      <c r="C45" s="262" t="s">
        <v>215</v>
      </c>
      <c r="D45" s="263"/>
      <c r="E45" s="263"/>
      <c r="F45" s="263"/>
      <c r="G45" s="263"/>
      <c r="H45" s="263"/>
      <c r="I45" s="263"/>
      <c r="J45" s="263"/>
      <c r="K45" s="263"/>
      <c r="L45" s="263"/>
      <c r="M45" s="263"/>
      <c r="N45" s="263"/>
      <c r="O45" s="263"/>
      <c r="P45" s="263"/>
      <c r="Q45" s="263"/>
      <c r="R45" s="260"/>
      <c r="S45" s="260"/>
      <c r="T45" s="260"/>
    </row>
    <row r="46" spans="2:20" ht="14.25">
      <c r="B46" s="264" t="s">
        <v>192</v>
      </c>
      <c r="C46" s="264" t="s">
        <v>213</v>
      </c>
      <c r="D46" s="264"/>
      <c r="E46" s="264"/>
      <c r="F46" s="264"/>
      <c r="G46" s="264"/>
      <c r="H46" s="264"/>
      <c r="I46" s="264"/>
      <c r="J46" s="264"/>
      <c r="K46" s="264"/>
      <c r="L46" s="264"/>
      <c r="M46" s="264"/>
      <c r="N46" s="263"/>
      <c r="O46" s="263"/>
      <c r="P46" s="263"/>
      <c r="Q46" s="263"/>
      <c r="R46" s="260"/>
      <c r="S46" s="260"/>
      <c r="T46" s="260"/>
    </row>
    <row r="47" spans="2:20" ht="14.25">
      <c r="B47" s="263" t="s">
        <v>193</v>
      </c>
      <c r="C47" s="262" t="s">
        <v>194</v>
      </c>
      <c r="D47" s="263"/>
      <c r="E47" s="263"/>
      <c r="F47" s="263"/>
      <c r="G47" s="263"/>
      <c r="H47" s="263"/>
      <c r="I47" s="263"/>
      <c r="J47" s="263"/>
      <c r="K47" s="263"/>
      <c r="L47" s="263"/>
      <c r="M47" s="263"/>
      <c r="N47" s="263"/>
      <c r="O47" s="263"/>
      <c r="P47" s="263"/>
      <c r="Q47" s="263"/>
      <c r="R47" s="260"/>
      <c r="S47" s="260"/>
      <c r="T47" s="260"/>
    </row>
    <row r="48" spans="2:20" ht="14.25">
      <c r="B48" s="263" t="s">
        <v>195</v>
      </c>
      <c r="C48" s="262" t="s">
        <v>196</v>
      </c>
      <c r="D48" s="263"/>
      <c r="E48" s="263"/>
      <c r="F48" s="263"/>
      <c r="G48" s="263"/>
      <c r="H48" s="263"/>
      <c r="I48" s="263"/>
      <c r="J48" s="263"/>
      <c r="K48" s="263"/>
      <c r="L48" s="263"/>
      <c r="M48" s="263"/>
      <c r="N48" s="263"/>
      <c r="O48" s="263"/>
      <c r="P48" s="263"/>
      <c r="Q48" s="263"/>
      <c r="R48" s="260"/>
      <c r="S48" s="260"/>
      <c r="T48" s="260"/>
    </row>
    <row r="49" spans="2:20" ht="14.25">
      <c r="B49" s="263" t="s">
        <v>293</v>
      </c>
      <c r="C49" s="262" t="s">
        <v>211</v>
      </c>
      <c r="D49" s="263"/>
      <c r="E49" s="263"/>
      <c r="F49" s="263"/>
      <c r="G49" s="263"/>
      <c r="H49" s="263"/>
      <c r="I49" s="263"/>
      <c r="J49" s="263"/>
      <c r="K49" s="263"/>
      <c r="L49" s="263"/>
      <c r="M49" s="263"/>
      <c r="N49" s="263"/>
      <c r="O49" s="263"/>
      <c r="P49" s="263"/>
      <c r="Q49" s="263"/>
      <c r="R49" s="260"/>
      <c r="S49" s="260"/>
      <c r="T49" s="260"/>
    </row>
    <row r="50" spans="2:20" ht="14.25">
      <c r="B50" s="263"/>
      <c r="C50" s="262"/>
      <c r="D50" s="263"/>
      <c r="E50" s="263"/>
      <c r="F50" s="263"/>
      <c r="G50" s="263"/>
      <c r="H50" s="263"/>
      <c r="I50" s="263"/>
      <c r="J50" s="263"/>
      <c r="K50" s="263"/>
      <c r="L50" s="263"/>
      <c r="M50" s="263"/>
      <c r="N50" s="263"/>
      <c r="O50" s="263"/>
      <c r="P50" s="263"/>
      <c r="Q50" s="263"/>
      <c r="R50" s="260"/>
      <c r="S50" s="260"/>
      <c r="T50" s="260"/>
    </row>
    <row r="51" spans="2:20" ht="15">
      <c r="B51" s="261" t="s">
        <v>141</v>
      </c>
      <c r="C51" s="262"/>
      <c r="D51" s="263"/>
      <c r="E51" s="263"/>
      <c r="F51" s="263"/>
      <c r="G51" s="263"/>
      <c r="H51" s="263"/>
      <c r="I51" s="263"/>
      <c r="J51" s="263"/>
      <c r="K51" s="263"/>
      <c r="L51" s="263"/>
      <c r="M51" s="263"/>
      <c r="N51" s="263"/>
      <c r="O51" s="263"/>
      <c r="P51" s="263"/>
      <c r="Q51" s="263"/>
      <c r="R51" s="260"/>
      <c r="S51" s="260"/>
      <c r="T51" s="260"/>
    </row>
    <row r="52" spans="2:20" ht="14.25">
      <c r="B52" s="263" t="s">
        <v>197</v>
      </c>
      <c r="C52" s="294" t="s">
        <v>218</v>
      </c>
      <c r="D52" s="294"/>
      <c r="E52" s="294"/>
      <c r="F52" s="294"/>
      <c r="G52" s="294"/>
      <c r="H52" s="294"/>
      <c r="I52" s="294"/>
      <c r="J52" s="294"/>
      <c r="K52" s="294"/>
      <c r="L52" s="294"/>
      <c r="M52" s="294"/>
      <c r="N52" s="294"/>
      <c r="O52" s="294"/>
      <c r="P52" s="294"/>
      <c r="Q52" s="294"/>
      <c r="R52" s="260"/>
      <c r="S52" s="260"/>
      <c r="T52" s="260"/>
    </row>
    <row r="53" spans="2:20" ht="14.25">
      <c r="B53" s="263" t="s">
        <v>198</v>
      </c>
      <c r="C53" s="262" t="s">
        <v>199</v>
      </c>
      <c r="D53" s="262"/>
      <c r="E53" s="262"/>
      <c r="F53" s="262"/>
      <c r="G53" s="262"/>
      <c r="H53" s="262"/>
      <c r="I53" s="262"/>
      <c r="J53" s="262"/>
      <c r="K53" s="262"/>
      <c r="L53" s="262"/>
      <c r="M53" s="262"/>
      <c r="N53" s="262"/>
      <c r="O53" s="262"/>
      <c r="P53" s="262"/>
      <c r="Q53" s="262"/>
      <c r="R53" s="260"/>
      <c r="S53" s="260"/>
      <c r="T53" s="260"/>
    </row>
    <row r="54" spans="2:20" ht="14.25">
      <c r="B54" s="263" t="s">
        <v>193</v>
      </c>
      <c r="C54" s="262" t="s">
        <v>200</v>
      </c>
      <c r="D54" s="262"/>
      <c r="E54" s="262"/>
      <c r="F54" s="262"/>
      <c r="G54" s="262"/>
      <c r="H54" s="262"/>
      <c r="I54" s="262"/>
      <c r="J54" s="262"/>
      <c r="K54" s="262"/>
      <c r="L54" s="262"/>
      <c r="M54" s="262"/>
      <c r="N54" s="262"/>
      <c r="O54" s="262"/>
      <c r="P54" s="262"/>
      <c r="Q54" s="262"/>
      <c r="R54" s="260"/>
      <c r="S54" s="260"/>
      <c r="T54" s="260"/>
    </row>
    <row r="55" spans="2:20" ht="14.25">
      <c r="B55" s="263" t="s">
        <v>201</v>
      </c>
      <c r="C55" s="262" t="s">
        <v>202</v>
      </c>
      <c r="D55" s="262"/>
      <c r="E55" s="262"/>
      <c r="F55" s="262"/>
      <c r="G55" s="262"/>
      <c r="H55" s="262"/>
      <c r="I55" s="262"/>
      <c r="J55" s="262"/>
      <c r="K55" s="262"/>
      <c r="L55" s="262"/>
      <c r="M55" s="262"/>
      <c r="N55" s="262"/>
      <c r="O55" s="262"/>
      <c r="P55" s="262"/>
      <c r="Q55" s="262"/>
      <c r="R55" s="260"/>
      <c r="S55" s="260"/>
      <c r="T55" s="260"/>
    </row>
    <row r="56" spans="2:20" s="46" customFormat="1" ht="14.25">
      <c r="B56" s="264" t="s">
        <v>203</v>
      </c>
      <c r="C56" s="264" t="s">
        <v>204</v>
      </c>
      <c r="D56" s="264"/>
      <c r="E56" s="264"/>
      <c r="F56" s="264"/>
      <c r="G56" s="264"/>
      <c r="H56" s="264"/>
      <c r="I56" s="264"/>
      <c r="J56" s="264"/>
      <c r="K56" s="264"/>
      <c r="L56" s="264"/>
      <c r="M56" s="264"/>
      <c r="N56" s="264"/>
      <c r="O56" s="264"/>
      <c r="P56" s="264"/>
      <c r="Q56" s="264"/>
      <c r="R56" s="266"/>
      <c r="S56" s="266"/>
      <c r="T56" s="266"/>
    </row>
    <row r="57" spans="2:20" ht="14.25">
      <c r="B57" s="263"/>
      <c r="C57" s="262"/>
      <c r="D57" s="262"/>
      <c r="E57" s="262"/>
      <c r="F57" s="262"/>
      <c r="G57" s="262"/>
      <c r="H57" s="262"/>
      <c r="I57" s="262"/>
      <c r="J57" s="262"/>
      <c r="K57" s="262"/>
      <c r="L57" s="262"/>
      <c r="M57" s="262"/>
      <c r="N57" s="262"/>
      <c r="O57" s="262"/>
      <c r="P57" s="262"/>
      <c r="Q57" s="262"/>
      <c r="R57" s="260"/>
      <c r="S57" s="260"/>
      <c r="T57" s="260"/>
    </row>
    <row r="58" spans="2:20" ht="15">
      <c r="B58" s="261" t="s">
        <v>142</v>
      </c>
      <c r="C58" s="262"/>
      <c r="D58" s="262"/>
      <c r="E58" s="262"/>
      <c r="F58" s="262"/>
      <c r="G58" s="262"/>
      <c r="H58" s="262"/>
      <c r="I58" s="262"/>
      <c r="J58" s="262"/>
      <c r="K58" s="262"/>
      <c r="L58" s="262"/>
      <c r="M58" s="262"/>
      <c r="N58" s="262"/>
      <c r="O58" s="262"/>
      <c r="P58" s="262"/>
      <c r="Q58" s="262"/>
      <c r="R58" s="260"/>
      <c r="S58" s="260"/>
      <c r="T58" s="260"/>
    </row>
    <row r="59" spans="2:20" ht="14.25">
      <c r="B59" s="263" t="s">
        <v>197</v>
      </c>
      <c r="C59" s="294" t="s">
        <v>217</v>
      </c>
      <c r="D59" s="294"/>
      <c r="E59" s="294"/>
      <c r="F59" s="294"/>
      <c r="G59" s="294"/>
      <c r="H59" s="294"/>
      <c r="I59" s="294"/>
      <c r="J59" s="294"/>
      <c r="K59" s="294"/>
      <c r="L59" s="294"/>
      <c r="M59" s="294"/>
      <c r="N59" s="294"/>
      <c r="O59" s="294"/>
      <c r="P59" s="294"/>
      <c r="Q59" s="294"/>
      <c r="R59" s="260"/>
      <c r="S59" s="260"/>
      <c r="T59" s="260"/>
    </row>
    <row r="60" spans="2:20" ht="14.25">
      <c r="B60" s="263" t="s">
        <v>198</v>
      </c>
      <c r="C60" s="262" t="s">
        <v>199</v>
      </c>
      <c r="D60" s="265"/>
      <c r="E60" s="265"/>
      <c r="F60" s="265"/>
      <c r="G60" s="265"/>
      <c r="H60" s="265"/>
      <c r="I60" s="265"/>
      <c r="J60" s="265"/>
      <c r="K60" s="265"/>
      <c r="L60" s="265"/>
      <c r="M60" s="265"/>
      <c r="N60" s="265"/>
      <c r="O60" s="265"/>
      <c r="P60" s="265"/>
      <c r="Q60" s="265"/>
      <c r="R60" s="260"/>
      <c r="S60" s="260"/>
      <c r="T60" s="260"/>
    </row>
    <row r="61" spans="2:20" ht="14.25">
      <c r="B61" s="263" t="s">
        <v>193</v>
      </c>
      <c r="C61" s="262" t="s">
        <v>205</v>
      </c>
      <c r="D61" s="263"/>
      <c r="E61" s="263"/>
      <c r="F61" s="263"/>
      <c r="G61" s="263"/>
      <c r="H61" s="263"/>
      <c r="I61" s="263"/>
      <c r="J61" s="263"/>
      <c r="K61" s="263"/>
      <c r="L61" s="263"/>
      <c r="M61" s="263"/>
      <c r="N61" s="263"/>
      <c r="O61" s="263"/>
      <c r="P61" s="263"/>
      <c r="Q61" s="263"/>
      <c r="R61" s="260"/>
      <c r="S61" s="260"/>
      <c r="T61" s="260"/>
    </row>
    <row r="62" spans="2:20" ht="14.25">
      <c r="B62" s="263" t="s">
        <v>201</v>
      </c>
      <c r="C62" s="262" t="s">
        <v>206</v>
      </c>
      <c r="D62" s="263"/>
      <c r="E62" s="263"/>
      <c r="F62" s="263"/>
      <c r="G62" s="263"/>
      <c r="H62" s="263"/>
      <c r="I62" s="263"/>
      <c r="J62" s="263"/>
      <c r="K62" s="263"/>
      <c r="L62" s="263"/>
      <c r="M62" s="263"/>
      <c r="N62" s="263"/>
      <c r="O62" s="263"/>
      <c r="P62" s="263"/>
      <c r="Q62" s="263"/>
      <c r="R62" s="260"/>
      <c r="S62" s="260"/>
      <c r="T62" s="260"/>
    </row>
    <row r="63" spans="2:20" s="46" customFormat="1" ht="14.25">
      <c r="B63" s="264" t="s">
        <v>203</v>
      </c>
      <c r="C63" s="264" t="s">
        <v>204</v>
      </c>
      <c r="D63" s="264"/>
      <c r="E63" s="264"/>
      <c r="F63" s="264"/>
      <c r="G63" s="264"/>
      <c r="H63" s="264"/>
      <c r="I63" s="264"/>
      <c r="J63" s="264"/>
      <c r="K63" s="264"/>
      <c r="L63" s="264"/>
      <c r="M63" s="264"/>
      <c r="N63" s="264"/>
      <c r="O63" s="264"/>
      <c r="P63" s="264"/>
      <c r="Q63" s="264"/>
      <c r="R63" s="266"/>
      <c r="S63" s="266"/>
      <c r="T63" s="266"/>
    </row>
    <row r="64" spans="2:20" ht="14.25">
      <c r="B64" s="263"/>
      <c r="C64" s="262"/>
      <c r="D64" s="263"/>
      <c r="E64" s="263"/>
      <c r="F64" s="263"/>
      <c r="G64" s="263"/>
      <c r="H64" s="263"/>
      <c r="I64" s="263"/>
      <c r="J64" s="263"/>
      <c r="K64" s="263"/>
      <c r="L64" s="263"/>
      <c r="M64" s="263"/>
      <c r="N64" s="263"/>
      <c r="O64" s="263"/>
      <c r="P64" s="263"/>
      <c r="Q64" s="263"/>
      <c r="R64" s="260"/>
      <c r="S64" s="260"/>
      <c r="T64" s="260"/>
    </row>
    <row r="65" spans="2:20" ht="15">
      <c r="B65" s="261" t="s">
        <v>143</v>
      </c>
      <c r="C65" s="262"/>
      <c r="D65" s="263"/>
      <c r="E65" s="263"/>
      <c r="F65" s="263"/>
      <c r="G65" s="263"/>
      <c r="H65" s="263"/>
      <c r="I65" s="263"/>
      <c r="J65" s="263"/>
      <c r="K65" s="263"/>
      <c r="L65" s="263"/>
      <c r="M65" s="263"/>
      <c r="N65" s="263"/>
      <c r="O65" s="263"/>
      <c r="P65" s="263"/>
      <c r="Q65" s="263"/>
      <c r="R65" s="260"/>
      <c r="S65" s="260"/>
      <c r="T65" s="260"/>
    </row>
    <row r="66" spans="2:20" ht="14.25">
      <c r="B66" s="263" t="s">
        <v>188</v>
      </c>
      <c r="C66" s="262" t="s">
        <v>210</v>
      </c>
      <c r="D66" s="263"/>
      <c r="E66" s="263"/>
      <c r="F66" s="263"/>
      <c r="G66" s="263"/>
      <c r="H66" s="263"/>
      <c r="I66" s="263"/>
      <c r="J66" s="263"/>
      <c r="K66" s="263"/>
      <c r="L66" s="263"/>
      <c r="M66" s="263"/>
      <c r="N66" s="263"/>
      <c r="O66" s="263"/>
      <c r="P66" s="263"/>
      <c r="Q66" s="263"/>
      <c r="R66" s="260"/>
      <c r="S66" s="260"/>
      <c r="T66" s="260"/>
    </row>
    <row r="67" spans="2:20" ht="14.25">
      <c r="B67" s="263"/>
      <c r="C67" s="262"/>
      <c r="D67" s="263"/>
      <c r="E67" s="263"/>
      <c r="F67" s="263"/>
      <c r="G67" s="263"/>
      <c r="H67" s="263"/>
      <c r="I67" s="263"/>
      <c r="J67" s="263"/>
      <c r="K67" s="263"/>
      <c r="L67" s="263"/>
      <c r="M67" s="263"/>
      <c r="N67" s="263"/>
      <c r="O67" s="263"/>
      <c r="P67" s="263"/>
      <c r="Q67" s="263"/>
      <c r="R67" s="260"/>
      <c r="S67" s="260"/>
      <c r="T67" s="260"/>
    </row>
    <row r="68" spans="2:20" ht="15">
      <c r="B68" s="261" t="s">
        <v>10</v>
      </c>
      <c r="C68" s="262"/>
      <c r="D68" s="263"/>
      <c r="E68" s="263"/>
      <c r="F68" s="263"/>
      <c r="G68" s="263"/>
      <c r="H68" s="263"/>
      <c r="I68" s="263"/>
      <c r="J68" s="263"/>
      <c r="K68" s="263"/>
      <c r="L68" s="263"/>
      <c r="M68" s="263"/>
      <c r="N68" s="263"/>
      <c r="O68" s="263"/>
      <c r="P68" s="263"/>
      <c r="Q68" s="263"/>
      <c r="R68" s="260"/>
      <c r="S68" s="260"/>
      <c r="T68" s="260"/>
    </row>
    <row r="69" spans="2:20" ht="14.25">
      <c r="B69" s="263" t="s">
        <v>207</v>
      </c>
      <c r="C69" s="262" t="s">
        <v>208</v>
      </c>
      <c r="D69" s="263"/>
      <c r="E69" s="263"/>
      <c r="F69" s="263"/>
      <c r="G69" s="263"/>
      <c r="H69" s="263"/>
      <c r="I69" s="263"/>
      <c r="J69" s="263"/>
      <c r="K69" s="263"/>
      <c r="L69" s="263"/>
      <c r="M69" s="263"/>
      <c r="N69" s="263"/>
      <c r="O69" s="263"/>
      <c r="P69" s="263"/>
      <c r="Q69" s="263"/>
      <c r="R69" s="260"/>
      <c r="S69" s="260"/>
      <c r="T69" s="260"/>
    </row>
    <row r="70" spans="2:20" ht="14.25">
      <c r="B70" s="263" t="s">
        <v>209</v>
      </c>
      <c r="C70" s="262" t="s">
        <v>214</v>
      </c>
      <c r="D70" s="263"/>
      <c r="E70" s="263"/>
      <c r="F70" s="263"/>
      <c r="G70" s="263"/>
      <c r="H70" s="263"/>
      <c r="I70" s="263"/>
      <c r="J70" s="263"/>
      <c r="K70" s="263"/>
      <c r="L70" s="263"/>
      <c r="M70" s="263"/>
      <c r="N70" s="263"/>
      <c r="O70" s="263"/>
      <c r="P70" s="263"/>
      <c r="Q70" s="263"/>
      <c r="R70" s="260"/>
      <c r="S70" s="260"/>
      <c r="T70" s="260"/>
    </row>
  </sheetData>
  <mergeCells count="2">
    <mergeCell ref="C52:Q52"/>
    <mergeCell ref="C59:Q59"/>
  </mergeCells>
  <pageMargins left="0.33" right="0.28999999999999998" top="0.984251969" bottom="0.984251969" header="0.49212598499999999" footer="0.49212598499999999"/>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Y11"/>
  <sheetViews>
    <sheetView showGridLines="0" zoomScaleNormal="100" workbookViewId="0">
      <pane xSplit="2" ySplit="6" topLeftCell="L7" activePane="bottomRight" state="frozen"/>
      <selection activeCell="N12" sqref="N12"/>
      <selection pane="topRight" activeCell="N12" sqref="N12"/>
      <selection pane="bottomLeft" activeCell="N12" sqref="N12"/>
      <selection pane="bottomRight" activeCell="V13" sqref="V13"/>
    </sheetView>
  </sheetViews>
  <sheetFormatPr defaultColWidth="9.140625" defaultRowHeight="12.75"/>
  <cols>
    <col min="1" max="1" width="2.140625" style="42" customWidth="1"/>
    <col min="2" max="2" width="32.140625" style="42" customWidth="1"/>
    <col min="3" max="19" width="9.7109375" style="42" customWidth="1"/>
    <col min="20" max="21" width="9.140625" style="42"/>
    <col min="22" max="25" width="9.85546875" style="42" bestFit="1" customWidth="1"/>
    <col min="26" max="16384" width="9.140625" style="42"/>
  </cols>
  <sheetData>
    <row r="2" spans="2:25" ht="13.5" customHeight="1"/>
    <row r="4" spans="2:25" ht="20.25" customHeight="1"/>
    <row r="5" spans="2:25">
      <c r="B5" s="60"/>
    </row>
    <row r="6" spans="2:25" s="46" customFormat="1" ht="14.25" customHeight="1" thickBot="1">
      <c r="B6" s="108" t="s">
        <v>172</v>
      </c>
      <c r="C6" s="81" t="s">
        <v>42</v>
      </c>
      <c r="D6" s="81" t="s">
        <v>43</v>
      </c>
      <c r="E6" s="81" t="s">
        <v>44</v>
      </c>
      <c r="F6" s="81" t="s">
        <v>45</v>
      </c>
      <c r="G6" s="81" t="s">
        <v>46</v>
      </c>
      <c r="H6" s="81" t="s">
        <v>47</v>
      </c>
      <c r="I6" s="81" t="s">
        <v>48</v>
      </c>
      <c r="J6" s="81" t="s">
        <v>49</v>
      </c>
      <c r="K6" s="81" t="s">
        <v>50</v>
      </c>
      <c r="L6" s="81" t="s">
        <v>51</v>
      </c>
      <c r="M6" s="81" t="s">
        <v>52</v>
      </c>
      <c r="N6" s="81" t="s">
        <v>54</v>
      </c>
      <c r="O6" s="81" t="s">
        <v>57</v>
      </c>
      <c r="P6" s="81" t="s">
        <v>160</v>
      </c>
      <c r="Q6" s="81" t="s">
        <v>164</v>
      </c>
      <c r="R6" s="81" t="s">
        <v>174</v>
      </c>
      <c r="S6" s="81" t="s">
        <v>294</v>
      </c>
      <c r="V6" s="81">
        <v>2018</v>
      </c>
      <c r="W6" s="81">
        <v>2019</v>
      </c>
      <c r="X6" s="81">
        <v>2020</v>
      </c>
      <c r="Y6" s="81">
        <v>2021</v>
      </c>
    </row>
    <row r="7" spans="2:25" s="46" customFormat="1" ht="14.25" customHeight="1" thickTop="1">
      <c r="B7" s="76" t="s">
        <v>187</v>
      </c>
      <c r="C7" s="156">
        <v>3475.1692026476303</v>
      </c>
      <c r="D7" s="156">
        <v>1999.8556016330122</v>
      </c>
      <c r="E7" s="156">
        <v>5643.7309160939622</v>
      </c>
      <c r="F7" s="156">
        <v>36811.23227962535</v>
      </c>
      <c r="G7" s="156">
        <v>5711.3846610599976</v>
      </c>
      <c r="H7" s="156">
        <v>6621.8033512799993</v>
      </c>
      <c r="I7" s="156">
        <v>9864.8503189080002</v>
      </c>
      <c r="J7" s="156">
        <v>42464.33455846399</v>
      </c>
      <c r="K7" s="156">
        <v>15570.548193095998</v>
      </c>
      <c r="L7" s="156">
        <v>20261.394220988001</v>
      </c>
      <c r="M7" s="156">
        <v>18181.756396284007</v>
      </c>
      <c r="N7" s="156">
        <v>12685.462189631999</v>
      </c>
      <c r="O7" s="156">
        <v>11376.9548</v>
      </c>
      <c r="P7" s="156">
        <v>13302.90792</v>
      </c>
      <c r="Q7" s="156">
        <v>18972.104629999998</v>
      </c>
      <c r="R7" s="156">
        <v>53376.798699999999</v>
      </c>
      <c r="S7" s="156">
        <v>66194.416310000015</v>
      </c>
      <c r="V7" s="156">
        <f>SUM(C7:F7)</f>
        <v>47929.987999999954</v>
      </c>
      <c r="W7" s="156">
        <f>SUM(G7:J7)</f>
        <v>64662.372889711987</v>
      </c>
      <c r="X7" s="156">
        <f>SUM(K7:N7)</f>
        <v>66699.161000000007</v>
      </c>
      <c r="Y7" s="156">
        <f>SUM(O7:R7)</f>
        <v>97028.766049999991</v>
      </c>
    </row>
    <row r="8" spans="2:25" s="46" customFormat="1" ht="14.25" customHeight="1">
      <c r="B8" s="78" t="s">
        <v>19</v>
      </c>
      <c r="C8" s="156">
        <v>17235.073036531809</v>
      </c>
      <c r="D8" s="156">
        <v>22282.829516112808</v>
      </c>
      <c r="E8" s="156">
        <v>35744.262024069874</v>
      </c>
      <c r="F8" s="156">
        <v>53327.498033285476</v>
      </c>
      <c r="G8" s="156">
        <v>32104.058741162517</v>
      </c>
      <c r="H8" s="156">
        <v>33177.024944685742</v>
      </c>
      <c r="I8" s="156">
        <v>34298.031829075917</v>
      </c>
      <c r="J8" s="156">
        <v>103255.28785478818</v>
      </c>
      <c r="K8" s="156">
        <v>21975.299440442395</v>
      </c>
      <c r="L8" s="156">
        <v>15282.6962855736</v>
      </c>
      <c r="M8" s="156">
        <v>42164.805361829196</v>
      </c>
      <c r="N8" s="156">
        <v>84283.850912154987</v>
      </c>
      <c r="O8" s="156">
        <v>19888.411315999994</v>
      </c>
      <c r="P8" s="156">
        <v>25346.336642000002</v>
      </c>
      <c r="Q8" s="156">
        <v>43119.176951999994</v>
      </c>
      <c r="R8" s="156">
        <v>111279.60913435367</v>
      </c>
      <c r="S8" s="156">
        <v>33503.709909999998</v>
      </c>
      <c r="V8" s="156">
        <f t="shared" ref="V8:V10" si="0">SUM(C8:F8)</f>
        <v>128589.66260999997</v>
      </c>
      <c r="W8" s="156">
        <f t="shared" ref="W8:W10" si="1">SUM(G8:J8)</f>
        <v>202834.40336971235</v>
      </c>
      <c r="X8" s="156">
        <f t="shared" ref="X8:X10" si="2">SUM(K8:N8)</f>
        <v>163706.65200000018</v>
      </c>
      <c r="Y8" s="156">
        <f t="shared" ref="Y8:Y10" si="3">SUM(O8:R8)</f>
        <v>199633.53404435364</v>
      </c>
    </row>
    <row r="9" spans="2:25" s="46" customFormat="1" ht="14.25" customHeight="1">
      <c r="B9" s="78" t="s">
        <v>173</v>
      </c>
      <c r="C9" s="139">
        <v>11336.325279395029</v>
      </c>
      <c r="D9" s="139">
        <v>15449.04884947541</v>
      </c>
      <c r="E9" s="139">
        <v>25361.631329043586</v>
      </c>
      <c r="F9" s="139">
        <v>31665.303932085983</v>
      </c>
      <c r="G9" s="139">
        <v>17591.243292947984</v>
      </c>
      <c r="H9" s="139">
        <v>30067.678797780012</v>
      </c>
      <c r="I9" s="139">
        <v>41291.312696400004</v>
      </c>
      <c r="J9" s="139">
        <v>22752.917732871982</v>
      </c>
      <c r="K9" s="139">
        <v>21799.665828095996</v>
      </c>
      <c r="L9" s="139">
        <v>28188.455677824</v>
      </c>
      <c r="M9" s="139">
        <v>23055.789278495991</v>
      </c>
      <c r="N9" s="139">
        <v>48270.269215583983</v>
      </c>
      <c r="O9" s="156">
        <v>17213.225599999994</v>
      </c>
      <c r="P9" s="156">
        <v>53864.744979999959</v>
      </c>
      <c r="Q9" s="156">
        <v>65632.899650000007</v>
      </c>
      <c r="R9" s="156">
        <v>36316.183140000045</v>
      </c>
      <c r="S9" s="156">
        <v>46435.458849999981</v>
      </c>
      <c r="V9" s="156">
        <f t="shared" si="0"/>
        <v>83812.309390000009</v>
      </c>
      <c r="W9" s="156">
        <f t="shared" si="1"/>
        <v>111703.15251999997</v>
      </c>
      <c r="X9" s="156">
        <f t="shared" si="2"/>
        <v>121314.17999999996</v>
      </c>
      <c r="Y9" s="156">
        <f t="shared" si="3"/>
        <v>173027.05336999998</v>
      </c>
    </row>
    <row r="10" spans="2:25" ht="15.75" thickBot="1">
      <c r="B10" s="75" t="s">
        <v>175</v>
      </c>
      <c r="C10" s="236">
        <f t="shared" ref="C10:S10" si="4">SUM(C7:C9)</f>
        <v>32046.567518574469</v>
      </c>
      <c r="D10" s="236">
        <f t="shared" si="4"/>
        <v>39731.733967221226</v>
      </c>
      <c r="E10" s="236">
        <f t="shared" si="4"/>
        <v>66749.624269207416</v>
      </c>
      <c r="F10" s="236">
        <f t="shared" si="4"/>
        <v>121804.03424499682</v>
      </c>
      <c r="G10" s="236">
        <f t="shared" si="4"/>
        <v>55406.686695170501</v>
      </c>
      <c r="H10" s="236">
        <f t="shared" si="4"/>
        <v>69866.507093745749</v>
      </c>
      <c r="I10" s="236">
        <f t="shared" si="4"/>
        <v>85454.194844383921</v>
      </c>
      <c r="J10" s="236">
        <f t="shared" si="4"/>
        <v>168472.54014612417</v>
      </c>
      <c r="K10" s="236">
        <f t="shared" si="4"/>
        <v>59345.513461634386</v>
      </c>
      <c r="L10" s="236">
        <f t="shared" si="4"/>
        <v>63732.546184385603</v>
      </c>
      <c r="M10" s="236">
        <f t="shared" si="4"/>
        <v>83402.351036609194</v>
      </c>
      <c r="N10" s="236">
        <f t="shared" si="4"/>
        <v>145239.58231737098</v>
      </c>
      <c r="O10" s="236">
        <f t="shared" si="4"/>
        <v>48478.591715999988</v>
      </c>
      <c r="P10" s="236">
        <f t="shared" si="4"/>
        <v>92513.989541999967</v>
      </c>
      <c r="Q10" s="236">
        <f t="shared" si="4"/>
        <v>127724.181232</v>
      </c>
      <c r="R10" s="236">
        <f t="shared" si="4"/>
        <v>200972.59097435372</v>
      </c>
      <c r="S10" s="236">
        <f t="shared" si="4"/>
        <v>146133.58506999997</v>
      </c>
      <c r="V10" s="236">
        <f t="shared" si="0"/>
        <v>260331.95999999993</v>
      </c>
      <c r="W10" s="236">
        <f t="shared" si="1"/>
        <v>379199.92877942434</v>
      </c>
      <c r="X10" s="236">
        <f t="shared" si="2"/>
        <v>351719.99300000013</v>
      </c>
      <c r="Y10" s="236">
        <f t="shared" si="3"/>
        <v>469689.35346435371</v>
      </c>
    </row>
    <row r="11" spans="2:25" ht="15">
      <c r="B11" s="120"/>
      <c r="C11" s="121"/>
      <c r="D11" s="121"/>
      <c r="E11" s="121"/>
      <c r="F11" s="121"/>
      <c r="G11" s="121"/>
      <c r="H11" s="121"/>
      <c r="I11" s="121"/>
      <c r="J11" s="121"/>
      <c r="K11" s="121"/>
      <c r="L11" s="121"/>
      <c r="M11" s="121"/>
      <c r="N11" s="121"/>
      <c r="O11" s="121"/>
      <c r="P11" s="121"/>
      <c r="Q11" s="121"/>
      <c r="R11" s="121"/>
      <c r="S11" s="121"/>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V7:Y10"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27"/>
  <sheetViews>
    <sheetView showGridLines="0" topLeftCell="A13" zoomScaleNormal="100" workbookViewId="0"/>
  </sheetViews>
  <sheetFormatPr defaultColWidth="9.140625" defaultRowHeight="12.75"/>
  <cols>
    <col min="1" max="1" width="2.140625" style="19" customWidth="1"/>
    <col min="2" max="2" width="23" style="19" customWidth="1"/>
    <col min="3" max="3" width="11.42578125" style="19" customWidth="1"/>
    <col min="4" max="11" width="9.140625" style="19"/>
    <col min="12" max="12" width="12.5703125" style="19" bestFit="1" customWidth="1"/>
    <col min="13" max="16384" width="9.140625" style="19"/>
  </cols>
  <sheetData>
    <row r="4" spans="2:13" ht="26.25" customHeight="1"/>
    <row r="5" spans="2:13" ht="16.5" customHeight="1"/>
    <row r="6" spans="2:13" ht="19.5" customHeight="1">
      <c r="B6" s="90" t="s">
        <v>59</v>
      </c>
      <c r="C6" s="83"/>
      <c r="D6" s="83"/>
      <c r="E6" s="20"/>
      <c r="F6" s="20"/>
      <c r="G6" s="20"/>
      <c r="H6" s="20"/>
      <c r="I6" s="20"/>
      <c r="J6" s="21"/>
      <c r="K6" s="21"/>
      <c r="L6" s="21"/>
      <c r="M6" s="21"/>
    </row>
    <row r="7" spans="2:13" ht="16.5" customHeight="1">
      <c r="B7" s="85" t="s">
        <v>168</v>
      </c>
      <c r="C7" s="84"/>
      <c r="D7" s="84"/>
      <c r="E7" s="84"/>
      <c r="F7" s="84"/>
      <c r="G7" s="22"/>
      <c r="H7" s="22"/>
      <c r="I7" s="22"/>
      <c r="J7" s="21"/>
      <c r="K7" s="21"/>
      <c r="L7" s="21"/>
      <c r="M7" s="21"/>
    </row>
    <row r="8" spans="2:13" ht="18.75" customHeight="1">
      <c r="B8" s="85" t="s">
        <v>67</v>
      </c>
      <c r="C8" s="84"/>
      <c r="D8" s="84"/>
      <c r="E8" s="84"/>
      <c r="F8" s="84"/>
      <c r="G8" s="22"/>
      <c r="H8" s="22"/>
      <c r="I8" s="22"/>
      <c r="J8" s="21"/>
      <c r="K8" s="21"/>
      <c r="L8" s="21"/>
      <c r="M8" s="21"/>
    </row>
    <row r="9" spans="2:13" ht="19.5" customHeight="1">
      <c r="B9" s="85" t="s">
        <v>68</v>
      </c>
      <c r="C9" s="84"/>
      <c r="D9" s="84"/>
      <c r="E9" s="84"/>
      <c r="F9" s="84"/>
      <c r="G9" s="22"/>
      <c r="H9" s="22"/>
      <c r="I9" s="22"/>
      <c r="J9" s="21"/>
      <c r="K9" s="21"/>
      <c r="L9" s="21"/>
      <c r="M9" s="21"/>
    </row>
    <row r="10" spans="2:13" ht="18" customHeight="1">
      <c r="B10" s="85" t="s">
        <v>69</v>
      </c>
      <c r="C10" s="84"/>
      <c r="D10" s="84"/>
      <c r="E10" s="84"/>
      <c r="F10" s="84"/>
      <c r="G10" s="22"/>
      <c r="H10" s="22"/>
      <c r="I10" s="22"/>
      <c r="J10" s="21"/>
      <c r="K10" s="21"/>
      <c r="L10" s="21"/>
      <c r="M10" s="21"/>
    </row>
    <row r="11" spans="2:13" ht="19.5" customHeight="1">
      <c r="B11" s="85" t="s">
        <v>70</v>
      </c>
      <c r="C11" s="84"/>
      <c r="D11" s="84"/>
      <c r="E11" s="84"/>
      <c r="F11" s="84"/>
      <c r="G11" s="22"/>
      <c r="H11" s="22"/>
      <c r="I11" s="22"/>
      <c r="J11" s="21"/>
      <c r="K11" s="21"/>
      <c r="L11" s="24"/>
      <c r="M11" s="21"/>
    </row>
    <row r="12" spans="2:13" ht="16.5" customHeight="1">
      <c r="B12" s="86"/>
      <c r="C12" s="87"/>
      <c r="D12" s="87"/>
      <c r="E12" s="87"/>
      <c r="F12" s="87"/>
      <c r="G12" s="25"/>
      <c r="H12" s="25"/>
      <c r="I12" s="25"/>
      <c r="J12" s="26"/>
      <c r="K12" s="26"/>
      <c r="L12" s="26"/>
      <c r="M12" s="26"/>
    </row>
    <row r="13" spans="2:13" ht="21" customHeight="1">
      <c r="B13" s="82" t="s">
        <v>60</v>
      </c>
      <c r="C13" s="88"/>
      <c r="D13" s="89"/>
      <c r="E13" s="89"/>
      <c r="F13" s="89"/>
      <c r="G13" s="28"/>
      <c r="H13" s="28"/>
      <c r="I13" s="28"/>
    </row>
    <row r="14" spans="2:13" ht="15.75" customHeight="1">
      <c r="B14" s="29"/>
      <c r="C14" s="27"/>
      <c r="D14" s="28"/>
      <c r="E14" s="28"/>
      <c r="F14" s="28"/>
      <c r="G14" s="28"/>
      <c r="H14" s="28"/>
      <c r="I14" s="28"/>
    </row>
    <row r="15" spans="2:13">
      <c r="B15" s="29"/>
      <c r="C15" s="27"/>
      <c r="D15" s="28"/>
      <c r="E15" s="28"/>
      <c r="F15" s="30"/>
      <c r="G15" s="28"/>
      <c r="H15" s="28"/>
      <c r="I15" s="28"/>
    </row>
    <row r="16" spans="2:13" ht="18" customHeight="1">
      <c r="B16" s="29"/>
      <c r="C16" s="31" t="s">
        <v>36</v>
      </c>
      <c r="D16" s="27"/>
      <c r="E16" s="28"/>
      <c r="F16" s="28"/>
      <c r="G16" s="28"/>
      <c r="H16" s="28"/>
      <c r="I16" s="28"/>
      <c r="J16" s="28"/>
    </row>
    <row r="17" spans="2:13" ht="8.4499999999999993" customHeight="1">
      <c r="B17" s="28"/>
      <c r="C17" s="32"/>
      <c r="D17" s="28"/>
      <c r="E17" s="28"/>
      <c r="F17" s="28"/>
      <c r="G17" s="28"/>
      <c r="H17" s="28"/>
      <c r="I17" s="28"/>
    </row>
    <row r="18" spans="2:13">
      <c r="B18" s="33"/>
      <c r="C18" s="32"/>
      <c r="D18" s="28"/>
      <c r="E18" s="28"/>
      <c r="F18" s="28"/>
      <c r="G18" s="28"/>
      <c r="H18" s="28"/>
      <c r="I18" s="28"/>
    </row>
    <row r="19" spans="2:13" ht="13.5" customHeight="1">
      <c r="B19" s="34"/>
      <c r="C19" s="34"/>
      <c r="D19" s="34"/>
      <c r="E19" s="34"/>
      <c r="F19" s="34"/>
      <c r="G19" s="34"/>
      <c r="H19" s="34"/>
      <c r="I19" s="34"/>
    </row>
    <row r="20" spans="2:13" ht="14.25" customHeight="1">
      <c r="B20" s="34"/>
      <c r="C20" s="34"/>
      <c r="D20" s="34"/>
      <c r="E20" s="34"/>
      <c r="F20" s="34"/>
      <c r="G20" s="34"/>
      <c r="H20" s="34"/>
      <c r="I20" s="34"/>
    </row>
    <row r="21" spans="2:13">
      <c r="B21" s="34"/>
      <c r="C21" s="34"/>
      <c r="D21" s="34"/>
      <c r="E21" s="34"/>
      <c r="F21" s="34"/>
      <c r="G21" s="34"/>
      <c r="H21" s="34"/>
      <c r="I21" s="34"/>
    </row>
    <row r="22" spans="2:13" ht="12" customHeight="1">
      <c r="B22" s="34"/>
      <c r="C22" s="34"/>
      <c r="D22" s="34"/>
      <c r="E22" s="34"/>
      <c r="F22" s="34"/>
      <c r="G22" s="34"/>
      <c r="H22" s="34"/>
      <c r="I22" s="34"/>
    </row>
    <row r="23" spans="2:13" ht="19.350000000000001" customHeight="1">
      <c r="B23" s="28"/>
      <c r="C23" s="35"/>
      <c r="D23" s="35"/>
      <c r="E23" s="35"/>
      <c r="F23" s="35"/>
      <c r="G23" s="35"/>
      <c r="H23" s="35"/>
      <c r="I23" s="35"/>
      <c r="J23" s="35"/>
      <c r="K23" s="35"/>
      <c r="L23" s="35"/>
      <c r="M23" s="35"/>
    </row>
    <row r="24" spans="2:13">
      <c r="B24" s="35"/>
      <c r="C24" s="35"/>
      <c r="D24" s="35"/>
      <c r="E24" s="35"/>
      <c r="F24" s="35"/>
      <c r="G24" s="35"/>
      <c r="H24" s="35"/>
      <c r="I24" s="35"/>
      <c r="J24" s="35"/>
      <c r="K24" s="35"/>
      <c r="L24" s="35"/>
      <c r="M24" s="35"/>
    </row>
    <row r="25" spans="2:13">
      <c r="B25" s="35"/>
      <c r="C25" s="35"/>
      <c r="D25" s="35"/>
      <c r="E25" s="35"/>
      <c r="F25" s="35"/>
      <c r="G25" s="35"/>
      <c r="H25" s="35"/>
      <c r="I25" s="35"/>
      <c r="J25" s="35"/>
      <c r="K25" s="35"/>
      <c r="L25" s="35"/>
      <c r="M25" s="35"/>
    </row>
    <row r="26" spans="2:13">
      <c r="B26" s="35"/>
      <c r="C26" s="35"/>
      <c r="D26" s="35"/>
      <c r="E26" s="35"/>
      <c r="F26" s="35"/>
      <c r="G26" s="35"/>
      <c r="H26" s="35"/>
      <c r="I26" s="35"/>
      <c r="J26" s="35"/>
      <c r="K26" s="35"/>
      <c r="L26" s="35"/>
      <c r="M26" s="35"/>
    </row>
    <row r="27" spans="2:13" ht="20.45" customHeight="1">
      <c r="B27" s="34"/>
      <c r="C27" s="34"/>
      <c r="D27" s="34"/>
      <c r="E27" s="34"/>
      <c r="F27" s="34"/>
      <c r="G27" s="34"/>
      <c r="H27" s="34"/>
      <c r="I27" s="34"/>
      <c r="J27" s="34"/>
      <c r="K27" s="34"/>
      <c r="L27" s="34"/>
      <c r="M27" s="34"/>
    </row>
  </sheetData>
  <phoneticPr fontId="2"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49"/>
  <sheetViews>
    <sheetView showGridLines="0" topLeftCell="A37" zoomScaleNormal="100" workbookViewId="0">
      <selection activeCell="B71" sqref="B71"/>
    </sheetView>
  </sheetViews>
  <sheetFormatPr defaultColWidth="9.140625" defaultRowHeight="12.75"/>
  <cols>
    <col min="1" max="1" width="10.140625" style="19" customWidth="1"/>
    <col min="2" max="2" width="23.140625" style="19" customWidth="1"/>
    <col min="3" max="3" width="12.140625" style="19" customWidth="1"/>
    <col min="4" max="4" width="8.140625" style="19" customWidth="1"/>
    <col min="5" max="5" width="22.42578125" style="19" customWidth="1"/>
    <col min="6" max="6" width="6.85546875" style="19" customWidth="1"/>
    <col min="7" max="7" width="13.85546875" style="19" customWidth="1"/>
    <col min="8" max="8" width="7" style="19" customWidth="1"/>
    <col min="9" max="9" width="9.140625" style="19"/>
    <col min="10" max="10" width="5.7109375" style="19" customWidth="1"/>
    <col min="11" max="16384" width="9.140625" style="19"/>
  </cols>
  <sheetData>
    <row r="3" spans="2:12" ht="58.5" customHeight="1"/>
    <row r="4" spans="2:12" ht="15" customHeight="1">
      <c r="B4" s="23" t="s">
        <v>144</v>
      </c>
    </row>
    <row r="7" spans="2:12" ht="18.75" customHeight="1"/>
    <row r="8" spans="2:12">
      <c r="L8" s="36"/>
    </row>
    <row r="17" ht="6" customHeight="1"/>
    <row r="33" spans="1:11" ht="15.75">
      <c r="B33" s="110" t="s">
        <v>149</v>
      </c>
    </row>
    <row r="34" spans="1:11" ht="66.599999999999994" customHeight="1">
      <c r="B34" s="289" t="s">
        <v>146</v>
      </c>
      <c r="C34" s="289"/>
      <c r="D34" s="289"/>
      <c r="E34" s="289"/>
      <c r="F34" s="289"/>
      <c r="G34" s="289"/>
      <c r="H34" s="289"/>
      <c r="I34" s="289"/>
      <c r="J34" s="289"/>
      <c r="K34" s="111"/>
    </row>
    <row r="35" spans="1:11" ht="15.75">
      <c r="B35" s="110" t="s">
        <v>150</v>
      </c>
    </row>
    <row r="36" spans="1:11" ht="69" customHeight="1">
      <c r="B36" s="289" t="s">
        <v>151</v>
      </c>
      <c r="C36" s="289"/>
      <c r="D36" s="289"/>
      <c r="E36" s="289"/>
      <c r="F36" s="289"/>
      <c r="G36" s="289"/>
      <c r="H36" s="289"/>
      <c r="I36" s="289"/>
      <c r="J36" s="289"/>
    </row>
    <row r="37" spans="1:11" ht="15.75">
      <c r="B37" s="110" t="s">
        <v>152</v>
      </c>
    </row>
    <row r="38" spans="1:11" ht="93.75" customHeight="1">
      <c r="B38" s="289" t="s">
        <v>153</v>
      </c>
      <c r="C38" s="289"/>
      <c r="D38" s="289"/>
      <c r="E38" s="289"/>
      <c r="F38" s="289"/>
      <c r="G38" s="289"/>
      <c r="H38" s="289"/>
      <c r="I38" s="289"/>
      <c r="J38" s="289"/>
    </row>
    <row r="39" spans="1:11" ht="15.75">
      <c r="B39" s="110" t="s">
        <v>154</v>
      </c>
    </row>
    <row r="40" spans="1:11" ht="47.1" customHeight="1">
      <c r="B40" s="289" t="s">
        <v>147</v>
      </c>
      <c r="C40" s="289"/>
      <c r="D40" s="289"/>
      <c r="E40" s="289"/>
      <c r="F40" s="289"/>
      <c r="G40" s="289"/>
      <c r="H40" s="289"/>
      <c r="I40" s="289"/>
      <c r="J40" s="289"/>
    </row>
    <row r="41" spans="1:11" ht="15.75">
      <c r="B41" s="110" t="s">
        <v>155</v>
      </c>
    </row>
    <row r="42" spans="1:11" ht="32.450000000000003" customHeight="1">
      <c r="B42" s="289" t="s">
        <v>148</v>
      </c>
      <c r="C42" s="289"/>
      <c r="D42" s="289"/>
      <c r="E42" s="289"/>
      <c r="F42" s="289"/>
      <c r="G42" s="289"/>
      <c r="H42" s="289"/>
      <c r="I42" s="289"/>
      <c r="J42" s="289"/>
    </row>
    <row r="43" spans="1:11" ht="15.75">
      <c r="B43" s="110" t="s">
        <v>156</v>
      </c>
    </row>
    <row r="44" spans="1:11" ht="105" customHeight="1">
      <c r="B44" s="289" t="s">
        <v>157</v>
      </c>
      <c r="C44" s="289"/>
      <c r="D44" s="289"/>
      <c r="E44" s="289"/>
      <c r="F44" s="289"/>
      <c r="G44" s="289"/>
      <c r="H44" s="289"/>
      <c r="I44" s="289"/>
      <c r="J44" s="289"/>
    </row>
    <row r="45" spans="1:11" ht="26.25" customHeight="1">
      <c r="B45" s="110" t="s">
        <v>38</v>
      </c>
      <c r="G45" s="37"/>
      <c r="H45" s="112" t="s">
        <v>37</v>
      </c>
      <c r="I45" s="112"/>
    </row>
    <row r="46" spans="1:11" ht="24.75" customHeight="1"/>
    <row r="47" spans="1:11" ht="11.25" hidden="1" customHeight="1"/>
    <row r="48" spans="1:11" ht="54" hidden="1" customHeight="1">
      <c r="A48" s="38"/>
      <c r="B48" s="39"/>
    </row>
    <row r="49" spans="2:2" ht="18" hidden="1" customHeight="1">
      <c r="B49" s="23"/>
    </row>
  </sheetData>
  <mergeCells count="6">
    <mergeCell ref="B44:J44"/>
    <mergeCell ref="B34:J34"/>
    <mergeCell ref="B36:J36"/>
    <mergeCell ref="B38:J38"/>
    <mergeCell ref="B40:J40"/>
    <mergeCell ref="B42:J42"/>
  </mergeCells>
  <phoneticPr fontId="2" type="noConversion"/>
  <hyperlinks>
    <hyperlink ref="H45"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872C-CF4C-4049-A267-6A5063B75177}">
  <sheetPr>
    <pageSetUpPr fitToPage="1"/>
  </sheetPr>
  <dimension ref="A3:I72"/>
  <sheetViews>
    <sheetView showGridLines="0" topLeftCell="A13" zoomScaleNormal="100" zoomScaleSheetLayoutView="160" workbookViewId="0">
      <selection activeCell="A10" sqref="A10"/>
    </sheetView>
  </sheetViews>
  <sheetFormatPr defaultColWidth="9.140625" defaultRowHeight="12.75"/>
  <cols>
    <col min="1" max="1" width="23" style="19" bestFit="1" customWidth="1"/>
    <col min="2" max="2" width="9.5703125" style="19" customWidth="1"/>
    <col min="3" max="6" width="16.7109375" style="19" customWidth="1"/>
    <col min="7" max="7" width="28.28515625" style="19" bestFit="1" customWidth="1"/>
    <col min="8" max="8" width="28.28515625" style="19" customWidth="1"/>
    <col min="9" max="9" width="20.5703125" style="19" bestFit="1" customWidth="1"/>
    <col min="10" max="16384" width="9.140625" style="19"/>
  </cols>
  <sheetData>
    <row r="3" spans="1:9" ht="58.5" customHeight="1">
      <c r="A3" s="110" t="s">
        <v>219</v>
      </c>
      <c r="B3" s="110"/>
    </row>
    <row r="4" spans="1:9" ht="12.75" customHeight="1">
      <c r="A4" s="291" t="s">
        <v>220</v>
      </c>
      <c r="B4" s="291"/>
      <c r="C4" s="291"/>
      <c r="D4" s="291"/>
      <c r="E4" s="291"/>
      <c r="F4" s="291"/>
      <c r="G4" s="291"/>
      <c r="H4" s="267"/>
    </row>
    <row r="5" spans="1:9" ht="12.75" customHeight="1">
      <c r="A5" s="291"/>
      <c r="B5" s="291"/>
      <c r="C5" s="291"/>
      <c r="D5" s="291"/>
      <c r="E5" s="291"/>
      <c r="F5" s="291"/>
      <c r="G5" s="291"/>
      <c r="H5" s="267"/>
    </row>
    <row r="6" spans="1:9" ht="12.75" customHeight="1">
      <c r="A6" s="291"/>
      <c r="B6" s="291"/>
      <c r="C6" s="291"/>
      <c r="D6" s="291"/>
      <c r="E6" s="291"/>
      <c r="F6" s="291"/>
      <c r="G6" s="291"/>
      <c r="H6" s="267"/>
    </row>
    <row r="7" spans="1:9" ht="12.75" customHeight="1">
      <c r="A7" s="291"/>
      <c r="B7" s="291"/>
      <c r="C7" s="291"/>
      <c r="D7" s="291"/>
      <c r="E7" s="291"/>
      <c r="F7" s="291"/>
      <c r="G7" s="291"/>
      <c r="H7" s="267"/>
    </row>
    <row r="8" spans="1:9" ht="12.75" customHeight="1">
      <c r="A8" s="292"/>
      <c r="B8" s="292"/>
      <c r="C8" s="292"/>
      <c r="D8" s="292"/>
      <c r="E8" s="292"/>
      <c r="F8" s="292"/>
      <c r="G8" s="292"/>
      <c r="H8" s="268"/>
    </row>
    <row r="9" spans="1:9" ht="30.75" thickBot="1">
      <c r="A9" s="269" t="s">
        <v>221</v>
      </c>
      <c r="B9" s="270" t="s">
        <v>222</v>
      </c>
      <c r="C9" s="271" t="s">
        <v>223</v>
      </c>
      <c r="D9" s="271" t="s">
        <v>224</v>
      </c>
      <c r="E9" s="271" t="s">
        <v>225</v>
      </c>
      <c r="F9" s="271" t="s">
        <v>226</v>
      </c>
      <c r="G9" s="271" t="s">
        <v>227</v>
      </c>
      <c r="H9" s="271" t="s">
        <v>228</v>
      </c>
      <c r="I9" s="271" t="s">
        <v>229</v>
      </c>
    </row>
    <row r="10" spans="1:9" ht="12.75" customHeight="1" thickTop="1">
      <c r="A10" s="272" t="s">
        <v>230</v>
      </c>
      <c r="B10" s="273" t="s">
        <v>231</v>
      </c>
      <c r="C10" s="274">
        <v>1</v>
      </c>
      <c r="D10" s="275">
        <v>72</v>
      </c>
      <c r="E10" s="275">
        <v>46.23</v>
      </c>
      <c r="F10" s="275" t="s">
        <v>232</v>
      </c>
      <c r="G10" s="275" t="s">
        <v>233</v>
      </c>
      <c r="H10" s="275" t="s">
        <v>234</v>
      </c>
      <c r="I10" s="276" t="s">
        <v>235</v>
      </c>
    </row>
    <row r="11" spans="1:9" ht="12.75" customHeight="1">
      <c r="A11" s="277" t="s">
        <v>236</v>
      </c>
      <c r="B11" s="278" t="s">
        <v>231</v>
      </c>
      <c r="C11" s="279">
        <v>1</v>
      </c>
      <c r="D11" s="275">
        <v>40.4</v>
      </c>
      <c r="E11" s="275">
        <v>27.4</v>
      </c>
      <c r="F11" s="275" t="s">
        <v>232</v>
      </c>
      <c r="G11" s="275" t="s">
        <v>233</v>
      </c>
      <c r="H11" s="275" t="s">
        <v>234</v>
      </c>
      <c r="I11" s="276">
        <v>53662</v>
      </c>
    </row>
    <row r="12" spans="1:9" ht="12.75" customHeight="1">
      <c r="A12" s="272" t="s">
        <v>237</v>
      </c>
      <c r="B12" s="273" t="s">
        <v>231</v>
      </c>
      <c r="C12" s="279">
        <v>1</v>
      </c>
      <c r="D12" s="275">
        <v>36.4</v>
      </c>
      <c r="E12" s="275">
        <v>25.11</v>
      </c>
      <c r="F12" s="275" t="s">
        <v>232</v>
      </c>
      <c r="G12" s="275" t="s">
        <v>233</v>
      </c>
      <c r="H12" s="275" t="s">
        <v>234</v>
      </c>
      <c r="I12" s="276">
        <v>53662</v>
      </c>
    </row>
    <row r="13" spans="1:9" ht="12.75" customHeight="1">
      <c r="A13" s="277" t="s">
        <v>238</v>
      </c>
      <c r="B13" s="278" t="s">
        <v>231</v>
      </c>
      <c r="C13" s="279">
        <v>1</v>
      </c>
      <c r="D13" s="275">
        <v>29.5</v>
      </c>
      <c r="E13" s="275">
        <v>17.690000000000001</v>
      </c>
      <c r="F13" s="275" t="s">
        <v>232</v>
      </c>
      <c r="G13" s="275" t="s">
        <v>233</v>
      </c>
      <c r="H13" s="275" t="s">
        <v>234</v>
      </c>
      <c r="I13" s="276">
        <v>53662</v>
      </c>
    </row>
    <row r="14" spans="1:9" ht="12.75" customHeight="1">
      <c r="A14" s="272" t="s">
        <v>239</v>
      </c>
      <c r="B14" s="273" t="s">
        <v>231</v>
      </c>
      <c r="C14" s="279">
        <v>1</v>
      </c>
      <c r="D14" s="275">
        <v>28.4</v>
      </c>
      <c r="E14" s="275">
        <v>19.41</v>
      </c>
      <c r="F14" s="275" t="s">
        <v>232</v>
      </c>
      <c r="G14" s="275" t="s">
        <v>233</v>
      </c>
      <c r="H14" s="275" t="s">
        <v>234</v>
      </c>
      <c r="I14" s="276">
        <v>53662</v>
      </c>
    </row>
    <row r="15" spans="1:9" ht="12.75" customHeight="1">
      <c r="A15" s="277" t="s">
        <v>240</v>
      </c>
      <c r="B15" s="278" t="s">
        <v>231</v>
      </c>
      <c r="C15" s="279">
        <v>1</v>
      </c>
      <c r="D15" s="275">
        <v>24</v>
      </c>
      <c r="E15" s="275">
        <v>16.55</v>
      </c>
      <c r="F15" s="275" t="s">
        <v>232</v>
      </c>
      <c r="G15" s="275" t="s">
        <v>233</v>
      </c>
      <c r="H15" s="275" t="s">
        <v>234</v>
      </c>
      <c r="I15" s="276">
        <v>53662</v>
      </c>
    </row>
    <row r="16" spans="1:9" ht="12.75" customHeight="1">
      <c r="A16" s="272" t="s">
        <v>241</v>
      </c>
      <c r="B16" s="273" t="s">
        <v>231</v>
      </c>
      <c r="C16" s="279">
        <v>1</v>
      </c>
      <c r="D16" s="275">
        <v>36.869999999999997</v>
      </c>
      <c r="E16" s="275">
        <v>26.83</v>
      </c>
      <c r="F16" s="275" t="s">
        <v>232</v>
      </c>
      <c r="G16" s="275" t="s">
        <v>233</v>
      </c>
      <c r="H16" s="275" t="s">
        <v>234</v>
      </c>
      <c r="I16" s="276" t="s">
        <v>242</v>
      </c>
    </row>
    <row r="17" spans="1:9" ht="12.75" customHeight="1">
      <c r="A17" s="277" t="s">
        <v>243</v>
      </c>
      <c r="B17" s="278" t="s">
        <v>231</v>
      </c>
      <c r="C17" s="279">
        <v>1</v>
      </c>
      <c r="D17" s="275">
        <v>55</v>
      </c>
      <c r="E17" s="275">
        <v>17.12</v>
      </c>
      <c r="F17" s="275" t="s">
        <v>232</v>
      </c>
      <c r="G17" s="275" t="s">
        <v>244</v>
      </c>
      <c r="H17" s="275" t="s">
        <v>234</v>
      </c>
      <c r="I17" s="276">
        <v>45323</v>
      </c>
    </row>
    <row r="18" spans="1:9" ht="12.75" customHeight="1">
      <c r="A18" s="272" t="s">
        <v>245</v>
      </c>
      <c r="B18" s="273" t="s">
        <v>231</v>
      </c>
      <c r="C18" s="279">
        <v>1</v>
      </c>
      <c r="D18" s="275">
        <v>7.2</v>
      </c>
      <c r="E18" s="275">
        <v>3.42</v>
      </c>
      <c r="F18" s="275" t="s">
        <v>232</v>
      </c>
      <c r="G18" s="275" t="s">
        <v>244</v>
      </c>
      <c r="H18" s="275" t="s">
        <v>234</v>
      </c>
      <c r="I18" s="276">
        <v>46174</v>
      </c>
    </row>
    <row r="19" spans="1:9" ht="12.75" customHeight="1">
      <c r="A19" s="277" t="s">
        <v>246</v>
      </c>
      <c r="B19" s="278" t="s">
        <v>231</v>
      </c>
      <c r="C19" s="279">
        <v>1</v>
      </c>
      <c r="D19" s="275">
        <v>2.2400000000000002</v>
      </c>
      <c r="E19" s="275">
        <v>1.67</v>
      </c>
      <c r="F19" s="275" t="s">
        <v>232</v>
      </c>
      <c r="G19" s="275" t="s">
        <v>244</v>
      </c>
      <c r="H19" s="275" t="s">
        <v>234</v>
      </c>
      <c r="I19" s="276" t="s">
        <v>247</v>
      </c>
    </row>
    <row r="20" spans="1:9" ht="12.75" customHeight="1">
      <c r="A20" s="272" t="s">
        <v>248</v>
      </c>
      <c r="B20" s="273" t="s">
        <v>231</v>
      </c>
      <c r="C20" s="279">
        <v>1</v>
      </c>
      <c r="D20" s="275">
        <v>3</v>
      </c>
      <c r="E20" s="275">
        <v>2.48</v>
      </c>
      <c r="F20" s="275" t="s">
        <v>232</v>
      </c>
      <c r="G20" s="275" t="s">
        <v>244</v>
      </c>
      <c r="H20" s="275" t="s">
        <v>234</v>
      </c>
      <c r="I20" s="276" t="s">
        <v>247</v>
      </c>
    </row>
    <row r="21" spans="1:9" ht="12.75" customHeight="1">
      <c r="A21" s="277" t="s">
        <v>249</v>
      </c>
      <c r="B21" s="278" t="s">
        <v>250</v>
      </c>
      <c r="C21" s="279">
        <v>1</v>
      </c>
      <c r="D21" s="275">
        <v>60</v>
      </c>
      <c r="E21" s="275">
        <v>37.799999999999997</v>
      </c>
      <c r="F21" s="275" t="s">
        <v>251</v>
      </c>
      <c r="G21" s="275" t="s">
        <v>252</v>
      </c>
      <c r="H21" s="275" t="s">
        <v>234</v>
      </c>
      <c r="I21" s="276">
        <v>45108</v>
      </c>
    </row>
    <row r="22" spans="1:9" ht="12.75" customHeight="1">
      <c r="A22" s="272" t="s">
        <v>253</v>
      </c>
      <c r="B22" s="273" t="s">
        <v>231</v>
      </c>
      <c r="C22" s="279">
        <v>1</v>
      </c>
      <c r="D22" s="275">
        <v>80</v>
      </c>
      <c r="E22" s="275">
        <v>40.4</v>
      </c>
      <c r="F22" s="275" t="s">
        <v>251</v>
      </c>
      <c r="G22" s="275" t="s">
        <v>254</v>
      </c>
      <c r="H22" s="275" t="s">
        <v>234</v>
      </c>
      <c r="I22" s="276">
        <v>12389</v>
      </c>
    </row>
    <row r="23" spans="1:9" ht="12.75" customHeight="1">
      <c r="A23" s="277" t="s">
        <v>255</v>
      </c>
      <c r="B23" s="278" t="s">
        <v>231</v>
      </c>
      <c r="C23" s="279">
        <v>1</v>
      </c>
      <c r="D23" s="275">
        <v>44</v>
      </c>
      <c r="E23" s="275">
        <v>23.3</v>
      </c>
      <c r="F23" s="275" t="s">
        <v>251</v>
      </c>
      <c r="G23" s="275" t="s">
        <v>254</v>
      </c>
      <c r="H23" s="275" t="s">
        <v>234</v>
      </c>
      <c r="I23" s="276">
        <v>12966</v>
      </c>
    </row>
    <row r="24" spans="1:9" ht="12.75" customHeight="1">
      <c r="A24" s="272" t="s">
        <v>256</v>
      </c>
      <c r="B24" s="273" t="s">
        <v>257</v>
      </c>
      <c r="C24" s="279">
        <v>1</v>
      </c>
      <c r="D24" s="275">
        <v>93</v>
      </c>
      <c r="E24" s="275">
        <v>57.8</v>
      </c>
      <c r="F24" s="275" t="s">
        <v>251</v>
      </c>
      <c r="G24" s="275" t="s">
        <v>258</v>
      </c>
      <c r="H24" s="275" t="s">
        <v>234</v>
      </c>
      <c r="I24" s="276">
        <v>13850</v>
      </c>
    </row>
    <row r="25" spans="1:9" ht="12.75" customHeight="1">
      <c r="A25" s="277" t="s">
        <v>259</v>
      </c>
      <c r="B25" s="278" t="s">
        <v>260</v>
      </c>
      <c r="C25" s="280">
        <v>0.6</v>
      </c>
      <c r="D25" s="275">
        <v>115.13</v>
      </c>
      <c r="E25" s="275">
        <v>68.459999999999994</v>
      </c>
      <c r="F25" s="275" t="s">
        <v>251</v>
      </c>
      <c r="G25" s="275" t="s">
        <v>261</v>
      </c>
      <c r="H25" s="275" t="s">
        <v>234</v>
      </c>
      <c r="I25" s="276">
        <v>13606</v>
      </c>
    </row>
    <row r="26" spans="1:9" ht="12.75" customHeight="1">
      <c r="A26" s="277" t="s">
        <v>262</v>
      </c>
      <c r="B26" s="278" t="s">
        <v>231</v>
      </c>
      <c r="C26" s="280">
        <v>0.503</v>
      </c>
      <c r="D26" s="275">
        <v>41.5</v>
      </c>
      <c r="E26" s="275">
        <v>27.26</v>
      </c>
      <c r="F26" s="275" t="s">
        <v>251</v>
      </c>
      <c r="G26" s="275" t="s">
        <v>263</v>
      </c>
      <c r="H26" s="275" t="s">
        <v>234</v>
      </c>
      <c r="I26" s="276">
        <v>12236</v>
      </c>
    </row>
    <row r="27" spans="1:9" ht="12.75" customHeight="1">
      <c r="A27" s="277" t="s">
        <v>264</v>
      </c>
      <c r="B27" s="278" t="s">
        <v>231</v>
      </c>
      <c r="C27" s="280">
        <v>0.503</v>
      </c>
      <c r="D27" s="275">
        <v>36.22</v>
      </c>
      <c r="E27" s="275">
        <v>22.94</v>
      </c>
      <c r="F27" s="275" t="s">
        <v>251</v>
      </c>
      <c r="G27" s="275" t="s">
        <v>263</v>
      </c>
      <c r="H27" s="275" t="s">
        <v>234</v>
      </c>
      <c r="I27" s="276">
        <v>12236</v>
      </c>
    </row>
    <row r="28" spans="1:9" ht="12.75" customHeight="1">
      <c r="A28" s="277" t="s">
        <v>265</v>
      </c>
      <c r="B28" s="278" t="s">
        <v>260</v>
      </c>
      <c r="C28" s="280">
        <v>0.27500000000000002</v>
      </c>
      <c r="D28" s="275">
        <v>313.76</v>
      </c>
      <c r="E28" s="275">
        <v>135.16999999999999</v>
      </c>
      <c r="F28" s="275" t="s">
        <v>251</v>
      </c>
      <c r="G28" s="275" t="s">
        <v>266</v>
      </c>
      <c r="H28" s="275" t="s">
        <v>267</v>
      </c>
      <c r="I28" s="276">
        <v>11871</v>
      </c>
    </row>
    <row r="29" spans="1:9" ht="12.75" customHeight="1">
      <c r="A29" s="277" t="s">
        <v>268</v>
      </c>
      <c r="B29" s="278" t="s">
        <v>260</v>
      </c>
      <c r="C29" s="280">
        <v>0.23799999999999999</v>
      </c>
      <c r="D29" s="275">
        <v>209.26400000000001</v>
      </c>
      <c r="E29" s="275">
        <f>379.7*23.78%</f>
        <v>90.292659999999998</v>
      </c>
      <c r="F29" s="275" t="s">
        <v>251</v>
      </c>
      <c r="G29" s="275" t="s">
        <v>269</v>
      </c>
      <c r="H29" s="275" t="s">
        <v>270</v>
      </c>
      <c r="I29" s="276">
        <v>12905</v>
      </c>
    </row>
    <row r="30" spans="1:9" ht="12.75" customHeight="1">
      <c r="A30" s="277" t="s">
        <v>271</v>
      </c>
      <c r="B30" s="278" t="s">
        <v>272</v>
      </c>
      <c r="C30" s="280">
        <v>0.15</v>
      </c>
      <c r="D30" s="275">
        <v>103.5</v>
      </c>
      <c r="E30" s="275">
        <v>55.92</v>
      </c>
      <c r="F30" s="275" t="s">
        <v>251</v>
      </c>
      <c r="G30" s="275" t="s">
        <v>273</v>
      </c>
      <c r="H30" s="275" t="s">
        <v>270</v>
      </c>
      <c r="I30" s="276">
        <v>13271</v>
      </c>
    </row>
    <row r="31" spans="1:9" ht="12.75" customHeight="1" thickBot="1">
      <c r="A31" s="269" t="s">
        <v>0</v>
      </c>
      <c r="B31" s="269"/>
      <c r="C31" s="269"/>
      <c r="D31" s="270">
        <v>1431.4</v>
      </c>
      <c r="E31" s="281">
        <v>763.25</v>
      </c>
      <c r="F31" s="269"/>
      <c r="G31" s="269"/>
      <c r="H31" s="269"/>
      <c r="I31" s="269"/>
    </row>
    <row r="32" spans="1:9" ht="12.75" customHeight="1" thickTop="1"/>
    <row r="33" spans="1:9" ht="12.75" customHeight="1">
      <c r="A33" s="289" t="s">
        <v>292</v>
      </c>
      <c r="B33" s="289"/>
      <c r="C33" s="289"/>
      <c r="D33" s="289"/>
      <c r="E33" s="289"/>
      <c r="F33" s="289"/>
      <c r="G33" s="289"/>
      <c r="H33" s="289"/>
      <c r="I33" s="289"/>
    </row>
    <row r="34" spans="1:9" ht="12.75" customHeight="1">
      <c r="A34" s="289" t="s">
        <v>274</v>
      </c>
      <c r="B34" s="289"/>
      <c r="C34" s="289"/>
      <c r="D34" s="289"/>
      <c r="E34" s="289"/>
      <c r="F34" s="289"/>
      <c r="G34" s="282"/>
      <c r="H34" s="282"/>
      <c r="I34" s="282"/>
    </row>
    <row r="35" spans="1:9" ht="12.75" customHeight="1">
      <c r="A35" s="289" t="s">
        <v>275</v>
      </c>
      <c r="B35" s="289"/>
      <c r="C35" s="289"/>
      <c r="D35" s="282"/>
      <c r="E35" s="282"/>
      <c r="F35" s="282"/>
      <c r="G35" s="282"/>
      <c r="H35" s="282"/>
      <c r="I35" s="282"/>
    </row>
    <row r="36" spans="1:9" ht="12.75" customHeight="1"/>
    <row r="37" spans="1:9" ht="12.75" customHeight="1">
      <c r="A37" s="110" t="s">
        <v>276</v>
      </c>
      <c r="B37" s="110"/>
    </row>
    <row r="38" spans="1:9" ht="12.75" customHeight="1">
      <c r="A38" s="290" t="s">
        <v>277</v>
      </c>
      <c r="B38" s="290"/>
      <c r="C38" s="290"/>
      <c r="D38" s="283">
        <f>D17+D18+D19+D20</f>
        <v>67.44</v>
      </c>
    </row>
    <row r="39" spans="1:9" ht="12.75" customHeight="1">
      <c r="A39" s="290" t="s">
        <v>278</v>
      </c>
      <c r="B39" s="290"/>
      <c r="C39" s="290"/>
      <c r="D39" s="283">
        <f>D10+D11+D12+D13+D14+D15+D16</f>
        <v>267.57</v>
      </c>
    </row>
    <row r="40" spans="1:9" ht="12.75" customHeight="1">
      <c r="C40" s="284" t="s">
        <v>0</v>
      </c>
      <c r="D40" s="285">
        <f>SUM(D38:D39)</f>
        <v>335.01</v>
      </c>
      <c r="E40" s="286"/>
    </row>
    <row r="41" spans="1:9" ht="12.75" customHeight="1">
      <c r="D41" s="286">
        <f>D40/D31</f>
        <v>0.23404359368450467</v>
      </c>
    </row>
    <row r="42" spans="1:9" ht="12.75" customHeight="1"/>
    <row r="43" spans="1:9" ht="12.75" customHeight="1"/>
    <row r="44" spans="1:9" ht="12.75" customHeight="1"/>
    <row r="67" spans="1:7">
      <c r="A67" s="287" t="s">
        <v>279</v>
      </c>
    </row>
    <row r="68" spans="1:7">
      <c r="A68" s="287"/>
    </row>
    <row r="69" spans="1:7" s="147" customFormat="1" ht="12.75" customHeight="1" thickBot="1">
      <c r="A69" s="288" t="s">
        <v>280</v>
      </c>
      <c r="B69" s="288"/>
      <c r="C69" s="288"/>
      <c r="D69" s="288"/>
      <c r="E69" s="288"/>
      <c r="F69" s="288"/>
      <c r="G69" s="288"/>
    </row>
    <row r="70" spans="1:7" ht="12.75" customHeight="1" thickTop="1">
      <c r="A70" s="287" t="s">
        <v>281</v>
      </c>
      <c r="B70" s="287"/>
    </row>
    <row r="71" spans="1:7" ht="12.75" customHeight="1">
      <c r="A71" s="287" t="s">
        <v>282</v>
      </c>
      <c r="B71" s="287"/>
    </row>
    <row r="72" spans="1:7" ht="12.75" customHeight="1">
      <c r="A72" s="287" t="s">
        <v>283</v>
      </c>
      <c r="B72" s="287"/>
    </row>
  </sheetData>
  <mergeCells count="7">
    <mergeCell ref="A39:C39"/>
    <mergeCell ref="A4:G7"/>
    <mergeCell ref="A8:G8"/>
    <mergeCell ref="A33:I33"/>
    <mergeCell ref="A34:F34"/>
    <mergeCell ref="A35:C35"/>
    <mergeCell ref="A38:C38"/>
  </mergeCells>
  <pageMargins left="0.35433070866141736" right="0.31496062992125984" top="0.39370078740157483" bottom="0.23622047244094491" header="0.35433070866141736" footer="0.27559055118110237"/>
  <pageSetup paperSize="9" scale="7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AA32"/>
  <sheetViews>
    <sheetView showGridLines="0" zoomScale="90" zoomScaleNormal="90" zoomScaleSheetLayoutView="90" workbookViewId="0">
      <pane xSplit="2" ySplit="7" topLeftCell="O20" activePane="bottomRight" state="frozen"/>
      <selection activeCell="Q15" sqref="Q15"/>
      <selection pane="topRight" activeCell="Q15" sqref="Q15"/>
      <selection pane="bottomLeft" activeCell="Q15" sqref="Q15"/>
      <selection pane="bottomRight" activeCell="V9" sqref="V9"/>
    </sheetView>
  </sheetViews>
  <sheetFormatPr defaultColWidth="9.140625" defaultRowHeight="12.75"/>
  <cols>
    <col min="1" max="1" width="2.140625" style="42" customWidth="1"/>
    <col min="2" max="2" width="41.42578125" style="42" customWidth="1"/>
    <col min="3" max="3" width="11.140625" style="42" customWidth="1"/>
    <col min="4" max="11" width="9.140625" style="42" customWidth="1"/>
    <col min="12" max="12" width="9.140625" style="42"/>
    <col min="13" max="14" width="9.140625" style="42" customWidth="1"/>
    <col min="15" max="15" width="10.42578125" style="42" customWidth="1"/>
    <col min="16" max="16" width="9.85546875" style="42" bestFit="1" customWidth="1"/>
    <col min="17" max="16384" width="9.140625" style="42"/>
  </cols>
  <sheetData>
    <row r="1" spans="1:27">
      <c r="A1" s="19"/>
      <c r="B1" s="41"/>
    </row>
    <row r="2" spans="1:27">
      <c r="A2" s="19"/>
      <c r="B2" s="41"/>
    </row>
    <row r="3" spans="1:27">
      <c r="A3" s="19"/>
      <c r="B3" s="41"/>
    </row>
    <row r="4" spans="1:27" ht="21" customHeight="1">
      <c r="A4" s="19"/>
      <c r="B4" s="43"/>
    </row>
    <row r="5" spans="1:27">
      <c r="B5" s="71"/>
    </row>
    <row r="6" spans="1:27" ht="12" customHeight="1">
      <c r="B6" s="44"/>
      <c r="C6" s="293"/>
      <c r="D6" s="293"/>
      <c r="E6" s="293"/>
      <c r="F6" s="293"/>
      <c r="G6" s="293"/>
      <c r="H6" s="293"/>
      <c r="I6" s="293"/>
      <c r="J6" s="293"/>
      <c r="K6" s="293"/>
      <c r="L6" s="293"/>
      <c r="M6" s="293"/>
      <c r="N6" s="293"/>
      <c r="O6" s="293"/>
      <c r="P6" s="293"/>
      <c r="Q6" s="222"/>
      <c r="R6" s="237"/>
    </row>
    <row r="7" spans="1:27" s="34" customFormat="1" ht="14.25" customHeight="1" thickBot="1">
      <c r="B7" s="108" t="s">
        <v>65</v>
      </c>
      <c r="C7" s="62" t="s">
        <v>42</v>
      </c>
      <c r="D7" s="62" t="s">
        <v>43</v>
      </c>
      <c r="E7" s="62" t="s">
        <v>44</v>
      </c>
      <c r="F7" s="62" t="s">
        <v>45</v>
      </c>
      <c r="G7" s="62" t="s">
        <v>46</v>
      </c>
      <c r="H7" s="62" t="s">
        <v>47</v>
      </c>
      <c r="I7" s="62" t="s">
        <v>48</v>
      </c>
      <c r="J7" s="62" t="s">
        <v>49</v>
      </c>
      <c r="K7" s="62" t="s">
        <v>50</v>
      </c>
      <c r="L7" s="62" t="s">
        <v>51</v>
      </c>
      <c r="M7" s="62" t="s">
        <v>52</v>
      </c>
      <c r="N7" s="62" t="s">
        <v>54</v>
      </c>
      <c r="O7" s="62" t="s">
        <v>57</v>
      </c>
      <c r="P7" s="62" t="s">
        <v>160</v>
      </c>
      <c r="Q7" s="62" t="s">
        <v>164</v>
      </c>
      <c r="R7" s="62" t="s">
        <v>174</v>
      </c>
      <c r="S7" s="62" t="s">
        <v>294</v>
      </c>
      <c r="V7" s="62">
        <v>2018</v>
      </c>
      <c r="W7" s="62">
        <v>2019</v>
      </c>
      <c r="X7" s="62">
        <v>2020</v>
      </c>
      <c r="Y7" s="62">
        <v>2021</v>
      </c>
      <c r="AA7" s="62" t="s">
        <v>294</v>
      </c>
    </row>
    <row r="8" spans="1:27" ht="14.25" customHeight="1" thickTop="1">
      <c r="B8" s="45"/>
      <c r="L8" s="119"/>
      <c r="V8" s="295"/>
      <c r="W8" s="295"/>
      <c r="X8" s="295"/>
      <c r="Y8" s="295"/>
      <c r="AA8" s="295"/>
    </row>
    <row r="9" spans="1:27" s="34" customFormat="1" ht="15.75" thickBot="1">
      <c r="B9" s="67" t="s">
        <v>0</v>
      </c>
      <c r="C9" s="68">
        <f t="shared" ref="C9:R9" si="0">SUM(C10,C13,C17)</f>
        <v>112.89437155300001</v>
      </c>
      <c r="D9" s="68">
        <f t="shared" si="0"/>
        <v>108.97964737</v>
      </c>
      <c r="E9" s="68">
        <f t="shared" si="0"/>
        <v>113.08253432399999</v>
      </c>
      <c r="F9" s="68">
        <f t="shared" si="0"/>
        <v>107.871675829</v>
      </c>
      <c r="G9" s="68">
        <f t="shared" si="0"/>
        <v>103.44017012099999</v>
      </c>
      <c r="H9" s="68">
        <f t="shared" si="0"/>
        <v>100.370531649</v>
      </c>
      <c r="I9" s="68">
        <f t="shared" si="0"/>
        <v>101.44061324500002</v>
      </c>
      <c r="J9" s="68">
        <f t="shared" si="0"/>
        <v>93.765105867000003</v>
      </c>
      <c r="K9" s="68">
        <f t="shared" si="0"/>
        <v>106.24764933500001</v>
      </c>
      <c r="L9" s="68">
        <f t="shared" si="0"/>
        <v>93.516977307999994</v>
      </c>
      <c r="M9" s="68">
        <f t="shared" si="0"/>
        <v>123.194917874</v>
      </c>
      <c r="N9" s="68">
        <f t="shared" si="0"/>
        <v>118.13206369500001</v>
      </c>
      <c r="O9" s="68">
        <f t="shared" si="0"/>
        <v>119.73352715</v>
      </c>
      <c r="P9" s="68">
        <f t="shared" si="0"/>
        <v>119.32094736799999</v>
      </c>
      <c r="Q9" s="68">
        <f t="shared" si="0"/>
        <v>123.513382165</v>
      </c>
      <c r="R9" s="68">
        <f t="shared" si="0"/>
        <v>122.179759633</v>
      </c>
      <c r="S9" s="68">
        <f>SUM(S10,S13,S17)</f>
        <v>109</v>
      </c>
      <c r="V9" s="296">
        <v>1</v>
      </c>
      <c r="W9" s="296">
        <v>1</v>
      </c>
      <c r="X9" s="296">
        <v>1</v>
      </c>
      <c r="Y9" s="296">
        <v>1</v>
      </c>
      <c r="AA9" s="296">
        <v>1</v>
      </c>
    </row>
    <row r="10" spans="1:27" ht="14.25" customHeight="1" thickBot="1">
      <c r="B10" s="94" t="s">
        <v>141</v>
      </c>
      <c r="C10" s="95">
        <f>SUM(C11:C12)</f>
        <v>67.302429000000004</v>
      </c>
      <c r="D10" s="95">
        <f t="shared" ref="D10:Q10" si="1">SUM(D11:D12)</f>
        <v>62.631048899999996</v>
      </c>
      <c r="E10" s="95">
        <f t="shared" si="1"/>
        <v>61.544618</v>
      </c>
      <c r="F10" s="95">
        <f t="shared" si="1"/>
        <v>59.126366991000005</v>
      </c>
      <c r="G10" s="95">
        <f t="shared" si="1"/>
        <v>54.335425426999997</v>
      </c>
      <c r="H10" s="95">
        <f t="shared" si="1"/>
        <v>54.805229999999995</v>
      </c>
      <c r="I10" s="95">
        <f t="shared" si="1"/>
        <v>60.521159593</v>
      </c>
      <c r="J10" s="95">
        <f t="shared" si="1"/>
        <v>51.064089999999993</v>
      </c>
      <c r="K10" s="95">
        <f t="shared" si="1"/>
        <v>58.648728999999996</v>
      </c>
      <c r="L10" s="95">
        <f t="shared" si="1"/>
        <v>53.227482999999999</v>
      </c>
      <c r="M10" s="95">
        <f t="shared" si="1"/>
        <v>65.377861999999993</v>
      </c>
      <c r="N10" s="95">
        <f t="shared" si="1"/>
        <v>63.190384999999992</v>
      </c>
      <c r="O10" s="95">
        <f t="shared" si="1"/>
        <v>61.475999999999999</v>
      </c>
      <c r="P10" s="95">
        <f t="shared" si="1"/>
        <v>61.634</v>
      </c>
      <c r="Q10" s="95">
        <f t="shared" si="1"/>
        <v>62.716999999999999</v>
      </c>
      <c r="R10" s="95">
        <v>65.878</v>
      </c>
      <c r="S10" s="95">
        <f t="shared" ref="S10" si="2">SUM(S11:S12)</f>
        <v>52</v>
      </c>
      <c r="V10" s="297">
        <f>SUM(C10:F10)/SUM(C9:F9)</f>
        <v>0.56591799356131445</v>
      </c>
      <c r="W10" s="297">
        <f>SUM(G10:J10)/SUM($G$9:$J$9)</f>
        <v>0.55317499097430534</v>
      </c>
      <c r="X10" s="297">
        <f>SUM(K10:N10)/SUM($K$9:$N$9)</f>
        <v>0.5451122953226446</v>
      </c>
      <c r="Y10" s="297">
        <f>SUM(O10:R10)/SUM($O$9:$R$9)</f>
        <v>0.51924958788434172</v>
      </c>
      <c r="AA10" s="297">
        <f>S10/$S$9</f>
        <v>0.47706422018348627</v>
      </c>
    </row>
    <row r="11" spans="1:27" ht="14.25">
      <c r="B11" s="93" t="s">
        <v>72</v>
      </c>
      <c r="C11" s="66">
        <v>28.820508000000004</v>
      </c>
      <c r="D11" s="66">
        <v>19.130030999999999</v>
      </c>
      <c r="E11" s="66">
        <v>19.785311999999998</v>
      </c>
      <c r="F11" s="66">
        <v>15.902756990999999</v>
      </c>
      <c r="G11" s="66">
        <v>16.527532426999997</v>
      </c>
      <c r="H11" s="66">
        <v>12.984525999999997</v>
      </c>
      <c r="I11" s="66">
        <v>21.018723593000004</v>
      </c>
      <c r="J11" s="66">
        <v>16.730824999999996</v>
      </c>
      <c r="K11" s="66">
        <v>15.699796999999997</v>
      </c>
      <c r="L11" s="66">
        <v>38.591225999999999</v>
      </c>
      <c r="M11" s="66">
        <v>31.359652999999994</v>
      </c>
      <c r="N11" s="66">
        <v>23.252006999999995</v>
      </c>
      <c r="O11" s="66">
        <v>13.062580222000014</v>
      </c>
      <c r="P11" s="66">
        <v>9.706273999999997</v>
      </c>
      <c r="Q11" s="66">
        <v>9.2005250000000007</v>
      </c>
      <c r="R11" s="66">
        <v>15.667989</v>
      </c>
      <c r="S11" s="66">
        <v>14</v>
      </c>
      <c r="V11" s="298">
        <f>SUM(C11:F11)/SUM(C9:F9)</f>
        <v>0.18887370429278935</v>
      </c>
      <c r="W11" s="298">
        <f>SUM(G11:J11)/SUM($G$9:$J$9)</f>
        <v>0.16856851873745585</v>
      </c>
      <c r="X11" s="298">
        <f t="shared" ref="X11:X19" si="3">SUM(K11:N11)/SUM($K$9:$N$9)</f>
        <v>0.24689357261056427</v>
      </c>
      <c r="Y11" s="298">
        <f t="shared" ref="Y11:Y19" si="4">SUM(O11:R11)/SUM($O$9:$R$9)</f>
        <v>9.8272516704746182E-2</v>
      </c>
      <c r="AA11" s="298">
        <f t="shared" ref="AA11:AA19" si="5">S11/$S$9</f>
        <v>0.12844036697247707</v>
      </c>
    </row>
    <row r="12" spans="1:27" ht="14.25">
      <c r="B12" s="91" t="s">
        <v>73</v>
      </c>
      <c r="C12" s="69">
        <v>38.481921</v>
      </c>
      <c r="D12" s="69">
        <v>43.501017899999994</v>
      </c>
      <c r="E12" s="69">
        <v>41.759306000000002</v>
      </c>
      <c r="F12" s="69">
        <v>43.223610000000008</v>
      </c>
      <c r="G12" s="69">
        <v>37.807893</v>
      </c>
      <c r="H12" s="69">
        <v>41.820703999999999</v>
      </c>
      <c r="I12" s="69">
        <v>39.502435999999996</v>
      </c>
      <c r="J12" s="69">
        <v>34.333264999999997</v>
      </c>
      <c r="K12" s="69">
        <v>42.948931999999999</v>
      </c>
      <c r="L12" s="69">
        <v>14.636256999999999</v>
      </c>
      <c r="M12" s="69">
        <v>34.018208999999999</v>
      </c>
      <c r="N12" s="69">
        <v>39.938378</v>
      </c>
      <c r="O12" s="69">
        <v>48.413419777999984</v>
      </c>
      <c r="P12" s="69">
        <v>51.927726000000007</v>
      </c>
      <c r="Q12" s="69">
        <v>53.516475</v>
      </c>
      <c r="R12" s="69">
        <v>50.210011000000002</v>
      </c>
      <c r="S12" s="69">
        <v>38</v>
      </c>
      <c r="V12" s="299">
        <f>SUM(C12:F12)/SUM(C9:F9)</f>
        <v>0.37704428926852507</v>
      </c>
      <c r="W12" s="299">
        <f>SUM(G12:J12)/SUM($G$9:$J$9)</f>
        <v>0.38460647223684952</v>
      </c>
      <c r="X12" s="299">
        <f t="shared" si="3"/>
        <v>0.29821872271208033</v>
      </c>
      <c r="Y12" s="299">
        <f t="shared" si="4"/>
        <v>0.4209770711795956</v>
      </c>
      <c r="AA12" s="299">
        <f t="shared" si="5"/>
        <v>0.34862385321100919</v>
      </c>
    </row>
    <row r="13" spans="1:27" ht="15.75" thickBot="1">
      <c r="B13" s="67" t="s">
        <v>142</v>
      </c>
      <c r="C13" s="68">
        <f>SUM(C14:C16)</f>
        <v>21.849239433000001</v>
      </c>
      <c r="D13" s="68">
        <f t="shared" ref="D13:Q13" si="6">SUM(D14:D16)</f>
        <v>21.156238260000002</v>
      </c>
      <c r="E13" s="68">
        <f t="shared" si="6"/>
        <v>26.802773402</v>
      </c>
      <c r="F13" s="68">
        <f t="shared" si="6"/>
        <v>26.801142587999998</v>
      </c>
      <c r="G13" s="68">
        <f t="shared" si="6"/>
        <v>26.811185641999998</v>
      </c>
      <c r="H13" s="68">
        <f t="shared" si="6"/>
        <v>24.009905988999996</v>
      </c>
      <c r="I13" s="68">
        <f t="shared" si="6"/>
        <v>18.902411745999999</v>
      </c>
      <c r="J13" s="68">
        <f t="shared" si="6"/>
        <v>18.027284611000006</v>
      </c>
      <c r="K13" s="68">
        <f t="shared" si="6"/>
        <v>24.745711639000007</v>
      </c>
      <c r="L13" s="68">
        <f t="shared" si="6"/>
        <v>26.021858814000005</v>
      </c>
      <c r="M13" s="68">
        <f t="shared" si="6"/>
        <v>34.798597752999996</v>
      </c>
      <c r="N13" s="68">
        <f t="shared" si="6"/>
        <v>34.455406182000004</v>
      </c>
      <c r="O13" s="68">
        <f t="shared" si="6"/>
        <v>37.768581999999995</v>
      </c>
      <c r="P13" s="68">
        <f t="shared" si="6"/>
        <v>35.350337367999998</v>
      </c>
      <c r="Q13" s="68">
        <f t="shared" si="6"/>
        <v>38.164663165</v>
      </c>
      <c r="R13" s="68">
        <v>35.327348633</v>
      </c>
      <c r="S13" s="68">
        <f t="shared" ref="S13" si="7">SUM(S14:S16)</f>
        <v>33</v>
      </c>
      <c r="V13" s="296">
        <f>SUM(C13:F13)/SUM(C9:F9)</f>
        <v>0.21816448758152571</v>
      </c>
      <c r="W13" s="296">
        <f>SUM(G13:J13)/SUM($G$9:$J$9)</f>
        <v>0.21991773620251653</v>
      </c>
      <c r="X13" s="296">
        <f t="shared" si="3"/>
        <v>0.27210124190418639</v>
      </c>
      <c r="Y13" s="296">
        <f t="shared" si="4"/>
        <v>0.30244796721274941</v>
      </c>
      <c r="AA13" s="296">
        <f t="shared" si="5"/>
        <v>0.30275229357798167</v>
      </c>
    </row>
    <row r="14" spans="1:27" ht="14.25">
      <c r="B14" s="93" t="s">
        <v>75</v>
      </c>
      <c r="C14" s="66">
        <v>7.7414242700000013</v>
      </c>
      <c r="D14" s="66">
        <v>7.7920490820000001</v>
      </c>
      <c r="E14" s="66">
        <v>12.240301650999999</v>
      </c>
      <c r="F14" s="66">
        <v>11.628609453000001</v>
      </c>
      <c r="G14" s="66">
        <v>13.063120272999999</v>
      </c>
      <c r="H14" s="66">
        <v>9.2690898119999989</v>
      </c>
      <c r="I14" s="66">
        <v>6.9609749380000006</v>
      </c>
      <c r="J14" s="66">
        <v>6.7663581129999999</v>
      </c>
      <c r="K14" s="66">
        <v>8.313239982999999</v>
      </c>
      <c r="L14" s="66">
        <v>7.2726355590000002</v>
      </c>
      <c r="M14" s="66">
        <v>11.189902652000001</v>
      </c>
      <c r="N14" s="66">
        <v>12.549597534</v>
      </c>
      <c r="O14" s="66">
        <v>14.864000000000001</v>
      </c>
      <c r="P14" s="66">
        <v>13.696301757999999</v>
      </c>
      <c r="Q14" s="66">
        <v>15.148364015</v>
      </c>
      <c r="R14" s="66">
        <v>14.172973257999999</v>
      </c>
      <c r="S14" s="66">
        <v>13</v>
      </c>
      <c r="V14" s="301">
        <f>SUM(C14:F14)/SUM(C9:F9)</f>
        <v>8.8978935552994312E-2</v>
      </c>
      <c r="W14" s="301">
        <f t="shared" ref="W14:W19" si="8">SUM(G14:J14)/SUM($G$9:$J$9)</f>
        <v>9.0371075597071207E-2</v>
      </c>
      <c r="X14" s="301">
        <f t="shared" si="3"/>
        <v>8.9154667637882629E-2</v>
      </c>
      <c r="Y14" s="301">
        <f t="shared" si="4"/>
        <v>0.11940572182879552</v>
      </c>
      <c r="AA14" s="301">
        <f t="shared" si="5"/>
        <v>0.11926605504587157</v>
      </c>
    </row>
    <row r="15" spans="1:27" ht="14.25">
      <c r="B15" s="91" t="s">
        <v>140</v>
      </c>
      <c r="C15" s="69">
        <v>3.4224137699999999</v>
      </c>
      <c r="D15" s="69">
        <v>3.3780349230000026</v>
      </c>
      <c r="E15" s="69">
        <v>4.0994903209999993</v>
      </c>
      <c r="F15" s="69">
        <v>3.8977554830000001</v>
      </c>
      <c r="G15" s="69">
        <v>3.667836599000001</v>
      </c>
      <c r="H15" s="69">
        <v>3.8347721639999994</v>
      </c>
      <c r="I15" s="69">
        <v>4.3248990430000012</v>
      </c>
      <c r="J15" s="69">
        <v>4.261538748000004</v>
      </c>
      <c r="K15" s="69">
        <v>4.1067749030000025</v>
      </c>
      <c r="L15" s="69">
        <v>3.2280229950000017</v>
      </c>
      <c r="M15" s="69">
        <v>4.5709807050000002</v>
      </c>
      <c r="N15" s="69">
        <v>4.3858410380000006</v>
      </c>
      <c r="O15" s="69">
        <v>5.1710000000000003</v>
      </c>
      <c r="P15" s="69">
        <v>5.7569999999999997</v>
      </c>
      <c r="Q15" s="69">
        <v>5.5229999999999997</v>
      </c>
      <c r="R15" s="69">
        <v>4.5609999999999999</v>
      </c>
      <c r="S15" s="69">
        <v>4</v>
      </c>
      <c r="V15" s="300">
        <f>SUM(C15:F15)/SUM($C$9:$F$9)</f>
        <v>3.3416330589124126E-2</v>
      </c>
      <c r="W15" s="300">
        <f t="shared" si="8"/>
        <v>4.0321765501370121E-2</v>
      </c>
      <c r="X15" s="300">
        <f t="shared" si="3"/>
        <v>3.6934775764697461E-2</v>
      </c>
      <c r="Y15" s="300">
        <f t="shared" si="4"/>
        <v>4.3346267815998048E-2</v>
      </c>
      <c r="AA15" s="300">
        <f t="shared" si="5"/>
        <v>3.669724770642202E-2</v>
      </c>
    </row>
    <row r="16" spans="1:27" ht="14.25">
      <c r="B16" s="91" t="s">
        <v>74</v>
      </c>
      <c r="C16" s="69">
        <v>10.685401392999999</v>
      </c>
      <c r="D16" s="69">
        <v>9.9861542549999989</v>
      </c>
      <c r="E16" s="69">
        <v>10.462981430000001</v>
      </c>
      <c r="F16" s="69">
        <v>11.274777651999999</v>
      </c>
      <c r="G16" s="69">
        <v>10.080228769999998</v>
      </c>
      <c r="H16" s="69">
        <v>10.906044012999997</v>
      </c>
      <c r="I16" s="69">
        <v>7.6165377649999986</v>
      </c>
      <c r="J16" s="69">
        <v>6.9993877500000004</v>
      </c>
      <c r="K16" s="69">
        <v>12.325696753000004</v>
      </c>
      <c r="L16" s="69">
        <v>15.521200260000002</v>
      </c>
      <c r="M16" s="69">
        <v>19.037714395999998</v>
      </c>
      <c r="N16" s="69">
        <v>17.519967609999998</v>
      </c>
      <c r="O16" s="69">
        <v>17.733581999999995</v>
      </c>
      <c r="P16" s="69">
        <v>15.89703561</v>
      </c>
      <c r="Q16" s="69">
        <v>17.493299149999999</v>
      </c>
      <c r="R16" s="69">
        <v>16.593375375000004</v>
      </c>
      <c r="S16" s="69">
        <v>16</v>
      </c>
      <c r="V16" s="298">
        <f>SUM(C16:F16)/SUM($C$9:$F$9)</f>
        <v>9.5769221439407248E-2</v>
      </c>
      <c r="W16" s="298">
        <f t="shared" si="8"/>
        <v>8.9224895104075247E-2</v>
      </c>
      <c r="X16" s="298">
        <f t="shared" si="3"/>
        <v>0.14601179850160625</v>
      </c>
      <c r="Y16" s="298">
        <f t="shared" si="4"/>
        <v>0.13969597756795582</v>
      </c>
      <c r="AA16" s="298">
        <f t="shared" si="5"/>
        <v>0.14678899082568808</v>
      </c>
    </row>
    <row r="17" spans="2:27" ht="15.75" thickBot="1">
      <c r="B17" s="67" t="s">
        <v>143</v>
      </c>
      <c r="C17" s="68">
        <f>SUM(C18:C19)</f>
        <v>23.742703120000009</v>
      </c>
      <c r="D17" s="68">
        <f t="shared" ref="D17:Q17" si="9">SUM(D18:D19)</f>
        <v>25.192360209999986</v>
      </c>
      <c r="E17" s="68">
        <f t="shared" si="9"/>
        <v>24.735142921999994</v>
      </c>
      <c r="F17" s="68">
        <f t="shared" si="9"/>
        <v>21.944166249999988</v>
      </c>
      <c r="G17" s="68">
        <f t="shared" si="9"/>
        <v>22.293559052000013</v>
      </c>
      <c r="H17" s="68">
        <f t="shared" si="9"/>
        <v>21.555395659999999</v>
      </c>
      <c r="I17" s="68">
        <f t="shared" si="9"/>
        <v>22.017041906000017</v>
      </c>
      <c r="J17" s="68">
        <f t="shared" si="9"/>
        <v>24.673731256000014</v>
      </c>
      <c r="K17" s="68">
        <f t="shared" si="9"/>
        <v>22.853208695999999</v>
      </c>
      <c r="L17" s="68">
        <f t="shared" si="9"/>
        <v>14.267635493999993</v>
      </c>
      <c r="M17" s="68">
        <f t="shared" si="9"/>
        <v>23.018458121000002</v>
      </c>
      <c r="N17" s="68">
        <f t="shared" si="9"/>
        <v>20.486272513000014</v>
      </c>
      <c r="O17" s="68">
        <f t="shared" si="9"/>
        <v>20.488945150000003</v>
      </c>
      <c r="P17" s="68">
        <f t="shared" si="9"/>
        <v>22.336609999999993</v>
      </c>
      <c r="Q17" s="68">
        <f t="shared" si="9"/>
        <v>22.631718999999997</v>
      </c>
      <c r="R17" s="68">
        <v>20.974410999999996</v>
      </c>
      <c r="S17" s="68">
        <f t="shared" ref="S17" si="10">SUM(S18:S19)</f>
        <v>24</v>
      </c>
      <c r="V17" s="296">
        <f>SUM(C17:F17)/SUM(C9:F9)</f>
        <v>0.21591751885715998</v>
      </c>
      <c r="W17" s="296">
        <f t="shared" si="8"/>
        <v>0.22690727282317813</v>
      </c>
      <c r="X17" s="296">
        <f t="shared" si="3"/>
        <v>0.18278646277316907</v>
      </c>
      <c r="Y17" s="296">
        <f t="shared" si="4"/>
        <v>0.17830244490290886</v>
      </c>
      <c r="AA17" s="296">
        <f t="shared" si="5"/>
        <v>0.22018348623853212</v>
      </c>
    </row>
    <row r="18" spans="2:27" ht="14.25">
      <c r="B18" s="92" t="s">
        <v>77</v>
      </c>
      <c r="C18" s="70">
        <v>15.903005120000008</v>
      </c>
      <c r="D18" s="70">
        <v>16.219191209999991</v>
      </c>
      <c r="E18" s="70">
        <v>16.462892921999998</v>
      </c>
      <c r="F18" s="70">
        <v>15.104305249999987</v>
      </c>
      <c r="G18" s="70">
        <v>14.932924052000013</v>
      </c>
      <c r="H18" s="70">
        <v>15.019213660000002</v>
      </c>
      <c r="I18" s="70">
        <v>14.892277906000015</v>
      </c>
      <c r="J18" s="70">
        <v>18.095719256000017</v>
      </c>
      <c r="K18" s="70">
        <v>16.037484696000007</v>
      </c>
      <c r="L18" s="70">
        <v>10.820729493999995</v>
      </c>
      <c r="M18" s="70">
        <v>17.034508120999998</v>
      </c>
      <c r="N18" s="70">
        <v>13.905561513000022</v>
      </c>
      <c r="O18" s="70">
        <v>14.542796150000003</v>
      </c>
      <c r="P18" s="70">
        <v>16.138854999999996</v>
      </c>
      <c r="Q18" s="70">
        <v>15.847426999999998</v>
      </c>
      <c r="R18" s="70">
        <v>14.653885999999995</v>
      </c>
      <c r="S18" s="70">
        <v>14</v>
      </c>
      <c r="V18" s="300">
        <f>SUM(C18:F18)/SUM($C$9:$F$9)</f>
        <v>0.14382415194011799</v>
      </c>
      <c r="W18" s="300">
        <f t="shared" si="8"/>
        <v>0.15773820720178622</v>
      </c>
      <c r="X18" s="300">
        <f t="shared" si="3"/>
        <v>0.13103464846744642</v>
      </c>
      <c r="Y18" s="300">
        <f t="shared" si="4"/>
        <v>0.12621612173151089</v>
      </c>
      <c r="AA18" s="300">
        <f t="shared" si="5"/>
        <v>0.12844036697247707</v>
      </c>
    </row>
    <row r="19" spans="2:27" ht="14.25">
      <c r="B19" s="92" t="s">
        <v>76</v>
      </c>
      <c r="C19" s="70">
        <v>7.8396980000000021</v>
      </c>
      <c r="D19" s="70">
        <v>8.9731689999999951</v>
      </c>
      <c r="E19" s="70">
        <v>8.2722499999999979</v>
      </c>
      <c r="F19" s="70">
        <v>6.8398609999999991</v>
      </c>
      <c r="G19" s="70">
        <v>7.360635000000002</v>
      </c>
      <c r="H19" s="70">
        <v>6.5361819999999957</v>
      </c>
      <c r="I19" s="70">
        <v>7.1247640000000008</v>
      </c>
      <c r="J19" s="70">
        <v>6.5780119999999975</v>
      </c>
      <c r="K19" s="70">
        <v>6.8157239999999932</v>
      </c>
      <c r="L19" s="70">
        <v>3.4469059999999985</v>
      </c>
      <c r="M19" s="70">
        <v>5.9839500000000019</v>
      </c>
      <c r="N19" s="70">
        <v>6.5807109999999929</v>
      </c>
      <c r="O19" s="70">
        <v>5.946149000000001</v>
      </c>
      <c r="P19" s="70">
        <v>6.197754999999999</v>
      </c>
      <c r="Q19" s="70">
        <v>6.784291999999998</v>
      </c>
      <c r="R19" s="70">
        <v>6.3205250000000026</v>
      </c>
      <c r="S19" s="70">
        <v>10</v>
      </c>
      <c r="V19" s="300">
        <f>SUM(C19:F19)/SUM($C$9:$F$9)</f>
        <v>7.2093366917042004E-2</v>
      </c>
      <c r="W19" s="300">
        <f t="shared" si="8"/>
        <v>6.9169065621391926E-2</v>
      </c>
      <c r="X19" s="300">
        <f t="shared" si="3"/>
        <v>5.1751814305722642E-2</v>
      </c>
      <c r="Y19" s="300">
        <f t="shared" si="4"/>
        <v>5.2086323171397962E-2</v>
      </c>
      <c r="AA19" s="300">
        <f t="shared" si="5"/>
        <v>9.1743119266055051E-2</v>
      </c>
    </row>
    <row r="20" spans="2:27" ht="14.25">
      <c r="B20" s="93"/>
      <c r="C20" s="66"/>
      <c r="D20" s="66"/>
      <c r="E20" s="66"/>
      <c r="F20" s="66"/>
      <c r="G20" s="66"/>
      <c r="H20" s="66"/>
      <c r="I20" s="66"/>
      <c r="J20" s="66"/>
      <c r="K20" s="66"/>
      <c r="L20" s="66"/>
      <c r="M20" s="66"/>
      <c r="N20" s="66"/>
      <c r="O20" s="66"/>
      <c r="P20" s="66"/>
      <c r="Q20" s="66"/>
      <c r="R20" s="66"/>
      <c r="S20" s="66"/>
      <c r="W20" s="298"/>
    </row>
    <row r="21" spans="2:27" ht="14.25">
      <c r="B21" s="93"/>
      <c r="C21" s="66"/>
      <c r="D21" s="66"/>
      <c r="E21" s="66"/>
      <c r="F21" s="66"/>
      <c r="G21" s="66"/>
      <c r="H21" s="66"/>
      <c r="I21" s="66"/>
      <c r="J21" s="66"/>
      <c r="K21" s="66"/>
      <c r="L21" s="66"/>
      <c r="M21" s="66"/>
      <c r="N21" s="66"/>
      <c r="O21" s="66"/>
      <c r="P21" s="66"/>
      <c r="Q21" s="66"/>
      <c r="R21" s="66"/>
      <c r="S21" s="66"/>
    </row>
    <row r="22" spans="2:27" ht="14.25">
      <c r="B22" s="93"/>
      <c r="C22" s="66"/>
      <c r="D22" s="66"/>
      <c r="E22" s="66"/>
      <c r="F22" s="66"/>
      <c r="G22" s="66"/>
      <c r="H22" s="66"/>
      <c r="I22" s="66"/>
      <c r="J22" s="66"/>
      <c r="K22" s="66"/>
      <c r="L22" s="66"/>
      <c r="M22" s="66"/>
      <c r="N22" s="66"/>
      <c r="O22" s="66"/>
      <c r="P22" s="66"/>
      <c r="Q22" s="66"/>
      <c r="R22" s="66"/>
      <c r="S22" s="66"/>
    </row>
    <row r="23" spans="2:27" ht="15.75" thickBot="1">
      <c r="B23" s="67" t="s">
        <v>10</v>
      </c>
      <c r="C23" s="68">
        <f>SUM(C24:C26)</f>
        <v>77.641544307000004</v>
      </c>
      <c r="D23" s="68">
        <f t="shared" ref="D23:Q23" si="11">SUM(D24:D26)</f>
        <v>109.94406289199999</v>
      </c>
      <c r="E23" s="68">
        <f t="shared" si="11"/>
        <v>76.657510399000003</v>
      </c>
      <c r="F23" s="68">
        <f t="shared" si="11"/>
        <v>83.634122278999996</v>
      </c>
      <c r="G23" s="68">
        <f t="shared" si="11"/>
        <v>69.343831260000002</v>
      </c>
      <c r="H23" s="68">
        <f t="shared" si="11"/>
        <v>76.864452054000012</v>
      </c>
      <c r="I23" s="68">
        <f t="shared" si="11"/>
        <v>80.795289935999989</v>
      </c>
      <c r="J23" s="68">
        <f t="shared" si="11"/>
        <v>90.699982214000016</v>
      </c>
      <c r="K23" s="68">
        <f t="shared" si="11"/>
        <v>71.340493295000002</v>
      </c>
      <c r="L23" s="68">
        <f t="shared" si="11"/>
        <v>83.083679769999989</v>
      </c>
      <c r="M23" s="68">
        <f t="shared" si="11"/>
        <v>98.629878641999994</v>
      </c>
      <c r="N23" s="68">
        <f t="shared" si="11"/>
        <v>49.110717475000001</v>
      </c>
      <c r="O23" s="68">
        <f t="shared" si="11"/>
        <v>99.317999999999984</v>
      </c>
      <c r="P23" s="68">
        <f t="shared" si="11"/>
        <v>76.420332000000002</v>
      </c>
      <c r="Q23" s="68">
        <f t="shared" si="11"/>
        <v>150.30603400000001</v>
      </c>
      <c r="R23" s="68">
        <v>88.364221999999998</v>
      </c>
      <c r="S23" s="68">
        <f t="shared" ref="S23" si="12">SUM(S24:S26)</f>
        <v>77</v>
      </c>
    </row>
    <row r="24" spans="2:27" ht="14.25">
      <c r="B24" s="92" t="s">
        <v>185</v>
      </c>
      <c r="C24" s="70">
        <v>10.12533206</v>
      </c>
      <c r="D24" s="70">
        <v>15.675384237999999</v>
      </c>
      <c r="E24" s="70">
        <v>12.922318450000001</v>
      </c>
      <c r="F24" s="70">
        <v>18.657504320000001</v>
      </c>
      <c r="G24" s="70">
        <v>9.1780918760000016</v>
      </c>
      <c r="H24" s="70">
        <v>11.389824150999999</v>
      </c>
      <c r="I24" s="70">
        <v>12.235593348999998</v>
      </c>
      <c r="J24" s="70">
        <v>9.4482463729999999</v>
      </c>
      <c r="K24" s="70">
        <v>9.6393049370000004</v>
      </c>
      <c r="L24" s="70">
        <v>6.3630703510000002</v>
      </c>
      <c r="M24" s="70">
        <v>6.7301339999999996</v>
      </c>
      <c r="N24" s="70">
        <v>19.468394647</v>
      </c>
      <c r="O24" s="70">
        <v>16.277999999999999</v>
      </c>
      <c r="P24" s="70">
        <v>17.087</v>
      </c>
      <c r="Q24" s="70">
        <v>26.210999999999999</v>
      </c>
      <c r="R24" s="70">
        <v>27.231999999999999</v>
      </c>
      <c r="S24" s="70">
        <v>14</v>
      </c>
    </row>
    <row r="25" spans="2:27" ht="14.25">
      <c r="B25" s="92" t="s">
        <v>78</v>
      </c>
      <c r="C25" s="70">
        <v>0</v>
      </c>
      <c r="D25" s="70">
        <v>62.987079999999999</v>
      </c>
      <c r="E25" s="70">
        <v>31.15597</v>
      </c>
      <c r="F25" s="70">
        <v>26.251439999999999</v>
      </c>
      <c r="G25" s="70">
        <v>26.250810000000001</v>
      </c>
      <c r="H25" s="70">
        <v>30.80414</v>
      </c>
      <c r="I25" s="70">
        <v>36.75047</v>
      </c>
      <c r="J25" s="70">
        <v>47.501480000000001</v>
      </c>
      <c r="K25" s="70">
        <v>31.500299999999999</v>
      </c>
      <c r="L25" s="70">
        <v>54.975319999999996</v>
      </c>
      <c r="M25" s="70">
        <v>63.004020000000004</v>
      </c>
      <c r="N25" s="70">
        <v>0</v>
      </c>
      <c r="O25" s="70">
        <v>52.5</v>
      </c>
      <c r="P25" s="70">
        <v>30.102</v>
      </c>
      <c r="Q25" s="70">
        <v>94.506</v>
      </c>
      <c r="R25" s="70">
        <v>31.501999999999999</v>
      </c>
      <c r="S25" s="70">
        <v>36</v>
      </c>
    </row>
    <row r="26" spans="2:27" ht="14.25">
      <c r="B26" s="92" t="s">
        <v>161</v>
      </c>
      <c r="C26" s="70">
        <v>67.516212246999999</v>
      </c>
      <c r="D26" s="70">
        <v>31.281598653999996</v>
      </c>
      <c r="E26" s="70">
        <v>32.579221949000001</v>
      </c>
      <c r="F26" s="70">
        <v>38.725177959</v>
      </c>
      <c r="G26" s="70">
        <v>33.914929383999997</v>
      </c>
      <c r="H26" s="70">
        <v>34.670487903000009</v>
      </c>
      <c r="I26" s="70">
        <v>31.809226586999998</v>
      </c>
      <c r="J26" s="70">
        <v>33.750255841000005</v>
      </c>
      <c r="K26" s="70">
        <v>30.200888357999997</v>
      </c>
      <c r="L26" s="70">
        <v>21.745289418999995</v>
      </c>
      <c r="M26" s="70">
        <v>28.895724641999998</v>
      </c>
      <c r="N26" s="70">
        <v>29.642322828000001</v>
      </c>
      <c r="O26" s="70">
        <v>30.54</v>
      </c>
      <c r="P26" s="70">
        <v>29.231331999999998</v>
      </c>
      <c r="Q26" s="70">
        <v>29.589033999999998</v>
      </c>
      <c r="R26" s="70">
        <v>29.630222</v>
      </c>
      <c r="S26" s="70">
        <v>27</v>
      </c>
    </row>
    <row r="27" spans="2:27">
      <c r="B27" s="235" t="s">
        <v>169</v>
      </c>
    </row>
    <row r="28" spans="2:27">
      <c r="B28" s="235" t="s">
        <v>170</v>
      </c>
      <c r="C28" s="221"/>
      <c r="D28" s="221"/>
      <c r="E28" s="221"/>
      <c r="F28" s="221"/>
      <c r="G28" s="221"/>
      <c r="H28" s="221"/>
      <c r="I28" s="221"/>
      <c r="J28" s="221"/>
      <c r="K28" s="221"/>
      <c r="L28" s="221"/>
      <c r="M28" s="221"/>
      <c r="N28" s="221"/>
      <c r="O28" s="221"/>
      <c r="P28" s="221"/>
      <c r="Q28" s="221"/>
      <c r="R28" s="221"/>
    </row>
    <row r="29" spans="2:27">
      <c r="B29" s="235" t="s">
        <v>171</v>
      </c>
      <c r="C29" s="221"/>
      <c r="D29" s="221"/>
      <c r="E29" s="221"/>
      <c r="F29" s="221"/>
      <c r="G29" s="221"/>
      <c r="H29" s="221"/>
      <c r="I29" s="221"/>
      <c r="J29" s="221"/>
      <c r="K29" s="221"/>
      <c r="L29" s="221"/>
      <c r="M29" s="221"/>
      <c r="N29" s="221"/>
      <c r="O29" s="221"/>
      <c r="P29" s="221"/>
      <c r="Q29" s="221"/>
      <c r="R29" s="221"/>
    </row>
    <row r="30" spans="2:27">
      <c r="C30" s="221"/>
      <c r="D30" s="221"/>
      <c r="E30" s="221"/>
      <c r="F30" s="221"/>
      <c r="G30" s="221"/>
      <c r="H30" s="221"/>
      <c r="I30" s="221"/>
      <c r="J30" s="221"/>
      <c r="K30" s="221"/>
      <c r="L30" s="221"/>
      <c r="M30" s="221"/>
      <c r="N30" s="221"/>
      <c r="O30" s="221"/>
      <c r="P30" s="221"/>
      <c r="Q30" s="221"/>
      <c r="R30" s="221"/>
    </row>
    <row r="31" spans="2:27">
      <c r="C31" s="221"/>
      <c r="D31" s="221"/>
      <c r="E31" s="221"/>
      <c r="F31" s="221"/>
      <c r="G31" s="221"/>
      <c r="H31" s="221"/>
      <c r="I31" s="221"/>
      <c r="J31" s="221"/>
      <c r="K31" s="221"/>
      <c r="L31" s="221"/>
      <c r="M31" s="221"/>
      <c r="N31" s="221"/>
      <c r="O31" s="221"/>
      <c r="P31" s="221"/>
      <c r="Q31" s="221"/>
      <c r="R31" s="221"/>
      <c r="S31" s="221"/>
    </row>
    <row r="32" spans="2:27">
      <c r="C32" s="221"/>
      <c r="D32" s="221"/>
      <c r="E32" s="221"/>
      <c r="F32" s="221"/>
      <c r="G32" s="221"/>
      <c r="H32" s="221"/>
      <c r="I32" s="221"/>
      <c r="J32" s="221"/>
      <c r="K32" s="221"/>
      <c r="L32" s="221"/>
      <c r="M32" s="221"/>
      <c r="N32" s="221"/>
      <c r="O32" s="221"/>
      <c r="P32" s="221"/>
      <c r="Q32" s="221"/>
      <c r="R32" s="221"/>
      <c r="S32" s="221"/>
    </row>
  </sheetData>
  <mergeCells count="1">
    <mergeCell ref="C6:P6"/>
  </mergeCells>
  <pageMargins left="0.33" right="0.28999999999999998" top="0.984251969" bottom="0.984251969" header="0.49212598499999999" footer="0.49212598499999999"/>
  <pageSetup paperSize="9" orientation="landscape" r:id="rId1"/>
  <headerFooter alignWithMargins="0"/>
  <ignoredErrors>
    <ignoredError sqref="V11:W16 V18:W19 W17 X11:Y19" formulaRange="1"/>
    <ignoredError sqref="V17" formula="1"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D43"/>
  <sheetViews>
    <sheetView showGridLines="0" zoomScale="90" zoomScaleNormal="90" workbookViewId="0">
      <pane xSplit="2" ySplit="6" topLeftCell="C25" activePane="bottomRight" state="frozen"/>
      <selection activeCell="N12" sqref="N12"/>
      <selection pane="topRight" activeCell="N12" sqref="N12"/>
      <selection pane="bottomLeft" activeCell="N12" sqref="N12"/>
      <selection pane="bottomRight" activeCell="S42" sqref="S42"/>
    </sheetView>
  </sheetViews>
  <sheetFormatPr defaultColWidth="9.140625" defaultRowHeight="12.75"/>
  <cols>
    <col min="1" max="1" width="2.140625" style="47" customWidth="1"/>
    <col min="2" max="2" width="47.7109375" style="47" customWidth="1"/>
    <col min="3" max="18" width="8.140625" style="47" customWidth="1"/>
    <col min="19" max="16384" width="9.140625" style="47"/>
  </cols>
  <sheetData>
    <row r="5" spans="2:30" ht="18" customHeight="1">
      <c r="B5" s="48"/>
    </row>
    <row r="6" spans="2:30" ht="15.75" thickBot="1">
      <c r="B6" s="108" t="s">
        <v>24</v>
      </c>
      <c r="C6" s="62" t="s">
        <v>42</v>
      </c>
      <c r="D6" s="62" t="s">
        <v>43</v>
      </c>
      <c r="E6" s="62" t="s">
        <v>44</v>
      </c>
      <c r="F6" s="62" t="s">
        <v>45</v>
      </c>
      <c r="G6" s="62" t="s">
        <v>46</v>
      </c>
      <c r="H6" s="62" t="s">
        <v>47</v>
      </c>
      <c r="I6" s="62" t="s">
        <v>48</v>
      </c>
      <c r="J6" s="62" t="s">
        <v>49</v>
      </c>
      <c r="K6" s="62" t="s">
        <v>50</v>
      </c>
      <c r="L6" s="62" t="s">
        <v>51</v>
      </c>
      <c r="M6" s="62" t="s">
        <v>52</v>
      </c>
      <c r="N6" s="62" t="s">
        <v>54</v>
      </c>
      <c r="O6" s="62" t="s">
        <v>57</v>
      </c>
      <c r="P6" s="62" t="s">
        <v>160</v>
      </c>
      <c r="Q6" s="62" t="s">
        <v>164</v>
      </c>
      <c r="R6" s="62" t="s">
        <v>174</v>
      </c>
      <c r="S6" s="62" t="s">
        <v>294</v>
      </c>
    </row>
    <row r="7" spans="2:30" ht="15.75" thickTop="1">
      <c r="B7" s="63"/>
      <c r="C7" s="64"/>
      <c r="D7" s="64"/>
      <c r="E7" s="64"/>
      <c r="F7" s="64"/>
      <c r="G7" s="64"/>
      <c r="H7" s="64"/>
      <c r="I7" s="64"/>
      <c r="J7" s="64"/>
      <c r="K7" s="64"/>
      <c r="L7" s="64"/>
      <c r="M7" s="64"/>
      <c r="N7" s="64"/>
      <c r="O7" s="64"/>
      <c r="P7" s="64"/>
      <c r="Q7" s="64"/>
      <c r="R7" s="64"/>
      <c r="S7" s="64"/>
    </row>
    <row r="8" spans="2:30" s="50" customFormat="1" ht="14.25" customHeight="1" thickBot="1">
      <c r="B8" s="123" t="s">
        <v>1</v>
      </c>
      <c r="C8" s="177">
        <f>'6 - Demonstrativos Financeiros'!C67</f>
        <v>238.93799999999999</v>
      </c>
      <c r="D8" s="177">
        <f>'6 - Demonstrativos Financeiros'!D67</f>
        <v>193.37700000000001</v>
      </c>
      <c r="E8" s="177">
        <f>'6 - Demonstrativos Financeiros'!E67</f>
        <v>163.18899999999999</v>
      </c>
      <c r="F8" s="177">
        <f>'6 - Demonstrativos Financeiros'!F67</f>
        <v>118.095</v>
      </c>
      <c r="G8" s="177">
        <f>'6 - Demonstrativos Financeiros'!G67</f>
        <v>135.06100000000001</v>
      </c>
      <c r="H8" s="177">
        <f>'6 - Demonstrativos Financeiros'!H67</f>
        <v>124.26902001798319</v>
      </c>
      <c r="I8" s="177">
        <f>'6 - Demonstrativos Financeiros'!I67</f>
        <v>144.9937248166915</v>
      </c>
      <c r="J8" s="177">
        <f>'6 - Demonstrativos Financeiros'!J67</f>
        <v>126.56036483350766</v>
      </c>
      <c r="K8" s="177">
        <f>'6 - Demonstrativos Financeiros'!K67</f>
        <v>158.99118751278539</v>
      </c>
      <c r="L8" s="177">
        <f>'6 - Demonstrativos Financeiros'!L67</f>
        <v>127.53195661799795</v>
      </c>
      <c r="M8" s="177">
        <f>'6 - Demonstrativos Financeiros'!M67</f>
        <v>161.8117794433341</v>
      </c>
      <c r="N8" s="177">
        <f>'6 - Demonstrativos Financeiros'!N67</f>
        <v>63.838999999999999</v>
      </c>
      <c r="O8" s="177">
        <f>'6 - Demonstrativos Financeiros'!O67</f>
        <v>89.61</v>
      </c>
      <c r="P8" s="177">
        <f>'6 - Demonstrativos Financeiros'!P67</f>
        <v>60</v>
      </c>
      <c r="Q8" s="177">
        <f>'6 - Demonstrativos Financeiros'!Q67</f>
        <v>87</v>
      </c>
      <c r="R8" s="177">
        <f>'6 - Demonstrativos Financeiros'!R67</f>
        <v>69.382999999999996</v>
      </c>
      <c r="S8" s="177">
        <f>'6 - Demonstrativos Financeiros'!S67</f>
        <v>92.506</v>
      </c>
      <c r="Y8" s="51"/>
      <c r="Z8" s="51"/>
      <c r="AA8" s="51"/>
      <c r="AB8" s="51"/>
      <c r="AC8" s="51"/>
      <c r="AD8" s="51"/>
    </row>
    <row r="9" spans="2:30" s="52" customFormat="1" ht="14.25" customHeight="1">
      <c r="B9" s="124"/>
      <c r="C9" s="175"/>
      <c r="D9" s="175"/>
      <c r="E9" s="175"/>
      <c r="F9" s="175"/>
      <c r="G9" s="175"/>
      <c r="H9" s="175"/>
      <c r="I9" s="175"/>
      <c r="J9" s="175"/>
      <c r="K9" s="175"/>
      <c r="L9" s="175"/>
      <c r="M9" s="175"/>
      <c r="N9" s="175"/>
      <c r="O9" s="175"/>
      <c r="P9" s="175"/>
      <c r="Q9" s="175"/>
      <c r="R9" s="175"/>
      <c r="S9" s="175"/>
      <c r="Y9" s="51"/>
      <c r="Z9" s="51"/>
      <c r="AA9" s="51"/>
      <c r="AB9" s="51"/>
      <c r="AC9" s="51"/>
      <c r="AD9" s="51"/>
    </row>
    <row r="10" spans="2:30" s="50" customFormat="1" ht="14.25" customHeight="1" thickBot="1">
      <c r="B10" s="123" t="s">
        <v>2</v>
      </c>
      <c r="C10" s="177">
        <f>'6 - Demonstrativos Financeiros'!C82</f>
        <v>2571.6379999999999</v>
      </c>
      <c r="D10" s="177">
        <f>'6 - Demonstrativos Financeiros'!D82</f>
        <v>1969.777</v>
      </c>
      <c r="E10" s="177">
        <f>'6 - Demonstrativos Financeiros'!E82</f>
        <v>1992.5550000000001</v>
      </c>
      <c r="F10" s="177">
        <f>'6 - Demonstrativos Financeiros'!F82</f>
        <v>1940.7719999999999</v>
      </c>
      <c r="G10" s="177">
        <f>'6 - Demonstrativos Financeiros'!G82</f>
        <v>1930.1010000000001</v>
      </c>
      <c r="H10" s="177">
        <f>'6 - Demonstrativos Financeiros'!H82</f>
        <v>1953.2140004</v>
      </c>
      <c r="I10" s="177">
        <f>'6 - Demonstrativos Financeiros'!I82</f>
        <v>2130.1550003999996</v>
      </c>
      <c r="J10" s="177">
        <f>'6 - Demonstrativos Financeiros'!J82</f>
        <v>2053.9435004000002</v>
      </c>
      <c r="K10" s="177">
        <f>'6 - Demonstrativos Financeiros'!K82</f>
        <v>2822.2581347951018</v>
      </c>
      <c r="L10" s="177">
        <f>'6 - Demonstrativos Financeiros'!L82</f>
        <v>2982.8553897949596</v>
      </c>
      <c r="M10" s="177">
        <f>'6 - Demonstrativos Financeiros'!M82</f>
        <v>3230.6062217404219</v>
      </c>
      <c r="N10" s="177">
        <f>'6 - Demonstrativos Financeiros'!N82</f>
        <v>2882.6660000000002</v>
      </c>
      <c r="O10" s="177">
        <f>'6 - Demonstrativos Financeiros'!O82</f>
        <v>3116.6350000000002</v>
      </c>
      <c r="P10" s="177">
        <f>'6 - Demonstrativos Financeiros'!P82</f>
        <v>2752</v>
      </c>
      <c r="Q10" s="177">
        <f>'6 - Demonstrativos Financeiros'!Q82</f>
        <v>2946</v>
      </c>
      <c r="R10" s="177">
        <f>'6 - Demonstrativos Financeiros'!R82</f>
        <v>3036.6819999999998</v>
      </c>
      <c r="S10" s="177">
        <f>'6 - Demonstrativos Financeiros'!S82</f>
        <v>2637.21</v>
      </c>
      <c r="Y10" s="51"/>
      <c r="Z10" s="51"/>
      <c r="AA10" s="51"/>
      <c r="AB10" s="51"/>
      <c r="AC10" s="51"/>
      <c r="AD10" s="51"/>
    </row>
    <row r="11" spans="2:30" ht="14.25" customHeight="1">
      <c r="B11" s="125"/>
      <c r="C11" s="175"/>
      <c r="D11" s="175"/>
      <c r="E11" s="175"/>
      <c r="F11" s="175"/>
      <c r="G11" s="175"/>
      <c r="H11" s="175"/>
      <c r="I11" s="175"/>
      <c r="J11" s="175"/>
      <c r="K11" s="175"/>
      <c r="L11" s="175"/>
      <c r="M11" s="175"/>
      <c r="N11" s="175"/>
      <c r="O11" s="175"/>
      <c r="P11" s="175"/>
      <c r="Q11" s="175"/>
      <c r="R11" s="175"/>
      <c r="S11" s="175"/>
      <c r="Y11" s="51"/>
      <c r="Z11" s="51"/>
      <c r="AA11" s="51"/>
      <c r="AB11" s="51"/>
      <c r="AC11" s="51"/>
      <c r="AD11" s="51"/>
    </row>
    <row r="12" spans="2:30" ht="14.25" customHeight="1" thickBot="1">
      <c r="B12" s="123" t="s">
        <v>31</v>
      </c>
      <c r="C12" s="177">
        <f>SUM(C8:C10)</f>
        <v>2810.576</v>
      </c>
      <c r="D12" s="177">
        <f t="shared" ref="D12:R12" si="0">SUM(D8:D10)</f>
        <v>2163.154</v>
      </c>
      <c r="E12" s="177">
        <f t="shared" si="0"/>
        <v>2155.7440000000001</v>
      </c>
      <c r="F12" s="177">
        <f t="shared" si="0"/>
        <v>2058.8669999999997</v>
      </c>
      <c r="G12" s="177">
        <f t="shared" si="0"/>
        <v>2065.1620000000003</v>
      </c>
      <c r="H12" s="177">
        <f t="shared" si="0"/>
        <v>2077.4830204179834</v>
      </c>
      <c r="I12" s="177">
        <f t="shared" si="0"/>
        <v>2275.1487252166912</v>
      </c>
      <c r="J12" s="177">
        <f t="shared" si="0"/>
        <v>2180.5038652335079</v>
      </c>
      <c r="K12" s="177">
        <f t="shared" si="0"/>
        <v>2981.2493223078873</v>
      </c>
      <c r="L12" s="177">
        <f t="shared" si="0"/>
        <v>3110.3873464129574</v>
      </c>
      <c r="M12" s="177">
        <f t="shared" si="0"/>
        <v>3392.4180011837561</v>
      </c>
      <c r="N12" s="177">
        <f t="shared" si="0"/>
        <v>2946.5050000000001</v>
      </c>
      <c r="O12" s="177">
        <f t="shared" si="0"/>
        <v>3206.2450000000003</v>
      </c>
      <c r="P12" s="177">
        <f>SUM(P8:P10)</f>
        <v>2812</v>
      </c>
      <c r="Q12" s="177">
        <f t="shared" si="0"/>
        <v>3033</v>
      </c>
      <c r="R12" s="177">
        <f t="shared" si="0"/>
        <v>3106.0649999999996</v>
      </c>
      <c r="S12" s="177">
        <f t="shared" ref="S12" si="1">SUM(S8:S10)</f>
        <v>2729.7159999999999</v>
      </c>
      <c r="U12" s="52"/>
      <c r="Y12" s="51"/>
      <c r="Z12" s="51"/>
      <c r="AA12" s="51"/>
      <c r="AB12" s="51"/>
      <c r="AC12" s="51"/>
      <c r="AD12" s="51"/>
    </row>
    <row r="13" spans="2:30" ht="14.25" customHeight="1">
      <c r="B13" s="125"/>
      <c r="C13" s="175"/>
      <c r="D13" s="175"/>
      <c r="E13" s="175"/>
      <c r="F13" s="175"/>
      <c r="G13" s="175"/>
      <c r="H13" s="175"/>
      <c r="I13" s="175"/>
      <c r="J13" s="175"/>
      <c r="K13" s="175"/>
      <c r="L13" s="175"/>
      <c r="M13" s="175"/>
      <c r="N13" s="175"/>
      <c r="O13" s="175"/>
      <c r="P13" s="175"/>
      <c r="Q13" s="175"/>
      <c r="R13" s="175"/>
      <c r="S13" s="175"/>
      <c r="Y13" s="51"/>
      <c r="Z13" s="51"/>
      <c r="AA13" s="51"/>
      <c r="AB13" s="51"/>
      <c r="AC13" s="51"/>
      <c r="AD13" s="51"/>
    </row>
    <row r="14" spans="2:30" ht="14.25" customHeight="1" thickBot="1">
      <c r="B14" s="126" t="s">
        <v>129</v>
      </c>
      <c r="C14" s="176">
        <f>-'6 - Demonstrativos Financeiros'!C40</f>
        <v>-46.537999999999997</v>
      </c>
      <c r="D14" s="176">
        <f>-'6 - Demonstrativos Financeiros'!D40</f>
        <v>-48.152999999999999</v>
      </c>
      <c r="E14" s="176">
        <f>-'6 - Demonstrativos Financeiros'!E40</f>
        <v>-32.043999999999997</v>
      </c>
      <c r="F14" s="176">
        <f>-'6 - Demonstrativos Financeiros'!F40</f>
        <v>-116.81100000000001</v>
      </c>
      <c r="G14" s="176">
        <f>-'6 - Demonstrativos Financeiros'!G40</f>
        <v>-76.706000000000003</v>
      </c>
      <c r="H14" s="176">
        <f>-'6 - Demonstrativos Financeiros'!H40</f>
        <v>-59.725000000000001</v>
      </c>
      <c r="I14" s="176">
        <f>-'6 - Demonstrativos Financeiros'!I40</f>
        <v>-87.718000000000004</v>
      </c>
      <c r="J14" s="176">
        <f>-'6 - Demonstrativos Financeiros'!J40</f>
        <v>-190.321</v>
      </c>
      <c r="K14" s="176">
        <f>-'6 - Demonstrativos Financeiros'!K40</f>
        <v>-193.85400000000001</v>
      </c>
      <c r="L14" s="176">
        <f>-'6 - Demonstrativos Financeiros'!L40</f>
        <v>-172.03899999999999</v>
      </c>
      <c r="M14" s="176">
        <f>-'6 - Demonstrativos Financeiros'!M40</f>
        <v>-458</v>
      </c>
      <c r="N14" s="176">
        <f>-'6 - Demonstrativos Financeiros'!N40</f>
        <v>-632.43799999999999</v>
      </c>
      <c r="O14" s="176">
        <f>-'6 - Demonstrativos Financeiros'!O40</f>
        <v>-514.62400000000002</v>
      </c>
      <c r="P14" s="176">
        <f>-'6 - Demonstrativos Financeiros'!P40</f>
        <v>-296</v>
      </c>
      <c r="Q14" s="176">
        <f>-'6 - Demonstrativos Financeiros'!Q40</f>
        <v>-686</v>
      </c>
      <c r="R14" s="176">
        <f>-'6 - Demonstrativos Financeiros'!R40</f>
        <v>-1449.345</v>
      </c>
      <c r="S14" s="176">
        <f>-'6 - Demonstrativos Financeiros'!S40</f>
        <v>-1263.009</v>
      </c>
      <c r="T14" s="257"/>
      <c r="Y14" s="51"/>
      <c r="Z14" s="51"/>
      <c r="AA14" s="51"/>
      <c r="AB14" s="51"/>
      <c r="AC14" s="51"/>
      <c r="AD14" s="51"/>
    </row>
    <row r="15" spans="2:30" ht="14.25" customHeight="1" thickBot="1">
      <c r="B15" s="126" t="s">
        <v>130</v>
      </c>
      <c r="C15" s="176">
        <f>-(SUM('6 - Demonstrativos Financeiros'!C42,'6 - Demonstrativos Financeiros'!C52)-SUM('6 - Demonstrativos Financeiros'!C68,'6 - Demonstrativos Financeiros'!C83))</f>
        <v>-21.651</v>
      </c>
      <c r="D15" s="176">
        <f>-(SUM('6 - Demonstrativos Financeiros'!D42,'6 - Demonstrativos Financeiros'!D52)-SUM('6 - Demonstrativos Financeiros'!D68,'6 - Demonstrativos Financeiros'!D83))</f>
        <v>153.012</v>
      </c>
      <c r="E15" s="176">
        <f>-(SUM('6 - Demonstrativos Financeiros'!E42,'6 - Demonstrativos Financeiros'!E52)-SUM('6 - Demonstrativos Financeiros'!E68,'6 - Demonstrativos Financeiros'!E83))</f>
        <v>101.964</v>
      </c>
      <c r="F15" s="176">
        <f>-(SUM('6 - Demonstrativos Financeiros'!F42,'6 - Demonstrativos Financeiros'!F52)-SUM('6 - Demonstrativos Financeiros'!F68,'6 - Demonstrativos Financeiros'!F83))</f>
        <v>-110.52600000000001</v>
      </c>
      <c r="G15" s="176">
        <f>-(SUM('6 - Demonstrativos Financeiros'!G42,'6 - Demonstrativos Financeiros'!G52)-SUM('6 - Demonstrativos Financeiros'!G68,'6 - Demonstrativos Financeiros'!G83))</f>
        <v>-79.686000000000007</v>
      </c>
      <c r="H15" s="176">
        <f>-(SUM('6 - Demonstrativos Financeiros'!H42,'6 - Demonstrativos Financeiros'!H52)-SUM('6 - Demonstrativos Financeiros'!H68,'6 - Demonstrativos Financeiros'!H83))</f>
        <v>-78.290512183516725</v>
      </c>
      <c r="I15" s="176">
        <f>-(SUM('6 - Demonstrativos Financeiros'!I42,'6 - Demonstrativos Financeiros'!I52)-SUM('6 - Demonstrativos Financeiros'!I68,'6 - Demonstrativos Financeiros'!I83))</f>
        <v>-28.971102527477704</v>
      </c>
      <c r="J15" s="176">
        <f>-(SUM('6 - Demonstrativos Financeiros'!J42,'6 - Demonstrativos Financeiros'!J52)-SUM('6 - Demonstrativos Financeiros'!J68,'6 - Demonstrativos Financeiros'!J83))</f>
        <v>-23.435157180000001</v>
      </c>
      <c r="K15" s="176">
        <f>-(SUM('6 - Demonstrativos Financeiros'!K42,'6 - Demonstrativos Financeiros'!K52)-SUM('6 - Demonstrativos Financeiros'!K68,'6 - Demonstrativos Financeiros'!K83))</f>
        <v>110.42942256464863</v>
      </c>
      <c r="L15" s="176">
        <f>-(SUM('6 - Demonstrativos Financeiros'!L42,'6 - Demonstrativos Financeiros'!L52)-SUM('6 - Demonstrativos Financeiros'!L68,'6 - Demonstrativos Financeiros'!L83))</f>
        <v>236.49829787719776</v>
      </c>
      <c r="M15" s="176">
        <f>-(SUM('6 - Demonstrativos Financeiros'!M42,'6 - Demonstrativos Financeiros'!M52)-SUM('6 - Demonstrativos Financeiros'!M68,'6 - Demonstrativos Financeiros'!M83))</f>
        <v>430.98965287222745</v>
      </c>
      <c r="N15" s="176">
        <f>-(SUM('6 - Demonstrativos Financeiros'!N42,'6 - Demonstrativos Financeiros'!N52)-SUM('6 - Demonstrativos Financeiros'!N68,'6 - Demonstrativos Financeiros'!N83))</f>
        <v>324.12699999999995</v>
      </c>
      <c r="O15" s="176">
        <f>-(SUM('6 - Demonstrativos Financeiros'!O42,'6 - Demonstrativos Financeiros'!O52)-SUM('6 - Demonstrativos Financeiros'!O68,'6 - Demonstrativos Financeiros'!O83))</f>
        <v>667.84299999999996</v>
      </c>
      <c r="P15" s="176">
        <f>-(SUM('6 - Demonstrativos Financeiros'!P42,'6 - Demonstrativos Financeiros'!P52)-SUM('6 - Demonstrativos Financeiros'!P68,'6 - Demonstrativos Financeiros'!P83))</f>
        <v>365</v>
      </c>
      <c r="Q15" s="176">
        <f>-(SUM('6 - Demonstrativos Financeiros'!Q42,'6 - Demonstrativos Financeiros'!Q52)-SUM('6 - Demonstrativos Financeiros'!Q68,'6 - Demonstrativos Financeiros'!Q83))</f>
        <v>591</v>
      </c>
      <c r="R15" s="176">
        <f>-(SUM('6 - Demonstrativos Financeiros'!R42,'6 - Demonstrativos Financeiros'!R52)-SUM('6 - Demonstrativos Financeiros'!R68,'6 - Demonstrativos Financeiros'!R83))</f>
        <v>301.15500000000003</v>
      </c>
      <c r="S15" s="176">
        <f>-(SUM('6 - Demonstrativos Financeiros'!S42,'6 - Demonstrativos Financeiros'!S52)-SUM('6 - Demonstrativos Financeiros'!S68,'6 - Demonstrativos Financeiros'!S83))</f>
        <v>-33.256</v>
      </c>
      <c r="T15" s="257"/>
      <c r="Y15" s="51"/>
      <c r="Z15" s="51"/>
      <c r="AA15" s="51"/>
      <c r="AB15" s="51"/>
      <c r="AC15" s="51"/>
      <c r="AD15" s="51"/>
    </row>
    <row r="16" spans="2:30" ht="14.25" customHeight="1" thickBot="1">
      <c r="B16" s="126" t="s">
        <v>132</v>
      </c>
      <c r="C16" s="176">
        <f>SUM('6 - Demonstrativos Financeiros'!C84,'6 - Demonstrativos Financeiros'!C69)</f>
        <v>0</v>
      </c>
      <c r="D16" s="176">
        <f>SUM('6 - Demonstrativos Financeiros'!D84,'6 - Demonstrativos Financeiros'!D69)</f>
        <v>0</v>
      </c>
      <c r="E16" s="176">
        <f>SUM('6 - Demonstrativos Financeiros'!E84,'6 - Demonstrativos Financeiros'!E69)</f>
        <v>0</v>
      </c>
      <c r="F16" s="176">
        <f>SUM('6 - Demonstrativos Financeiros'!F84,'6 - Demonstrativos Financeiros'!F69)</f>
        <v>0</v>
      </c>
      <c r="G16" s="176">
        <f>SUM('6 - Demonstrativos Financeiros'!G84,'6 - Demonstrativos Financeiros'!G69)</f>
        <v>25.639000000000003</v>
      </c>
      <c r="H16" s="176">
        <f>SUM('6 - Demonstrativos Financeiros'!H84,'6 - Demonstrativos Financeiros'!H69)</f>
        <v>20.811999999999998</v>
      </c>
      <c r="I16" s="176">
        <f>SUM('6 - Demonstrativos Financeiros'!I84,'6 - Demonstrativos Financeiros'!I69)</f>
        <v>15.691000000000001</v>
      </c>
      <c r="J16" s="176">
        <f>SUM('6 - Demonstrativos Financeiros'!J84,'6 - Demonstrativos Financeiros'!J69)</f>
        <v>15.782999999999999</v>
      </c>
      <c r="K16" s="176">
        <f>SUM('6 - Demonstrativos Financeiros'!K84,'6 - Demonstrativos Financeiros'!K69)</f>
        <v>13.385999999999999</v>
      </c>
      <c r="L16" s="176">
        <f>SUM('6 - Demonstrativos Financeiros'!L84,'6 - Demonstrativos Financeiros'!L69)</f>
        <v>10.949000000000002</v>
      </c>
      <c r="M16" s="176">
        <f>SUM('6 - Demonstrativos Financeiros'!M84,'6 - Demonstrativos Financeiros'!M69)</f>
        <v>12.685</v>
      </c>
      <c r="N16" s="176">
        <f>SUM('6 - Demonstrativos Financeiros'!N84,'6 - Demonstrativos Financeiros'!N69)</f>
        <v>15.914999999999999</v>
      </c>
      <c r="O16" s="176">
        <f>SUM('6 - Demonstrativos Financeiros'!O84,'6 - Demonstrativos Financeiros'!O69)</f>
        <v>20.756</v>
      </c>
      <c r="P16" s="176">
        <f>SUM('6 - Demonstrativos Financeiros'!P84,'6 - Demonstrativos Financeiros'!P69)</f>
        <v>44</v>
      </c>
      <c r="Q16" s="176">
        <f>SUM('6 - Demonstrativos Financeiros'!Q84,'6 - Demonstrativos Financeiros'!Q69)</f>
        <v>47</v>
      </c>
      <c r="R16" s="176">
        <f>SUM('6 - Demonstrativos Financeiros'!R84,'6 - Demonstrativos Financeiros'!R69)</f>
        <v>44.689</v>
      </c>
      <c r="S16" s="176">
        <f>SUM('6 - Demonstrativos Financeiros'!S84,'6 - Demonstrativos Financeiros'!S69)</f>
        <v>41.478999999999999</v>
      </c>
      <c r="T16" s="257"/>
      <c r="Y16" s="51"/>
      <c r="Z16" s="51"/>
      <c r="AA16" s="51"/>
      <c r="AB16" s="51"/>
      <c r="AC16" s="51"/>
      <c r="AD16" s="51"/>
    </row>
    <row r="17" spans="2:30" ht="14.25" customHeight="1" thickBot="1">
      <c r="B17" s="126" t="s">
        <v>3</v>
      </c>
      <c r="C17" s="176">
        <f>-'6 - Demonstrativos Financeiros'!C41-'6 - Demonstrativos Financeiros'!C51</f>
        <v>-913.71999999999991</v>
      </c>
      <c r="D17" s="176">
        <f>-'6 - Demonstrativos Financeiros'!D41-'6 - Demonstrativos Financeiros'!D51</f>
        <v>-780.226</v>
      </c>
      <c r="E17" s="176">
        <f>-'6 - Demonstrativos Financeiros'!E41-'6 - Demonstrativos Financeiros'!E51</f>
        <v>-553.904</v>
      </c>
      <c r="F17" s="176">
        <f>-'6 - Demonstrativos Financeiros'!F41-'6 - Demonstrativos Financeiros'!F51</f>
        <v>-455.55200000000002</v>
      </c>
      <c r="G17" s="176">
        <f>-'6 - Demonstrativos Financeiros'!G41-'6 - Demonstrativos Financeiros'!G51</f>
        <v>-502.06</v>
      </c>
      <c r="H17" s="176">
        <f>-'6 - Demonstrativos Financeiros'!H41-'6 - Demonstrativos Financeiros'!H51</f>
        <v>-583.07800000000009</v>
      </c>
      <c r="I17" s="176">
        <f>-'6 - Demonstrativos Financeiros'!I41-'6 - Demonstrativos Financeiros'!I51</f>
        <v>-633.846</v>
      </c>
      <c r="J17" s="176">
        <f>-'6 - Demonstrativos Financeiros'!J41-'6 - Demonstrativos Financeiros'!J51</f>
        <v>-418.43900000000002</v>
      </c>
      <c r="K17" s="176">
        <f>-'6 - Demonstrativos Financeiros'!K41-'6 - Demonstrativos Financeiros'!K51</f>
        <v>-411.29300000000001</v>
      </c>
      <c r="L17" s="176">
        <f>-'6 - Demonstrativos Financeiros'!L41-'6 - Demonstrativos Financeiros'!L51</f>
        <v>-374.26800000000003</v>
      </c>
      <c r="M17" s="176">
        <f>-'6 - Demonstrativos Financeiros'!M41-'6 - Demonstrativos Financeiros'!M51</f>
        <v>-548.58799999999997</v>
      </c>
      <c r="N17" s="176">
        <f>-'6 - Demonstrativos Financeiros'!N41-'6 - Demonstrativos Financeiros'!N51</f>
        <v>-617</v>
      </c>
      <c r="O17" s="176">
        <f>-'6 - Demonstrativos Financeiros'!O41-'6 - Demonstrativos Financeiros'!O51</f>
        <v>-339.04</v>
      </c>
      <c r="P17" s="176">
        <f>-'6 - Demonstrativos Financeiros'!P41-'6 - Demonstrativos Financeiros'!P51</f>
        <v>-424</v>
      </c>
      <c r="Q17" s="176">
        <f>-'6 - Demonstrativos Financeiros'!Q41-'6 - Demonstrativos Financeiros'!Q51</f>
        <v>-693.06399999999996</v>
      </c>
      <c r="R17" s="176">
        <f>-'6 - Demonstrativos Financeiros'!R41-'6 - Demonstrativos Financeiros'!R51</f>
        <v>-337.41400000000004</v>
      </c>
      <c r="S17" s="176">
        <f>-'6 - Demonstrativos Financeiros'!S41-'6 - Demonstrativos Financeiros'!S51</f>
        <v>-321.87600000000003</v>
      </c>
      <c r="T17" s="257"/>
      <c r="Y17" s="51"/>
      <c r="Z17" s="51"/>
      <c r="AA17" s="51"/>
      <c r="AB17" s="51"/>
      <c r="AC17" s="51"/>
      <c r="AD17" s="51"/>
    </row>
    <row r="18" spans="2:30" ht="14.25" customHeight="1">
      <c r="B18" s="125"/>
      <c r="C18" s="175"/>
      <c r="D18" s="175"/>
      <c r="E18" s="175"/>
      <c r="F18" s="175"/>
      <c r="G18" s="175"/>
      <c r="H18" s="175"/>
      <c r="I18" s="175"/>
      <c r="J18" s="175"/>
      <c r="K18" s="175"/>
      <c r="L18" s="175"/>
      <c r="M18" s="175"/>
      <c r="N18" s="175"/>
      <c r="O18" s="175"/>
      <c r="P18" s="175"/>
      <c r="Q18" s="175"/>
      <c r="R18" s="175"/>
      <c r="S18" s="175"/>
      <c r="Y18" s="51"/>
      <c r="Z18" s="51"/>
      <c r="AA18" s="51"/>
      <c r="AB18" s="51"/>
      <c r="AC18" s="51"/>
      <c r="AD18" s="51"/>
    </row>
    <row r="19" spans="2:30" ht="14.25" customHeight="1" thickBot="1">
      <c r="B19" s="123" t="s">
        <v>32</v>
      </c>
      <c r="C19" s="177">
        <v>1828.6670000000004</v>
      </c>
      <c r="D19" s="177">
        <v>1487.7870000000003</v>
      </c>
      <c r="E19" s="177">
        <v>1671.7600000000002</v>
      </c>
      <c r="F19" s="177">
        <v>1375.9779999999996</v>
      </c>
      <c r="G19" s="177">
        <v>1432.3490000000004</v>
      </c>
      <c r="H19" s="177">
        <v>1377.2015082344665</v>
      </c>
      <c r="I19" s="177">
        <v>1540.3046226892134</v>
      </c>
      <c r="J19" s="177">
        <v>1564.0917080535078</v>
      </c>
      <c r="K19" s="177">
        <v>2499.9177448725359</v>
      </c>
      <c r="L19" s="177">
        <v>2811.5276442901554</v>
      </c>
      <c r="M19" s="177">
        <v>2829.5046540559833</v>
      </c>
      <c r="N19" s="177">
        <v>2037.1089999999999</v>
      </c>
      <c r="O19" s="177">
        <v>3041.2439999999997</v>
      </c>
      <c r="P19" s="177">
        <v>2500</v>
      </c>
      <c r="Q19" s="177">
        <f>SUM(Q12:Q17)</f>
        <v>2291.9360000000001</v>
      </c>
      <c r="R19" s="177">
        <f>SUM(R12:R17)</f>
        <v>1665.1499999999996</v>
      </c>
      <c r="S19" s="177">
        <f>SUM(S12:S17)</f>
        <v>1153.0539999999999</v>
      </c>
      <c r="Y19" s="51"/>
      <c r="Z19" s="51"/>
      <c r="AA19" s="51"/>
      <c r="AB19" s="51"/>
      <c r="AC19" s="51"/>
      <c r="AD19" s="51"/>
    </row>
    <row r="20" spans="2:30" ht="14.25" customHeight="1" thickBot="1">
      <c r="B20" s="127"/>
      <c r="C20" s="178"/>
      <c r="D20" s="178"/>
      <c r="E20" s="178"/>
      <c r="F20" s="178"/>
      <c r="G20" s="178"/>
      <c r="H20" s="178"/>
      <c r="I20" s="178"/>
      <c r="J20" s="178"/>
      <c r="K20" s="178"/>
      <c r="L20" s="178"/>
      <c r="M20" s="178"/>
      <c r="N20" s="178"/>
      <c r="O20" s="178"/>
      <c r="P20" s="178"/>
      <c r="Q20" s="178"/>
      <c r="R20" s="178"/>
      <c r="S20" s="178"/>
      <c r="Y20" s="51"/>
      <c r="Z20" s="51"/>
      <c r="AA20" s="51"/>
      <c r="AB20" s="51"/>
      <c r="AC20" s="51"/>
      <c r="AD20" s="51"/>
    </row>
    <row r="21" spans="2:30" ht="15.75" thickBot="1">
      <c r="B21" s="128" t="s">
        <v>33</v>
      </c>
      <c r="C21" s="179"/>
      <c r="D21" s="179"/>
      <c r="E21" s="179"/>
      <c r="F21" s="179"/>
      <c r="G21" s="179"/>
      <c r="H21" s="179"/>
      <c r="I21" s="179"/>
      <c r="J21" s="179"/>
      <c r="K21" s="179"/>
      <c r="L21" s="179"/>
      <c r="M21" s="179"/>
      <c r="N21" s="179"/>
      <c r="O21" s="179"/>
      <c r="P21" s="179"/>
      <c r="Q21" s="179"/>
      <c r="R21" s="249"/>
      <c r="S21" s="179"/>
      <c r="Y21" s="51"/>
      <c r="Z21" s="51"/>
      <c r="AA21" s="51"/>
      <c r="AB21" s="51"/>
      <c r="AC21" s="51"/>
      <c r="AD21" s="51"/>
    </row>
    <row r="22" spans="2:30" ht="14.25">
      <c r="B22" s="129" t="s">
        <v>4</v>
      </c>
      <c r="C22" s="180">
        <v>633.30700000000002</v>
      </c>
      <c r="D22" s="180">
        <v>614.63499999999999</v>
      </c>
      <c r="E22" s="180">
        <v>533.12400000000002</v>
      </c>
      <c r="F22" s="180">
        <v>514.22900000000004</v>
      </c>
      <c r="G22" s="180">
        <v>492.87799999999999</v>
      </c>
      <c r="H22" s="180">
        <v>474.45499999999993</v>
      </c>
      <c r="I22" s="180">
        <v>510.20900000000006</v>
      </c>
      <c r="J22" s="180">
        <v>491.90600000000001</v>
      </c>
      <c r="K22" s="180">
        <v>472.46100000000001</v>
      </c>
      <c r="L22" s="180">
        <v>495.80500000000006</v>
      </c>
      <c r="M22" s="180">
        <v>404.88100000000009</v>
      </c>
      <c r="N22" s="180">
        <v>219.61799999999999</v>
      </c>
      <c r="O22" s="180">
        <v>213.91900000000001</v>
      </c>
      <c r="P22" s="180">
        <v>209</v>
      </c>
      <c r="Q22" s="180">
        <v>175</v>
      </c>
      <c r="R22" s="180">
        <v>480</v>
      </c>
      <c r="S22" s="180">
        <v>482</v>
      </c>
      <c r="Y22" s="51"/>
      <c r="Z22" s="51"/>
      <c r="AA22" s="51"/>
      <c r="AB22" s="51"/>
      <c r="AC22" s="51"/>
      <c r="AD22" s="51"/>
    </row>
    <row r="23" spans="2:30" ht="14.25" customHeight="1" thickBot="1">
      <c r="B23" s="130" t="s">
        <v>5</v>
      </c>
      <c r="C23" s="181">
        <v>2177.2689999999998</v>
      </c>
      <c r="D23" s="181">
        <v>1548.519</v>
      </c>
      <c r="E23" s="181">
        <v>1622.62</v>
      </c>
      <c r="F23" s="181">
        <v>1544.6379999999999</v>
      </c>
      <c r="G23" s="181">
        <v>1572.2840000000001</v>
      </c>
      <c r="H23" s="181">
        <v>1603.0280204179835</v>
      </c>
      <c r="I23" s="181">
        <v>1764.761</v>
      </c>
      <c r="J23" s="181">
        <v>1688.598</v>
      </c>
      <c r="K23" s="181">
        <v>2508.7883223078875</v>
      </c>
      <c r="L23" s="181">
        <v>2614.5823464129571</v>
      </c>
      <c r="M23" s="182">
        <v>2987.5370011837563</v>
      </c>
      <c r="N23" s="182">
        <v>2726.8870000000002</v>
      </c>
      <c r="O23" s="182">
        <v>2992.326</v>
      </c>
      <c r="P23" s="182">
        <v>2603</v>
      </c>
      <c r="Q23" s="182">
        <v>2858</v>
      </c>
      <c r="R23" s="182">
        <v>2626</v>
      </c>
      <c r="S23" s="182">
        <v>2248</v>
      </c>
      <c r="Y23" s="51"/>
      <c r="Z23" s="51"/>
      <c r="AA23" s="51"/>
      <c r="AB23" s="51"/>
      <c r="AC23" s="51"/>
      <c r="AD23" s="51"/>
    </row>
    <row r="24" spans="2:30" ht="15">
      <c r="B24" s="65"/>
      <c r="C24" s="183"/>
      <c r="D24" s="183"/>
      <c r="E24" s="183"/>
      <c r="F24" s="183"/>
      <c r="G24" s="184"/>
      <c r="H24" s="185"/>
      <c r="I24" s="185"/>
      <c r="J24" s="183"/>
      <c r="K24" s="183"/>
      <c r="L24" s="183"/>
      <c r="M24" s="183"/>
      <c r="N24" s="183"/>
      <c r="O24" s="183"/>
      <c r="P24" s="224"/>
      <c r="Q24" s="183"/>
      <c r="R24" s="250"/>
      <c r="S24" s="183"/>
    </row>
    <row r="25" spans="2:30" ht="15.75" thickBot="1">
      <c r="B25" s="131" t="s">
        <v>55</v>
      </c>
      <c r="C25" s="186"/>
      <c r="D25" s="186"/>
      <c r="E25" s="186"/>
      <c r="F25" s="186"/>
      <c r="G25" s="187"/>
      <c r="H25" s="187"/>
      <c r="I25" s="187"/>
      <c r="J25" s="187"/>
      <c r="K25" s="187"/>
      <c r="L25" s="187"/>
      <c r="M25" s="187"/>
      <c r="N25" s="187"/>
      <c r="O25" s="187"/>
      <c r="P25" s="187"/>
      <c r="Q25" s="187"/>
      <c r="R25" s="251"/>
      <c r="S25" s="187"/>
    </row>
    <row r="26" spans="2:30" ht="14.25" customHeight="1">
      <c r="B26" s="132">
        <v>2018</v>
      </c>
      <c r="C26" s="188">
        <v>214.917</v>
      </c>
      <c r="D26" s="188">
        <v>143.67599999999999</v>
      </c>
      <c r="E26" s="188">
        <v>52.478999999999999</v>
      </c>
      <c r="F26" s="188">
        <v>0</v>
      </c>
      <c r="G26" s="188">
        <v>0</v>
      </c>
      <c r="H26" s="188">
        <v>0</v>
      </c>
      <c r="I26" s="188">
        <v>0</v>
      </c>
      <c r="J26" s="188">
        <v>0</v>
      </c>
      <c r="K26" s="188">
        <v>0</v>
      </c>
      <c r="L26" s="188">
        <v>0</v>
      </c>
      <c r="M26" s="188">
        <v>0</v>
      </c>
      <c r="N26" s="188">
        <v>0</v>
      </c>
      <c r="O26" s="188">
        <v>0</v>
      </c>
      <c r="P26" s="188">
        <v>0</v>
      </c>
      <c r="Q26" s="188">
        <v>0</v>
      </c>
      <c r="R26" s="188">
        <v>0</v>
      </c>
      <c r="S26" s="188">
        <v>0</v>
      </c>
    </row>
    <row r="27" spans="2:30" ht="14.25" customHeight="1">
      <c r="B27" s="132">
        <v>2019</v>
      </c>
      <c r="C27" s="188">
        <v>125.113</v>
      </c>
      <c r="D27" s="188">
        <v>128.36699999999999</v>
      </c>
      <c r="E27" s="188">
        <v>136.99199999999999</v>
      </c>
      <c r="F27" s="188">
        <v>118.095</v>
      </c>
      <c r="G27" s="188">
        <v>114.61779442034361</v>
      </c>
      <c r="H27" s="188">
        <v>86.747</v>
      </c>
      <c r="I27" s="188">
        <v>61.167051490514908</v>
      </c>
      <c r="J27" s="188">
        <v>0</v>
      </c>
      <c r="K27" s="188">
        <v>0</v>
      </c>
      <c r="L27" s="188">
        <v>0</v>
      </c>
      <c r="M27" s="188">
        <v>0</v>
      </c>
      <c r="N27" s="188">
        <v>0</v>
      </c>
      <c r="O27" s="188">
        <v>0</v>
      </c>
      <c r="P27" s="188">
        <v>0</v>
      </c>
      <c r="Q27" s="188">
        <v>0</v>
      </c>
      <c r="R27" s="188">
        <v>0</v>
      </c>
      <c r="S27" s="188">
        <v>0</v>
      </c>
    </row>
    <row r="28" spans="2:30" ht="14.25" customHeight="1">
      <c r="B28" s="132">
        <v>2020</v>
      </c>
      <c r="C28" s="188">
        <v>106.904</v>
      </c>
      <c r="D28" s="188">
        <v>109.70399999999999</v>
      </c>
      <c r="E28" s="188">
        <v>117.858</v>
      </c>
      <c r="F28" s="188">
        <v>112.489</v>
      </c>
      <c r="G28" s="188">
        <v>112.79650540505985</v>
      </c>
      <c r="H28" s="188">
        <v>112.901</v>
      </c>
      <c r="I28" s="188">
        <v>113.215</v>
      </c>
      <c r="J28" s="188">
        <v>126.48399999999999</v>
      </c>
      <c r="K28" s="188">
        <v>135.39058413639734</v>
      </c>
      <c r="L28" s="188">
        <v>66.585091650508829</v>
      </c>
      <c r="M28" s="188">
        <v>50.231518297236747</v>
      </c>
      <c r="N28" s="188">
        <v>0</v>
      </c>
      <c r="O28" s="188">
        <v>0</v>
      </c>
      <c r="P28" s="188">
        <v>0</v>
      </c>
      <c r="Q28" s="188">
        <v>0</v>
      </c>
      <c r="R28" s="188">
        <v>0</v>
      </c>
      <c r="S28" s="188">
        <v>0</v>
      </c>
    </row>
    <row r="29" spans="2:30" ht="14.25" customHeight="1">
      <c r="B29" s="133">
        <v>2021</v>
      </c>
      <c r="C29" s="175">
        <v>893.37300000000005</v>
      </c>
      <c r="D29" s="175">
        <v>98.006</v>
      </c>
      <c r="E29" s="175">
        <v>105.518</v>
      </c>
      <c r="F29" s="175">
        <v>109.76</v>
      </c>
      <c r="G29" s="175">
        <v>110.05271779526474</v>
      </c>
      <c r="H29" s="175">
        <v>110.14</v>
      </c>
      <c r="I29" s="175">
        <v>116.337</v>
      </c>
      <c r="J29" s="175">
        <v>117.325</v>
      </c>
      <c r="K29" s="175">
        <v>118.68951890289104</v>
      </c>
      <c r="L29" s="175">
        <v>139.43615139158186</v>
      </c>
      <c r="M29" s="175">
        <v>113.85479014189693</v>
      </c>
      <c r="N29" s="175">
        <v>63.84</v>
      </c>
      <c r="O29" s="175">
        <v>86.688999999999993</v>
      </c>
      <c r="P29" s="175">
        <v>55</v>
      </c>
      <c r="Q29" s="175">
        <v>47</v>
      </c>
      <c r="R29" s="175">
        <v>0</v>
      </c>
      <c r="S29" s="175">
        <v>0</v>
      </c>
    </row>
    <row r="30" spans="2:30" ht="14.25" customHeight="1">
      <c r="B30" s="132">
        <v>2022</v>
      </c>
      <c r="C30" s="188">
        <v>66.046999999999997</v>
      </c>
      <c r="D30" s="188">
        <v>66.283000000000001</v>
      </c>
      <c r="E30" s="188">
        <v>66.453000000000003</v>
      </c>
      <c r="F30" s="188">
        <v>70.388000000000005</v>
      </c>
      <c r="G30" s="188">
        <v>70.48438918115987</v>
      </c>
      <c r="H30" s="188">
        <v>70.361999999999995</v>
      </c>
      <c r="I30" s="188">
        <v>76.915999999999997</v>
      </c>
      <c r="J30" s="188">
        <v>76.816000000000003</v>
      </c>
      <c r="K30" s="188">
        <v>76.401518902891027</v>
      </c>
      <c r="L30" s="188">
        <v>83.625151391581866</v>
      </c>
      <c r="M30" s="188">
        <v>72.250790141896928</v>
      </c>
      <c r="N30" s="188">
        <v>42.707000000000001</v>
      </c>
      <c r="O30" s="188">
        <v>42.728000000000002</v>
      </c>
      <c r="P30" s="188">
        <v>42</v>
      </c>
      <c r="Q30" s="188">
        <v>43</v>
      </c>
      <c r="R30" s="188">
        <v>69</v>
      </c>
      <c r="S30" s="188">
        <v>88</v>
      </c>
    </row>
    <row r="31" spans="2:30" ht="14.25" customHeight="1">
      <c r="B31" s="134">
        <v>2023</v>
      </c>
      <c r="C31" s="175">
        <v>23.108000000000001</v>
      </c>
      <c r="D31" s="175">
        <v>23.132999999999999</v>
      </c>
      <c r="E31" s="175">
        <v>23.157</v>
      </c>
      <c r="F31" s="175">
        <v>27.06</v>
      </c>
      <c r="G31" s="175">
        <v>27.127402451275177</v>
      </c>
      <c r="H31" s="175">
        <v>26.995000000000001</v>
      </c>
      <c r="I31" s="175">
        <v>33.548000000000002</v>
      </c>
      <c r="J31" s="175">
        <v>33.548000000000002</v>
      </c>
      <c r="K31" s="175">
        <v>98.008573758339509</v>
      </c>
      <c r="L31" s="175">
        <v>105.60658181248876</v>
      </c>
      <c r="M31" s="175">
        <v>99.94528304705004</v>
      </c>
      <c r="N31" s="175">
        <v>78.501000000000005</v>
      </c>
      <c r="O31" s="175">
        <v>88.165999999999997</v>
      </c>
      <c r="P31" s="175">
        <v>69</v>
      </c>
      <c r="Q31" s="175">
        <v>74</v>
      </c>
      <c r="R31" s="175">
        <v>82</v>
      </c>
      <c r="S31" s="175">
        <v>72</v>
      </c>
    </row>
    <row r="32" spans="2:30" ht="14.25">
      <c r="B32" s="132">
        <v>2024</v>
      </c>
      <c r="C32" s="188">
        <v>1350.5450000000001</v>
      </c>
      <c r="D32" s="188">
        <v>1563.3720000000001</v>
      </c>
      <c r="E32" s="188">
        <v>1622.6320000000001</v>
      </c>
      <c r="F32" s="188">
        <v>1574.896</v>
      </c>
      <c r="G32" s="188">
        <v>1583.7245524304415</v>
      </c>
      <c r="H32" s="188">
        <v>575.98500000000001</v>
      </c>
      <c r="I32" s="188">
        <v>630.34900000000005</v>
      </c>
      <c r="J32" s="188">
        <v>611.10599999999999</v>
      </c>
      <c r="K32" s="188">
        <v>778.69251890289104</v>
      </c>
      <c r="L32" s="188">
        <v>822.57915139158183</v>
      </c>
      <c r="M32" s="188">
        <v>1102.468790141897</v>
      </c>
      <c r="N32" s="188">
        <v>1000.747</v>
      </c>
      <c r="O32" s="188">
        <v>1070.9949999999999</v>
      </c>
      <c r="P32" s="188">
        <v>942</v>
      </c>
      <c r="Q32" s="188">
        <v>1023</v>
      </c>
      <c r="R32" s="188">
        <v>776</v>
      </c>
      <c r="S32" s="188">
        <v>662</v>
      </c>
    </row>
    <row r="33" spans="2:19" ht="14.25" customHeight="1">
      <c r="B33" s="134">
        <v>2025</v>
      </c>
      <c r="C33" s="175">
        <v>17.468</v>
      </c>
      <c r="D33" s="175">
        <v>17.492999999999999</v>
      </c>
      <c r="E33" s="175">
        <v>17.516999999999999</v>
      </c>
      <c r="F33" s="175">
        <v>21.42</v>
      </c>
      <c r="G33" s="175">
        <v>21.487583494617226</v>
      </c>
      <c r="H33" s="175">
        <v>420.40600000000001</v>
      </c>
      <c r="I33" s="175">
        <v>481.68980397470642</v>
      </c>
      <c r="J33" s="175">
        <v>460.959</v>
      </c>
      <c r="K33" s="175">
        <v>590.42031504818385</v>
      </c>
      <c r="L33" s="175">
        <v>625.80744744505387</v>
      </c>
      <c r="M33" s="175">
        <v>645.52986855862582</v>
      </c>
      <c r="N33" s="175">
        <v>583.21900000000005</v>
      </c>
      <c r="O33" s="175">
        <v>638.28499999999997</v>
      </c>
      <c r="P33" s="175">
        <v>562</v>
      </c>
      <c r="Q33" s="175">
        <v>610</v>
      </c>
      <c r="R33" s="175">
        <v>631</v>
      </c>
      <c r="S33" s="175">
        <v>538</v>
      </c>
    </row>
    <row r="34" spans="2:19" ht="14.25">
      <c r="B34" s="132">
        <v>2026</v>
      </c>
      <c r="C34" s="188">
        <v>13.101000000000001</v>
      </c>
      <c r="D34" s="188">
        <v>13.12</v>
      </c>
      <c r="E34" s="188">
        <v>13.138</v>
      </c>
      <c r="F34" s="188">
        <v>17.030999999999999</v>
      </c>
      <c r="G34" s="188">
        <v>17.087569077212919</v>
      </c>
      <c r="H34" s="188">
        <v>450.00400000000002</v>
      </c>
      <c r="I34" s="188">
        <v>477.2868039747064</v>
      </c>
      <c r="J34" s="188">
        <v>456.55599999999998</v>
      </c>
      <c r="K34" s="188">
        <v>586.01731504818383</v>
      </c>
      <c r="L34" s="188">
        <v>620.99144744505384</v>
      </c>
      <c r="M34" s="188">
        <v>641.1268685586258</v>
      </c>
      <c r="N34" s="188">
        <v>583.21900000000005</v>
      </c>
      <c r="O34" s="188">
        <v>638.28499999999997</v>
      </c>
      <c r="P34" s="188">
        <v>562</v>
      </c>
      <c r="Q34" s="188">
        <v>610</v>
      </c>
      <c r="R34" s="188">
        <v>631</v>
      </c>
      <c r="S34" s="188">
        <v>538</v>
      </c>
    </row>
    <row r="35" spans="2:19" ht="14.25">
      <c r="B35" s="132" t="s">
        <v>56</v>
      </c>
      <c r="C35" s="189">
        <v>0</v>
      </c>
      <c r="D35" s="189">
        <v>0</v>
      </c>
      <c r="E35" s="189">
        <v>0</v>
      </c>
      <c r="F35" s="188">
        <v>7.7279999999996107</v>
      </c>
      <c r="G35" s="188">
        <v>7.7750516500000009</v>
      </c>
      <c r="H35" s="188">
        <v>224</v>
      </c>
      <c r="I35" s="188">
        <v>284.46134056007224</v>
      </c>
      <c r="J35" s="188">
        <v>297.7098652335078</v>
      </c>
      <c r="K35" s="188">
        <v>598</v>
      </c>
      <c r="L35" s="188">
        <v>645.75632388510928</v>
      </c>
      <c r="M35" s="188">
        <v>666.61409111277078</v>
      </c>
      <c r="N35" s="188">
        <v>594.27199999999993</v>
      </c>
      <c r="O35" s="188">
        <v>641.09700000000066</v>
      </c>
      <c r="P35" s="188">
        <v>580</v>
      </c>
      <c r="Q35" s="188">
        <f>311+138+135+42</f>
        <v>626</v>
      </c>
      <c r="R35" s="188">
        <v>917</v>
      </c>
      <c r="S35" s="188">
        <v>832</v>
      </c>
    </row>
    <row r="36" spans="2:19" ht="14.25">
      <c r="B36" s="135"/>
      <c r="C36" s="190"/>
      <c r="D36" s="190"/>
      <c r="E36" s="190"/>
      <c r="F36" s="191"/>
      <c r="G36" s="190"/>
      <c r="H36" s="190"/>
      <c r="I36" s="190"/>
      <c r="J36" s="191"/>
      <c r="K36" s="190"/>
      <c r="L36" s="190"/>
      <c r="M36" s="190"/>
      <c r="N36" s="191"/>
      <c r="O36" s="191"/>
      <c r="P36" s="191"/>
      <c r="Q36" s="191"/>
      <c r="R36" s="191"/>
      <c r="S36" s="191"/>
    </row>
    <row r="37" spans="2:19" ht="30.75" thickBot="1">
      <c r="B37" s="136" t="s">
        <v>158</v>
      </c>
      <c r="C37" s="192">
        <v>2.91</v>
      </c>
      <c r="D37" s="192">
        <v>2.2799999999999998</v>
      </c>
      <c r="E37" s="192">
        <v>2.2799999999999998</v>
      </c>
      <c r="F37" s="192">
        <v>1.405580940181155</v>
      </c>
      <c r="G37" s="192">
        <v>1.4783538948539607</v>
      </c>
      <c r="H37" s="192">
        <v>1.3100197646442173</v>
      </c>
      <c r="I37" s="192">
        <v>1.6184753643100227</v>
      </c>
      <c r="J37" s="192">
        <v>1.5827587649270576</v>
      </c>
      <c r="K37" s="192">
        <v>2.7144281433271038</v>
      </c>
      <c r="L37" s="192">
        <v>3.7590635047392693</v>
      </c>
      <c r="M37" s="192">
        <v>3.637699663750833</v>
      </c>
      <c r="N37" s="192">
        <v>3.0779106380921304</v>
      </c>
      <c r="O37" s="192">
        <v>3.5345095491508451</v>
      </c>
      <c r="P37" s="192">
        <v>2.3783882519036612</v>
      </c>
      <c r="Q37" s="192">
        <v>1.9009226333591633</v>
      </c>
      <c r="R37" s="192">
        <v>1.0830920174527963</v>
      </c>
      <c r="S37" s="192">
        <v>0.67</v>
      </c>
    </row>
    <row r="40" spans="2:19">
      <c r="C40" s="257"/>
      <c r="D40" s="257"/>
      <c r="E40" s="257"/>
      <c r="F40" s="257"/>
      <c r="G40" s="257"/>
      <c r="H40" s="257"/>
      <c r="I40" s="257"/>
      <c r="J40" s="257"/>
      <c r="K40" s="257"/>
      <c r="L40" s="257"/>
      <c r="M40" s="257"/>
      <c r="N40" s="257"/>
      <c r="O40" s="257"/>
      <c r="P40" s="257"/>
      <c r="Q40" s="257"/>
      <c r="R40" s="257"/>
      <c r="S40" s="257"/>
    </row>
    <row r="41" spans="2:19">
      <c r="C41" s="257"/>
      <c r="D41" s="257"/>
      <c r="E41" s="257"/>
      <c r="F41" s="257"/>
      <c r="G41" s="257"/>
      <c r="H41" s="257"/>
      <c r="I41" s="257"/>
      <c r="J41" s="257"/>
      <c r="K41" s="257"/>
      <c r="L41" s="257"/>
      <c r="M41" s="257"/>
      <c r="N41" s="257"/>
      <c r="O41" s="257"/>
      <c r="P41" s="257"/>
      <c r="Q41" s="257"/>
      <c r="R41" s="257"/>
      <c r="S41" s="257"/>
    </row>
    <row r="42" spans="2:19">
      <c r="C42" s="257"/>
      <c r="D42" s="257"/>
      <c r="E42" s="257"/>
      <c r="F42" s="257"/>
      <c r="G42" s="257"/>
      <c r="H42" s="257"/>
      <c r="I42" s="257"/>
      <c r="J42" s="257"/>
      <c r="K42" s="257"/>
      <c r="L42" s="257"/>
      <c r="M42" s="257"/>
      <c r="N42" s="257"/>
      <c r="O42" s="257"/>
      <c r="P42" s="257"/>
      <c r="Q42" s="257"/>
      <c r="R42" s="257"/>
      <c r="S42" s="257"/>
    </row>
    <row r="43" spans="2:19">
      <c r="C43" s="257"/>
      <c r="D43" s="257"/>
      <c r="E43" s="257"/>
      <c r="F43" s="257"/>
      <c r="G43" s="257"/>
      <c r="H43" s="257"/>
      <c r="I43" s="257"/>
      <c r="J43" s="257"/>
      <c r="K43" s="257"/>
      <c r="L43" s="257"/>
      <c r="M43" s="257"/>
      <c r="N43" s="257"/>
      <c r="O43" s="257"/>
      <c r="P43" s="257"/>
      <c r="Q43" s="257"/>
      <c r="R43" s="257"/>
      <c r="S43" s="257"/>
    </row>
  </sheetData>
  <pageMargins left="0.19" right="0.18" top="0.57999999999999996" bottom="0.98425196850393704" header="0.51181102362204722" footer="0.51181102362204722"/>
  <pageSetup paperSize="9" fitToHeight="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Z102"/>
  <sheetViews>
    <sheetView showGridLines="0" zoomScale="90" zoomScaleNormal="90" workbookViewId="0">
      <pane xSplit="2" ySplit="5" topLeftCell="C93" activePane="bottomRight" state="frozen"/>
      <selection activeCell="H45" sqref="H45"/>
      <selection pane="topRight" activeCell="H45" sqref="H45"/>
      <selection pane="bottomLeft" activeCell="H45" sqref="H45"/>
      <selection pane="bottomRight" activeCell="T104" sqref="T104"/>
    </sheetView>
  </sheetViews>
  <sheetFormatPr defaultColWidth="9.140625" defaultRowHeight="14.25"/>
  <cols>
    <col min="1" max="1" width="2.140625" style="53" customWidth="1"/>
    <col min="2" max="2" width="66.28515625" style="143" customWidth="1"/>
    <col min="3" max="19" width="9.140625" style="53" customWidth="1"/>
    <col min="20" max="16384" width="9.140625" style="53"/>
  </cols>
  <sheetData>
    <row r="1" spans="2:25">
      <c r="B1" s="53"/>
    </row>
    <row r="2" spans="2:25" ht="12.6" customHeight="1">
      <c r="B2" s="53"/>
    </row>
    <row r="3" spans="2:25" ht="19.5" customHeight="1">
      <c r="B3" s="53"/>
    </row>
    <row r="4" spans="2:25" ht="34.5" customHeight="1">
      <c r="B4" s="109"/>
    </row>
    <row r="5" spans="2:25" ht="20.25" customHeight="1" thickBot="1">
      <c r="B5" s="79" t="s">
        <v>61</v>
      </c>
      <c r="C5" s="80" t="s">
        <v>42</v>
      </c>
      <c r="D5" s="80" t="s">
        <v>43</v>
      </c>
      <c r="E5" s="80" t="s">
        <v>44</v>
      </c>
      <c r="F5" s="80" t="s">
        <v>45</v>
      </c>
      <c r="G5" s="80" t="s">
        <v>46</v>
      </c>
      <c r="H5" s="80" t="s">
        <v>47</v>
      </c>
      <c r="I5" s="80" t="s">
        <v>48</v>
      </c>
      <c r="J5" s="80" t="s">
        <v>49</v>
      </c>
      <c r="K5" s="80" t="s">
        <v>50</v>
      </c>
      <c r="L5" s="80" t="s">
        <v>51</v>
      </c>
      <c r="M5" s="80" t="s">
        <v>52</v>
      </c>
      <c r="N5" s="80" t="s">
        <v>54</v>
      </c>
      <c r="O5" s="80" t="s">
        <v>57</v>
      </c>
      <c r="P5" s="80" t="s">
        <v>160</v>
      </c>
      <c r="Q5" s="80" t="s">
        <v>164</v>
      </c>
      <c r="R5" s="80" t="s">
        <v>174</v>
      </c>
      <c r="S5" s="80" t="s">
        <v>294</v>
      </c>
      <c r="V5" s="80">
        <v>2018</v>
      </c>
      <c r="W5" s="80">
        <v>2019</v>
      </c>
      <c r="X5" s="80">
        <v>2020</v>
      </c>
      <c r="Y5" s="80">
        <v>2021</v>
      </c>
    </row>
    <row r="6" spans="2:25" ht="9" customHeight="1" thickTop="1">
      <c r="B6" s="56"/>
    </row>
    <row r="7" spans="2:25" s="56" customFormat="1" ht="15.75" thickBot="1">
      <c r="B7" s="137" t="s">
        <v>82</v>
      </c>
      <c r="C7" s="193">
        <v>1165.088</v>
      </c>
      <c r="D7" s="193">
        <v>1316.9949999999999</v>
      </c>
      <c r="E7" s="193">
        <v>1438.837</v>
      </c>
      <c r="F7" s="193">
        <v>1496.5569999999998</v>
      </c>
      <c r="G7" s="193">
        <v>1327.079</v>
      </c>
      <c r="H7" s="193">
        <v>1365.954</v>
      </c>
      <c r="I7" s="193">
        <v>1313.232</v>
      </c>
      <c r="J7" s="193">
        <v>1257.4190000000003</v>
      </c>
      <c r="K7" s="193">
        <v>1252.7380000000001</v>
      </c>
      <c r="L7" s="193">
        <v>1101.9179999999999</v>
      </c>
      <c r="M7" s="193">
        <v>1485.6210000000001</v>
      </c>
      <c r="N7" s="193">
        <v>1571.1049999999996</v>
      </c>
      <c r="O7" s="193">
        <v>1792.8240000000001</v>
      </c>
      <c r="P7" s="193">
        <v>1913.1759999999999</v>
      </c>
      <c r="Q7" s="193">
        <v>2300</v>
      </c>
      <c r="R7" s="193">
        <v>2417.1800000000003</v>
      </c>
      <c r="S7" s="193">
        <v>2291.665</v>
      </c>
      <c r="V7" s="193">
        <f>SUM(C7:F7)</f>
        <v>5417.476999999999</v>
      </c>
      <c r="W7" s="193">
        <f>SUM(G7:J7)</f>
        <v>5263.6840000000002</v>
      </c>
      <c r="X7" s="193">
        <f>SUM(K7:N7)</f>
        <v>5411.3819999999996</v>
      </c>
      <c r="Y7" s="193">
        <f>SUM(O7:R7)</f>
        <v>8423.18</v>
      </c>
    </row>
    <row r="8" spans="2:25">
      <c r="B8" s="138" t="s">
        <v>83</v>
      </c>
      <c r="C8" s="139">
        <v>-946.53800000000001</v>
      </c>
      <c r="D8" s="139">
        <v>-1050.942</v>
      </c>
      <c r="E8" s="139">
        <v>-1173.325</v>
      </c>
      <c r="F8" s="139">
        <v>-1297.2389999999996</v>
      </c>
      <c r="G8" s="139">
        <v>-1119.2809999999999</v>
      </c>
      <c r="H8" s="139">
        <v>-1176.6790000000001</v>
      </c>
      <c r="I8" s="139">
        <v>-1171.9339999999997</v>
      </c>
      <c r="J8" s="139">
        <v>-1138.2230000000004</v>
      </c>
      <c r="K8" s="139">
        <v>-1104.5940000000001</v>
      </c>
      <c r="L8" s="139">
        <v>-1037.9650000000001</v>
      </c>
      <c r="M8" s="139">
        <v>-1296.9539999999997</v>
      </c>
      <c r="N8" s="139">
        <v>-1391.62</v>
      </c>
      <c r="O8" s="139">
        <v>-1349.038</v>
      </c>
      <c r="P8" s="139">
        <v>-1526.962</v>
      </c>
      <c r="Q8" s="139">
        <v>-1990</v>
      </c>
      <c r="R8" s="139">
        <v>-1933.4719999999998</v>
      </c>
      <c r="S8" s="139">
        <v>-1737.7149999999999</v>
      </c>
      <c r="V8" s="139">
        <f t="shared" ref="V8:W33" si="0">SUM(C8:F8)</f>
        <v>-4468.0439999999999</v>
      </c>
      <c r="W8" s="139">
        <f t="shared" ref="W8:W29" si="1">SUM(G8:J8)</f>
        <v>-4606.1170000000002</v>
      </c>
      <c r="X8" s="139">
        <f t="shared" ref="X8:X33" si="2">SUM(K8:N8)</f>
        <v>-4831.1329999999998</v>
      </c>
      <c r="Y8" s="139">
        <f t="shared" ref="Y8:Y34" si="3">SUM(O8:R8)</f>
        <v>-6799.4719999999998</v>
      </c>
    </row>
    <row r="9" spans="2:25" s="56" customFormat="1" ht="15.75" thickBot="1">
      <c r="B9" s="137" t="s">
        <v>6</v>
      </c>
      <c r="C9" s="194">
        <f>SUM(C7:C8)</f>
        <v>218.54999999999995</v>
      </c>
      <c r="D9" s="194">
        <f t="shared" ref="D9:P9" si="4">SUM(D7:D8)</f>
        <v>266.05299999999988</v>
      </c>
      <c r="E9" s="194">
        <f t="shared" si="4"/>
        <v>265.51199999999994</v>
      </c>
      <c r="F9" s="194">
        <f t="shared" si="4"/>
        <v>199.31800000000021</v>
      </c>
      <c r="G9" s="194">
        <f t="shared" si="4"/>
        <v>207.798</v>
      </c>
      <c r="H9" s="194">
        <f t="shared" si="4"/>
        <v>189.27499999999986</v>
      </c>
      <c r="I9" s="194">
        <f t="shared" si="4"/>
        <v>141.29800000000023</v>
      </c>
      <c r="J9" s="194">
        <f t="shared" si="4"/>
        <v>119.19599999999991</v>
      </c>
      <c r="K9" s="194">
        <f t="shared" si="4"/>
        <v>148.14400000000001</v>
      </c>
      <c r="L9" s="194">
        <f t="shared" si="4"/>
        <v>63.952999999999747</v>
      </c>
      <c r="M9" s="194">
        <f t="shared" si="4"/>
        <v>188.66700000000037</v>
      </c>
      <c r="N9" s="194">
        <f t="shared" si="4"/>
        <v>179.48499999999967</v>
      </c>
      <c r="O9" s="194">
        <f t="shared" si="4"/>
        <v>443.78600000000006</v>
      </c>
      <c r="P9" s="194">
        <f t="shared" si="4"/>
        <v>386.21399999999994</v>
      </c>
      <c r="Q9" s="194">
        <f>SUM(Q7:Q8)</f>
        <v>310</v>
      </c>
      <c r="R9" s="194">
        <f>SUM(R7:R8)</f>
        <v>483.70800000000054</v>
      </c>
      <c r="S9" s="194">
        <f t="shared" ref="S9" si="5">SUM(S7:S8)</f>
        <v>553.95000000000005</v>
      </c>
      <c r="V9" s="194">
        <f t="shared" si="0"/>
        <v>949.43299999999999</v>
      </c>
      <c r="W9" s="194">
        <f t="shared" si="1"/>
        <v>657.56700000000001</v>
      </c>
      <c r="X9" s="194">
        <f t="shared" si="2"/>
        <v>580.2489999999998</v>
      </c>
      <c r="Y9" s="194">
        <f t="shared" si="3"/>
        <v>1623.7080000000005</v>
      </c>
    </row>
    <row r="10" spans="2:25" s="96" customFormat="1">
      <c r="B10" s="140" t="s">
        <v>64</v>
      </c>
      <c r="C10" s="195">
        <f>C9/C7</f>
        <v>0.18758239720948114</v>
      </c>
      <c r="D10" s="195">
        <f t="shared" ref="D10:P10" si="6">D9/D7</f>
        <v>0.20201519367955073</v>
      </c>
      <c r="E10" s="195">
        <f t="shared" si="6"/>
        <v>0.18453236885067589</v>
      </c>
      <c r="F10" s="195">
        <f t="shared" si="6"/>
        <v>0.13318436918874471</v>
      </c>
      <c r="G10" s="195">
        <f t="shared" si="6"/>
        <v>0.15658299166816747</v>
      </c>
      <c r="H10" s="195">
        <f t="shared" si="6"/>
        <v>0.1385661596217734</v>
      </c>
      <c r="I10" s="195">
        <f t="shared" si="6"/>
        <v>0.10759561143804007</v>
      </c>
      <c r="J10" s="195">
        <f t="shared" si="6"/>
        <v>9.4794177597125454E-2</v>
      </c>
      <c r="K10" s="195">
        <f t="shared" si="6"/>
        <v>0.11825617168154874</v>
      </c>
      <c r="L10" s="195">
        <f t="shared" si="6"/>
        <v>5.8037893926771097E-2</v>
      </c>
      <c r="M10" s="195">
        <f t="shared" si="6"/>
        <v>0.12699537769054178</v>
      </c>
      <c r="N10" s="195">
        <f t="shared" si="6"/>
        <v>0.11424125058477932</v>
      </c>
      <c r="O10" s="195">
        <f t="shared" si="6"/>
        <v>0.24753461577935149</v>
      </c>
      <c r="P10" s="195">
        <f t="shared" si="6"/>
        <v>0.20187060678160293</v>
      </c>
      <c r="Q10" s="195">
        <f>Q9/Q7</f>
        <v>0.13478260869565217</v>
      </c>
      <c r="R10" s="195">
        <f>R9/R7</f>
        <v>0.20011252782167671</v>
      </c>
      <c r="S10" s="195">
        <f t="shared" ref="S10" si="7">S9/S7</f>
        <v>0.2417238121627725</v>
      </c>
      <c r="V10" s="195">
        <f t="shared" ref="V10:Y10" si="8">V9/V7</f>
        <v>0.17525372050495094</v>
      </c>
      <c r="W10" s="195">
        <f t="shared" si="8"/>
        <v>0.12492524247276242</v>
      </c>
      <c r="X10" s="195">
        <f t="shared" si="8"/>
        <v>0.10722750676259776</v>
      </c>
      <c r="Y10" s="195">
        <f t="shared" si="8"/>
        <v>0.19276662733077063</v>
      </c>
    </row>
    <row r="11" spans="2:25" ht="15.75" thickBot="1">
      <c r="B11" s="141" t="s">
        <v>84</v>
      </c>
      <c r="C11" s="196">
        <f>SUM(C12:C14)</f>
        <v>-53.069999999999993</v>
      </c>
      <c r="D11" s="196">
        <f>SUM(D12:D14)</f>
        <v>30.466999999999999</v>
      </c>
      <c r="E11" s="196">
        <f t="shared" ref="E11:P11" si="9">SUM(E12:E14)</f>
        <v>-110.545</v>
      </c>
      <c r="F11" s="196">
        <f t="shared" si="9"/>
        <v>-135.26600000000002</v>
      </c>
      <c r="G11" s="196">
        <f t="shared" si="9"/>
        <v>-74.996000000000009</v>
      </c>
      <c r="H11" s="196">
        <f t="shared" si="9"/>
        <v>-38.573000000000008</v>
      </c>
      <c r="I11" s="196">
        <f t="shared" si="9"/>
        <v>-124.23099999999999</v>
      </c>
      <c r="J11" s="196">
        <f t="shared" si="9"/>
        <v>-189.935</v>
      </c>
      <c r="K11" s="196">
        <f t="shared" si="9"/>
        <v>276.82800000000003</v>
      </c>
      <c r="L11" s="196">
        <f t="shared" si="9"/>
        <v>-29.350999999999999</v>
      </c>
      <c r="M11" s="196">
        <f t="shared" si="9"/>
        <v>-189.791</v>
      </c>
      <c r="N11" s="196">
        <f t="shared" si="9"/>
        <v>-203.947</v>
      </c>
      <c r="O11" s="196">
        <f t="shared" si="9"/>
        <v>-308.68799999999999</v>
      </c>
      <c r="P11" s="196">
        <f t="shared" si="9"/>
        <v>42.943000000000026</v>
      </c>
      <c r="Q11" s="196">
        <f>SUM(Q12:Q14)</f>
        <v>-124.83699999999997</v>
      </c>
      <c r="R11" s="196">
        <f>SUM(R12:R14)</f>
        <v>108.08499999999998</v>
      </c>
      <c r="S11" s="196">
        <f t="shared" ref="S11" si="10">SUM(S12:S14)</f>
        <v>-157.304</v>
      </c>
      <c r="V11" s="196">
        <f t="shared" si="0"/>
        <v>-268.41399999999999</v>
      </c>
      <c r="W11" s="196">
        <f t="shared" si="1"/>
        <v>-427.73500000000001</v>
      </c>
      <c r="X11" s="196">
        <f t="shared" si="2"/>
        <v>-146.26099999999997</v>
      </c>
      <c r="Y11" s="196">
        <f t="shared" si="3"/>
        <v>-282.49699999999996</v>
      </c>
    </row>
    <row r="12" spans="2:25" s="143" customFormat="1">
      <c r="B12" s="142" t="s">
        <v>85</v>
      </c>
      <c r="C12" s="139">
        <v>-10.08</v>
      </c>
      <c r="D12" s="139">
        <v>-7.1549999999999994</v>
      </c>
      <c r="E12" s="139">
        <v>-8.8930000000000007</v>
      </c>
      <c r="F12" s="139">
        <v>-9.8239999999999981</v>
      </c>
      <c r="G12" s="139">
        <v>-13.499000000000001</v>
      </c>
      <c r="H12" s="139">
        <v>-8.1549999999999994</v>
      </c>
      <c r="I12" s="139">
        <v>-6.5579999999999998</v>
      </c>
      <c r="J12" s="139">
        <v>-7.7799999999999976</v>
      </c>
      <c r="K12" s="139">
        <v>-6.5439999999999996</v>
      </c>
      <c r="L12" s="139">
        <v>-6.9630000000000001</v>
      </c>
      <c r="M12" s="139">
        <v>-7.0750000000000011</v>
      </c>
      <c r="N12" s="139">
        <v>-16.537999999999997</v>
      </c>
      <c r="O12" s="139">
        <v>-7.8419999999999996</v>
      </c>
      <c r="P12" s="139">
        <v>-10.654</v>
      </c>
      <c r="Q12" s="139">
        <v>-12.286000000000001</v>
      </c>
      <c r="R12" s="139">
        <v>-11.487000000000002</v>
      </c>
      <c r="S12" s="139">
        <v>-10.968999999999999</v>
      </c>
      <c r="V12" s="139">
        <f t="shared" si="0"/>
        <v>-35.951999999999998</v>
      </c>
      <c r="W12" s="139">
        <f t="shared" si="1"/>
        <v>-35.991999999999997</v>
      </c>
      <c r="X12" s="139">
        <f t="shared" si="2"/>
        <v>-37.119999999999997</v>
      </c>
      <c r="Y12" s="139">
        <f t="shared" si="3"/>
        <v>-42.269000000000005</v>
      </c>
    </row>
    <row r="13" spans="2:25">
      <c r="B13" s="144" t="s">
        <v>86</v>
      </c>
      <c r="C13" s="145">
        <v>-44.281999999999996</v>
      </c>
      <c r="D13" s="145">
        <v>-42.942999999999998</v>
      </c>
      <c r="E13" s="145">
        <v>-49.739000000000004</v>
      </c>
      <c r="F13" s="145">
        <v>-60.191000000000003</v>
      </c>
      <c r="G13" s="145">
        <v>-46.762</v>
      </c>
      <c r="H13" s="145">
        <v>-54.456000000000003</v>
      </c>
      <c r="I13" s="145">
        <v>-51.575000000000003</v>
      </c>
      <c r="J13" s="145">
        <v>-61.204000000000008</v>
      </c>
      <c r="K13" s="145">
        <v>-57.158999999999999</v>
      </c>
      <c r="L13" s="145">
        <v>-56.387999999999998</v>
      </c>
      <c r="M13" s="145">
        <v>-62.12700000000001</v>
      </c>
      <c r="N13" s="145">
        <v>-108.22799999999998</v>
      </c>
      <c r="O13" s="145">
        <v>-69.278000000000006</v>
      </c>
      <c r="P13" s="145">
        <v>-81.471999999999994</v>
      </c>
      <c r="Q13" s="145">
        <v>-73.536999999999992</v>
      </c>
      <c r="R13" s="145">
        <v>-113.74000000000001</v>
      </c>
      <c r="S13" s="145">
        <v>-85.308999999999997</v>
      </c>
      <c r="V13" s="145">
        <f t="shared" si="0"/>
        <v>-197.155</v>
      </c>
      <c r="W13" s="145">
        <f t="shared" si="1"/>
        <v>-213.99700000000001</v>
      </c>
      <c r="X13" s="145">
        <f t="shared" si="2"/>
        <v>-283.90199999999999</v>
      </c>
      <c r="Y13" s="145">
        <f t="shared" si="3"/>
        <v>-338.02699999999999</v>
      </c>
    </row>
    <row r="14" spans="2:25">
      <c r="B14" s="142" t="s">
        <v>87</v>
      </c>
      <c r="C14" s="139">
        <v>1.292</v>
      </c>
      <c r="D14" s="197">
        <v>80.564999999999998</v>
      </c>
      <c r="E14" s="197">
        <v>-51.912999999999997</v>
      </c>
      <c r="F14" s="197">
        <v>-65.251000000000005</v>
      </c>
      <c r="G14" s="197">
        <v>-14.734999999999999</v>
      </c>
      <c r="H14" s="197">
        <v>24.038</v>
      </c>
      <c r="I14" s="197">
        <v>-66.097999999999999</v>
      </c>
      <c r="J14" s="197">
        <v>-120.95100000000001</v>
      </c>
      <c r="K14" s="197">
        <v>340.53100000000001</v>
      </c>
      <c r="L14" s="197">
        <v>34</v>
      </c>
      <c r="M14" s="197">
        <v>-120.589</v>
      </c>
      <c r="N14" s="197">
        <v>-79.181000000000012</v>
      </c>
      <c r="O14" s="197">
        <v>-231.56800000000001</v>
      </c>
      <c r="P14" s="197">
        <v>135.06900000000002</v>
      </c>
      <c r="Q14" s="197">
        <v>-39.013999999999982</v>
      </c>
      <c r="R14" s="197">
        <v>233.31199999999998</v>
      </c>
      <c r="S14" s="197">
        <v>-61.026000000000003</v>
      </c>
      <c r="V14" s="197">
        <f t="shared" si="0"/>
        <v>-35.307000000000002</v>
      </c>
      <c r="W14" s="197">
        <f t="shared" si="1"/>
        <v>-177.74600000000001</v>
      </c>
      <c r="X14" s="197">
        <f t="shared" si="2"/>
        <v>174.761</v>
      </c>
      <c r="Y14" s="197">
        <f t="shared" si="3"/>
        <v>97.799000000000007</v>
      </c>
    </row>
    <row r="15" spans="2:25" s="56" customFormat="1" ht="15.75" thickBot="1">
      <c r="B15" s="137" t="s">
        <v>159</v>
      </c>
      <c r="C15" s="193">
        <f>SUM(C11,C9)</f>
        <v>165.47999999999996</v>
      </c>
      <c r="D15" s="193">
        <f t="shared" ref="D15:P15" si="11">SUM(D11,D9)</f>
        <v>296.51999999999987</v>
      </c>
      <c r="E15" s="193">
        <f t="shared" si="11"/>
        <v>154.96699999999993</v>
      </c>
      <c r="F15" s="193">
        <f t="shared" si="11"/>
        <v>64.052000000000191</v>
      </c>
      <c r="G15" s="193">
        <f t="shared" si="11"/>
        <v>132.80199999999999</v>
      </c>
      <c r="H15" s="193">
        <f t="shared" si="11"/>
        <v>150.70199999999986</v>
      </c>
      <c r="I15" s="193">
        <f t="shared" si="11"/>
        <v>17.067000000000235</v>
      </c>
      <c r="J15" s="193">
        <f t="shared" si="11"/>
        <v>-70.73900000000009</v>
      </c>
      <c r="K15" s="193">
        <f t="shared" si="11"/>
        <v>424.97200000000004</v>
      </c>
      <c r="L15" s="193">
        <f>SUM(L11,L9)</f>
        <v>34.601999999999748</v>
      </c>
      <c r="M15" s="193">
        <f t="shared" si="11"/>
        <v>-1.1239999999996257</v>
      </c>
      <c r="N15" s="193">
        <f t="shared" si="11"/>
        <v>-24.46200000000033</v>
      </c>
      <c r="O15" s="193">
        <f t="shared" si="11"/>
        <v>135.09800000000007</v>
      </c>
      <c r="P15" s="193">
        <f t="shared" si="11"/>
        <v>429.15699999999998</v>
      </c>
      <c r="Q15" s="193">
        <f>SUM(Q11,Q9)</f>
        <v>185.16300000000001</v>
      </c>
      <c r="R15" s="193">
        <f>SUM(R11,R9)</f>
        <v>591.79300000000057</v>
      </c>
      <c r="S15" s="193">
        <f t="shared" ref="S15" si="12">SUM(S11,S9)</f>
        <v>396.64600000000007</v>
      </c>
      <c r="V15" s="193">
        <f t="shared" si="0"/>
        <v>681.01900000000001</v>
      </c>
      <c r="W15" s="193">
        <f t="shared" si="1"/>
        <v>229.83199999999999</v>
      </c>
      <c r="X15" s="193">
        <f t="shared" si="2"/>
        <v>433.98799999999983</v>
      </c>
      <c r="Y15" s="193">
        <f t="shared" si="3"/>
        <v>1341.2110000000007</v>
      </c>
    </row>
    <row r="16" spans="2:25" s="226" customFormat="1" ht="15.75" thickBot="1">
      <c r="B16" s="225" t="s">
        <v>88</v>
      </c>
      <c r="C16" s="196">
        <f>SUM(C17)</f>
        <v>1.3029999999999999</v>
      </c>
      <c r="D16" s="196">
        <f t="shared" ref="D16:S16" si="13">SUM(D17)</f>
        <v>-19.989999999999998</v>
      </c>
      <c r="E16" s="196">
        <f t="shared" si="13"/>
        <v>-8.3290000000000006</v>
      </c>
      <c r="F16" s="196">
        <f t="shared" si="13"/>
        <v>-2.1000000000000796E-2</v>
      </c>
      <c r="G16" s="196">
        <f t="shared" si="13"/>
        <v>-0.35099999999999998</v>
      </c>
      <c r="H16" s="196">
        <f t="shared" si="13"/>
        <v>4.992</v>
      </c>
      <c r="I16" s="196">
        <f t="shared" si="13"/>
        <v>1.9610000000000001</v>
      </c>
      <c r="J16" s="196">
        <f t="shared" si="13"/>
        <v>7.8949999999999996</v>
      </c>
      <c r="K16" s="196">
        <f t="shared" si="13"/>
        <v>-26.245000000000001</v>
      </c>
      <c r="L16" s="196">
        <f t="shared" si="13"/>
        <v>7.7720000000000002</v>
      </c>
      <c r="M16" s="196">
        <f t="shared" si="13"/>
        <v>5.1269999999999998</v>
      </c>
      <c r="N16" s="196">
        <f t="shared" si="13"/>
        <v>10.3</v>
      </c>
      <c r="O16" s="196">
        <f t="shared" si="13"/>
        <v>-17.169</v>
      </c>
      <c r="P16" s="196">
        <f t="shared" si="13"/>
        <v>17.065000000000001</v>
      </c>
      <c r="Q16" s="196">
        <f t="shared" si="13"/>
        <v>-17.646999999999998</v>
      </c>
      <c r="R16" s="196">
        <f t="shared" si="13"/>
        <v>30.474999999999998</v>
      </c>
      <c r="S16" s="196">
        <f t="shared" si="13"/>
        <v>19.192</v>
      </c>
      <c r="V16" s="196">
        <f t="shared" si="0"/>
        <v>-27.036999999999999</v>
      </c>
      <c r="W16" s="196">
        <f t="shared" si="1"/>
        <v>14.497</v>
      </c>
      <c r="X16" s="196">
        <f t="shared" si="2"/>
        <v>-3.0459999999999994</v>
      </c>
      <c r="Y16" s="196">
        <f t="shared" si="3"/>
        <v>12.724</v>
      </c>
    </row>
    <row r="17" spans="2:25" s="229" customFormat="1">
      <c r="B17" s="227" t="s">
        <v>89</v>
      </c>
      <c r="C17" s="228">
        <v>1.3029999999999999</v>
      </c>
      <c r="D17" s="228">
        <v>-19.989999999999998</v>
      </c>
      <c r="E17" s="228">
        <v>-8.3290000000000006</v>
      </c>
      <c r="F17" s="228">
        <v>-2.1000000000000796E-2</v>
      </c>
      <c r="G17" s="228">
        <v>-0.35099999999999998</v>
      </c>
      <c r="H17" s="228">
        <v>4.992</v>
      </c>
      <c r="I17" s="228">
        <v>1.9610000000000001</v>
      </c>
      <c r="J17" s="228">
        <v>7.8949999999999996</v>
      </c>
      <c r="K17" s="228">
        <v>-26.245000000000001</v>
      </c>
      <c r="L17" s="228">
        <v>7.7720000000000002</v>
      </c>
      <c r="M17" s="228">
        <v>5.1269999999999998</v>
      </c>
      <c r="N17" s="228">
        <v>10.3</v>
      </c>
      <c r="O17" s="228">
        <v>-17.169</v>
      </c>
      <c r="P17" s="228">
        <v>17.065000000000001</v>
      </c>
      <c r="Q17" s="228">
        <v>-17.646999999999998</v>
      </c>
      <c r="R17" s="228">
        <v>30.474999999999998</v>
      </c>
      <c r="S17" s="228">
        <v>19.192</v>
      </c>
      <c r="V17" s="228">
        <f t="shared" si="0"/>
        <v>-27.036999999999999</v>
      </c>
      <c r="W17" s="228">
        <f t="shared" si="1"/>
        <v>14.497</v>
      </c>
      <c r="X17" s="228">
        <f t="shared" si="2"/>
        <v>-3.0459999999999994</v>
      </c>
      <c r="Y17" s="228">
        <f t="shared" si="3"/>
        <v>12.724</v>
      </c>
    </row>
    <row r="18" spans="2:25" ht="15">
      <c r="B18" s="147" t="s">
        <v>90</v>
      </c>
      <c r="C18" s="198">
        <f>SUM(C19:C22)</f>
        <v>-58.486000000000011</v>
      </c>
      <c r="D18" s="198">
        <f>SUM(D19:D22)</f>
        <v>-326.63300000000004</v>
      </c>
      <c r="E18" s="198">
        <f t="shared" ref="E18:P18" si="14">SUM(E19:E22)</f>
        <v>-159.70700000000002</v>
      </c>
      <c r="F18" s="198">
        <f t="shared" si="14"/>
        <v>18.997000000000057</v>
      </c>
      <c r="G18" s="198">
        <f>SUM(G19:G22)</f>
        <v>-82.067000000000007</v>
      </c>
      <c r="H18" s="198">
        <f t="shared" si="14"/>
        <v>-155.08900000000006</v>
      </c>
      <c r="I18" s="198">
        <f t="shared" si="14"/>
        <v>-99.825999999999937</v>
      </c>
      <c r="J18" s="198">
        <f t="shared" si="14"/>
        <v>98.485000000000014</v>
      </c>
      <c r="K18" s="198">
        <f t="shared" si="14"/>
        <v>-281.11599999999999</v>
      </c>
      <c r="L18" s="198">
        <f t="shared" si="14"/>
        <v>-20.513000000000019</v>
      </c>
      <c r="M18" s="198">
        <f t="shared" si="14"/>
        <v>-174.54599999999996</v>
      </c>
      <c r="N18" s="198">
        <f t="shared" si="14"/>
        <v>-16.298999999999964</v>
      </c>
      <c r="O18" s="198">
        <f t="shared" si="14"/>
        <v>-244.70599999999999</v>
      </c>
      <c r="P18" s="198">
        <f t="shared" si="14"/>
        <v>131.68599999999998</v>
      </c>
      <c r="Q18" s="198">
        <f>SUM(Q19:Q22)</f>
        <v>-254.91500000000002</v>
      </c>
      <c r="R18" s="198">
        <f>SUM(R19:R22)</f>
        <v>-128.59199999999998</v>
      </c>
      <c r="S18" s="198">
        <f t="shared" ref="S18" si="15">SUM(S19:S22)</f>
        <v>166.542</v>
      </c>
      <c r="V18" s="198">
        <f t="shared" si="0"/>
        <v>-525.82899999999995</v>
      </c>
      <c r="W18" s="198">
        <f t="shared" si="1"/>
        <v>-238.49699999999996</v>
      </c>
      <c r="X18" s="198">
        <f t="shared" si="2"/>
        <v>-492.47399999999993</v>
      </c>
      <c r="Y18" s="198">
        <f t="shared" si="3"/>
        <v>-496.52700000000004</v>
      </c>
    </row>
    <row r="19" spans="2:25">
      <c r="B19" s="97" t="s">
        <v>91</v>
      </c>
      <c r="C19" s="199">
        <v>59.723999999999997</v>
      </c>
      <c r="D19" s="199">
        <v>22.262999999999998</v>
      </c>
      <c r="E19" s="199">
        <v>17.463999999999999</v>
      </c>
      <c r="F19" s="199">
        <v>52.314000000000007</v>
      </c>
      <c r="G19" s="199">
        <v>12.944000000000001</v>
      </c>
      <c r="H19" s="199">
        <v>83.039000000000001</v>
      </c>
      <c r="I19" s="199">
        <v>32.853000000000009</v>
      </c>
      <c r="J19" s="199">
        <v>193.309</v>
      </c>
      <c r="K19" s="199">
        <v>13.736000000000001</v>
      </c>
      <c r="L19" s="199">
        <v>97.522999999999996</v>
      </c>
      <c r="M19" s="199">
        <v>8.3089999999999975</v>
      </c>
      <c r="N19" s="199">
        <v>17.046000000000006</v>
      </c>
      <c r="O19" s="199">
        <v>8.3569999999999993</v>
      </c>
      <c r="P19" s="199">
        <v>9.0929999999999964</v>
      </c>
      <c r="Q19" s="199">
        <v>33.314</v>
      </c>
      <c r="R19" s="199">
        <v>59.052000000000007</v>
      </c>
      <c r="S19" s="199">
        <v>41.81</v>
      </c>
      <c r="V19" s="199">
        <f t="shared" si="0"/>
        <v>151.76499999999999</v>
      </c>
      <c r="W19" s="199">
        <f t="shared" si="1"/>
        <v>322.14499999999998</v>
      </c>
      <c r="X19" s="199">
        <f t="shared" si="2"/>
        <v>136.614</v>
      </c>
      <c r="Y19" s="199">
        <f t="shared" si="3"/>
        <v>109.816</v>
      </c>
    </row>
    <row r="20" spans="2:25">
      <c r="B20" s="98" t="s">
        <v>92</v>
      </c>
      <c r="C20" s="145">
        <v>-108.456</v>
      </c>
      <c r="D20" s="145">
        <v>-110.009</v>
      </c>
      <c r="E20" s="145">
        <v>-95.792000000000002</v>
      </c>
      <c r="F20" s="145">
        <v>-80.274000000000001</v>
      </c>
      <c r="G20" s="145">
        <v>-82.736000000000004</v>
      </c>
      <c r="H20" s="145">
        <v>-238.44100000000003</v>
      </c>
      <c r="I20" s="145">
        <v>-76.477999999999952</v>
      </c>
      <c r="J20" s="145">
        <v>-117.37599999999998</v>
      </c>
      <c r="K20" s="145">
        <v>-67.361000000000004</v>
      </c>
      <c r="L20" s="145">
        <v>-78.826000000000008</v>
      </c>
      <c r="M20" s="145">
        <v>-147.34399999999999</v>
      </c>
      <c r="N20" s="145">
        <v>-121.02299999999997</v>
      </c>
      <c r="O20" s="145">
        <v>-71.680999999999997</v>
      </c>
      <c r="P20" s="145">
        <v>-122.124</v>
      </c>
      <c r="Q20" s="145">
        <v>-117.307</v>
      </c>
      <c r="R20" s="145">
        <v>-150.38799999999998</v>
      </c>
      <c r="S20" s="145">
        <v>-154.23699999999999</v>
      </c>
      <c r="V20" s="145">
        <f t="shared" si="0"/>
        <v>-394.53100000000001</v>
      </c>
      <c r="W20" s="145">
        <f t="shared" si="1"/>
        <v>-515.03099999999995</v>
      </c>
      <c r="X20" s="145">
        <f t="shared" si="2"/>
        <v>-414.55399999999997</v>
      </c>
      <c r="Y20" s="145">
        <f t="shared" si="3"/>
        <v>-461.5</v>
      </c>
    </row>
    <row r="21" spans="2:25">
      <c r="B21" s="99" t="s">
        <v>126</v>
      </c>
      <c r="C21" s="200">
        <v>0.12</v>
      </c>
      <c r="D21" s="200">
        <v>9.1999999999999998E-2</v>
      </c>
      <c r="E21" s="200">
        <v>0</v>
      </c>
      <c r="F21" s="200">
        <v>0</v>
      </c>
      <c r="G21" s="200">
        <v>0</v>
      </c>
      <c r="H21" s="200">
        <v>0</v>
      </c>
      <c r="I21" s="200">
        <v>0</v>
      </c>
      <c r="J21" s="200">
        <v>0</v>
      </c>
      <c r="K21" s="200">
        <v>0</v>
      </c>
      <c r="L21" s="200">
        <v>0</v>
      </c>
      <c r="M21" s="200">
        <v>0</v>
      </c>
      <c r="N21" s="200">
        <v>0</v>
      </c>
      <c r="O21" s="200">
        <v>-92.358999999999995</v>
      </c>
      <c r="P21" s="200">
        <v>103.18799999999999</v>
      </c>
      <c r="Q21" s="200">
        <v>-75.509</v>
      </c>
      <c r="R21" s="200">
        <v>-5.6089999999999947</v>
      </c>
      <c r="S21" s="200">
        <v>197.541</v>
      </c>
      <c r="V21" s="200" t="s">
        <v>296</v>
      </c>
      <c r="W21" s="200">
        <f t="shared" si="1"/>
        <v>0</v>
      </c>
      <c r="X21" s="200">
        <f t="shared" si="2"/>
        <v>0</v>
      </c>
      <c r="Y21" s="200">
        <f t="shared" si="3"/>
        <v>-70.289000000000001</v>
      </c>
    </row>
    <row r="22" spans="2:25">
      <c r="B22" s="99" t="s">
        <v>93</v>
      </c>
      <c r="C22" s="200">
        <v>-9.8740000000000006</v>
      </c>
      <c r="D22" s="200">
        <v>-238.97900000000001</v>
      </c>
      <c r="E22" s="200">
        <v>-81.379000000000019</v>
      </c>
      <c r="F22" s="200">
        <v>46.95700000000005</v>
      </c>
      <c r="G22" s="200">
        <v>-12.275</v>
      </c>
      <c r="H22" s="200">
        <v>0.31300000000000061</v>
      </c>
      <c r="I22" s="200">
        <v>-56.200999999999993</v>
      </c>
      <c r="J22" s="200">
        <v>22.552</v>
      </c>
      <c r="K22" s="200">
        <v>-227.49100000000001</v>
      </c>
      <c r="L22" s="200">
        <v>-39.210000000000008</v>
      </c>
      <c r="M22" s="200">
        <v>-35.510999999999967</v>
      </c>
      <c r="N22" s="200">
        <v>87.677999999999997</v>
      </c>
      <c r="O22" s="200">
        <v>-89.022999999999996</v>
      </c>
      <c r="P22" s="200">
        <v>141.529</v>
      </c>
      <c r="Q22" s="200">
        <v>-95.412999999999997</v>
      </c>
      <c r="R22" s="200">
        <v>-31.647000000000006</v>
      </c>
      <c r="S22" s="200">
        <v>81.427999999999997</v>
      </c>
      <c r="V22" s="200">
        <f t="shared" si="0"/>
        <v>-283.27499999999998</v>
      </c>
      <c r="W22" s="200">
        <f t="shared" si="1"/>
        <v>-45.610999999999997</v>
      </c>
      <c r="X22" s="200">
        <f t="shared" si="2"/>
        <v>-214.53399999999999</v>
      </c>
      <c r="Y22" s="200">
        <f t="shared" si="3"/>
        <v>-74.554000000000002</v>
      </c>
    </row>
    <row r="23" spans="2:25" ht="15.75" thickBot="1">
      <c r="B23" s="100" t="s">
        <v>94</v>
      </c>
      <c r="C23" s="201">
        <f>SUM(C18,C15:C16)</f>
        <v>108.29699999999994</v>
      </c>
      <c r="D23" s="201">
        <f>SUM(D18,D15:D16)</f>
        <v>-50.103000000000165</v>
      </c>
      <c r="E23" s="201">
        <f t="shared" ref="E23:N23" si="16">SUM(E18,E15:E16)</f>
        <v>-13.069000000000095</v>
      </c>
      <c r="F23" s="201">
        <f t="shared" si="16"/>
        <v>83.028000000000247</v>
      </c>
      <c r="G23" s="201">
        <f t="shared" si="16"/>
        <v>50.383999999999986</v>
      </c>
      <c r="H23" s="201">
        <f t="shared" si="16"/>
        <v>0.60499999999980059</v>
      </c>
      <c r="I23" s="201">
        <f t="shared" si="16"/>
        <v>-80.797999999999703</v>
      </c>
      <c r="J23" s="201">
        <f t="shared" si="16"/>
        <v>35.64099999999992</v>
      </c>
      <c r="K23" s="201">
        <f t="shared" si="16"/>
        <v>117.61100000000005</v>
      </c>
      <c r="L23" s="201">
        <f t="shared" si="16"/>
        <v>21.860999999999727</v>
      </c>
      <c r="M23" s="201">
        <f t="shared" si="16"/>
        <v>-170.54299999999958</v>
      </c>
      <c r="N23" s="201">
        <f t="shared" si="16"/>
        <v>-30.461000000000293</v>
      </c>
      <c r="O23" s="201">
        <f>SUM(O15,O16,O18)</f>
        <v>-126.77699999999992</v>
      </c>
      <c r="P23" s="201">
        <f>SUM(P15,P16,P18)</f>
        <v>577.9079999999999</v>
      </c>
      <c r="Q23" s="201">
        <f>SUM(Q15,Q16,Q18)</f>
        <v>-87.399000000000001</v>
      </c>
      <c r="R23" s="201">
        <f>SUM(R15,R16,R18)</f>
        <v>493.67600000000061</v>
      </c>
      <c r="S23" s="201">
        <f>SUM(S15,S16,S18)</f>
        <v>582.38000000000011</v>
      </c>
      <c r="V23" s="201">
        <f t="shared" si="0"/>
        <v>128.15299999999993</v>
      </c>
      <c r="W23" s="201">
        <f t="shared" si="1"/>
        <v>5.8320000000000007</v>
      </c>
      <c r="X23" s="201">
        <f t="shared" si="2"/>
        <v>-61.532000000000096</v>
      </c>
      <c r="Y23" s="201">
        <f t="shared" si="3"/>
        <v>857.40800000000058</v>
      </c>
    </row>
    <row r="24" spans="2:25" ht="15.75" thickBot="1">
      <c r="B24" s="101" t="s">
        <v>95</v>
      </c>
      <c r="C24" s="202">
        <f>SUM(C25:C26)</f>
        <v>-44.497</v>
      </c>
      <c r="D24" s="202">
        <f t="shared" ref="D24:N24" si="17">SUM(D25:D26)</f>
        <v>-59.894999999999996</v>
      </c>
      <c r="E24" s="202">
        <f t="shared" si="17"/>
        <v>48.356999999999999</v>
      </c>
      <c r="F24" s="202">
        <f t="shared" si="17"/>
        <v>-17.420999999999999</v>
      </c>
      <c r="G24" s="202">
        <f t="shared" si="17"/>
        <v>-20.832999999999998</v>
      </c>
      <c r="H24" s="202">
        <f t="shared" si="17"/>
        <v>-140.65</v>
      </c>
      <c r="I24" s="202">
        <f t="shared" si="17"/>
        <v>32.15</v>
      </c>
      <c r="J24" s="202">
        <f t="shared" si="17"/>
        <v>97.885999999999996</v>
      </c>
      <c r="K24" s="202">
        <f t="shared" si="17"/>
        <v>-70.579000000000008</v>
      </c>
      <c r="L24" s="202">
        <f t="shared" si="17"/>
        <v>8.5509999999999966</v>
      </c>
      <c r="M24" s="202">
        <f t="shared" si="17"/>
        <v>-288.66099999999994</v>
      </c>
      <c r="N24" s="202">
        <f t="shared" si="17"/>
        <v>-467.79000000000008</v>
      </c>
      <c r="O24" s="202">
        <f>SUM(O25:O26)</f>
        <v>-6.4359999999999999</v>
      </c>
      <c r="P24" s="202">
        <f>SUM(P25:P26)</f>
        <v>-181.46600000000001</v>
      </c>
      <c r="Q24" s="202">
        <f>SUM(Q25:Q26)</f>
        <v>46.932000000000002</v>
      </c>
      <c r="R24" s="202">
        <f>SUM(R25:R26)</f>
        <v>121.289</v>
      </c>
      <c r="S24" s="202">
        <f>SUM(S25:S26)</f>
        <v>-156.29900000000001</v>
      </c>
      <c r="V24" s="202">
        <f t="shared" si="0"/>
        <v>-73.455999999999989</v>
      </c>
      <c r="W24" s="202">
        <f t="shared" si="1"/>
        <v>-31.447000000000003</v>
      </c>
      <c r="X24" s="202">
        <f t="shared" si="2"/>
        <v>-818.47900000000004</v>
      </c>
      <c r="Y24" s="202">
        <f t="shared" si="3"/>
        <v>-19.681000000000026</v>
      </c>
    </row>
    <row r="25" spans="2:25">
      <c r="B25" s="99" t="s">
        <v>96</v>
      </c>
      <c r="C25" s="200">
        <v>-11.459</v>
      </c>
      <c r="D25" s="200">
        <v>-8.5079999999999991</v>
      </c>
      <c r="E25" s="200">
        <v>-6.7770000000000001</v>
      </c>
      <c r="F25" s="200">
        <v>0.53000000000000114</v>
      </c>
      <c r="G25" s="200">
        <v>-12.228999999999999</v>
      </c>
      <c r="H25" s="200">
        <v>-11.280000000000001</v>
      </c>
      <c r="I25" s="200">
        <v>-8.9619999999999962</v>
      </c>
      <c r="J25" s="200">
        <v>-9.6390000000000029</v>
      </c>
      <c r="K25" s="200">
        <v>-11.555999999999999</v>
      </c>
      <c r="L25" s="200">
        <v>-13.303000000000003</v>
      </c>
      <c r="M25" s="200">
        <v>-15.476999999999997</v>
      </c>
      <c r="N25" s="200">
        <v>-12.143000000000001</v>
      </c>
      <c r="O25" s="200">
        <v>-18.064</v>
      </c>
      <c r="P25" s="200">
        <v>-59.929000000000002</v>
      </c>
      <c r="Q25" s="200">
        <v>-60.959000000000003</v>
      </c>
      <c r="R25" s="200">
        <v>70.951999999999998</v>
      </c>
      <c r="S25" s="200">
        <v>-72.143000000000001</v>
      </c>
      <c r="V25" s="200">
        <f t="shared" si="0"/>
        <v>-26.213999999999999</v>
      </c>
      <c r="W25" s="200">
        <f t="shared" si="1"/>
        <v>-42.11</v>
      </c>
      <c r="X25" s="200">
        <f t="shared" si="2"/>
        <v>-52.478999999999999</v>
      </c>
      <c r="Y25" s="200">
        <f t="shared" si="3"/>
        <v>-68</v>
      </c>
    </row>
    <row r="26" spans="2:25">
      <c r="B26" s="102" t="s">
        <v>97</v>
      </c>
      <c r="C26" s="197">
        <v>-33.037999999999997</v>
      </c>
      <c r="D26" s="197">
        <v>-51.387</v>
      </c>
      <c r="E26" s="197">
        <v>55.134</v>
      </c>
      <c r="F26" s="197">
        <v>-17.951000000000001</v>
      </c>
      <c r="G26" s="197">
        <v>-8.6039999999999992</v>
      </c>
      <c r="H26" s="197">
        <v>-129.37</v>
      </c>
      <c r="I26" s="197">
        <v>41.111999999999995</v>
      </c>
      <c r="J26" s="197">
        <v>107.52499999999999</v>
      </c>
      <c r="K26" s="197">
        <v>-59.023000000000003</v>
      </c>
      <c r="L26" s="197">
        <v>21.853999999999999</v>
      </c>
      <c r="M26" s="197">
        <v>-273.18399999999997</v>
      </c>
      <c r="N26" s="197">
        <v>-455.64700000000005</v>
      </c>
      <c r="O26" s="197">
        <v>11.628</v>
      </c>
      <c r="P26" s="197">
        <v>-121.53700000000001</v>
      </c>
      <c r="Q26" s="197">
        <v>107.89100000000001</v>
      </c>
      <c r="R26" s="197">
        <v>50.337000000000003</v>
      </c>
      <c r="S26" s="197">
        <v>-84.156000000000006</v>
      </c>
      <c r="V26" s="197">
        <f t="shared" si="0"/>
        <v>-47.241999999999997</v>
      </c>
      <c r="W26" s="197">
        <f t="shared" si="1"/>
        <v>10.662999999999997</v>
      </c>
      <c r="X26" s="197">
        <f t="shared" si="2"/>
        <v>-766</v>
      </c>
      <c r="Y26" s="197">
        <f t="shared" si="3"/>
        <v>48.319000000000003</v>
      </c>
    </row>
    <row r="27" spans="2:25" s="56" customFormat="1" ht="15.75" thickBot="1">
      <c r="B27" s="137" t="s">
        <v>63</v>
      </c>
      <c r="C27" s="193">
        <f>SUM(C23:C24)</f>
        <v>63.79999999999994</v>
      </c>
      <c r="D27" s="193">
        <f>SUM(D23:D24)</f>
        <v>-109.99800000000016</v>
      </c>
      <c r="E27" s="193">
        <f t="shared" ref="E27:M27" si="18">SUM(E23:E24)</f>
        <v>35.287999999999904</v>
      </c>
      <c r="F27" s="193">
        <f>SUM(F23:F24)</f>
        <v>65.607000000000255</v>
      </c>
      <c r="G27" s="193">
        <f t="shared" si="18"/>
        <v>29.550999999999988</v>
      </c>
      <c r="H27" s="193">
        <f t="shared" si="18"/>
        <v>-140.04500000000021</v>
      </c>
      <c r="I27" s="193">
        <f t="shared" si="18"/>
        <v>-48.647999999999705</v>
      </c>
      <c r="J27" s="193">
        <f t="shared" si="18"/>
        <v>133.52699999999993</v>
      </c>
      <c r="K27" s="193">
        <f t="shared" si="18"/>
        <v>47.032000000000039</v>
      </c>
      <c r="L27" s="193">
        <f t="shared" si="18"/>
        <v>30.411999999999722</v>
      </c>
      <c r="M27" s="193">
        <f t="shared" si="18"/>
        <v>-459.2039999999995</v>
      </c>
      <c r="N27" s="193">
        <f>SUM(N23:N24)</f>
        <v>-498.25100000000037</v>
      </c>
      <c r="O27" s="193">
        <f>SUM(O24,O23)</f>
        <v>-133.21299999999991</v>
      </c>
      <c r="P27" s="193">
        <f>SUM(P24,P23)</f>
        <v>396.44199999999989</v>
      </c>
      <c r="Q27" s="193">
        <f>SUM(Q24,Q23)</f>
        <v>-40.466999999999999</v>
      </c>
      <c r="R27" s="193">
        <f>SUM(R24,R23)</f>
        <v>614.9650000000006</v>
      </c>
      <c r="S27" s="193">
        <f>SUM(S24,S23)</f>
        <v>426.08100000000013</v>
      </c>
      <c r="V27" s="193">
        <f t="shared" si="0"/>
        <v>54.696999999999939</v>
      </c>
      <c r="W27" s="193">
        <f t="shared" si="1"/>
        <v>-25.615000000000009</v>
      </c>
      <c r="X27" s="193">
        <f t="shared" si="2"/>
        <v>-880.01100000000019</v>
      </c>
      <c r="Y27" s="193">
        <f t="shared" si="3"/>
        <v>837.72700000000054</v>
      </c>
    </row>
    <row r="28" spans="2:25" ht="13.5" customHeight="1">
      <c r="B28" s="148" t="s">
        <v>7</v>
      </c>
      <c r="C28" s="203">
        <v>64.628</v>
      </c>
      <c r="D28" s="203">
        <v>-114.116</v>
      </c>
      <c r="E28" s="203">
        <v>37.328000000000003</v>
      </c>
      <c r="F28" s="203">
        <v>55.355000000000004</v>
      </c>
      <c r="G28" s="203">
        <v>19.158999999999999</v>
      </c>
      <c r="H28" s="203">
        <v>-143.489</v>
      </c>
      <c r="I28" s="203">
        <v>-57.164000000000001</v>
      </c>
      <c r="J28" s="203">
        <v>117.26900000000001</v>
      </c>
      <c r="K28" s="203">
        <v>35.451999999999998</v>
      </c>
      <c r="L28" s="203">
        <v>19.21</v>
      </c>
      <c r="M28" s="203">
        <v>-473.59800000000001</v>
      </c>
      <c r="N28" s="203">
        <v>-510.06399999999996</v>
      </c>
      <c r="O28" s="203">
        <v>-150.536</v>
      </c>
      <c r="P28" s="203">
        <v>384.33800000000002</v>
      </c>
      <c r="Q28" s="203">
        <v>-47.308999999999997</v>
      </c>
      <c r="R28" s="203">
        <v>569.35199999999998</v>
      </c>
      <c r="S28" s="203">
        <v>406.17500000000001</v>
      </c>
      <c r="V28" s="203">
        <f t="shared" si="0"/>
        <v>43.195000000000007</v>
      </c>
      <c r="W28" s="203">
        <f t="shared" si="1"/>
        <v>-64.225000000000023</v>
      </c>
      <c r="X28" s="203">
        <f t="shared" si="2"/>
        <v>-929</v>
      </c>
      <c r="Y28" s="203">
        <f t="shared" si="3"/>
        <v>755.84500000000003</v>
      </c>
    </row>
    <row r="29" spans="2:25">
      <c r="B29" s="149" t="s">
        <v>8</v>
      </c>
      <c r="C29" s="204">
        <v>-0.82799999999999996</v>
      </c>
      <c r="D29" s="204">
        <v>4.1180000000000003</v>
      </c>
      <c r="E29" s="204">
        <v>-2.0409999999999999</v>
      </c>
      <c r="F29" s="204">
        <v>9.6219999999999999</v>
      </c>
      <c r="G29" s="204">
        <v>10.391999999999999</v>
      </c>
      <c r="H29" s="204">
        <v>3.4440000000000008</v>
      </c>
      <c r="I29" s="204">
        <v>8.516</v>
      </c>
      <c r="J29" s="204">
        <v>7.3279999999999994</v>
      </c>
      <c r="K29" s="204">
        <v>11.58</v>
      </c>
      <c r="L29" s="204">
        <v>11.124999999999998</v>
      </c>
      <c r="M29" s="204">
        <v>15</v>
      </c>
      <c r="N29" s="200">
        <v>11.288000000000004</v>
      </c>
      <c r="O29" s="204">
        <v>17.323</v>
      </c>
      <c r="P29" s="204">
        <v>12.246</v>
      </c>
      <c r="Q29" s="204">
        <v>6.8090000000000002</v>
      </c>
      <c r="R29" s="204">
        <v>58.405000000000001</v>
      </c>
      <c r="S29" s="204">
        <v>19.905999999999999</v>
      </c>
      <c r="V29" s="204">
        <f t="shared" si="0"/>
        <v>10.871</v>
      </c>
      <c r="W29" s="204">
        <f t="shared" si="1"/>
        <v>29.68</v>
      </c>
      <c r="X29" s="204">
        <f t="shared" si="2"/>
        <v>48.993000000000002</v>
      </c>
      <c r="Y29" s="204">
        <f t="shared" si="3"/>
        <v>94.783000000000001</v>
      </c>
    </row>
    <row r="30" spans="2:25">
      <c r="B30" s="138"/>
      <c r="C30" s="197"/>
      <c r="D30" s="197"/>
      <c r="E30" s="197"/>
      <c r="F30" s="197"/>
      <c r="G30" s="197"/>
      <c r="H30" s="197"/>
      <c r="I30" s="197"/>
      <c r="J30" s="197"/>
      <c r="K30" s="197"/>
      <c r="L30" s="197"/>
      <c r="M30" s="197"/>
      <c r="N30" s="197"/>
      <c r="O30" s="197"/>
      <c r="P30" s="197"/>
      <c r="Q30" s="197"/>
      <c r="R30" s="197"/>
      <c r="S30" s="197"/>
      <c r="V30" s="197"/>
      <c r="W30" s="197"/>
      <c r="X30" s="197"/>
      <c r="Y30" s="197"/>
    </row>
    <row r="31" spans="2:25">
      <c r="B31" s="138" t="s">
        <v>166</v>
      </c>
      <c r="C31" s="197">
        <v>74.691999999999993</v>
      </c>
      <c r="D31" s="197">
        <v>78.035000000000011</v>
      </c>
      <c r="E31" s="197">
        <v>74.794999999999987</v>
      </c>
      <c r="F31" s="197">
        <v>75.680000000000007</v>
      </c>
      <c r="G31" s="197">
        <v>96.887</v>
      </c>
      <c r="H31" s="197">
        <v>141.75299999999999</v>
      </c>
      <c r="I31" s="197">
        <v>89.732000000000028</v>
      </c>
      <c r="J31" s="197">
        <v>134.16899999999998</v>
      </c>
      <c r="K31" s="197">
        <v>91.376000000000005</v>
      </c>
      <c r="L31" s="197">
        <v>110.422</v>
      </c>
      <c r="M31" s="197">
        <v>103.39999999999998</v>
      </c>
      <c r="N31" s="197">
        <v>126.28300000000002</v>
      </c>
      <c r="O31" s="197">
        <v>113.1</v>
      </c>
      <c r="P31" s="197">
        <v>126.14100000000002</v>
      </c>
      <c r="Q31" s="197">
        <v>137.14399999999998</v>
      </c>
      <c r="R31" s="197">
        <v>119.66000000000003</v>
      </c>
      <c r="S31" s="197">
        <f>128728/1000</f>
        <v>128.72800000000001</v>
      </c>
      <c r="V31" s="197">
        <f t="shared" si="0"/>
        <v>303.202</v>
      </c>
      <c r="W31" s="197">
        <f>SUM(G31:J31)</f>
        <v>462.541</v>
      </c>
      <c r="X31" s="197">
        <f t="shared" si="2"/>
        <v>431.48099999999999</v>
      </c>
      <c r="Y31" s="197">
        <f t="shared" si="3"/>
        <v>496.04500000000002</v>
      </c>
    </row>
    <row r="32" spans="2:25">
      <c r="B32" s="138" t="s">
        <v>127</v>
      </c>
      <c r="C32" s="139">
        <v>-1.056</v>
      </c>
      <c r="D32" s="139">
        <v>-111.926</v>
      </c>
      <c r="E32" s="139">
        <v>-0.96399999999999864</v>
      </c>
      <c r="F32" s="139">
        <v>108.664</v>
      </c>
      <c r="G32" s="139">
        <v>-0.63100000000000001</v>
      </c>
      <c r="H32" s="139">
        <v>52.575999999999993</v>
      </c>
      <c r="I32" s="139">
        <v>22.417000000000002</v>
      </c>
      <c r="J32" s="139">
        <v>221.471</v>
      </c>
      <c r="K32" s="139">
        <v>-354.52199999999999</v>
      </c>
      <c r="L32" s="139">
        <v>26.965999999999951</v>
      </c>
      <c r="M32" s="139">
        <v>56.835000000000036</v>
      </c>
      <c r="N32" s="139">
        <v>67.099999999999937</v>
      </c>
      <c r="O32" s="139">
        <v>112.223</v>
      </c>
      <c r="P32" s="139">
        <v>-192.066</v>
      </c>
      <c r="Q32" s="139">
        <v>-8.6329999999999956</v>
      </c>
      <c r="R32" s="139">
        <v>-210.82300000000001</v>
      </c>
      <c r="S32" s="139">
        <f>26961/1000</f>
        <v>26.960999999999999</v>
      </c>
      <c r="V32" s="139">
        <f t="shared" si="0"/>
        <v>-5.2819999999999965</v>
      </c>
      <c r="W32" s="139">
        <f t="shared" ref="W32:W33" si="19">SUM(G32:J32)</f>
        <v>295.83299999999997</v>
      </c>
      <c r="X32" s="139">
        <f t="shared" si="2"/>
        <v>-203.62100000000007</v>
      </c>
      <c r="Y32" s="139">
        <f t="shared" si="3"/>
        <v>-299.29899999999998</v>
      </c>
    </row>
    <row r="33" spans="2:26" s="56" customFormat="1" ht="15.75" thickBot="1">
      <c r="B33" s="137" t="s">
        <v>34</v>
      </c>
      <c r="C33" s="194">
        <v>239.11599999999996</v>
      </c>
      <c r="D33" s="194">
        <v>262.62899999999991</v>
      </c>
      <c r="E33" s="194">
        <v>228.79799999999992</v>
      </c>
      <c r="F33" s="194">
        <v>248.39600000000019</v>
      </c>
      <c r="G33" s="194">
        <v>229.05799999999999</v>
      </c>
      <c r="H33" s="194">
        <v>345.03099999999984</v>
      </c>
      <c r="I33" s="194">
        <v>129.21600000000026</v>
      </c>
      <c r="J33" s="194">
        <v>284.9009999999999</v>
      </c>
      <c r="K33" s="194">
        <v>161.82600000000008</v>
      </c>
      <c r="L33" s="194">
        <v>171.9899999999997</v>
      </c>
      <c r="M33" s="194">
        <v>159.11100000000044</v>
      </c>
      <c r="N33" s="194">
        <v>168.92099999999962</v>
      </c>
      <c r="O33" s="194">
        <v>360.42100000000011</v>
      </c>
      <c r="P33" s="194">
        <v>362.67900000000003</v>
      </c>
      <c r="Q33" s="194">
        <f>Q27-Q24-Q18-Q16+Q31+Q32</f>
        <v>313.67400000000004</v>
      </c>
      <c r="R33" s="194">
        <f>R27-R24-R18-R16+R31+R32</f>
        <v>500.63000000000068</v>
      </c>
      <c r="S33" s="194">
        <f>S27-S24-S18-S16+S31+S32</f>
        <v>552.33500000000004</v>
      </c>
      <c r="V33" s="194">
        <f t="shared" si="0"/>
        <v>978.93899999999996</v>
      </c>
      <c r="W33" s="194">
        <f t="shared" si="19"/>
        <v>988.2059999999999</v>
      </c>
      <c r="X33" s="194">
        <f t="shared" si="2"/>
        <v>661.84799999999984</v>
      </c>
      <c r="Y33" s="194">
        <f t="shared" si="3"/>
        <v>1537.4040000000009</v>
      </c>
    </row>
    <row r="34" spans="2:26" s="96" customFormat="1">
      <c r="B34" s="140" t="s">
        <v>39</v>
      </c>
      <c r="C34" s="195">
        <f>C33/C7</f>
        <v>0.20523428273229144</v>
      </c>
      <c r="D34" s="195">
        <f t="shared" ref="D34:P34" si="20">D33/D7</f>
        <v>0.1994153356694596</v>
      </c>
      <c r="E34" s="195">
        <f t="shared" si="20"/>
        <v>0.15901592744695883</v>
      </c>
      <c r="F34" s="195">
        <f t="shared" si="20"/>
        <v>0.16597830887831216</v>
      </c>
      <c r="G34" s="195">
        <f t="shared" si="20"/>
        <v>0.17260313817037268</v>
      </c>
      <c r="H34" s="195">
        <f t="shared" si="20"/>
        <v>0.2525934255472731</v>
      </c>
      <c r="I34" s="195">
        <f t="shared" si="20"/>
        <v>9.8395409188932553E-2</v>
      </c>
      <c r="J34" s="195">
        <f t="shared" si="20"/>
        <v>0.22657602597065882</v>
      </c>
      <c r="K34" s="195">
        <f t="shared" si="20"/>
        <v>0.12917784883990113</v>
      </c>
      <c r="L34" s="195">
        <f>(L33/L7)-0</f>
        <v>0.1560823945157441</v>
      </c>
      <c r="M34" s="195">
        <f t="shared" si="20"/>
        <v>0.10710066699380288</v>
      </c>
      <c r="N34" s="195">
        <f t="shared" si="20"/>
        <v>0.10751732061192579</v>
      </c>
      <c r="O34" s="195">
        <f t="shared" si="20"/>
        <v>0.20103534981682536</v>
      </c>
      <c r="P34" s="195">
        <f t="shared" si="20"/>
        <v>0.18956907257879047</v>
      </c>
      <c r="Q34" s="195">
        <f>Q33/Q7</f>
        <v>0.13638000000000003</v>
      </c>
      <c r="R34" s="195">
        <f>R33/R7</f>
        <v>0.20711324766877132</v>
      </c>
      <c r="S34" s="195">
        <f t="shared" ref="S34" si="21">S33/S7</f>
        <v>0.24101908437751593</v>
      </c>
      <c r="V34" s="195">
        <f t="shared" ref="V34:Y34" si="22">V33/V7</f>
        <v>0.18070016725497867</v>
      </c>
      <c r="W34" s="195">
        <f t="shared" si="22"/>
        <v>0.18774037347226769</v>
      </c>
      <c r="X34" s="195">
        <f t="shared" si="22"/>
        <v>0.12230664920717109</v>
      </c>
      <c r="Y34" s="195">
        <f t="shared" si="22"/>
        <v>0.18252061572945144</v>
      </c>
    </row>
    <row r="35" spans="2:26">
      <c r="B35" s="146"/>
      <c r="C35" s="150"/>
      <c r="D35" s="150"/>
      <c r="E35" s="150"/>
      <c r="F35" s="150"/>
      <c r="G35" s="150"/>
      <c r="H35" s="150"/>
      <c r="I35" s="150"/>
      <c r="J35" s="150"/>
      <c r="K35" s="150"/>
      <c r="L35" s="150"/>
      <c r="M35" s="150"/>
      <c r="N35" s="150"/>
      <c r="O35" s="150"/>
      <c r="P35" s="150"/>
      <c r="Q35" s="150"/>
      <c r="R35" s="150"/>
      <c r="S35" s="150"/>
      <c r="V35" s="150"/>
      <c r="W35" s="150"/>
      <c r="X35" s="150"/>
      <c r="Y35" s="150"/>
    </row>
    <row r="36" spans="2:26" ht="18" customHeight="1" thickBot="1">
      <c r="B36" s="79" t="s">
        <v>62</v>
      </c>
      <c r="C36" s="80" t="s">
        <v>42</v>
      </c>
      <c r="D36" s="80" t="s">
        <v>43</v>
      </c>
      <c r="E36" s="80" t="s">
        <v>44</v>
      </c>
      <c r="F36" s="80" t="s">
        <v>45</v>
      </c>
      <c r="G36" s="80" t="s">
        <v>46</v>
      </c>
      <c r="H36" s="80" t="s">
        <v>47</v>
      </c>
      <c r="I36" s="80" t="s">
        <v>48</v>
      </c>
      <c r="J36" s="80" t="s">
        <v>49</v>
      </c>
      <c r="K36" s="80" t="s">
        <v>50</v>
      </c>
      <c r="L36" s="80" t="s">
        <v>51</v>
      </c>
      <c r="M36" s="80" t="s">
        <v>52</v>
      </c>
      <c r="N36" s="80" t="s">
        <v>54</v>
      </c>
      <c r="O36" s="80" t="s">
        <v>57</v>
      </c>
      <c r="P36" s="80" t="s">
        <v>160</v>
      </c>
      <c r="Q36" s="80" t="s">
        <v>164</v>
      </c>
      <c r="R36" s="80" t="s">
        <v>174</v>
      </c>
      <c r="S36" s="80" t="s">
        <v>294</v>
      </c>
      <c r="V36" s="302"/>
      <c r="W36" s="302"/>
      <c r="X36" s="302"/>
      <c r="Y36" s="302"/>
      <c r="Z36" s="303"/>
    </row>
    <row r="37" spans="2:26" ht="7.5" customHeight="1" thickTop="1">
      <c r="B37" s="151"/>
      <c r="C37" s="152"/>
      <c r="D37" s="152"/>
      <c r="E37" s="152"/>
      <c r="F37" s="152"/>
      <c r="G37" s="152"/>
      <c r="H37" s="152"/>
      <c r="I37" s="152"/>
      <c r="J37" s="152"/>
      <c r="K37" s="152"/>
      <c r="L37" s="152"/>
      <c r="M37" s="152"/>
      <c r="N37" s="152"/>
      <c r="O37" s="152"/>
      <c r="P37" s="152"/>
      <c r="Q37" s="152"/>
      <c r="R37" s="152"/>
      <c r="S37" s="152"/>
      <c r="V37" s="304"/>
      <c r="W37" s="304"/>
      <c r="X37" s="304"/>
      <c r="Y37" s="304"/>
      <c r="Z37" s="303"/>
    </row>
    <row r="38" spans="2:26" ht="15">
      <c r="B38" s="147"/>
      <c r="C38" s="139"/>
      <c r="D38" s="139"/>
      <c r="E38" s="139"/>
      <c r="F38" s="139"/>
      <c r="G38" s="139"/>
      <c r="H38" s="139"/>
      <c r="I38" s="139"/>
      <c r="J38" s="139"/>
      <c r="K38" s="139"/>
      <c r="L38" s="139"/>
      <c r="M38" s="139"/>
      <c r="N38" s="139"/>
      <c r="O38" s="143"/>
      <c r="P38" s="143"/>
      <c r="Q38" s="143"/>
      <c r="R38" s="143"/>
      <c r="S38" s="143"/>
      <c r="V38" s="303"/>
      <c r="W38" s="303"/>
      <c r="X38" s="303"/>
      <c r="Y38" s="303"/>
      <c r="Z38" s="303"/>
    </row>
    <row r="39" spans="2:26" ht="15.75" thickBot="1">
      <c r="B39" s="153" t="s">
        <v>40</v>
      </c>
      <c r="C39" s="205">
        <f>SUM(C40:C48)</f>
        <v>2832.0549999999998</v>
      </c>
      <c r="D39" s="205">
        <f t="shared" ref="D39:P39" si="23">SUM(D40:D48)</f>
        <v>2654.9590000000003</v>
      </c>
      <c r="E39" s="205">
        <f t="shared" si="23"/>
        <v>2646.402</v>
      </c>
      <c r="F39" s="205">
        <f t="shared" si="23"/>
        <v>2581.4180000000001</v>
      </c>
      <c r="G39" s="205">
        <f t="shared" si="23"/>
        <v>2456.7450000000003</v>
      </c>
      <c r="H39" s="205">
        <f t="shared" si="23"/>
        <v>2782.2065663538724</v>
      </c>
      <c r="I39" s="205">
        <f t="shared" si="23"/>
        <v>2706.3770181844852</v>
      </c>
      <c r="J39" s="205">
        <f t="shared" si="23"/>
        <v>2669.2290000000003</v>
      </c>
      <c r="K39" s="205">
        <f t="shared" si="23"/>
        <v>3092.0460000000003</v>
      </c>
      <c r="L39" s="205">
        <f t="shared" si="23"/>
        <v>2780.74</v>
      </c>
      <c r="M39" s="205">
        <f t="shared" si="23"/>
        <v>3091.7239999999997</v>
      </c>
      <c r="N39" s="205">
        <f t="shared" si="23"/>
        <v>3405.3719999999994</v>
      </c>
      <c r="O39" s="205">
        <f t="shared" si="23"/>
        <v>3233.8740000000007</v>
      </c>
      <c r="P39" s="205">
        <f t="shared" si="23"/>
        <v>3621</v>
      </c>
      <c r="Q39" s="205">
        <f>SUM(Q40:Q48)</f>
        <v>4297.0249999999996</v>
      </c>
      <c r="R39" s="205">
        <f>SUM(R40:R48)</f>
        <v>4454.9830000000002</v>
      </c>
      <c r="S39" s="205">
        <f t="shared" ref="S39" si="24">SUM(S40:S48)</f>
        <v>4327.2749999999996</v>
      </c>
      <c r="V39" s="305"/>
      <c r="W39" s="305"/>
      <c r="X39" s="305"/>
      <c r="Y39" s="305"/>
      <c r="Z39" s="303"/>
    </row>
    <row r="40" spans="2:26" ht="14.25" customHeight="1">
      <c r="B40" s="146" t="s">
        <v>98</v>
      </c>
      <c r="C40" s="206">
        <v>46.537999999999997</v>
      </c>
      <c r="D40" s="206">
        <v>48.152999999999999</v>
      </c>
      <c r="E40" s="206">
        <v>32.043999999999997</v>
      </c>
      <c r="F40" s="207">
        <v>116.81100000000001</v>
      </c>
      <c r="G40" s="206">
        <v>76.706000000000003</v>
      </c>
      <c r="H40" s="206">
        <v>59.725000000000001</v>
      </c>
      <c r="I40" s="206">
        <v>87.718000000000004</v>
      </c>
      <c r="J40" s="206">
        <v>190.321</v>
      </c>
      <c r="K40" s="206">
        <v>193.85400000000001</v>
      </c>
      <c r="L40" s="206">
        <v>172.03899999999999</v>
      </c>
      <c r="M40" s="206">
        <v>458</v>
      </c>
      <c r="N40" s="206">
        <v>632.43799999999999</v>
      </c>
      <c r="O40" s="206">
        <v>514.62400000000002</v>
      </c>
      <c r="P40" s="206">
        <v>296</v>
      </c>
      <c r="Q40" s="206">
        <v>686</v>
      </c>
      <c r="R40" s="150">
        <v>1449.345</v>
      </c>
      <c r="S40" s="150">
        <v>1263.009</v>
      </c>
      <c r="V40" s="306"/>
      <c r="W40" s="306"/>
      <c r="X40" s="306"/>
      <c r="Y40" s="306"/>
      <c r="Z40" s="303"/>
    </row>
    <row r="41" spans="2:26" ht="14.25" customHeight="1">
      <c r="B41" s="154" t="s">
        <v>99</v>
      </c>
      <c r="C41" s="208">
        <v>913.65599999999995</v>
      </c>
      <c r="D41" s="208">
        <v>777.80899999999997</v>
      </c>
      <c r="E41" s="208">
        <v>551.45399999999995</v>
      </c>
      <c r="F41" s="209">
        <v>453.15800000000002</v>
      </c>
      <c r="G41" s="208">
        <v>499.66500000000002</v>
      </c>
      <c r="H41" s="208">
        <v>580.65200000000004</v>
      </c>
      <c r="I41" s="208">
        <v>631.47500000000002</v>
      </c>
      <c r="J41" s="208">
        <v>416.34500000000003</v>
      </c>
      <c r="K41" s="208">
        <v>411.22899999999998</v>
      </c>
      <c r="L41" s="208">
        <v>374.20400000000001</v>
      </c>
      <c r="M41" s="208">
        <v>548.524</v>
      </c>
      <c r="N41" s="208">
        <v>616.93600000000004</v>
      </c>
      <c r="O41" s="208">
        <v>338.976</v>
      </c>
      <c r="P41" s="208">
        <v>424</v>
      </c>
      <c r="Q41" s="208">
        <v>693</v>
      </c>
      <c r="R41" s="252">
        <v>337.35</v>
      </c>
      <c r="S41" s="252">
        <v>321.81200000000001</v>
      </c>
      <c r="V41" s="306"/>
      <c r="W41" s="306"/>
      <c r="X41" s="306"/>
      <c r="Y41" s="306"/>
      <c r="Z41" s="303"/>
    </row>
    <row r="42" spans="2:26" ht="14.25" customHeight="1">
      <c r="B42" s="154" t="s">
        <v>100</v>
      </c>
      <c r="C42" s="208">
        <v>35.11</v>
      </c>
      <c r="D42" s="208">
        <v>25.463000000000001</v>
      </c>
      <c r="E42" s="208">
        <v>59.433</v>
      </c>
      <c r="F42" s="209">
        <v>168.31200000000001</v>
      </c>
      <c r="G42" s="208">
        <v>103.854</v>
      </c>
      <c r="H42" s="208">
        <v>79.854566353871988</v>
      </c>
      <c r="I42" s="208">
        <v>42.476018184485532</v>
      </c>
      <c r="J42" s="208">
        <v>42.262999999999998</v>
      </c>
      <c r="K42" s="208">
        <v>178.762</v>
      </c>
      <c r="L42" s="208">
        <v>146.15100000000001</v>
      </c>
      <c r="M42" s="208">
        <v>44.146000000000001</v>
      </c>
      <c r="N42" s="208">
        <v>115.253</v>
      </c>
      <c r="O42" s="208">
        <v>15.547000000000001</v>
      </c>
      <c r="P42" s="208">
        <v>151</v>
      </c>
      <c r="Q42" s="208">
        <v>30</v>
      </c>
      <c r="R42" s="252">
        <v>10.749000000000001</v>
      </c>
      <c r="S42" s="252">
        <v>45.183999999999997</v>
      </c>
      <c r="V42" s="306"/>
      <c r="W42" s="306"/>
      <c r="X42" s="306"/>
      <c r="Y42" s="306"/>
      <c r="Z42" s="303"/>
    </row>
    <row r="43" spans="2:26" ht="14.25" customHeight="1">
      <c r="B43" s="154" t="s">
        <v>11</v>
      </c>
      <c r="C43" s="208">
        <v>409.36599999999999</v>
      </c>
      <c r="D43" s="208">
        <v>450.74299999999999</v>
      </c>
      <c r="E43" s="208">
        <v>530.66999999999996</v>
      </c>
      <c r="F43" s="209">
        <v>489.70800000000003</v>
      </c>
      <c r="G43" s="208">
        <v>525.09400000000005</v>
      </c>
      <c r="H43" s="208">
        <v>598.84100000000001</v>
      </c>
      <c r="I43" s="208">
        <v>501.78899999999999</v>
      </c>
      <c r="J43" s="208">
        <v>404.29599999999999</v>
      </c>
      <c r="K43" s="208">
        <v>544.07799999999997</v>
      </c>
      <c r="L43" s="208">
        <v>511.23</v>
      </c>
      <c r="M43" s="208">
        <v>611.29999999999995</v>
      </c>
      <c r="N43" s="208">
        <v>474.71499999999997</v>
      </c>
      <c r="O43" s="208">
        <v>643.79300000000001</v>
      </c>
      <c r="P43" s="208">
        <v>667</v>
      </c>
      <c r="Q43" s="208">
        <v>758</v>
      </c>
      <c r="R43" s="252">
        <v>698.24900000000002</v>
      </c>
      <c r="S43" s="252">
        <v>684.94799999999998</v>
      </c>
      <c r="V43" s="306"/>
      <c r="W43" s="306"/>
      <c r="X43" s="306"/>
      <c r="Y43" s="306"/>
      <c r="Z43" s="303"/>
    </row>
    <row r="44" spans="2:26" ht="14.25" customHeight="1">
      <c r="B44" s="155" t="s">
        <v>12</v>
      </c>
      <c r="C44" s="208">
        <v>661.90200000000004</v>
      </c>
      <c r="D44" s="208">
        <v>768.14200000000005</v>
      </c>
      <c r="E44" s="208">
        <v>929.98099999999999</v>
      </c>
      <c r="F44" s="209">
        <v>827.46699999999998</v>
      </c>
      <c r="G44" s="208">
        <v>788.16200000000003</v>
      </c>
      <c r="H44" s="208">
        <v>896.423</v>
      </c>
      <c r="I44" s="208">
        <v>930.60900000000004</v>
      </c>
      <c r="J44" s="208">
        <v>928.14200000000005</v>
      </c>
      <c r="K44" s="208">
        <v>1108.298</v>
      </c>
      <c r="L44" s="208">
        <v>1161.558</v>
      </c>
      <c r="M44" s="208">
        <v>1036.377</v>
      </c>
      <c r="N44" s="208">
        <v>1069.8800000000001</v>
      </c>
      <c r="O44" s="208">
        <v>1243.9280000000001</v>
      </c>
      <c r="P44" s="208">
        <v>1579</v>
      </c>
      <c r="Q44" s="208">
        <v>1631</v>
      </c>
      <c r="R44" s="252">
        <v>1592.3119999999999</v>
      </c>
      <c r="S44" s="252">
        <v>1640.8630000000001</v>
      </c>
      <c r="V44" s="306"/>
      <c r="W44" s="306"/>
      <c r="X44" s="306"/>
      <c r="Y44" s="306"/>
      <c r="Z44" s="303"/>
    </row>
    <row r="45" spans="2:26" ht="14.25" customHeight="1">
      <c r="B45" s="146" t="s">
        <v>101</v>
      </c>
      <c r="C45" s="206">
        <v>384.16699999999997</v>
      </c>
      <c r="D45" s="206">
        <v>397.065</v>
      </c>
      <c r="E45" s="206">
        <v>369.84500000000003</v>
      </c>
      <c r="F45" s="207">
        <v>357.01799999999997</v>
      </c>
      <c r="G45" s="206">
        <v>334.39100000000002</v>
      </c>
      <c r="H45" s="206">
        <v>470.78399999999999</v>
      </c>
      <c r="I45" s="206">
        <v>422.83499999999998</v>
      </c>
      <c r="J45" s="206">
        <v>640.19000000000005</v>
      </c>
      <c r="K45" s="208">
        <v>619.98500000000001</v>
      </c>
      <c r="L45" s="206">
        <v>364.767</v>
      </c>
      <c r="M45" s="206">
        <v>324.01900000000001</v>
      </c>
      <c r="N45" s="206">
        <v>442.36500000000001</v>
      </c>
      <c r="O45" s="206">
        <v>431.71300000000002</v>
      </c>
      <c r="P45" s="206">
        <v>441</v>
      </c>
      <c r="Q45" s="206">
        <v>425</v>
      </c>
      <c r="R45" s="150">
        <v>294.43400000000003</v>
      </c>
      <c r="S45" s="150">
        <v>312.41800000000001</v>
      </c>
      <c r="V45" s="306"/>
      <c r="W45" s="306"/>
      <c r="X45" s="306"/>
      <c r="Y45" s="306"/>
      <c r="Z45" s="303"/>
    </row>
    <row r="46" spans="2:26" ht="14.25" customHeight="1">
      <c r="B46" s="155" t="s">
        <v>102</v>
      </c>
      <c r="C46" s="208">
        <v>5.7279999999999998</v>
      </c>
      <c r="D46" s="210">
        <v>0.41599999999999998</v>
      </c>
      <c r="E46" s="210">
        <v>0.41599999999999998</v>
      </c>
      <c r="F46" s="210">
        <v>0.41599999999999998</v>
      </c>
      <c r="G46" s="210">
        <v>0.41599999999999998</v>
      </c>
      <c r="H46" s="211">
        <v>0</v>
      </c>
      <c r="I46" s="208">
        <v>23.782</v>
      </c>
      <c r="J46" s="208">
        <v>6.2949999999999999</v>
      </c>
      <c r="K46" s="208">
        <v>6.2949999999999999</v>
      </c>
      <c r="L46" s="208">
        <v>6.2949999999999999</v>
      </c>
      <c r="M46" s="208">
        <v>11.189</v>
      </c>
      <c r="N46" s="208">
        <v>0.25</v>
      </c>
      <c r="O46" s="208">
        <v>2.5000000000000001E-2</v>
      </c>
      <c r="P46" s="208">
        <v>0</v>
      </c>
      <c r="Q46" s="208">
        <v>2.5000000000000001E-2</v>
      </c>
      <c r="R46" s="252">
        <v>0.66400000000000003</v>
      </c>
      <c r="S46" s="252">
        <v>0.66400000000000003</v>
      </c>
      <c r="V46" s="306"/>
      <c r="W46" s="306"/>
      <c r="X46" s="306"/>
      <c r="Y46" s="306"/>
      <c r="Z46" s="303"/>
    </row>
    <row r="47" spans="2:26" ht="14.25" customHeight="1">
      <c r="B47" s="155" t="s">
        <v>128</v>
      </c>
      <c r="C47" s="208">
        <v>115.65300000000001</v>
      </c>
      <c r="D47" s="208">
        <v>124.696</v>
      </c>
      <c r="E47" s="208">
        <v>117.69</v>
      </c>
      <c r="F47" s="209">
        <v>116.17400000000001</v>
      </c>
      <c r="G47" s="208">
        <v>88.251000000000005</v>
      </c>
      <c r="H47" s="208">
        <v>44.953000000000003</v>
      </c>
      <c r="I47" s="208">
        <v>15.019</v>
      </c>
      <c r="J47" s="211">
        <v>0</v>
      </c>
      <c r="K47" s="211">
        <v>0</v>
      </c>
      <c r="L47" s="211">
        <v>0</v>
      </c>
      <c r="M47" s="208">
        <v>58.168999999999997</v>
      </c>
      <c r="N47" s="211">
        <v>0</v>
      </c>
      <c r="O47" s="211">
        <v>0</v>
      </c>
      <c r="P47" s="211">
        <v>0</v>
      </c>
      <c r="Q47" s="211">
        <v>0</v>
      </c>
      <c r="R47" s="211">
        <v>0</v>
      </c>
      <c r="S47" s="211">
        <v>0</v>
      </c>
      <c r="V47" s="307"/>
      <c r="W47" s="307"/>
      <c r="X47" s="307"/>
      <c r="Y47" s="307"/>
      <c r="Z47" s="303"/>
    </row>
    <row r="48" spans="2:26" ht="14.25" customHeight="1">
      <c r="B48" s="138" t="s">
        <v>103</v>
      </c>
      <c r="C48" s="206">
        <v>259.935</v>
      </c>
      <c r="D48" s="206">
        <v>62.472000000000001</v>
      </c>
      <c r="E48" s="206">
        <v>54.869</v>
      </c>
      <c r="F48" s="207">
        <v>52.353999999999999</v>
      </c>
      <c r="G48" s="206">
        <v>40.206000000000003</v>
      </c>
      <c r="H48" s="206">
        <v>50.973999999999997</v>
      </c>
      <c r="I48" s="206">
        <v>50.673999999999999</v>
      </c>
      <c r="J48" s="206">
        <v>41.377000000000002</v>
      </c>
      <c r="K48" s="206">
        <v>29.545000000000002</v>
      </c>
      <c r="L48" s="206">
        <v>44.496000000000002</v>
      </c>
      <c r="M48" s="206">
        <v>0</v>
      </c>
      <c r="N48" s="206">
        <v>53.534999999999997</v>
      </c>
      <c r="O48" s="206">
        <v>45.268000000000001</v>
      </c>
      <c r="P48" s="206">
        <v>63</v>
      </c>
      <c r="Q48" s="206">
        <v>74</v>
      </c>
      <c r="R48" s="150">
        <v>71.88</v>
      </c>
      <c r="S48" s="150">
        <v>58.377000000000002</v>
      </c>
      <c r="V48" s="306"/>
      <c r="W48" s="306"/>
      <c r="X48" s="306"/>
      <c r="Y48" s="306"/>
      <c r="Z48" s="303"/>
    </row>
    <row r="49" spans="2:26" s="56" customFormat="1" ht="15.75" thickBot="1">
      <c r="B49" s="137" t="s">
        <v>21</v>
      </c>
      <c r="C49" s="194">
        <f>SUM(C50:C62)</f>
        <v>8391.3820000000014</v>
      </c>
      <c r="D49" s="194">
        <f t="shared" ref="D49:P49" si="25">SUM(D50:D62)</f>
        <v>7077.1779999999999</v>
      </c>
      <c r="E49" s="194">
        <f t="shared" si="25"/>
        <v>7135.0899999999992</v>
      </c>
      <c r="F49" s="194">
        <f t="shared" si="25"/>
        <v>7122.2370000000001</v>
      </c>
      <c r="G49" s="194">
        <f t="shared" si="25"/>
        <v>7118.9119999999994</v>
      </c>
      <c r="H49" s="194">
        <f t="shared" si="25"/>
        <v>6892.6933153521395</v>
      </c>
      <c r="I49" s="194">
        <f t="shared" si="25"/>
        <v>6997.2883914116564</v>
      </c>
      <c r="J49" s="194">
        <f t="shared" si="25"/>
        <v>7147.0868869189926</v>
      </c>
      <c r="K49" s="194">
        <f t="shared" si="25"/>
        <v>7518.2399091442521</v>
      </c>
      <c r="L49" s="194">
        <f>SUM(L50:L62)</f>
        <v>7871.8892241334061</v>
      </c>
      <c r="M49" s="194">
        <f t="shared" si="25"/>
        <v>7590.4471371328491</v>
      </c>
      <c r="N49" s="194">
        <f t="shared" si="25"/>
        <v>7805.7979999999998</v>
      </c>
      <c r="O49" s="194">
        <f t="shared" si="25"/>
        <v>7007.6030000000001</v>
      </c>
      <c r="P49" s="194">
        <f t="shared" si="25"/>
        <v>6883</v>
      </c>
      <c r="Q49" s="194">
        <f>SUM(Q50:Q62)</f>
        <v>6993.0640000000003</v>
      </c>
      <c r="R49" s="194">
        <f>SUM(R50:R62)</f>
        <v>7510.2439999999988</v>
      </c>
      <c r="S49" s="194">
        <f t="shared" ref="S49" si="26">SUM(S50:S62)</f>
        <v>7569.0809999999992</v>
      </c>
      <c r="V49" s="308"/>
      <c r="W49" s="308"/>
      <c r="X49" s="308"/>
      <c r="Y49" s="308"/>
      <c r="Z49" s="309"/>
    </row>
    <row r="50" spans="2:26" s="56" customFormat="1" ht="15">
      <c r="B50" s="146" t="s">
        <v>104</v>
      </c>
      <c r="C50" s="212"/>
      <c r="D50" s="212"/>
      <c r="E50" s="212"/>
      <c r="F50" s="209"/>
      <c r="G50" s="212"/>
      <c r="H50" s="212"/>
      <c r="I50" s="212"/>
      <c r="J50" s="212"/>
      <c r="K50" s="212"/>
      <c r="L50" s="212"/>
      <c r="M50" s="212"/>
      <c r="N50" s="212"/>
      <c r="O50" s="212"/>
      <c r="P50" s="212"/>
      <c r="Q50" s="212"/>
      <c r="R50" s="253"/>
      <c r="S50" s="253"/>
      <c r="V50" s="310"/>
      <c r="W50" s="310"/>
      <c r="X50" s="310"/>
      <c r="Y50" s="310"/>
      <c r="Z50" s="309"/>
    </row>
    <row r="51" spans="2:26" s="56" customFormat="1" ht="15">
      <c r="B51" s="144" t="s">
        <v>99</v>
      </c>
      <c r="C51" s="209">
        <v>6.4000000000000001E-2</v>
      </c>
      <c r="D51" s="209">
        <v>2.4169999999999998</v>
      </c>
      <c r="E51" s="209">
        <v>2.4500000000000002</v>
      </c>
      <c r="F51" s="209">
        <v>2.3940000000000001</v>
      </c>
      <c r="G51" s="209">
        <v>2.395</v>
      </c>
      <c r="H51" s="209">
        <v>2.4260000000000002</v>
      </c>
      <c r="I51" s="209">
        <v>2.371</v>
      </c>
      <c r="J51" s="213">
        <v>2.0939999999999999</v>
      </c>
      <c r="K51" s="213">
        <v>6.4000000000000001E-2</v>
      </c>
      <c r="L51" s="213">
        <v>6.4000000000000001E-2</v>
      </c>
      <c r="M51" s="213">
        <v>6.4000000000000001E-2</v>
      </c>
      <c r="N51" s="213">
        <v>6.4000000000000001E-2</v>
      </c>
      <c r="O51" s="213">
        <v>6.4000000000000001E-2</v>
      </c>
      <c r="P51" s="213">
        <v>0</v>
      </c>
      <c r="Q51" s="213">
        <v>6.4000000000000001E-2</v>
      </c>
      <c r="R51" s="254">
        <v>6.4000000000000001E-2</v>
      </c>
      <c r="S51" s="254">
        <v>6.4000000000000001E-2</v>
      </c>
      <c r="V51" s="311"/>
      <c r="W51" s="311"/>
      <c r="X51" s="311"/>
      <c r="Y51" s="311"/>
      <c r="Z51" s="309"/>
    </row>
    <row r="52" spans="2:26">
      <c r="B52" s="144" t="s">
        <v>105</v>
      </c>
      <c r="C52" s="209">
        <v>0</v>
      </c>
      <c r="D52" s="209">
        <v>4.4480000000000004</v>
      </c>
      <c r="E52" s="209">
        <v>2.2229999999999999</v>
      </c>
      <c r="F52" s="209">
        <v>0</v>
      </c>
      <c r="G52" s="209">
        <v>0</v>
      </c>
      <c r="H52" s="209">
        <v>0.46876255242072512</v>
      </c>
      <c r="I52" s="209">
        <v>3.0265996973221192</v>
      </c>
      <c r="J52" s="208">
        <v>6.8383104000000019</v>
      </c>
      <c r="K52" s="208">
        <v>6.0392758875901347</v>
      </c>
      <c r="L52" s="208">
        <v>21.726525074753138</v>
      </c>
      <c r="M52" s="208">
        <v>5.9289947538143606</v>
      </c>
      <c r="N52" s="208">
        <v>864.48599999999999</v>
      </c>
      <c r="O52" s="208">
        <v>21.553000000000001</v>
      </c>
      <c r="P52" s="208">
        <v>165</v>
      </c>
      <c r="Q52" s="208">
        <v>30</v>
      </c>
      <c r="R52" s="252">
        <v>28.984999999999999</v>
      </c>
      <c r="S52" s="252">
        <v>137.28100000000001</v>
      </c>
      <c r="V52" s="306"/>
      <c r="W52" s="306"/>
      <c r="X52" s="306"/>
      <c r="Y52" s="306"/>
      <c r="Z52" s="303"/>
    </row>
    <row r="53" spans="2:26">
      <c r="B53" s="103" t="s">
        <v>128</v>
      </c>
      <c r="C53" s="209">
        <v>77.141000000000005</v>
      </c>
      <c r="D53" s="209">
        <v>55.706000000000003</v>
      </c>
      <c r="E53" s="209">
        <v>27.641999999999999</v>
      </c>
      <c r="F53" s="209">
        <v>0</v>
      </c>
      <c r="G53" s="209">
        <v>0</v>
      </c>
      <c r="H53" s="209">
        <v>0</v>
      </c>
      <c r="I53" s="209">
        <v>0</v>
      </c>
      <c r="J53" s="209">
        <v>0</v>
      </c>
      <c r="K53" s="209">
        <v>0</v>
      </c>
      <c r="L53" s="209">
        <v>0</v>
      </c>
      <c r="M53" s="209">
        <v>0</v>
      </c>
      <c r="N53" s="209">
        <v>0</v>
      </c>
      <c r="O53" s="209">
        <v>0</v>
      </c>
      <c r="P53" s="209">
        <v>0</v>
      </c>
      <c r="Q53" s="209"/>
      <c r="R53" s="255">
        <v>0</v>
      </c>
      <c r="S53" s="255">
        <v>0</v>
      </c>
      <c r="V53" s="312"/>
      <c r="W53" s="312"/>
      <c r="X53" s="312"/>
      <c r="Y53" s="312"/>
      <c r="Z53" s="303"/>
    </row>
    <row r="54" spans="2:26" s="56" customFormat="1" ht="15">
      <c r="B54" s="104" t="s">
        <v>101</v>
      </c>
      <c r="C54" s="209">
        <v>564.80799999999999</v>
      </c>
      <c r="D54" s="209">
        <v>537.19899999999996</v>
      </c>
      <c r="E54" s="209">
        <v>602.77300000000002</v>
      </c>
      <c r="F54" s="209">
        <v>656.18700000000001</v>
      </c>
      <c r="G54" s="209">
        <v>667.51300000000003</v>
      </c>
      <c r="H54" s="209">
        <v>639.029</v>
      </c>
      <c r="I54" s="209">
        <v>687.12800000000004</v>
      </c>
      <c r="J54" s="213">
        <v>737.34</v>
      </c>
      <c r="K54" s="213">
        <v>763.45399999999995</v>
      </c>
      <c r="L54" s="213">
        <v>1170.0709999999999</v>
      </c>
      <c r="M54" s="213">
        <v>1109.4580000000001</v>
      </c>
      <c r="N54" s="213">
        <v>848.125</v>
      </c>
      <c r="O54" s="213">
        <v>814.21199999999999</v>
      </c>
      <c r="P54" s="213">
        <v>779</v>
      </c>
      <c r="Q54" s="213">
        <v>764</v>
      </c>
      <c r="R54" s="254">
        <v>685.46500000000003</v>
      </c>
      <c r="S54" s="254">
        <v>691.69</v>
      </c>
      <c r="V54" s="311"/>
      <c r="W54" s="311"/>
      <c r="X54" s="311"/>
      <c r="Y54" s="311"/>
      <c r="Z54" s="309"/>
    </row>
    <row r="55" spans="2:26">
      <c r="B55" s="142" t="s">
        <v>106</v>
      </c>
      <c r="C55" s="209">
        <v>827.83600000000001</v>
      </c>
      <c r="D55" s="209">
        <v>830.30799999999999</v>
      </c>
      <c r="E55" s="209">
        <v>867.971</v>
      </c>
      <c r="F55" s="209">
        <v>781.71</v>
      </c>
      <c r="G55" s="209">
        <v>790.27700000000004</v>
      </c>
      <c r="H55" s="209">
        <v>628.37855279971859</v>
      </c>
      <c r="I55" s="209">
        <v>710.90479171433265</v>
      </c>
      <c r="J55" s="206">
        <v>805.55957651899269</v>
      </c>
      <c r="K55" s="206">
        <v>988.05163325666229</v>
      </c>
      <c r="L55" s="206">
        <v>1087.3286990586528</v>
      </c>
      <c r="M55" s="206">
        <v>891.64714237903434</v>
      </c>
      <c r="N55" s="206">
        <v>175.768</v>
      </c>
      <c r="O55" s="206">
        <v>316.20499999999998</v>
      </c>
      <c r="P55" s="206">
        <v>50</v>
      </c>
      <c r="Q55" s="206">
        <v>247</v>
      </c>
      <c r="R55" s="150">
        <v>253.94300000000001</v>
      </c>
      <c r="S55" s="150">
        <v>24.138000000000002</v>
      </c>
      <c r="V55" s="306"/>
      <c r="W55" s="306"/>
      <c r="X55" s="306"/>
      <c r="Y55" s="306"/>
      <c r="Z55" s="303"/>
    </row>
    <row r="56" spans="2:26">
      <c r="B56" s="144" t="s">
        <v>107</v>
      </c>
      <c r="C56" s="209">
        <v>1222.0740000000001</v>
      </c>
      <c r="D56" s="209">
        <v>0.92300000000000004</v>
      </c>
      <c r="E56" s="209">
        <v>0.92300000000000004</v>
      </c>
      <c r="F56" s="209">
        <v>0.52900000000000003</v>
      </c>
      <c r="G56" s="209">
        <v>0.52900000000000003</v>
      </c>
      <c r="H56" s="209">
        <v>22.478999999999999</v>
      </c>
      <c r="I56" s="209">
        <v>27.79</v>
      </c>
      <c r="J56" s="208">
        <v>28.042999999999999</v>
      </c>
      <c r="K56" s="208">
        <v>28.120999999999999</v>
      </c>
      <c r="L56" s="208">
        <v>17.25</v>
      </c>
      <c r="M56" s="208">
        <v>17.329999999999998</v>
      </c>
      <c r="N56" s="208">
        <v>16.913</v>
      </c>
      <c r="O56" s="208">
        <v>16.562999999999999</v>
      </c>
      <c r="P56" s="208">
        <v>12</v>
      </c>
      <c r="Q56" s="208">
        <v>56</v>
      </c>
      <c r="R56" s="252">
        <v>57.323</v>
      </c>
      <c r="S56" s="252">
        <v>59.726999999999997</v>
      </c>
      <c r="V56" s="306"/>
      <c r="W56" s="306"/>
      <c r="X56" s="306"/>
      <c r="Y56" s="306"/>
      <c r="Z56" s="303"/>
    </row>
    <row r="57" spans="2:26">
      <c r="B57" s="103" t="s">
        <v>108</v>
      </c>
      <c r="C57" s="209">
        <v>119.617</v>
      </c>
      <c r="D57" s="209">
        <v>119.788</v>
      </c>
      <c r="E57" s="209">
        <v>120.10599999999999</v>
      </c>
      <c r="F57" s="209">
        <v>128.107</v>
      </c>
      <c r="G57" s="209">
        <v>128.65600000000001</v>
      </c>
      <c r="H57" s="209">
        <v>136.136</v>
      </c>
      <c r="I57" s="209">
        <v>120.468</v>
      </c>
      <c r="J57" s="206">
        <v>115.259</v>
      </c>
      <c r="K57" s="206">
        <v>111.824</v>
      </c>
      <c r="L57" s="206">
        <v>15.516999999999999</v>
      </c>
      <c r="M57" s="206">
        <v>15.606999999999999</v>
      </c>
      <c r="N57" s="206">
        <v>15.141</v>
      </c>
      <c r="O57" s="206">
        <v>15.163</v>
      </c>
      <c r="P57" s="206">
        <v>16</v>
      </c>
      <c r="Q57" s="206">
        <v>17</v>
      </c>
      <c r="R57" s="150">
        <v>16.655999999999999</v>
      </c>
      <c r="S57" s="150">
        <v>16.917000000000002</v>
      </c>
      <c r="V57" s="306"/>
      <c r="W57" s="306"/>
      <c r="X57" s="306"/>
      <c r="Y57" s="306"/>
      <c r="Z57" s="303"/>
    </row>
    <row r="58" spans="2:26">
      <c r="B58" s="104" t="s">
        <v>103</v>
      </c>
      <c r="C58" s="209">
        <v>36.222000000000001</v>
      </c>
      <c r="D58" s="209">
        <v>27.684999999999999</v>
      </c>
      <c r="E58" s="209">
        <v>25.978999999999999</v>
      </c>
      <c r="F58" s="209">
        <v>21.827000000000002</v>
      </c>
      <c r="G58" s="209">
        <v>21.529</v>
      </c>
      <c r="H58" s="209">
        <v>20.126000000000001</v>
      </c>
      <c r="I58" s="209">
        <v>14.43</v>
      </c>
      <c r="J58" s="208">
        <v>17.715</v>
      </c>
      <c r="K58" s="208">
        <v>29.885999999999999</v>
      </c>
      <c r="L58" s="208">
        <v>25.091999999999999</v>
      </c>
      <c r="M58" s="208">
        <v>20.041</v>
      </c>
      <c r="N58" s="208">
        <v>33.527999999999999</v>
      </c>
      <c r="O58" s="208">
        <v>17.138999999999999</v>
      </c>
      <c r="P58" s="208">
        <v>10</v>
      </c>
      <c r="Q58" s="208">
        <v>6</v>
      </c>
      <c r="R58" s="252">
        <v>69.768000000000001</v>
      </c>
      <c r="S58" s="252">
        <v>53.881999999999998</v>
      </c>
      <c r="V58" s="306"/>
      <c r="W58" s="306"/>
      <c r="X58" s="306"/>
      <c r="Y58" s="306"/>
      <c r="Z58" s="303"/>
    </row>
    <row r="59" spans="2:26">
      <c r="B59" s="149" t="s">
        <v>13</v>
      </c>
      <c r="C59" s="209">
        <v>219.58199999999999</v>
      </c>
      <c r="D59" s="209">
        <v>204.904</v>
      </c>
      <c r="E59" s="209">
        <v>196.578</v>
      </c>
      <c r="F59" s="209">
        <v>196.87899999999999</v>
      </c>
      <c r="G59" s="209">
        <v>196.52799999999999</v>
      </c>
      <c r="H59" s="209">
        <v>201.52</v>
      </c>
      <c r="I59" s="209">
        <v>203.48099999999999</v>
      </c>
      <c r="J59" s="214">
        <v>205.08099999999999</v>
      </c>
      <c r="K59" s="214">
        <v>178.83600000000001</v>
      </c>
      <c r="L59" s="214">
        <v>186.608</v>
      </c>
      <c r="M59" s="214">
        <v>184.94300000000001</v>
      </c>
      <c r="N59" s="214">
        <v>198.774</v>
      </c>
      <c r="O59" s="214">
        <v>174.85300000000001</v>
      </c>
      <c r="P59" s="214">
        <v>198</v>
      </c>
      <c r="Q59" s="214">
        <v>176</v>
      </c>
      <c r="R59" s="256">
        <v>204.97200000000001</v>
      </c>
      <c r="S59" s="256">
        <v>234.29599999999999</v>
      </c>
      <c r="V59" s="306"/>
      <c r="W59" s="306"/>
      <c r="X59" s="306"/>
      <c r="Y59" s="306"/>
      <c r="Z59" s="303"/>
    </row>
    <row r="60" spans="2:26">
      <c r="B60" s="154" t="s">
        <v>15</v>
      </c>
      <c r="C60" s="209">
        <v>4785.9179999999997</v>
      </c>
      <c r="D60" s="209">
        <v>4758.3649999999998</v>
      </c>
      <c r="E60" s="209">
        <v>4755.5379999999996</v>
      </c>
      <c r="F60" s="209">
        <v>4800.2650000000003</v>
      </c>
      <c r="G60" s="209">
        <v>4751.8620000000001</v>
      </c>
      <c r="H60" s="209">
        <v>4721.2910000000002</v>
      </c>
      <c r="I60" s="209">
        <v>4714.0730000000003</v>
      </c>
      <c r="J60" s="214">
        <v>4722.1130000000003</v>
      </c>
      <c r="K60" s="214">
        <v>4903.518</v>
      </c>
      <c r="L60" s="214">
        <v>4847.6120000000001</v>
      </c>
      <c r="M60" s="214">
        <v>4800.018</v>
      </c>
      <c r="N60" s="214">
        <v>5106.4960000000001</v>
      </c>
      <c r="O60" s="214">
        <v>4937.7849999999999</v>
      </c>
      <c r="P60" s="214">
        <v>4943</v>
      </c>
      <c r="Q60" s="214">
        <v>4991</v>
      </c>
      <c r="R60" s="256">
        <v>5152.0079999999998</v>
      </c>
      <c r="S60" s="256">
        <v>5215.1149999999998</v>
      </c>
      <c r="V60" s="306"/>
      <c r="W60" s="306"/>
      <c r="X60" s="306"/>
      <c r="Y60" s="306"/>
      <c r="Z60" s="303"/>
    </row>
    <row r="61" spans="2:26">
      <c r="B61" s="155" t="s">
        <v>14</v>
      </c>
      <c r="C61" s="209">
        <v>538.12</v>
      </c>
      <c r="D61" s="209">
        <v>535.43499999999995</v>
      </c>
      <c r="E61" s="209">
        <v>532.90700000000004</v>
      </c>
      <c r="F61" s="209">
        <v>534.33900000000006</v>
      </c>
      <c r="G61" s="209">
        <v>536.35699999999997</v>
      </c>
      <c r="H61" s="209">
        <v>500.96100000000001</v>
      </c>
      <c r="I61" s="209">
        <v>496.42200000000003</v>
      </c>
      <c r="J61" s="208">
        <v>491.738</v>
      </c>
      <c r="K61" s="208">
        <v>493.30500000000001</v>
      </c>
      <c r="L61" s="208">
        <v>487.90199999999999</v>
      </c>
      <c r="M61" s="208">
        <v>533.27200000000005</v>
      </c>
      <c r="N61" s="208">
        <v>531.26300000000003</v>
      </c>
      <c r="O61" s="208">
        <v>674.02200000000005</v>
      </c>
      <c r="P61" s="208">
        <v>668</v>
      </c>
      <c r="Q61" s="208">
        <v>659</v>
      </c>
      <c r="R61" s="252">
        <v>997.923</v>
      </c>
      <c r="S61" s="252">
        <v>1096.172</v>
      </c>
      <c r="V61" s="306"/>
      <c r="W61" s="306"/>
      <c r="X61" s="306"/>
      <c r="Y61" s="306"/>
      <c r="Z61" s="303"/>
    </row>
    <row r="62" spans="2:26">
      <c r="B62" s="146" t="s">
        <v>109</v>
      </c>
      <c r="C62" s="209">
        <v>0</v>
      </c>
      <c r="D62" s="209">
        <v>0</v>
      </c>
      <c r="E62" s="209">
        <v>0</v>
      </c>
      <c r="F62" s="209">
        <v>0</v>
      </c>
      <c r="G62" s="209">
        <v>23.265999999999998</v>
      </c>
      <c r="H62" s="209">
        <v>19.878</v>
      </c>
      <c r="I62" s="209">
        <v>17.193999999999999</v>
      </c>
      <c r="J62" s="206">
        <v>15.305999999999999</v>
      </c>
      <c r="K62" s="206">
        <v>15.141</v>
      </c>
      <c r="L62" s="206">
        <v>12.718</v>
      </c>
      <c r="M62" s="206">
        <v>12.138</v>
      </c>
      <c r="N62" s="206">
        <v>15.24</v>
      </c>
      <c r="O62" s="206">
        <v>20.044</v>
      </c>
      <c r="P62" s="206">
        <v>42</v>
      </c>
      <c r="Q62" s="206">
        <v>47</v>
      </c>
      <c r="R62" s="150">
        <v>43.137</v>
      </c>
      <c r="S62" s="150">
        <v>39.798999999999999</v>
      </c>
      <c r="V62" s="306"/>
      <c r="W62" s="306"/>
      <c r="X62" s="306"/>
      <c r="Y62" s="306"/>
      <c r="Z62" s="303"/>
    </row>
    <row r="63" spans="2:26" s="56" customFormat="1" ht="15.75" thickBot="1">
      <c r="B63" s="153" t="s">
        <v>22</v>
      </c>
      <c r="C63" s="194">
        <f>SUM(C49,C39)</f>
        <v>11223.437000000002</v>
      </c>
      <c r="D63" s="194">
        <f t="shared" ref="D63:P63" si="27">SUM(D49,D39)</f>
        <v>9732.1370000000006</v>
      </c>
      <c r="E63" s="194">
        <f>SUM(E49,E39)</f>
        <v>9781.4919999999984</v>
      </c>
      <c r="F63" s="194">
        <f>SUM(F49,F39)</f>
        <v>9703.6550000000007</v>
      </c>
      <c r="G63" s="194">
        <f t="shared" si="27"/>
        <v>9575.6569999999992</v>
      </c>
      <c r="H63" s="194">
        <f t="shared" si="27"/>
        <v>9674.8998817060128</v>
      </c>
      <c r="I63" s="194">
        <f t="shared" si="27"/>
        <v>9703.6654095961421</v>
      </c>
      <c r="J63" s="194">
        <f t="shared" si="27"/>
        <v>9816.3158869189938</v>
      </c>
      <c r="K63" s="194">
        <f t="shared" si="27"/>
        <v>10610.285909144251</v>
      </c>
      <c r="L63" s="194">
        <f>SUM(L49,L39)</f>
        <v>10652.629224133405</v>
      </c>
      <c r="M63" s="194">
        <f t="shared" si="27"/>
        <v>10682.171137132849</v>
      </c>
      <c r="N63" s="194">
        <f t="shared" si="27"/>
        <v>11211.169999999998</v>
      </c>
      <c r="O63" s="194">
        <f t="shared" si="27"/>
        <v>10241.477000000001</v>
      </c>
      <c r="P63" s="194">
        <f t="shared" si="27"/>
        <v>10504</v>
      </c>
      <c r="Q63" s="194">
        <f>SUM(Q49,Q39)</f>
        <v>11290.089</v>
      </c>
      <c r="R63" s="194">
        <f>SUM(R49,R39)</f>
        <v>11965.226999999999</v>
      </c>
      <c r="S63" s="194">
        <f t="shared" ref="S63" si="28">SUM(S49,S39)</f>
        <v>11896.356</v>
      </c>
      <c r="V63" s="308"/>
      <c r="W63" s="308"/>
      <c r="X63" s="308"/>
      <c r="Y63" s="308"/>
      <c r="Z63" s="309"/>
    </row>
    <row r="64" spans="2:26" ht="15">
      <c r="B64" s="151"/>
      <c r="C64" s="139"/>
      <c r="D64" s="139"/>
      <c r="E64" s="139"/>
      <c r="F64" s="139"/>
      <c r="G64" s="139"/>
      <c r="H64" s="139"/>
      <c r="I64" s="139"/>
      <c r="J64" s="139"/>
      <c r="K64" s="139"/>
      <c r="L64" s="139"/>
      <c r="M64" s="139"/>
      <c r="N64" s="139"/>
      <c r="O64" s="139"/>
      <c r="P64" s="139"/>
      <c r="Q64" s="139"/>
      <c r="R64" s="139"/>
      <c r="S64" s="139"/>
      <c r="V64" s="139"/>
      <c r="W64" s="139"/>
      <c r="X64" s="139"/>
      <c r="Y64" s="139"/>
      <c r="Z64" s="303"/>
    </row>
    <row r="65" spans="2:26" ht="15">
      <c r="B65" s="147"/>
      <c r="C65" s="139"/>
      <c r="D65" s="139"/>
      <c r="E65" s="139"/>
      <c r="F65" s="139"/>
      <c r="G65" s="139"/>
      <c r="H65" s="139"/>
      <c r="I65" s="139"/>
      <c r="J65" s="139"/>
      <c r="K65" s="139"/>
      <c r="L65" s="139"/>
      <c r="M65" s="139"/>
      <c r="N65" s="139"/>
      <c r="O65" s="139"/>
      <c r="P65" s="139"/>
      <c r="Q65" s="139"/>
      <c r="R65" s="139"/>
      <c r="S65" s="139"/>
      <c r="V65" s="139"/>
      <c r="W65" s="139"/>
      <c r="X65" s="139"/>
      <c r="Y65" s="139"/>
      <c r="Z65" s="303"/>
    </row>
    <row r="66" spans="2:26" ht="15.75" thickBot="1">
      <c r="B66" s="137" t="s">
        <v>41</v>
      </c>
      <c r="C66" s="193">
        <f>SUM(C67:C80)</f>
        <v>1427.873</v>
      </c>
      <c r="D66" s="193">
        <f>SUM(D67:D80)</f>
        <v>1493.3719999999998</v>
      </c>
      <c r="E66" s="193">
        <f t="shared" ref="E66:P66" si="29">SUM(E67:E80)</f>
        <v>1506.248</v>
      </c>
      <c r="F66" s="193">
        <f t="shared" si="29"/>
        <v>1332.4649999999999</v>
      </c>
      <c r="G66" s="193">
        <f t="shared" si="29"/>
        <v>1218.8489999999999</v>
      </c>
      <c r="H66" s="193">
        <f t="shared" si="29"/>
        <v>1401.3614659621855</v>
      </c>
      <c r="I66" s="193">
        <f t="shared" si="29"/>
        <v>1389.9093766210444</v>
      </c>
      <c r="J66" s="193">
        <f t="shared" si="29"/>
        <v>1233.8945746135075</v>
      </c>
      <c r="K66" s="193">
        <f t="shared" si="29"/>
        <v>1624.2482467242435</v>
      </c>
      <c r="L66" s="193">
        <f t="shared" si="29"/>
        <v>1547.5579460457982</v>
      </c>
      <c r="M66" s="193">
        <f t="shared" si="29"/>
        <v>1749.6914815602122</v>
      </c>
      <c r="N66" s="193">
        <f t="shared" si="29"/>
        <v>1990.6629999999998</v>
      </c>
      <c r="O66" s="193">
        <f t="shared" si="29"/>
        <v>2262.6780000000008</v>
      </c>
      <c r="P66" s="193">
        <f t="shared" si="29"/>
        <v>2232</v>
      </c>
      <c r="Q66" s="193">
        <f>SUM(Q67:Q80)</f>
        <v>2329</v>
      </c>
      <c r="R66" s="193">
        <f>SUM(R67:R80)</f>
        <v>2159.634</v>
      </c>
      <c r="S66" s="193">
        <f t="shared" ref="S66" si="30">SUM(S67:S80)</f>
        <v>1778.6399999999999</v>
      </c>
      <c r="V66" s="215"/>
      <c r="W66" s="215"/>
      <c r="X66" s="215"/>
      <c r="Y66" s="215"/>
      <c r="Z66" s="303"/>
    </row>
    <row r="67" spans="2:26">
      <c r="B67" s="105" t="s">
        <v>110</v>
      </c>
      <c r="C67" s="139">
        <v>238.93799999999999</v>
      </c>
      <c r="D67" s="139">
        <v>193.37700000000001</v>
      </c>
      <c r="E67" s="139">
        <v>163.18899999999999</v>
      </c>
      <c r="F67" s="139">
        <v>118.095</v>
      </c>
      <c r="G67" s="139">
        <v>135.06100000000001</v>
      </c>
      <c r="H67" s="139">
        <v>124.26902001798319</v>
      </c>
      <c r="I67" s="139">
        <v>144.9937248166915</v>
      </c>
      <c r="J67" s="139">
        <v>126.56036483350766</v>
      </c>
      <c r="K67" s="139">
        <v>158.99118751278539</v>
      </c>
      <c r="L67" s="139">
        <v>127.53195661799795</v>
      </c>
      <c r="M67" s="139">
        <v>161.8117794433341</v>
      </c>
      <c r="N67" s="139">
        <v>63.838999999999999</v>
      </c>
      <c r="O67" s="139">
        <v>89.61</v>
      </c>
      <c r="P67" s="139">
        <v>60</v>
      </c>
      <c r="Q67" s="139">
        <v>87</v>
      </c>
      <c r="R67" s="139">
        <v>69.382999999999996</v>
      </c>
      <c r="S67" s="139">
        <v>92.506</v>
      </c>
      <c r="V67" s="139"/>
      <c r="W67" s="139"/>
      <c r="X67" s="139"/>
      <c r="Y67" s="139"/>
      <c r="Z67" s="303"/>
    </row>
    <row r="68" spans="2:26">
      <c r="B68" s="106" t="s">
        <v>105</v>
      </c>
      <c r="C68" s="156">
        <v>13.459</v>
      </c>
      <c r="D68" s="156">
        <v>180.791</v>
      </c>
      <c r="E68" s="156">
        <v>163.62</v>
      </c>
      <c r="F68" s="156">
        <v>57.786000000000001</v>
      </c>
      <c r="G68" s="156">
        <v>24.167999999999999</v>
      </c>
      <c r="H68" s="156">
        <v>0.39244594420231987</v>
      </c>
      <c r="I68" s="156">
        <v>5.2436518043528721</v>
      </c>
      <c r="J68" s="156">
        <v>17.986209779999999</v>
      </c>
      <c r="K68" s="156">
        <v>245.24705921145792</v>
      </c>
      <c r="L68" s="156">
        <v>284.15198942780034</v>
      </c>
      <c r="M68" s="156">
        <v>336.27670211687837</v>
      </c>
      <c r="N68" s="156">
        <v>398.78199999999998</v>
      </c>
      <c r="O68" s="156">
        <v>594.61400000000003</v>
      </c>
      <c r="P68" s="156">
        <v>527</v>
      </c>
      <c r="Q68" s="156">
        <v>552</v>
      </c>
      <c r="R68" s="156">
        <v>231.28899999999999</v>
      </c>
      <c r="S68" s="156">
        <v>122.902</v>
      </c>
      <c r="V68" s="139"/>
      <c r="W68" s="139"/>
      <c r="X68" s="139"/>
      <c r="Y68" s="139"/>
      <c r="Z68" s="303"/>
    </row>
    <row r="69" spans="2:26" ht="15">
      <c r="B69" s="105" t="s">
        <v>111</v>
      </c>
      <c r="C69" s="215">
        <v>0</v>
      </c>
      <c r="D69" s="215">
        <v>0</v>
      </c>
      <c r="E69" s="215">
        <v>0</v>
      </c>
      <c r="F69" s="215">
        <v>0</v>
      </c>
      <c r="G69" s="139">
        <v>11.413</v>
      </c>
      <c r="H69" s="139">
        <v>11.202</v>
      </c>
      <c r="I69" s="139">
        <v>7.7060000000000004</v>
      </c>
      <c r="J69" s="139">
        <v>9.2769999999999992</v>
      </c>
      <c r="K69" s="139">
        <v>7.7930000000000001</v>
      </c>
      <c r="L69" s="139">
        <v>6.2190000000000003</v>
      </c>
      <c r="M69" s="139">
        <v>6.5570000000000004</v>
      </c>
      <c r="N69" s="139">
        <v>8.8049999999999997</v>
      </c>
      <c r="O69" s="139">
        <v>10.862</v>
      </c>
      <c r="P69" s="139">
        <v>23</v>
      </c>
      <c r="Q69" s="139">
        <v>25</v>
      </c>
      <c r="R69" s="139">
        <v>27.126000000000001</v>
      </c>
      <c r="S69" s="139">
        <v>27.766999999999999</v>
      </c>
      <c r="V69" s="139"/>
      <c r="W69" s="139"/>
      <c r="X69" s="139"/>
      <c r="Y69" s="139"/>
      <c r="Z69" s="303"/>
    </row>
    <row r="70" spans="2:26">
      <c r="B70" s="106" t="s">
        <v>112</v>
      </c>
      <c r="C70" s="156">
        <v>44.372</v>
      </c>
      <c r="D70" s="156">
        <v>28.062000000000001</v>
      </c>
      <c r="E70" s="156">
        <v>158.61799999999999</v>
      </c>
      <c r="F70" s="156">
        <v>256.64499999999998</v>
      </c>
      <c r="G70" s="156">
        <v>260.55500000000001</v>
      </c>
      <c r="H70" s="156">
        <v>387.101</v>
      </c>
      <c r="I70" s="156">
        <v>360.32799999999997</v>
      </c>
      <c r="J70" s="156">
        <v>335.13</v>
      </c>
      <c r="K70" s="156">
        <v>416.798</v>
      </c>
      <c r="L70" s="156">
        <v>347.41199999999998</v>
      </c>
      <c r="M70" s="156">
        <v>412.73500000000001</v>
      </c>
      <c r="N70" s="156">
        <v>594.58100000000002</v>
      </c>
      <c r="O70" s="156">
        <v>589.87900000000002</v>
      </c>
      <c r="P70" s="156">
        <v>614</v>
      </c>
      <c r="Q70" s="156">
        <v>387</v>
      </c>
      <c r="R70" s="156">
        <v>558.01700000000005</v>
      </c>
      <c r="S70" s="156">
        <v>272.87900000000002</v>
      </c>
      <c r="V70" s="139"/>
      <c r="W70" s="139"/>
      <c r="X70" s="139"/>
      <c r="Y70" s="139"/>
      <c r="Z70" s="303"/>
    </row>
    <row r="71" spans="2:26">
      <c r="B71" s="105" t="s">
        <v>16</v>
      </c>
      <c r="C71" s="139">
        <v>454.84100000000001</v>
      </c>
      <c r="D71" s="139">
        <v>564.04399999999998</v>
      </c>
      <c r="E71" s="139">
        <v>533.87199999999996</v>
      </c>
      <c r="F71" s="139">
        <v>390.81599999999997</v>
      </c>
      <c r="G71" s="139">
        <v>396.88499999999999</v>
      </c>
      <c r="H71" s="139">
        <v>423.47500000000002</v>
      </c>
      <c r="I71" s="139">
        <v>424.26799999999997</v>
      </c>
      <c r="J71" s="139">
        <v>407.21499999999997</v>
      </c>
      <c r="K71" s="139">
        <v>518.76700000000005</v>
      </c>
      <c r="L71" s="139">
        <v>442.89100000000002</v>
      </c>
      <c r="M71" s="139">
        <v>460.11799999999999</v>
      </c>
      <c r="N71" s="139">
        <v>425.95100000000002</v>
      </c>
      <c r="O71" s="139">
        <v>511.291</v>
      </c>
      <c r="P71" s="139">
        <v>523</v>
      </c>
      <c r="Q71" s="139">
        <v>640</v>
      </c>
      <c r="R71" s="139">
        <v>655.62599999999998</v>
      </c>
      <c r="S71" s="139">
        <v>646.98299999999995</v>
      </c>
      <c r="V71" s="139"/>
      <c r="W71" s="139"/>
      <c r="X71" s="139"/>
      <c r="Y71" s="139"/>
      <c r="Z71" s="303"/>
    </row>
    <row r="72" spans="2:26">
      <c r="B72" s="106" t="s">
        <v>113</v>
      </c>
      <c r="C72" s="156">
        <v>82.474999999999994</v>
      </c>
      <c r="D72" s="156">
        <v>100.065</v>
      </c>
      <c r="E72" s="156">
        <v>126.708</v>
      </c>
      <c r="F72" s="156">
        <v>118.724</v>
      </c>
      <c r="G72" s="156">
        <v>82.093999999999994</v>
      </c>
      <c r="H72" s="156">
        <v>102.691</v>
      </c>
      <c r="I72" s="156">
        <v>124.592</v>
      </c>
      <c r="J72" s="156">
        <v>123.054</v>
      </c>
      <c r="K72" s="156">
        <v>94.290999999999997</v>
      </c>
      <c r="L72" s="156">
        <v>141.66900000000001</v>
      </c>
      <c r="M72" s="156">
        <v>155.59200000000001</v>
      </c>
      <c r="N72" s="156">
        <v>175.666</v>
      </c>
      <c r="O72" s="156">
        <v>110.849</v>
      </c>
      <c r="P72" s="156">
        <v>131</v>
      </c>
      <c r="Q72" s="156">
        <v>161</v>
      </c>
      <c r="R72" s="156">
        <v>162.24299999999999</v>
      </c>
      <c r="S72" s="156">
        <v>120.797</v>
      </c>
      <c r="V72" s="139"/>
      <c r="W72" s="139"/>
      <c r="X72" s="139"/>
      <c r="Y72" s="139"/>
      <c r="Z72" s="303"/>
    </row>
    <row r="73" spans="2:26">
      <c r="B73" s="105" t="s">
        <v>114</v>
      </c>
      <c r="C73" s="139">
        <v>24.885000000000002</v>
      </c>
      <c r="D73" s="139">
        <v>45.412999999999997</v>
      </c>
      <c r="E73" s="139">
        <v>31.765999999999998</v>
      </c>
      <c r="F73" s="139">
        <v>32.335999999999999</v>
      </c>
      <c r="G73" s="139">
        <v>25.975999999999999</v>
      </c>
      <c r="H73" s="139">
        <v>32.475000000000001</v>
      </c>
      <c r="I73" s="139">
        <v>42.601999999999997</v>
      </c>
      <c r="J73" s="139">
        <v>41.926000000000002</v>
      </c>
      <c r="K73" s="139">
        <v>33.655000000000001</v>
      </c>
      <c r="L73" s="139">
        <v>44.085999999999999</v>
      </c>
      <c r="M73" s="139">
        <v>65.549000000000007</v>
      </c>
      <c r="N73" s="139">
        <v>74.165999999999997</v>
      </c>
      <c r="O73" s="139">
        <v>37.198</v>
      </c>
      <c r="P73" s="139">
        <v>79</v>
      </c>
      <c r="Q73" s="139">
        <v>158</v>
      </c>
      <c r="R73" s="139">
        <v>78.275000000000006</v>
      </c>
      <c r="S73" s="139">
        <v>114.28700000000001</v>
      </c>
      <c r="V73" s="139"/>
      <c r="W73" s="139"/>
      <c r="X73" s="139"/>
      <c r="Y73" s="139"/>
      <c r="Z73" s="303"/>
    </row>
    <row r="74" spans="2:26">
      <c r="B74" s="106" t="s">
        <v>115</v>
      </c>
      <c r="C74" s="156">
        <v>239.203</v>
      </c>
      <c r="D74" s="156">
        <v>50.499000000000002</v>
      </c>
      <c r="E74" s="156">
        <v>24.135000000000002</v>
      </c>
      <c r="F74" s="156">
        <v>29.048999999999999</v>
      </c>
      <c r="G74" s="156">
        <v>33.161999999999999</v>
      </c>
      <c r="H74" s="156">
        <v>40.073</v>
      </c>
      <c r="I74" s="156">
        <v>37.033999999999999</v>
      </c>
      <c r="J74" s="156">
        <v>20.413</v>
      </c>
      <c r="K74" s="156">
        <v>24.975999999999999</v>
      </c>
      <c r="L74" s="156">
        <v>34.151000000000003</v>
      </c>
      <c r="M74" s="156">
        <v>23.337</v>
      </c>
      <c r="N74" s="156">
        <v>31.861999999999998</v>
      </c>
      <c r="O74" s="156">
        <v>42.584000000000003</v>
      </c>
      <c r="P74" s="156">
        <v>45</v>
      </c>
      <c r="Q74" s="156">
        <v>71</v>
      </c>
      <c r="R74" s="156">
        <v>47.662999999999997</v>
      </c>
      <c r="S74" s="156">
        <v>52.831000000000003</v>
      </c>
      <c r="V74" s="139"/>
      <c r="W74" s="139"/>
      <c r="X74" s="139"/>
      <c r="Y74" s="139"/>
      <c r="Z74" s="303"/>
    </row>
    <row r="75" spans="2:26">
      <c r="B75" s="105" t="s">
        <v>116</v>
      </c>
      <c r="C75" s="139">
        <v>12.797000000000001</v>
      </c>
      <c r="D75" s="139">
        <v>7.9000000000000001E-2</v>
      </c>
      <c r="E75" s="139">
        <v>7.9000000000000001E-2</v>
      </c>
      <c r="F75" s="139">
        <v>12.651999999999999</v>
      </c>
      <c r="G75" s="139">
        <v>12.653</v>
      </c>
      <c r="H75" s="139">
        <v>67.400000000000006</v>
      </c>
      <c r="I75" s="139">
        <v>72.37</v>
      </c>
      <c r="J75" s="139">
        <v>14.071999999999999</v>
      </c>
      <c r="K75" s="139">
        <v>23.923999999999999</v>
      </c>
      <c r="L75" s="139">
        <v>1.2609999999999999</v>
      </c>
      <c r="M75" s="139">
        <v>7.9000000000000001E-2</v>
      </c>
      <c r="N75" s="139">
        <v>33.81</v>
      </c>
      <c r="O75" s="139">
        <v>29.111000000000001</v>
      </c>
      <c r="P75" s="139">
        <v>60</v>
      </c>
      <c r="Q75" s="139">
        <v>67</v>
      </c>
      <c r="R75" s="139">
        <v>142.191</v>
      </c>
      <c r="S75" s="139">
        <v>118.511</v>
      </c>
      <c r="V75" s="139"/>
      <c r="W75" s="139"/>
      <c r="X75" s="139"/>
      <c r="Y75" s="139"/>
      <c r="Z75" s="303"/>
    </row>
    <row r="76" spans="2:26">
      <c r="B76" s="106" t="s">
        <v>117</v>
      </c>
      <c r="C76" s="156">
        <v>39.155000000000001</v>
      </c>
      <c r="D76" s="156">
        <v>39.387</v>
      </c>
      <c r="E76" s="156">
        <v>39.466999999999999</v>
      </c>
      <c r="F76" s="156">
        <v>44.155999999999999</v>
      </c>
      <c r="G76" s="156">
        <v>42.173000000000002</v>
      </c>
      <c r="H76" s="156">
        <v>42.34</v>
      </c>
      <c r="I76" s="156">
        <v>42.433</v>
      </c>
      <c r="J76" s="156">
        <v>44.878</v>
      </c>
      <c r="K76" s="156">
        <v>44.923999999999999</v>
      </c>
      <c r="L76" s="156">
        <v>47.177</v>
      </c>
      <c r="M76" s="156">
        <v>47.734000000000002</v>
      </c>
      <c r="N76" s="156">
        <v>47.703000000000003</v>
      </c>
      <c r="O76" s="156">
        <v>47.703000000000003</v>
      </c>
      <c r="P76" s="156">
        <v>52</v>
      </c>
      <c r="Q76" s="156">
        <v>54</v>
      </c>
      <c r="R76" s="156">
        <v>74.313999999999993</v>
      </c>
      <c r="S76" s="156">
        <v>74.97</v>
      </c>
      <c r="V76" s="139"/>
      <c r="W76" s="139"/>
      <c r="X76" s="139"/>
      <c r="Y76" s="139"/>
      <c r="Z76" s="303"/>
    </row>
    <row r="77" spans="2:26">
      <c r="B77" s="105" t="s">
        <v>118</v>
      </c>
      <c r="C77" s="139">
        <v>0</v>
      </c>
      <c r="D77" s="139">
        <v>0</v>
      </c>
      <c r="E77" s="139">
        <v>0</v>
      </c>
      <c r="F77" s="139">
        <v>0</v>
      </c>
      <c r="G77" s="139">
        <v>0</v>
      </c>
      <c r="H77" s="139">
        <v>0</v>
      </c>
      <c r="I77" s="139">
        <v>0</v>
      </c>
      <c r="J77" s="216">
        <v>16.635999999999999</v>
      </c>
      <c r="K77" s="216">
        <v>10.967000000000001</v>
      </c>
      <c r="L77" s="216">
        <v>22.667000000000002</v>
      </c>
      <c r="M77" s="216">
        <v>36.165999999999997</v>
      </c>
      <c r="N77" s="216">
        <v>65.489999999999995</v>
      </c>
      <c r="O77" s="216">
        <v>62.637</v>
      </c>
      <c r="P77" s="216">
        <v>2</v>
      </c>
      <c r="Q77" s="216">
        <v>6</v>
      </c>
      <c r="R77" s="216">
        <v>11.141999999999999</v>
      </c>
      <c r="S77" s="216">
        <v>20.321000000000002</v>
      </c>
      <c r="V77" s="216"/>
      <c r="W77" s="216"/>
      <c r="X77" s="216"/>
      <c r="Y77" s="216"/>
      <c r="Z77" s="303"/>
    </row>
    <row r="78" spans="2:26">
      <c r="B78" s="106" t="s">
        <v>119</v>
      </c>
      <c r="C78" s="156">
        <v>223.36799999999999</v>
      </c>
      <c r="D78" s="156">
        <v>250.20599999999999</v>
      </c>
      <c r="E78" s="156">
        <v>223.55199999999999</v>
      </c>
      <c r="F78" s="156">
        <v>223.369</v>
      </c>
      <c r="G78" s="156">
        <v>173.23500000000001</v>
      </c>
      <c r="H78" s="156">
        <v>146.86500000000001</v>
      </c>
      <c r="I78" s="156">
        <v>83.191999999999993</v>
      </c>
      <c r="J78" s="210">
        <v>27.201000000000001</v>
      </c>
      <c r="K78" s="210">
        <v>0.63600000000000001</v>
      </c>
      <c r="L78" s="210">
        <v>0.56100000000000005</v>
      </c>
      <c r="M78" s="210">
        <v>0.56100000000000005</v>
      </c>
      <c r="N78" s="210">
        <v>0.56100000000000005</v>
      </c>
      <c r="O78" s="210">
        <v>16.405000000000001</v>
      </c>
      <c r="P78" s="210">
        <v>1</v>
      </c>
      <c r="Q78" s="210">
        <v>1</v>
      </c>
      <c r="R78" s="210">
        <v>0.35</v>
      </c>
      <c r="S78" s="210">
        <v>0.35</v>
      </c>
      <c r="V78" s="216"/>
      <c r="W78" s="216"/>
      <c r="X78" s="216"/>
      <c r="Y78" s="216"/>
      <c r="Z78" s="303"/>
    </row>
    <row r="79" spans="2:26">
      <c r="B79" s="106" t="s">
        <v>120</v>
      </c>
      <c r="C79" s="204">
        <v>0</v>
      </c>
      <c r="D79" s="204">
        <v>0</v>
      </c>
      <c r="E79" s="204">
        <v>0</v>
      </c>
      <c r="F79" s="204">
        <v>0</v>
      </c>
      <c r="G79" s="204">
        <v>0</v>
      </c>
      <c r="H79" s="204">
        <v>0</v>
      </c>
      <c r="I79" s="204">
        <v>0</v>
      </c>
      <c r="J79" s="204">
        <v>0</v>
      </c>
      <c r="K79" s="204">
        <v>0</v>
      </c>
      <c r="L79" s="204">
        <v>0</v>
      </c>
      <c r="M79" s="204">
        <v>0.751</v>
      </c>
      <c r="N79" s="204">
        <v>0.52200000000000002</v>
      </c>
      <c r="O79" s="204">
        <v>16.431999999999999</v>
      </c>
      <c r="P79" s="204">
        <v>16</v>
      </c>
      <c r="Q79" s="204">
        <v>18</v>
      </c>
      <c r="R79" s="204">
        <v>29.218</v>
      </c>
      <c r="S79" s="204">
        <v>21.190999999999999</v>
      </c>
      <c r="V79" s="139"/>
      <c r="W79" s="139"/>
      <c r="X79" s="139"/>
      <c r="Y79" s="139"/>
      <c r="Z79" s="303"/>
    </row>
    <row r="80" spans="2:26">
      <c r="B80" s="138" t="s">
        <v>121</v>
      </c>
      <c r="C80" s="139">
        <v>54.38</v>
      </c>
      <c r="D80" s="139">
        <v>41.448999999999998</v>
      </c>
      <c r="E80" s="139">
        <v>41.241999999999997</v>
      </c>
      <c r="F80" s="139">
        <v>48.837000000000003</v>
      </c>
      <c r="G80" s="139">
        <v>21.474</v>
      </c>
      <c r="H80" s="139">
        <v>23.077999999999999</v>
      </c>
      <c r="I80" s="139">
        <v>45.146999999999998</v>
      </c>
      <c r="J80" s="139">
        <v>49.545999999999999</v>
      </c>
      <c r="K80" s="139">
        <v>43.279000000000003</v>
      </c>
      <c r="L80" s="139">
        <v>47.78</v>
      </c>
      <c r="M80" s="139">
        <v>42.423999999999999</v>
      </c>
      <c r="N80" s="139">
        <v>68.924999999999997</v>
      </c>
      <c r="O80" s="139">
        <v>103.503</v>
      </c>
      <c r="P80" s="139">
        <v>99</v>
      </c>
      <c r="Q80" s="139">
        <v>102</v>
      </c>
      <c r="R80" s="139">
        <v>72.796999999999997</v>
      </c>
      <c r="S80" s="139">
        <v>92.344999999999999</v>
      </c>
      <c r="V80" s="139"/>
      <c r="W80" s="139"/>
      <c r="X80" s="139"/>
      <c r="Y80" s="139"/>
      <c r="Z80" s="303"/>
    </row>
    <row r="81" spans="2:26" s="56" customFormat="1" ht="15.75" thickBot="1">
      <c r="B81" s="137" t="s">
        <v>21</v>
      </c>
      <c r="C81" s="193">
        <f>SUM(C82:C90)</f>
        <v>3961.56</v>
      </c>
      <c r="D81" s="193">
        <f t="shared" ref="D81:P81" si="31">SUM(D82:D90)</f>
        <v>3246.2530000000002</v>
      </c>
      <c r="E81" s="193">
        <f t="shared" si="31"/>
        <v>3212.5699999999997</v>
      </c>
      <c r="F81" s="193">
        <f t="shared" si="31"/>
        <v>3124.6609999999996</v>
      </c>
      <c r="G81" s="193">
        <f t="shared" si="31"/>
        <v>3114.0590000000002</v>
      </c>
      <c r="H81" s="193">
        <f t="shared" si="31"/>
        <v>3146.8563711785741</v>
      </c>
      <c r="I81" s="193">
        <f t="shared" si="31"/>
        <v>3316.1998639499766</v>
      </c>
      <c r="J81" s="193">
        <f t="shared" si="31"/>
        <v>3454.0544438399997</v>
      </c>
      <c r="K81" s="193">
        <f>SUM(K82:K90)</f>
        <v>4279.4637740358821</v>
      </c>
      <c r="L81" s="193">
        <f t="shared" si="31"/>
        <v>4564.39822331911</v>
      </c>
      <c r="M81" s="193">
        <f t="shared" si="31"/>
        <v>5003.7691672495848</v>
      </c>
      <c r="N81" s="193">
        <f t="shared" si="31"/>
        <v>5480.1490000000003</v>
      </c>
      <c r="O81" s="193">
        <f t="shared" si="31"/>
        <v>5053.9840000000004</v>
      </c>
      <c r="P81" s="193">
        <f t="shared" si="31"/>
        <v>4696</v>
      </c>
      <c r="Q81" s="193">
        <f>SUM(Q82:Q90)</f>
        <v>4939</v>
      </c>
      <c r="R81" s="193">
        <f>SUM(R82:R90)</f>
        <v>5089.6120000000001</v>
      </c>
      <c r="S81" s="193">
        <f t="shared" ref="S81" si="32">SUM(S82:S90)</f>
        <v>4699.7509999999993</v>
      </c>
      <c r="V81" s="215"/>
      <c r="W81" s="215"/>
      <c r="X81" s="215"/>
      <c r="Y81" s="215"/>
      <c r="Z81" s="309"/>
    </row>
    <row r="82" spans="2:26">
      <c r="B82" s="138" t="s">
        <v>122</v>
      </c>
      <c r="C82" s="139">
        <v>2571.6379999999999</v>
      </c>
      <c r="D82" s="139">
        <v>1969.777</v>
      </c>
      <c r="E82" s="139">
        <v>1992.5550000000001</v>
      </c>
      <c r="F82" s="139">
        <v>1940.7719999999999</v>
      </c>
      <c r="G82" s="139">
        <v>1930.1010000000001</v>
      </c>
      <c r="H82" s="139">
        <v>1953.2140004</v>
      </c>
      <c r="I82" s="139">
        <v>2130.1550003999996</v>
      </c>
      <c r="J82" s="139">
        <v>2053.9435004000002</v>
      </c>
      <c r="K82" s="139">
        <v>2822.2581347951018</v>
      </c>
      <c r="L82" s="139">
        <v>2982.8553897949596</v>
      </c>
      <c r="M82" s="139">
        <v>3230.6062217404219</v>
      </c>
      <c r="N82" s="139">
        <v>2882.6660000000002</v>
      </c>
      <c r="O82" s="139">
        <v>3116.6350000000002</v>
      </c>
      <c r="P82" s="139">
        <v>2752</v>
      </c>
      <c r="Q82" s="139">
        <v>2946</v>
      </c>
      <c r="R82" s="139">
        <v>3036.6819999999998</v>
      </c>
      <c r="S82" s="139">
        <v>2637.21</v>
      </c>
      <c r="V82" s="139"/>
      <c r="W82" s="139"/>
      <c r="X82" s="139"/>
      <c r="Y82" s="139"/>
      <c r="Z82" s="303"/>
    </row>
    <row r="83" spans="2:26">
      <c r="B83" s="107" t="s">
        <v>105</v>
      </c>
      <c r="C83" s="156">
        <v>0</v>
      </c>
      <c r="D83" s="156">
        <v>2.1320000000000001</v>
      </c>
      <c r="E83" s="156">
        <v>0</v>
      </c>
      <c r="F83" s="156">
        <v>0</v>
      </c>
      <c r="G83" s="156">
        <v>0</v>
      </c>
      <c r="H83" s="156">
        <v>1.640370778573677</v>
      </c>
      <c r="I83" s="156">
        <v>11.287863549977075</v>
      </c>
      <c r="J83" s="156">
        <v>7.6799434400000024</v>
      </c>
      <c r="K83" s="156">
        <v>49.983639240780846</v>
      </c>
      <c r="L83" s="156">
        <v>120.22383352415054</v>
      </c>
      <c r="M83" s="156">
        <v>144.78794550916342</v>
      </c>
      <c r="N83" s="156">
        <v>905.08399999999995</v>
      </c>
      <c r="O83" s="156">
        <v>110.32899999999999</v>
      </c>
      <c r="P83" s="156">
        <v>154</v>
      </c>
      <c r="Q83" s="156">
        <v>99</v>
      </c>
      <c r="R83" s="156">
        <v>109.6</v>
      </c>
      <c r="S83" s="156">
        <v>26.306999999999999</v>
      </c>
      <c r="V83" s="139"/>
      <c r="W83" s="139"/>
      <c r="X83" s="139"/>
      <c r="Y83" s="139"/>
      <c r="Z83" s="303"/>
    </row>
    <row r="84" spans="2:26">
      <c r="B84" s="106" t="s">
        <v>111</v>
      </c>
      <c r="C84" s="156">
        <v>0</v>
      </c>
      <c r="D84" s="156">
        <v>0</v>
      </c>
      <c r="E84" s="156">
        <v>0</v>
      </c>
      <c r="F84" s="156">
        <v>0</v>
      </c>
      <c r="G84" s="156">
        <v>14.226000000000001</v>
      </c>
      <c r="H84" s="156">
        <v>9.61</v>
      </c>
      <c r="I84" s="156">
        <v>7.9850000000000003</v>
      </c>
      <c r="J84" s="156">
        <v>6.5060000000000002</v>
      </c>
      <c r="K84" s="156">
        <v>5.593</v>
      </c>
      <c r="L84" s="156">
        <v>4.7300000000000004</v>
      </c>
      <c r="M84" s="156">
        <v>6.1280000000000001</v>
      </c>
      <c r="N84" s="156">
        <v>7.11</v>
      </c>
      <c r="O84" s="156">
        <v>9.8940000000000001</v>
      </c>
      <c r="P84" s="156">
        <v>21</v>
      </c>
      <c r="Q84" s="156">
        <v>22</v>
      </c>
      <c r="R84" s="156">
        <v>17.562999999999999</v>
      </c>
      <c r="S84" s="156">
        <v>13.712</v>
      </c>
      <c r="V84" s="139"/>
      <c r="W84" s="139"/>
      <c r="X84" s="139"/>
      <c r="Y84" s="139"/>
      <c r="Z84" s="303"/>
    </row>
    <row r="85" spans="2:26">
      <c r="B85" s="106" t="s">
        <v>119</v>
      </c>
      <c r="C85" s="156">
        <v>259.80900000000003</v>
      </c>
      <c r="D85" s="156">
        <v>127.246</v>
      </c>
      <c r="E85" s="156">
        <v>69.284000000000006</v>
      </c>
      <c r="F85" s="156">
        <v>13.287000000000001</v>
      </c>
      <c r="G85" s="156">
        <v>10.994</v>
      </c>
      <c r="H85" s="156">
        <v>9.8819999999999997</v>
      </c>
      <c r="I85" s="156">
        <v>2.33</v>
      </c>
      <c r="J85" s="156">
        <v>2.33</v>
      </c>
      <c r="K85" s="156">
        <v>3.1179999999999999</v>
      </c>
      <c r="L85" s="156">
        <v>25.452999999999999</v>
      </c>
      <c r="M85" s="156">
        <v>25.367000000000001</v>
      </c>
      <c r="N85" s="156">
        <v>2.0339999999999998</v>
      </c>
      <c r="O85" s="156">
        <v>14.1</v>
      </c>
      <c r="P85" s="156">
        <v>3</v>
      </c>
      <c r="Q85" s="156">
        <v>59</v>
      </c>
      <c r="R85" s="156">
        <v>61.8</v>
      </c>
      <c r="S85" s="156">
        <v>65.754999999999995</v>
      </c>
      <c r="V85" s="139"/>
      <c r="W85" s="139"/>
      <c r="X85" s="139"/>
      <c r="Y85" s="139"/>
      <c r="Z85" s="303"/>
    </row>
    <row r="86" spans="2:26">
      <c r="B86" s="106" t="s">
        <v>120</v>
      </c>
      <c r="C86" s="156">
        <v>479.68</v>
      </c>
      <c r="D86" s="156">
        <v>477.63400000000001</v>
      </c>
      <c r="E86" s="156">
        <v>481.71100000000001</v>
      </c>
      <c r="F86" s="156">
        <v>475.387</v>
      </c>
      <c r="G86" s="156">
        <v>483.78300000000002</v>
      </c>
      <c r="H86" s="156">
        <v>493.03199999999998</v>
      </c>
      <c r="I86" s="156">
        <v>499.54399999999998</v>
      </c>
      <c r="J86" s="156">
        <v>683.60400000000004</v>
      </c>
      <c r="K86" s="156">
        <v>677.84699999999998</v>
      </c>
      <c r="L86" s="156">
        <v>672.84199999999998</v>
      </c>
      <c r="M86" s="156">
        <v>748.423</v>
      </c>
      <c r="N86" s="156">
        <v>760.947</v>
      </c>
      <c r="O86" s="156">
        <v>897.42100000000005</v>
      </c>
      <c r="P86" s="156">
        <v>962</v>
      </c>
      <c r="Q86" s="156">
        <v>988</v>
      </c>
      <c r="R86" s="156">
        <v>790.72900000000004</v>
      </c>
      <c r="S86" s="156">
        <v>823.00199999999995</v>
      </c>
      <c r="V86" s="139"/>
      <c r="W86" s="139"/>
      <c r="X86" s="139"/>
      <c r="Y86" s="139"/>
      <c r="Z86" s="303"/>
    </row>
    <row r="87" spans="2:26">
      <c r="B87" s="107" t="s">
        <v>117</v>
      </c>
      <c r="C87" s="139">
        <v>538.63599999999997</v>
      </c>
      <c r="D87" s="139">
        <v>558.95600000000002</v>
      </c>
      <c r="E87" s="139">
        <v>573.64599999999996</v>
      </c>
      <c r="F87" s="139">
        <v>559.43200000000002</v>
      </c>
      <c r="G87" s="139">
        <v>568.45799999999997</v>
      </c>
      <c r="H87" s="139">
        <v>577.91200000000003</v>
      </c>
      <c r="I87" s="139">
        <v>569.90200000000004</v>
      </c>
      <c r="J87" s="139">
        <v>580.08000000000004</v>
      </c>
      <c r="K87" s="139">
        <v>585.60500000000002</v>
      </c>
      <c r="L87" s="139">
        <v>597.19600000000003</v>
      </c>
      <c r="M87" s="139">
        <v>658.53599999999994</v>
      </c>
      <c r="N87" s="139">
        <v>715.71299999999997</v>
      </c>
      <c r="O87" s="139">
        <v>707.49300000000005</v>
      </c>
      <c r="P87" s="139">
        <v>749</v>
      </c>
      <c r="Q87" s="139">
        <v>758</v>
      </c>
      <c r="R87" s="139">
        <v>943.8</v>
      </c>
      <c r="S87" s="139">
        <v>967.80700000000002</v>
      </c>
      <c r="V87" s="139"/>
      <c r="W87" s="139"/>
      <c r="X87" s="139"/>
      <c r="Y87" s="139"/>
      <c r="Z87" s="303"/>
    </row>
    <row r="88" spans="2:26">
      <c r="B88" s="106" t="s">
        <v>118</v>
      </c>
      <c r="C88" s="156">
        <v>49.95</v>
      </c>
      <c r="D88" s="156">
        <v>47.392000000000003</v>
      </c>
      <c r="E88" s="156">
        <v>32.805</v>
      </c>
      <c r="F88" s="156">
        <v>82.284000000000006</v>
      </c>
      <c r="G88" s="156">
        <v>54.71</v>
      </c>
      <c r="H88" s="156">
        <v>49.158999999999999</v>
      </c>
      <c r="I88" s="156">
        <v>42.274000000000001</v>
      </c>
      <c r="J88" s="156">
        <v>76.641999999999996</v>
      </c>
      <c r="K88" s="156">
        <v>94.578000000000003</v>
      </c>
      <c r="L88" s="156">
        <v>109.947</v>
      </c>
      <c r="M88" s="156">
        <v>136.63300000000001</v>
      </c>
      <c r="N88" s="156">
        <v>153.01</v>
      </c>
      <c r="O88" s="156">
        <v>145.143</v>
      </c>
      <c r="P88" s="156">
        <v>3</v>
      </c>
      <c r="Q88" s="156">
        <v>13</v>
      </c>
      <c r="R88" s="156">
        <v>24.253</v>
      </c>
      <c r="S88" s="156">
        <v>39.463999999999999</v>
      </c>
      <c r="V88" s="139"/>
      <c r="W88" s="139"/>
      <c r="X88" s="139"/>
      <c r="Y88" s="139"/>
      <c r="Z88" s="303"/>
    </row>
    <row r="89" spans="2:26">
      <c r="B89" s="106" t="s">
        <v>106</v>
      </c>
      <c r="C89" s="156">
        <v>0</v>
      </c>
      <c r="D89" s="156">
        <v>0</v>
      </c>
      <c r="E89" s="156">
        <v>0</v>
      </c>
      <c r="F89" s="156">
        <v>0</v>
      </c>
      <c r="G89" s="156">
        <v>0</v>
      </c>
      <c r="H89" s="156">
        <v>0</v>
      </c>
      <c r="I89" s="156">
        <v>0</v>
      </c>
      <c r="J89" s="156">
        <v>0</v>
      </c>
      <c r="K89" s="156">
        <v>0</v>
      </c>
      <c r="L89" s="156">
        <v>0</v>
      </c>
      <c r="M89" s="156">
        <v>0</v>
      </c>
      <c r="N89" s="156">
        <v>0</v>
      </c>
      <c r="O89" s="156">
        <v>0</v>
      </c>
      <c r="P89" s="156">
        <v>0</v>
      </c>
      <c r="Q89" s="156">
        <v>0</v>
      </c>
      <c r="R89" s="156">
        <v>39.636000000000003</v>
      </c>
      <c r="S89" s="156">
        <v>40.253999999999998</v>
      </c>
      <c r="V89" s="139"/>
      <c r="W89" s="139"/>
      <c r="X89" s="139"/>
      <c r="Y89" s="139"/>
      <c r="Z89" s="303"/>
    </row>
    <row r="90" spans="2:26">
      <c r="B90" s="106" t="s">
        <v>121</v>
      </c>
      <c r="C90" s="156">
        <v>61.847000000000001</v>
      </c>
      <c r="D90" s="156">
        <v>63.116</v>
      </c>
      <c r="E90" s="156">
        <v>62.569000000000003</v>
      </c>
      <c r="F90" s="156">
        <v>53.499000000000002</v>
      </c>
      <c r="G90" s="156">
        <v>51.786999999999999</v>
      </c>
      <c r="H90" s="156">
        <v>52.406999999999996</v>
      </c>
      <c r="I90" s="156">
        <v>52.722000000000001</v>
      </c>
      <c r="J90" s="156">
        <v>43.268999999999998</v>
      </c>
      <c r="K90" s="156">
        <v>40.481000000000002</v>
      </c>
      <c r="L90" s="156">
        <v>51.151000000000003</v>
      </c>
      <c r="M90" s="156">
        <v>53.287999999999997</v>
      </c>
      <c r="N90" s="156">
        <v>53.585000000000001</v>
      </c>
      <c r="O90" s="156">
        <v>52.969000000000001</v>
      </c>
      <c r="P90" s="156">
        <v>52</v>
      </c>
      <c r="Q90" s="156">
        <v>54</v>
      </c>
      <c r="R90" s="156">
        <v>65.549000000000007</v>
      </c>
      <c r="S90" s="156">
        <v>86.24</v>
      </c>
      <c r="V90" s="139"/>
      <c r="W90" s="139"/>
      <c r="X90" s="139"/>
      <c r="Y90" s="139"/>
      <c r="Z90" s="303"/>
    </row>
    <row r="91" spans="2:26" s="56" customFormat="1" ht="15.75" thickBot="1">
      <c r="B91" s="137" t="s">
        <v>23</v>
      </c>
      <c r="C91" s="193">
        <f>SUM(C96:C97)</f>
        <v>5834.0039999999999</v>
      </c>
      <c r="D91" s="193">
        <f>SUM(D96:D97)</f>
        <v>4992.6120000000001</v>
      </c>
      <c r="E91" s="193">
        <f t="shared" ref="E91:P91" si="33">SUM(E96:E97)</f>
        <v>5062.6740000000009</v>
      </c>
      <c r="F91" s="193">
        <f t="shared" si="33"/>
        <v>5246.5290000000005</v>
      </c>
      <c r="G91" s="193">
        <f t="shared" si="33"/>
        <v>5242.7490000000007</v>
      </c>
      <c r="H91" s="193">
        <f t="shared" si="33"/>
        <v>5126.682044565252</v>
      </c>
      <c r="I91" s="193">
        <f t="shared" si="33"/>
        <v>4997.5561690251197</v>
      </c>
      <c r="J91" s="193">
        <f t="shared" si="33"/>
        <v>5128.3670573454847</v>
      </c>
      <c r="K91" s="193">
        <f t="shared" si="33"/>
        <v>4706.5738883841268</v>
      </c>
      <c r="L91" s="193">
        <f t="shared" si="33"/>
        <v>4540.6730547684974</v>
      </c>
      <c r="M91" s="193">
        <f>SUM(M96:M97)</f>
        <v>3928.7104883230513</v>
      </c>
      <c r="N91" s="193">
        <f t="shared" si="33"/>
        <v>3740.1330000000003</v>
      </c>
      <c r="O91" s="193">
        <f t="shared" si="33"/>
        <v>2924.8159999999998</v>
      </c>
      <c r="P91" s="193">
        <f t="shared" si="33"/>
        <v>3576</v>
      </c>
      <c r="Q91" s="193">
        <f>SUM(Q96:Q97)</f>
        <v>4022</v>
      </c>
      <c r="R91" s="193">
        <f>SUM(R96:R97)</f>
        <v>4715.9809999999998</v>
      </c>
      <c r="S91" s="193">
        <f t="shared" ref="S91" si="34">SUM(S96:S97)</f>
        <v>5417.9650000000001</v>
      </c>
      <c r="V91" s="215"/>
      <c r="W91" s="215"/>
      <c r="X91" s="215"/>
      <c r="Y91" s="215"/>
      <c r="Z91" s="309"/>
    </row>
    <row r="92" spans="2:26">
      <c r="B92" s="146" t="s">
        <v>17</v>
      </c>
      <c r="C92" s="139">
        <v>5637.299</v>
      </c>
      <c r="D92" s="139">
        <v>4950.0950000000003</v>
      </c>
      <c r="E92" s="139">
        <v>4950.0950000000003</v>
      </c>
      <c r="F92" s="139">
        <v>4950.0950000000003</v>
      </c>
      <c r="G92" s="139">
        <v>4950.0950000000003</v>
      </c>
      <c r="H92" s="139">
        <v>4950.0950000000003</v>
      </c>
      <c r="I92" s="139">
        <v>4950.0950000000003</v>
      </c>
      <c r="J92" s="139">
        <v>4950.0950000000003</v>
      </c>
      <c r="K92" s="139">
        <v>4950.0950000000003</v>
      </c>
      <c r="L92" s="139">
        <v>4950.0950000000003</v>
      </c>
      <c r="M92" s="139">
        <v>4950.0950000000003</v>
      </c>
      <c r="N92" s="139">
        <v>4950.0950000000003</v>
      </c>
      <c r="O92" s="139">
        <v>4049.46</v>
      </c>
      <c r="P92" s="139">
        <v>4049</v>
      </c>
      <c r="Q92" s="139">
        <v>4706</v>
      </c>
      <c r="R92" s="139">
        <v>4705.3090000000002</v>
      </c>
      <c r="S92" s="139">
        <v>4705.2569999999996</v>
      </c>
      <c r="V92" s="139"/>
      <c r="W92" s="139"/>
      <c r="X92" s="139"/>
      <c r="Y92" s="139"/>
      <c r="Z92" s="303"/>
    </row>
    <row r="93" spans="2:26">
      <c r="B93" s="106" t="s">
        <v>295</v>
      </c>
      <c r="C93" s="156"/>
      <c r="D93" s="156"/>
      <c r="E93" s="156"/>
      <c r="F93" s="156"/>
      <c r="G93" s="156"/>
      <c r="H93" s="156"/>
      <c r="I93" s="156"/>
      <c r="J93" s="156"/>
      <c r="K93" s="156"/>
      <c r="L93" s="156"/>
      <c r="M93" s="156"/>
      <c r="N93" s="156"/>
      <c r="O93" s="156"/>
      <c r="P93" s="156"/>
      <c r="Q93" s="156"/>
      <c r="R93" s="156">
        <v>183.38399999999999</v>
      </c>
      <c r="S93" s="156">
        <v>183.38399999999999</v>
      </c>
      <c r="V93" s="139"/>
      <c r="W93" s="139"/>
      <c r="X93" s="139"/>
      <c r="Y93" s="139"/>
      <c r="Z93" s="303"/>
    </row>
    <row r="94" spans="2:26">
      <c r="B94" s="106" t="s">
        <v>131</v>
      </c>
      <c r="C94" s="156">
        <v>68.61</v>
      </c>
      <c r="D94" s="156">
        <v>-45.506</v>
      </c>
      <c r="E94" s="156">
        <v>-8.1789999999999985</v>
      </c>
      <c r="F94" s="156">
        <v>36.927999999999997</v>
      </c>
      <c r="G94" s="156">
        <v>56.086999999999996</v>
      </c>
      <c r="H94" s="156">
        <v>-118.178</v>
      </c>
      <c r="I94" s="156">
        <v>-175.34200000000001</v>
      </c>
      <c r="J94" s="156">
        <v>-58.073</v>
      </c>
      <c r="K94" s="156">
        <v>-156.24199999999999</v>
      </c>
      <c r="L94" s="156">
        <v>-144.98400000000001</v>
      </c>
      <c r="M94" s="156">
        <v>-618.58199999999999</v>
      </c>
      <c r="N94" s="156">
        <v>-985.90099999999995</v>
      </c>
      <c r="O94" s="156">
        <v>-652.97500000000002</v>
      </c>
      <c r="P94" s="156">
        <v>-268</v>
      </c>
      <c r="Q94" s="156">
        <v>-316</v>
      </c>
      <c r="R94" s="156"/>
      <c r="S94" s="156">
        <v>406.17500000000001</v>
      </c>
      <c r="V94" s="139"/>
      <c r="W94" s="139"/>
      <c r="X94" s="139"/>
      <c r="Y94" s="139"/>
      <c r="Z94" s="303"/>
    </row>
    <row r="95" spans="2:26">
      <c r="B95" s="105" t="s">
        <v>123</v>
      </c>
      <c r="C95" s="139">
        <v>15.868</v>
      </c>
      <c r="D95" s="139">
        <v>-88.704999999999998</v>
      </c>
      <c r="E95" s="139">
        <v>-53.975999999999999</v>
      </c>
      <c r="F95" s="139">
        <v>77.393000000000001</v>
      </c>
      <c r="G95" s="139">
        <v>44.061999999999998</v>
      </c>
      <c r="H95" s="139">
        <v>105.54304456525215</v>
      </c>
      <c r="I95" s="139">
        <v>25.063169025118928</v>
      </c>
      <c r="J95" s="139">
        <v>50.411057345484949</v>
      </c>
      <c r="K95" s="139">
        <v>-284.79311161587384</v>
      </c>
      <c r="L95" s="139">
        <v>-427.13594523150277</v>
      </c>
      <c r="M95" s="139">
        <v>-579.47551167694894</v>
      </c>
      <c r="N95" s="139">
        <v>-400.79500000000002</v>
      </c>
      <c r="O95" s="139">
        <v>-664.82</v>
      </c>
      <c r="P95" s="139">
        <v>-376</v>
      </c>
      <c r="Q95" s="139">
        <v>-547</v>
      </c>
      <c r="R95" s="139">
        <v>-387.89400000000001</v>
      </c>
      <c r="S95" s="139">
        <v>-135.30699999999999</v>
      </c>
      <c r="V95" s="139"/>
      <c r="W95" s="139"/>
      <c r="X95" s="139"/>
      <c r="Y95" s="139"/>
      <c r="Z95" s="303"/>
    </row>
    <row r="96" spans="2:26">
      <c r="B96" s="155" t="s">
        <v>124</v>
      </c>
      <c r="C96" s="156">
        <f t="shared" ref="C96:Q96" si="35">SUM(C92:C95)</f>
        <v>5721.777</v>
      </c>
      <c r="D96" s="156">
        <f t="shared" si="35"/>
        <v>4815.884</v>
      </c>
      <c r="E96" s="156">
        <f t="shared" si="35"/>
        <v>4887.9400000000005</v>
      </c>
      <c r="F96" s="156">
        <f t="shared" si="35"/>
        <v>5064.4160000000002</v>
      </c>
      <c r="G96" s="156">
        <f t="shared" si="35"/>
        <v>5050.2440000000006</v>
      </c>
      <c r="H96" s="156">
        <f t="shared" si="35"/>
        <v>4937.4600445652522</v>
      </c>
      <c r="I96" s="156">
        <f t="shared" si="35"/>
        <v>4799.81616902512</v>
      </c>
      <c r="J96" s="156">
        <f t="shared" si="35"/>
        <v>4942.4330573454845</v>
      </c>
      <c r="K96" s="156">
        <f t="shared" si="35"/>
        <v>4509.0598883841267</v>
      </c>
      <c r="L96" s="156">
        <f t="shared" si="35"/>
        <v>4377.9750547684971</v>
      </c>
      <c r="M96" s="156">
        <f t="shared" si="35"/>
        <v>3752.0374883230511</v>
      </c>
      <c r="N96" s="156">
        <f t="shared" si="35"/>
        <v>3563.3990000000003</v>
      </c>
      <c r="O96" s="156">
        <f t="shared" si="35"/>
        <v>2731.665</v>
      </c>
      <c r="P96" s="156">
        <f t="shared" si="35"/>
        <v>3405</v>
      </c>
      <c r="Q96" s="156">
        <f t="shared" si="35"/>
        <v>3843</v>
      </c>
      <c r="R96" s="156">
        <v>4500.799</v>
      </c>
      <c r="S96" s="156">
        <v>5159.509</v>
      </c>
      <c r="V96" s="139"/>
      <c r="W96" s="139"/>
      <c r="X96" s="139"/>
      <c r="Y96" s="139"/>
      <c r="Z96" s="303"/>
    </row>
    <row r="97" spans="2:26">
      <c r="B97" s="146" t="s">
        <v>125</v>
      </c>
      <c r="C97" s="139">
        <v>112.227</v>
      </c>
      <c r="D97" s="139">
        <v>176.72800000000001</v>
      </c>
      <c r="E97" s="139">
        <v>174.73400000000001</v>
      </c>
      <c r="F97" s="139">
        <v>182.113</v>
      </c>
      <c r="G97" s="139">
        <v>192.505</v>
      </c>
      <c r="H97" s="139">
        <v>189.22200000000001</v>
      </c>
      <c r="I97" s="139">
        <v>197.74</v>
      </c>
      <c r="J97" s="139">
        <v>185.934</v>
      </c>
      <c r="K97" s="139">
        <v>197.51400000000001</v>
      </c>
      <c r="L97" s="139">
        <v>162.69800000000001</v>
      </c>
      <c r="M97" s="139">
        <v>176.673</v>
      </c>
      <c r="N97" s="139">
        <v>176.73400000000001</v>
      </c>
      <c r="O97" s="139">
        <v>193.15100000000001</v>
      </c>
      <c r="P97" s="139">
        <v>171</v>
      </c>
      <c r="Q97" s="139">
        <v>179</v>
      </c>
      <c r="R97" s="139">
        <v>215.18199999999999</v>
      </c>
      <c r="S97" s="139">
        <v>258.45600000000002</v>
      </c>
      <c r="V97" s="139"/>
      <c r="W97" s="139"/>
      <c r="X97" s="139"/>
      <c r="Y97" s="139"/>
      <c r="Z97" s="303"/>
    </row>
    <row r="98" spans="2:26" s="56" customFormat="1" ht="15.75" thickBot="1">
      <c r="B98" s="137" t="s">
        <v>53</v>
      </c>
      <c r="C98" s="193">
        <v>11223.437</v>
      </c>
      <c r="D98" s="193">
        <v>9732.2369999999992</v>
      </c>
      <c r="E98" s="193">
        <v>9781.4920000000002</v>
      </c>
      <c r="F98" s="193">
        <v>9703.6550000000007</v>
      </c>
      <c r="G98" s="193">
        <v>9575.6570000000011</v>
      </c>
      <c r="H98" s="193">
        <v>9674.899881706011</v>
      </c>
      <c r="I98" s="193">
        <v>9703.6654095961403</v>
      </c>
      <c r="J98" s="193">
        <v>9816.3160757989917</v>
      </c>
      <c r="K98" s="193">
        <v>10610.285909144251</v>
      </c>
      <c r="L98" s="193">
        <v>10652.629224133405</v>
      </c>
      <c r="M98" s="193">
        <v>10682.171137132847</v>
      </c>
      <c r="N98" s="193">
        <v>11210.945000000002</v>
      </c>
      <c r="O98" s="193">
        <v>10241.478000000001</v>
      </c>
      <c r="P98" s="193">
        <v>10504</v>
      </c>
      <c r="Q98" s="193">
        <f>SUM(Q91,Q81,Q66)</f>
        <v>11290</v>
      </c>
      <c r="R98" s="193">
        <v>11965.227000000001</v>
      </c>
      <c r="S98" s="193">
        <f>SUM(S91,S81,S66)</f>
        <v>11896.356</v>
      </c>
      <c r="T98" s="57"/>
      <c r="V98" s="215"/>
      <c r="W98" s="215"/>
      <c r="X98" s="215"/>
      <c r="Y98" s="215"/>
      <c r="Z98" s="309"/>
    </row>
    <row r="99" spans="2:26" ht="15">
      <c r="B99" s="147"/>
      <c r="C99" s="139">
        <f t="shared" ref="C99:S99" si="36">ROUND(C98-C63,0)</f>
        <v>0</v>
      </c>
      <c r="D99" s="139">
        <f t="shared" si="36"/>
        <v>0</v>
      </c>
      <c r="E99" s="139">
        <f t="shared" si="36"/>
        <v>0</v>
      </c>
      <c r="F99" s="139">
        <f t="shared" si="36"/>
        <v>0</v>
      </c>
      <c r="G99" s="139">
        <f t="shared" si="36"/>
        <v>0</v>
      </c>
      <c r="H99" s="139">
        <f t="shared" si="36"/>
        <v>0</v>
      </c>
      <c r="I99" s="139">
        <f t="shared" si="36"/>
        <v>0</v>
      </c>
      <c r="J99" s="139">
        <f t="shared" si="36"/>
        <v>0</v>
      </c>
      <c r="K99" s="139">
        <f t="shared" si="36"/>
        <v>0</v>
      </c>
      <c r="L99" s="139">
        <f t="shared" si="36"/>
        <v>0</v>
      </c>
      <c r="M99" s="139">
        <f t="shared" si="36"/>
        <v>0</v>
      </c>
      <c r="N99" s="139">
        <f t="shared" si="36"/>
        <v>0</v>
      </c>
      <c r="O99" s="139">
        <f t="shared" si="36"/>
        <v>0</v>
      </c>
      <c r="P99" s="157">
        <f t="shared" si="36"/>
        <v>0</v>
      </c>
      <c r="Q99" s="157">
        <f t="shared" si="36"/>
        <v>0</v>
      </c>
      <c r="R99" s="157">
        <f t="shared" si="36"/>
        <v>0</v>
      </c>
      <c r="S99" s="157">
        <f t="shared" si="36"/>
        <v>0</v>
      </c>
      <c r="V99" s="157"/>
      <c r="W99" s="157"/>
      <c r="X99" s="157"/>
      <c r="Y99" s="157"/>
      <c r="Z99" s="303"/>
    </row>
    <row r="100" spans="2:26" s="96" customFormat="1">
      <c r="B100" s="158" t="s">
        <v>26</v>
      </c>
      <c r="C100" s="159">
        <v>3.2433000000000001</v>
      </c>
      <c r="D100" s="159">
        <v>3.6055999999999999</v>
      </c>
      <c r="E100" s="159">
        <v>3.9504999999999999</v>
      </c>
      <c r="F100" s="159">
        <v>3.8083999999999998</v>
      </c>
      <c r="G100" s="159">
        <v>3.7684000000000002</v>
      </c>
      <c r="H100" s="159">
        <v>3.92</v>
      </c>
      <c r="I100" s="159">
        <v>3.97</v>
      </c>
      <c r="J100" s="159">
        <v>4.1158000000000001</v>
      </c>
      <c r="K100" s="159">
        <v>4.4657</v>
      </c>
      <c r="L100" s="159">
        <v>5.3853999999999997</v>
      </c>
      <c r="M100" s="159">
        <v>5.3772000000000002</v>
      </c>
      <c r="N100" s="159">
        <v>5.3921000000000001</v>
      </c>
      <c r="O100" s="159">
        <v>5.4832999999999998</v>
      </c>
      <c r="P100" s="159">
        <v>5.2907241935483889</v>
      </c>
      <c r="Q100" s="159">
        <v>5.23</v>
      </c>
      <c r="R100" s="159">
        <v>5.59</v>
      </c>
      <c r="S100" s="159">
        <v>5.23</v>
      </c>
      <c r="V100" s="159">
        <v>3.6557843999999999</v>
      </c>
      <c r="W100" s="159">
        <v>3.9461185770751004</v>
      </c>
      <c r="X100" s="159">
        <v>5.157772908366538</v>
      </c>
      <c r="Y100" s="159">
        <v>5.3955605577689232</v>
      </c>
    </row>
    <row r="101" spans="2:26" s="96" customFormat="1">
      <c r="B101" s="158" t="s">
        <v>27</v>
      </c>
      <c r="C101" s="160">
        <v>3.3237999999999999</v>
      </c>
      <c r="D101" s="160">
        <v>3.8557999999999999</v>
      </c>
      <c r="E101" s="160">
        <v>4.0038999999999998</v>
      </c>
      <c r="F101" s="160">
        <v>3.8748</v>
      </c>
      <c r="G101" s="160">
        <v>3.8967000000000001</v>
      </c>
      <c r="H101" s="160">
        <v>3.83</v>
      </c>
      <c r="I101" s="160">
        <v>4.16</v>
      </c>
      <c r="J101" s="160">
        <v>4.0307000000000004</v>
      </c>
      <c r="K101" s="160">
        <v>5.1986999999999997</v>
      </c>
      <c r="L101" s="160">
        <v>5.476</v>
      </c>
      <c r="M101" s="160">
        <v>5.6406999999999998</v>
      </c>
      <c r="N101" s="160">
        <v>5.1966999999999999</v>
      </c>
      <c r="O101" s="160">
        <v>5.6973000000000003</v>
      </c>
      <c r="P101" s="160">
        <v>5.0022000000000002</v>
      </c>
      <c r="Q101" s="160">
        <v>5.44</v>
      </c>
      <c r="R101" s="160">
        <v>5.58</v>
      </c>
      <c r="S101" s="160">
        <v>4.74</v>
      </c>
      <c r="V101" s="160">
        <v>3.8748</v>
      </c>
      <c r="W101" s="160">
        <v>4.0307000000000004</v>
      </c>
      <c r="X101" s="160">
        <v>5.1966999999999999</v>
      </c>
      <c r="Y101" s="160">
        <v>5.58</v>
      </c>
    </row>
    <row r="102" spans="2:26" s="96" customFormat="1">
      <c r="B102" s="161" t="s">
        <v>139</v>
      </c>
      <c r="C102" s="230">
        <v>2159.1190476190477</v>
      </c>
      <c r="D102" s="230">
        <v>2259.2822580645161</v>
      </c>
      <c r="E102" s="230">
        <v>2056.8359375</v>
      </c>
      <c r="F102" s="230">
        <v>1970.53125</v>
      </c>
      <c r="G102" s="230">
        <v>1859.0079365079366</v>
      </c>
      <c r="H102" s="230">
        <v>1792.5081967213114</v>
      </c>
      <c r="I102" s="230">
        <v>1762.0923076923077</v>
      </c>
      <c r="J102" s="230">
        <v>1752.4921875</v>
      </c>
      <c r="K102" s="230">
        <v>1689.6875</v>
      </c>
      <c r="L102" s="230">
        <v>1496.516393442623</v>
      </c>
      <c r="M102" s="230">
        <v>1704.3153846153846</v>
      </c>
      <c r="N102" s="230">
        <v>1915.8203125</v>
      </c>
      <c r="O102" s="230">
        <v>2096.4206349206347</v>
      </c>
      <c r="P102" s="230">
        <v>2399.64</v>
      </c>
      <c r="Q102" s="230">
        <v>2648</v>
      </c>
      <c r="R102" s="230">
        <v>2762</v>
      </c>
      <c r="S102" s="230">
        <v>3280</v>
      </c>
      <c r="V102" s="230">
        <v>2110.084980237154</v>
      </c>
      <c r="W102" s="230">
        <v>1791.1304347826087</v>
      </c>
      <c r="X102" s="230">
        <v>1704.017716535433</v>
      </c>
      <c r="Y102" s="230">
        <v>2479.620553359684</v>
      </c>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V11:V33 W12:W33 X7:X9 X11:X34 Y5:Y9 Y11:Y32 R91:S91" formulaRange="1"/>
    <ignoredError sqref="V7:V10 W7:W8 X10:Y10" formula="1" formulaRange="1"/>
    <ignoredError sqref="W9:W1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Y47"/>
  <sheetViews>
    <sheetView showGridLines="0" zoomScale="90" zoomScaleNormal="90" workbookViewId="0">
      <pane xSplit="2" ySplit="6" topLeftCell="C31" activePane="bottomRight" state="frozen"/>
      <selection activeCell="N12" sqref="N12"/>
      <selection pane="topRight" activeCell="N12" sqref="N12"/>
      <selection pane="bottomLeft" activeCell="N12" sqref="N12"/>
      <selection pane="bottomRight" activeCell="Y43" sqref="C43:Y44"/>
    </sheetView>
  </sheetViews>
  <sheetFormatPr defaultColWidth="9.140625" defaultRowHeight="14.25"/>
  <cols>
    <col min="1" max="1" width="2.140625" style="40" customWidth="1"/>
    <col min="2" max="2" width="37.140625" style="40" customWidth="1"/>
    <col min="3" max="18" width="9.7109375" style="40" customWidth="1"/>
    <col min="19" max="19" width="9.85546875" style="40" bestFit="1" customWidth="1"/>
    <col min="20" max="16384" width="9.140625" style="40"/>
  </cols>
  <sheetData>
    <row r="1" spans="1:25" ht="14.25" customHeight="1"/>
    <row r="2" spans="1:25" ht="14.25" customHeight="1"/>
    <row r="3" spans="1:25" ht="14.25" customHeight="1"/>
    <row r="4" spans="1:25" ht="14.25" customHeight="1"/>
    <row r="5" spans="1:25" ht="14.25" customHeight="1">
      <c r="A5" s="54"/>
      <c r="B5" s="54"/>
    </row>
    <row r="6" spans="1:25" s="53" customFormat="1" ht="14.25" customHeight="1" thickBot="1">
      <c r="B6" s="79" t="s">
        <v>66</v>
      </c>
      <c r="C6" s="80" t="s">
        <v>42</v>
      </c>
      <c r="D6" s="80" t="s">
        <v>43</v>
      </c>
      <c r="E6" s="80" t="s">
        <v>44</v>
      </c>
      <c r="F6" s="80" t="s">
        <v>45</v>
      </c>
      <c r="G6" s="80" t="s">
        <v>46</v>
      </c>
      <c r="H6" s="80" t="s">
        <v>47</v>
      </c>
      <c r="I6" s="80" t="s">
        <v>48</v>
      </c>
      <c r="J6" s="80" t="s">
        <v>49</v>
      </c>
      <c r="K6" s="80" t="s">
        <v>50</v>
      </c>
      <c r="L6" s="80" t="s">
        <v>51</v>
      </c>
      <c r="M6" s="80" t="s">
        <v>52</v>
      </c>
      <c r="N6" s="80" t="s">
        <v>54</v>
      </c>
      <c r="O6" s="80" t="s">
        <v>57</v>
      </c>
      <c r="P6" s="80" t="s">
        <v>160</v>
      </c>
      <c r="Q6" s="80" t="s">
        <v>164</v>
      </c>
      <c r="R6" s="80" t="s">
        <v>174</v>
      </c>
      <c r="S6" s="80" t="s">
        <v>294</v>
      </c>
      <c r="V6" s="80">
        <v>2018</v>
      </c>
      <c r="W6" s="80">
        <v>2019</v>
      </c>
      <c r="X6" s="80">
        <v>2020</v>
      </c>
      <c r="Y6" s="80">
        <v>2021</v>
      </c>
    </row>
    <row r="7" spans="1:25" ht="4.5" customHeight="1" thickTop="1">
      <c r="A7" s="54"/>
      <c r="B7" s="49"/>
      <c r="C7" s="55"/>
      <c r="D7" s="55"/>
      <c r="E7" s="55"/>
      <c r="F7" s="55"/>
      <c r="G7" s="55"/>
      <c r="H7" s="55"/>
      <c r="I7" s="55"/>
      <c r="J7" s="55"/>
      <c r="K7" s="55"/>
      <c r="L7" s="55"/>
      <c r="M7" s="55"/>
      <c r="N7" s="55"/>
      <c r="O7" s="55"/>
      <c r="P7" s="55"/>
      <c r="Q7" s="55"/>
      <c r="R7" s="55"/>
      <c r="S7" s="55"/>
      <c r="V7" s="55"/>
      <c r="W7" s="55"/>
      <c r="X7" s="55"/>
      <c r="Y7" s="55"/>
    </row>
    <row r="8" spans="1:25" ht="14.45" customHeight="1" thickBot="1">
      <c r="A8" s="54"/>
      <c r="B8" s="162" t="s">
        <v>30</v>
      </c>
      <c r="C8" s="217"/>
      <c r="D8" s="217"/>
      <c r="E8" s="217"/>
      <c r="F8" s="217"/>
      <c r="G8" s="163"/>
      <c r="H8" s="163"/>
      <c r="I8" s="163"/>
      <c r="J8" s="163"/>
      <c r="K8" s="163"/>
      <c r="L8" s="163"/>
      <c r="M8" s="163"/>
      <c r="N8" s="163"/>
      <c r="O8" s="163"/>
      <c r="P8" s="163"/>
      <c r="Q8" s="163"/>
      <c r="R8" s="163"/>
      <c r="S8" s="163"/>
      <c r="V8" s="163"/>
      <c r="W8" s="163"/>
      <c r="X8" s="163"/>
      <c r="Y8" s="163"/>
    </row>
    <row r="9" spans="1:25" s="74" customFormat="1" ht="15">
      <c r="B9" s="78" t="s">
        <v>167</v>
      </c>
      <c r="C9" s="165">
        <f t="shared" ref="C9:Q9" si="0">SUM(C18,C31,C38)</f>
        <v>1203</v>
      </c>
      <c r="D9" s="165">
        <f t="shared" si="0"/>
        <v>1355</v>
      </c>
      <c r="E9" s="165">
        <f t="shared" si="0"/>
        <v>1520</v>
      </c>
      <c r="F9" s="165">
        <f t="shared" si="0"/>
        <v>1556.4760000000001</v>
      </c>
      <c r="G9" s="165">
        <f t="shared" si="0"/>
        <v>1381</v>
      </c>
      <c r="H9" s="165">
        <f t="shared" si="0"/>
        <v>1435</v>
      </c>
      <c r="I9" s="165">
        <f t="shared" si="0"/>
        <v>1400</v>
      </c>
      <c r="J9" s="165">
        <f t="shared" si="0"/>
        <v>1355.3220000000001</v>
      </c>
      <c r="K9" s="165">
        <f t="shared" si="0"/>
        <v>1321.163</v>
      </c>
      <c r="L9" s="165">
        <f t="shared" si="0"/>
        <v>1173.9360026610798</v>
      </c>
      <c r="M9" s="165">
        <f t="shared" si="0"/>
        <v>1570.8990000000003</v>
      </c>
      <c r="N9" s="165">
        <f t="shared" si="0"/>
        <v>1650.3906564189203</v>
      </c>
      <c r="O9" s="165">
        <f t="shared" si="0"/>
        <v>1871.433</v>
      </c>
      <c r="P9" s="165">
        <f t="shared" si="0"/>
        <v>1989.5149999999999</v>
      </c>
      <c r="Q9" s="165">
        <f t="shared" si="0"/>
        <v>2398.6770000000001</v>
      </c>
      <c r="R9" s="165">
        <v>2511.0509999999999</v>
      </c>
      <c r="S9" s="165">
        <f>SUM(S18,S31,S38)</f>
        <v>2375.3920000000003</v>
      </c>
      <c r="V9" s="165">
        <f>SUM(C9:F9)</f>
        <v>5634.4760000000006</v>
      </c>
      <c r="W9" s="165">
        <f>SUM(G9:J9)</f>
        <v>5571.3220000000001</v>
      </c>
      <c r="X9" s="165">
        <f>SUM(K9:N9)</f>
        <v>5716.3886590800003</v>
      </c>
      <c r="Y9" s="165">
        <f>SUM(O9:R9)</f>
        <v>8770.6759999999995</v>
      </c>
    </row>
    <row r="10" spans="1:25" s="74" customFormat="1">
      <c r="B10" s="78" t="s">
        <v>162</v>
      </c>
      <c r="C10" s="156">
        <f>C11-C9</f>
        <v>-37.912000000000035</v>
      </c>
      <c r="D10" s="156">
        <f t="shared" ref="D10:P10" si="1">D11-D9</f>
        <v>-38.005000000000109</v>
      </c>
      <c r="E10" s="156">
        <f>E11-E9</f>
        <v>-81.163000000000011</v>
      </c>
      <c r="F10" s="156">
        <f t="shared" si="1"/>
        <v>-59.919000000000324</v>
      </c>
      <c r="G10" s="156">
        <f t="shared" si="1"/>
        <v>-53.921000000000049</v>
      </c>
      <c r="H10" s="156">
        <f t="shared" si="1"/>
        <v>-69.046000000000049</v>
      </c>
      <c r="I10" s="156">
        <f t="shared" si="1"/>
        <v>-86.768000000000029</v>
      </c>
      <c r="J10" s="156">
        <f t="shared" si="1"/>
        <v>-97.902999999999793</v>
      </c>
      <c r="K10" s="156">
        <f t="shared" si="1"/>
        <v>-68.424999999999955</v>
      </c>
      <c r="L10" s="156">
        <f t="shared" si="1"/>
        <v>-72.01800266107989</v>
      </c>
      <c r="M10" s="156">
        <f t="shared" si="1"/>
        <v>-85.278000000000247</v>
      </c>
      <c r="N10" s="156">
        <f t="shared" si="1"/>
        <v>-79.28565641892078</v>
      </c>
      <c r="O10" s="156">
        <f t="shared" si="1"/>
        <v>-78.608999999999924</v>
      </c>
      <c r="P10" s="156">
        <f t="shared" si="1"/>
        <v>-76.338999999999942</v>
      </c>
      <c r="Q10" s="156">
        <f>Q11-Q9</f>
        <v>-98.677000000000135</v>
      </c>
      <c r="R10" s="156">
        <v>-93.87099999999964</v>
      </c>
      <c r="S10" s="156">
        <f>-83781/1000</f>
        <v>-83.781000000000006</v>
      </c>
      <c r="V10" s="156">
        <f t="shared" ref="V10:V14" si="2">SUM(C10:F10)</f>
        <v>-216.99900000000048</v>
      </c>
      <c r="W10" s="156">
        <f t="shared" ref="W10:W14" si="3">SUM(G10:J10)</f>
        <v>-307.63799999999992</v>
      </c>
      <c r="X10" s="156">
        <f t="shared" ref="X10:X14" si="4">SUM(K10:N10)</f>
        <v>-305.00665908000087</v>
      </c>
      <c r="Y10" s="156">
        <f t="shared" ref="Y10:Y14" si="5">SUM(O10:R10)</f>
        <v>-347.49599999999964</v>
      </c>
    </row>
    <row r="11" spans="1:25" ht="15">
      <c r="B11" s="106" t="s">
        <v>28</v>
      </c>
      <c r="C11" s="165">
        <f>'6 - Demonstrativos Financeiros'!C7</f>
        <v>1165.088</v>
      </c>
      <c r="D11" s="165">
        <f>'6 - Demonstrativos Financeiros'!D7</f>
        <v>1316.9949999999999</v>
      </c>
      <c r="E11" s="165">
        <f>'6 - Demonstrativos Financeiros'!E7</f>
        <v>1438.837</v>
      </c>
      <c r="F11" s="165">
        <f>'6 - Demonstrativos Financeiros'!F7</f>
        <v>1496.5569999999998</v>
      </c>
      <c r="G11" s="165">
        <f>'6 - Demonstrativos Financeiros'!G7</f>
        <v>1327.079</v>
      </c>
      <c r="H11" s="165">
        <f>'6 - Demonstrativos Financeiros'!H7</f>
        <v>1365.954</v>
      </c>
      <c r="I11" s="165">
        <f>'6 - Demonstrativos Financeiros'!I7</f>
        <v>1313.232</v>
      </c>
      <c r="J11" s="165">
        <f>'6 - Demonstrativos Financeiros'!J7</f>
        <v>1257.4190000000003</v>
      </c>
      <c r="K11" s="165">
        <f>'6 - Demonstrativos Financeiros'!K7</f>
        <v>1252.7380000000001</v>
      </c>
      <c r="L11" s="165">
        <f>'6 - Demonstrativos Financeiros'!L7</f>
        <v>1101.9179999999999</v>
      </c>
      <c r="M11" s="165">
        <f>'6 - Demonstrativos Financeiros'!M7</f>
        <v>1485.6210000000001</v>
      </c>
      <c r="N11" s="165">
        <f>'6 - Demonstrativos Financeiros'!N7</f>
        <v>1571.1049999999996</v>
      </c>
      <c r="O11" s="165">
        <f>'6 - Demonstrativos Financeiros'!O7</f>
        <v>1792.8240000000001</v>
      </c>
      <c r="P11" s="165">
        <f>'6 - Demonstrativos Financeiros'!P7</f>
        <v>1913.1759999999999</v>
      </c>
      <c r="Q11" s="165">
        <f>'6 - Demonstrativos Financeiros'!Q7</f>
        <v>2300</v>
      </c>
      <c r="R11" s="165">
        <f>'6 - Demonstrativos Financeiros'!R7</f>
        <v>2417.1800000000003</v>
      </c>
      <c r="S11" s="165">
        <f>'6 - Demonstrativos Financeiros'!S7</f>
        <v>2291.665</v>
      </c>
      <c r="V11" s="165">
        <f t="shared" si="2"/>
        <v>5417.476999999999</v>
      </c>
      <c r="W11" s="165">
        <f t="shared" si="3"/>
        <v>5263.6840000000002</v>
      </c>
      <c r="X11" s="165">
        <f t="shared" si="4"/>
        <v>5411.3819999999996</v>
      </c>
      <c r="Y11" s="165">
        <f t="shared" si="5"/>
        <v>8423.18</v>
      </c>
    </row>
    <row r="12" spans="1:25" ht="15">
      <c r="B12" s="106" t="s">
        <v>29</v>
      </c>
      <c r="C12" s="165">
        <f>'6 - Demonstrativos Financeiros'!C9</f>
        <v>218.54999999999995</v>
      </c>
      <c r="D12" s="165">
        <f>'6 - Demonstrativos Financeiros'!D9</f>
        <v>266.05299999999988</v>
      </c>
      <c r="E12" s="165">
        <f>'6 - Demonstrativos Financeiros'!E9</f>
        <v>265.51199999999994</v>
      </c>
      <c r="F12" s="165">
        <f>'6 - Demonstrativos Financeiros'!F9</f>
        <v>199.31800000000021</v>
      </c>
      <c r="G12" s="165">
        <f>'6 - Demonstrativos Financeiros'!G9</f>
        <v>207.798</v>
      </c>
      <c r="H12" s="165">
        <f>'6 - Demonstrativos Financeiros'!H9</f>
        <v>189.27499999999986</v>
      </c>
      <c r="I12" s="165">
        <f>'6 - Demonstrativos Financeiros'!I9</f>
        <v>141.29800000000023</v>
      </c>
      <c r="J12" s="165">
        <f>'6 - Demonstrativos Financeiros'!J9</f>
        <v>119.19599999999991</v>
      </c>
      <c r="K12" s="165">
        <f>'6 - Demonstrativos Financeiros'!K9</f>
        <v>148.14400000000001</v>
      </c>
      <c r="L12" s="165">
        <f>'6 - Demonstrativos Financeiros'!L9</f>
        <v>63.952999999999747</v>
      </c>
      <c r="M12" s="165">
        <f>'6 - Demonstrativos Financeiros'!M9</f>
        <v>188.66700000000037</v>
      </c>
      <c r="N12" s="165">
        <f>'6 - Demonstrativos Financeiros'!N9</f>
        <v>179.48499999999967</v>
      </c>
      <c r="O12" s="165">
        <f>'6 - Demonstrativos Financeiros'!O9</f>
        <v>443.78600000000006</v>
      </c>
      <c r="P12" s="165">
        <f>'6 - Demonstrativos Financeiros'!P9</f>
        <v>386.21399999999994</v>
      </c>
      <c r="Q12" s="165">
        <f>'6 - Demonstrativos Financeiros'!Q9</f>
        <v>310</v>
      </c>
      <c r="R12" s="165">
        <f>'6 - Demonstrativos Financeiros'!R9</f>
        <v>483.70800000000054</v>
      </c>
      <c r="S12" s="165">
        <f>'6 - Demonstrativos Financeiros'!S9</f>
        <v>553.95000000000005</v>
      </c>
      <c r="V12" s="165">
        <f t="shared" si="2"/>
        <v>949.43299999999999</v>
      </c>
      <c r="W12" s="165">
        <f t="shared" si="3"/>
        <v>657.56700000000001</v>
      </c>
      <c r="X12" s="165">
        <f t="shared" si="4"/>
        <v>580.2489999999998</v>
      </c>
      <c r="Y12" s="165">
        <f t="shared" si="5"/>
        <v>1623.7080000000005</v>
      </c>
    </row>
    <row r="13" spans="1:25" ht="15">
      <c r="A13" s="58"/>
      <c r="B13" s="105" t="s">
        <v>34</v>
      </c>
      <c r="C13" s="166">
        <f>'6 - Demonstrativos Financeiros'!C33</f>
        <v>239.11599999999996</v>
      </c>
      <c r="D13" s="166">
        <f>'6 - Demonstrativos Financeiros'!D33</f>
        <v>262.62899999999991</v>
      </c>
      <c r="E13" s="166">
        <f>'6 - Demonstrativos Financeiros'!E33</f>
        <v>228.79799999999992</v>
      </c>
      <c r="F13" s="166">
        <f>'6 - Demonstrativos Financeiros'!F33</f>
        <v>248.39600000000019</v>
      </c>
      <c r="G13" s="166">
        <f>'6 - Demonstrativos Financeiros'!G33</f>
        <v>229.05799999999999</v>
      </c>
      <c r="H13" s="166">
        <f>'6 - Demonstrativos Financeiros'!H33</f>
        <v>345.03099999999984</v>
      </c>
      <c r="I13" s="166">
        <f>'6 - Demonstrativos Financeiros'!I33</f>
        <v>129.21600000000026</v>
      </c>
      <c r="J13" s="166">
        <f>'6 - Demonstrativos Financeiros'!J33</f>
        <v>284.9009999999999</v>
      </c>
      <c r="K13" s="166">
        <f>'6 - Demonstrativos Financeiros'!K33</f>
        <v>161.82600000000008</v>
      </c>
      <c r="L13" s="166">
        <f>'6 - Demonstrativos Financeiros'!L33</f>
        <v>171.9899999999997</v>
      </c>
      <c r="M13" s="166">
        <f>'6 - Demonstrativos Financeiros'!M33</f>
        <v>159.11100000000044</v>
      </c>
      <c r="N13" s="166">
        <f>'6 - Demonstrativos Financeiros'!N33</f>
        <v>168.92099999999962</v>
      </c>
      <c r="O13" s="166">
        <f>'6 - Demonstrativos Financeiros'!O33</f>
        <v>360.42100000000011</v>
      </c>
      <c r="P13" s="166">
        <f>'6 - Demonstrativos Financeiros'!P33</f>
        <v>362.67900000000003</v>
      </c>
      <c r="Q13" s="166">
        <f>'6 - Demonstrativos Financeiros'!Q33</f>
        <v>313.67400000000004</v>
      </c>
      <c r="R13" s="166">
        <f>'6 - Demonstrativos Financeiros'!R33</f>
        <v>500.63000000000068</v>
      </c>
      <c r="S13" s="166">
        <f>'6 - Demonstrativos Financeiros'!S33</f>
        <v>552.33500000000004</v>
      </c>
      <c r="V13" s="166">
        <f t="shared" si="2"/>
        <v>978.93899999999996</v>
      </c>
      <c r="W13" s="166">
        <f t="shared" si="3"/>
        <v>988.2059999999999</v>
      </c>
      <c r="X13" s="166">
        <f t="shared" si="4"/>
        <v>661.84799999999984</v>
      </c>
      <c r="Y13" s="166">
        <f t="shared" si="5"/>
        <v>1537.4040000000009</v>
      </c>
    </row>
    <row r="14" spans="1:25" ht="15">
      <c r="B14" s="106" t="s">
        <v>20</v>
      </c>
      <c r="C14" s="165">
        <f>'6 - Demonstrativos Financeiros'!C31</f>
        <v>74.691999999999993</v>
      </c>
      <c r="D14" s="165">
        <f>'6 - Demonstrativos Financeiros'!D31</f>
        <v>78.035000000000011</v>
      </c>
      <c r="E14" s="165">
        <f>'6 - Demonstrativos Financeiros'!E31</f>
        <v>74.794999999999987</v>
      </c>
      <c r="F14" s="165">
        <f>'6 - Demonstrativos Financeiros'!F31</f>
        <v>75.680000000000007</v>
      </c>
      <c r="G14" s="165">
        <f>'6 - Demonstrativos Financeiros'!G31</f>
        <v>96.887</v>
      </c>
      <c r="H14" s="165">
        <f>'6 - Demonstrativos Financeiros'!H31</f>
        <v>141.75299999999999</v>
      </c>
      <c r="I14" s="165">
        <f>'6 - Demonstrativos Financeiros'!I31</f>
        <v>89.732000000000028</v>
      </c>
      <c r="J14" s="165">
        <f>'6 - Demonstrativos Financeiros'!J31</f>
        <v>134.16899999999998</v>
      </c>
      <c r="K14" s="165">
        <f>'6 - Demonstrativos Financeiros'!K31</f>
        <v>91.376000000000005</v>
      </c>
      <c r="L14" s="165">
        <f>'6 - Demonstrativos Financeiros'!L31</f>
        <v>110.422</v>
      </c>
      <c r="M14" s="165">
        <f>'6 - Demonstrativos Financeiros'!M31</f>
        <v>103.39999999999998</v>
      </c>
      <c r="N14" s="165">
        <f>'6 - Demonstrativos Financeiros'!N31</f>
        <v>126.28300000000002</v>
      </c>
      <c r="O14" s="165">
        <f>'6 - Demonstrativos Financeiros'!O31</f>
        <v>113.1</v>
      </c>
      <c r="P14" s="165">
        <f>'6 - Demonstrativos Financeiros'!P31</f>
        <v>126.14100000000002</v>
      </c>
      <c r="Q14" s="165">
        <f>'6 - Demonstrativos Financeiros'!Q31</f>
        <v>137.14399999999998</v>
      </c>
      <c r="R14" s="165">
        <f>'6 - Demonstrativos Financeiros'!R31</f>
        <v>119.66000000000003</v>
      </c>
      <c r="S14" s="165">
        <f>'6 - Demonstrativos Financeiros'!S31</f>
        <v>128.72800000000001</v>
      </c>
      <c r="V14" s="165">
        <f t="shared" si="2"/>
        <v>303.202</v>
      </c>
      <c r="W14" s="165">
        <f t="shared" si="3"/>
        <v>462.541</v>
      </c>
      <c r="X14" s="165">
        <f t="shared" si="4"/>
        <v>431.48099999999999</v>
      </c>
      <c r="Y14" s="165">
        <f t="shared" si="5"/>
        <v>496.04500000000002</v>
      </c>
    </row>
    <row r="15" spans="1:25" ht="7.5" customHeight="1">
      <c r="B15" s="105"/>
      <c r="C15" s="164"/>
      <c r="D15" s="164"/>
      <c r="E15" s="164"/>
      <c r="F15" s="164"/>
      <c r="G15" s="164"/>
      <c r="H15" s="164"/>
      <c r="I15" s="164"/>
      <c r="J15" s="169"/>
      <c r="K15" s="169"/>
      <c r="L15" s="164"/>
      <c r="M15" s="164"/>
      <c r="N15" s="169"/>
      <c r="O15" s="169"/>
      <c r="P15" s="169"/>
      <c r="Q15" s="169"/>
      <c r="R15" s="169"/>
      <c r="S15" s="169"/>
      <c r="V15" s="313"/>
      <c r="W15" s="313"/>
      <c r="X15" s="313"/>
      <c r="Y15" s="313"/>
    </row>
    <row r="16" spans="1:25" ht="15">
      <c r="B16" s="105"/>
      <c r="C16" s="164"/>
      <c r="D16" s="164"/>
      <c r="E16" s="164"/>
      <c r="F16" s="164"/>
      <c r="G16" s="164"/>
      <c r="H16" s="164"/>
      <c r="I16" s="164"/>
      <c r="J16" s="164"/>
      <c r="K16" s="164"/>
      <c r="L16" s="164"/>
      <c r="M16" s="164"/>
      <c r="N16" s="164"/>
      <c r="O16" s="164"/>
      <c r="P16" s="164"/>
      <c r="Q16" s="164"/>
      <c r="R16" s="164"/>
      <c r="S16" s="164"/>
      <c r="V16" s="204"/>
      <c r="W16" s="204"/>
      <c r="X16" s="204"/>
      <c r="Y16" s="204"/>
    </row>
    <row r="17" spans="1:25" ht="15.75" thickBot="1">
      <c r="B17" s="162" t="s">
        <v>79</v>
      </c>
      <c r="C17" s="218"/>
      <c r="D17" s="218"/>
      <c r="E17" s="218"/>
      <c r="F17" s="218"/>
      <c r="G17" s="167"/>
      <c r="H17" s="167"/>
      <c r="I17" s="167"/>
      <c r="J17" s="167"/>
      <c r="K17" s="167"/>
      <c r="L17" s="167"/>
      <c r="M17" s="167"/>
      <c r="N17" s="167"/>
      <c r="O17" s="167"/>
      <c r="P17" s="167"/>
      <c r="Q17" s="167"/>
      <c r="R17" s="167"/>
      <c r="S17" s="167"/>
      <c r="V17" s="164"/>
      <c r="W17" s="164"/>
      <c r="X17" s="164"/>
      <c r="Y17" s="164"/>
    </row>
    <row r="18" spans="1:25" ht="15">
      <c r="B18" s="146" t="s">
        <v>28</v>
      </c>
      <c r="C18" s="234">
        <v>934</v>
      </c>
      <c r="D18" s="234">
        <v>1064</v>
      </c>
      <c r="E18" s="234">
        <v>1188</v>
      </c>
      <c r="F18" s="234">
        <v>1253</v>
      </c>
      <c r="G18" s="234">
        <v>1071</v>
      </c>
      <c r="H18" s="234">
        <v>1091</v>
      </c>
      <c r="I18" s="234">
        <v>1032</v>
      </c>
      <c r="J18" s="164">
        <v>928.64400000000023</v>
      </c>
      <c r="K18" s="164">
        <v>1053.7750000000001</v>
      </c>
      <c r="L18" s="234">
        <v>1011.3179999999998</v>
      </c>
      <c r="M18" s="234">
        <v>1385.8990000000003</v>
      </c>
      <c r="N18" s="164">
        <v>1456.9356590800003</v>
      </c>
      <c r="O18" s="164">
        <v>1679.0550000000001</v>
      </c>
      <c r="P18" s="164">
        <v>1827.3509999999999</v>
      </c>
      <c r="Q18" s="164">
        <v>2185.5420000000004</v>
      </c>
      <c r="R18" s="164">
        <f>SUM(R19:R24)</f>
        <v>2326.4129999999996</v>
      </c>
      <c r="S18" s="164">
        <f>SUM(S19:S24)</f>
        <v>2220</v>
      </c>
      <c r="T18" s="118"/>
      <c r="V18" s="164">
        <f t="shared" ref="V18:V27" si="6">SUM(C18:F18)</f>
        <v>4439</v>
      </c>
      <c r="W18" s="164">
        <f t="shared" ref="W18:W27" si="7">SUM(G18:J18)</f>
        <v>4122.6440000000002</v>
      </c>
      <c r="X18" s="164">
        <f t="shared" ref="X18:X27" si="8">SUM(K18:N18)</f>
        <v>4907.92765908</v>
      </c>
      <c r="Y18" s="164">
        <f t="shared" ref="Y18:Y27" si="9">SUM(O18:R18)</f>
        <v>8018.3609999999999</v>
      </c>
    </row>
    <row r="19" spans="1:25">
      <c r="B19" s="231" t="s">
        <v>141</v>
      </c>
      <c r="C19" s="145">
        <v>553.09609235057394</v>
      </c>
      <c r="D19" s="145">
        <v>557.05699913979527</v>
      </c>
      <c r="E19" s="145">
        <v>609.66926853851214</v>
      </c>
      <c r="F19" s="145">
        <v>567.94835937522396</v>
      </c>
      <c r="G19" s="145">
        <v>479.66249851867582</v>
      </c>
      <c r="H19" s="145">
        <v>487.42272902635767</v>
      </c>
      <c r="I19" s="145">
        <v>514.17413581776941</v>
      </c>
      <c r="J19" s="145">
        <v>450.5246699341136</v>
      </c>
      <c r="K19" s="145">
        <v>533.63734153864732</v>
      </c>
      <c r="L19" s="145">
        <v>484.44212498439589</v>
      </c>
      <c r="M19" s="145">
        <v>693.53169110106739</v>
      </c>
      <c r="N19" s="145">
        <v>756.01544101157367</v>
      </c>
      <c r="O19" s="145">
        <v>793.3901243185702</v>
      </c>
      <c r="P19" s="145">
        <v>899.24109472981183</v>
      </c>
      <c r="Q19" s="145">
        <v>963.03303052974729</v>
      </c>
      <c r="R19" s="145">
        <v>1093.7950000000001</v>
      </c>
      <c r="S19" s="145">
        <v>996</v>
      </c>
      <c r="V19" s="145">
        <f t="shared" si="6"/>
        <v>2287.7707194041054</v>
      </c>
      <c r="W19" s="145">
        <f t="shared" si="7"/>
        <v>1931.7840332969167</v>
      </c>
      <c r="X19" s="145">
        <f t="shared" si="8"/>
        <v>2467.6265986356843</v>
      </c>
      <c r="Y19" s="145">
        <f t="shared" si="9"/>
        <v>3749.4592495781294</v>
      </c>
    </row>
    <row r="20" spans="1:25">
      <c r="B20" s="232" t="s">
        <v>142</v>
      </c>
      <c r="C20" s="168">
        <v>244.52542915447691</v>
      </c>
      <c r="D20" s="168">
        <v>251.04609711832529</v>
      </c>
      <c r="E20" s="168">
        <v>363.07774358114193</v>
      </c>
      <c r="F20" s="168">
        <v>370.13753624115282</v>
      </c>
      <c r="G20" s="168">
        <v>344.76802799711027</v>
      </c>
      <c r="H20" s="168">
        <v>307.56827956352578</v>
      </c>
      <c r="I20" s="168">
        <v>236.3104009677848</v>
      </c>
      <c r="J20" s="168">
        <v>227.78036486533057</v>
      </c>
      <c r="K20" s="168">
        <v>322.85502547547725</v>
      </c>
      <c r="L20" s="168">
        <v>373.21166363015732</v>
      </c>
      <c r="M20" s="168">
        <v>510.58879007435911</v>
      </c>
      <c r="N20" s="168">
        <v>544.81819778238605</v>
      </c>
      <c r="O20" s="168">
        <v>640.35427580787029</v>
      </c>
      <c r="P20" s="168">
        <v>694.20649913404839</v>
      </c>
      <c r="Q20" s="168">
        <v>797.67413062403568</v>
      </c>
      <c r="R20" s="168">
        <v>826.73078375000023</v>
      </c>
      <c r="S20" s="168">
        <v>839</v>
      </c>
      <c r="V20" s="168">
        <f t="shared" si="6"/>
        <v>1228.7868060950968</v>
      </c>
      <c r="W20" s="168">
        <f t="shared" si="7"/>
        <v>1116.4270733937512</v>
      </c>
      <c r="X20" s="168">
        <f t="shared" si="8"/>
        <v>1751.4736769623798</v>
      </c>
      <c r="Y20" s="168">
        <f t="shared" si="9"/>
        <v>2958.9656893159545</v>
      </c>
    </row>
    <row r="21" spans="1:25">
      <c r="B21" s="231" t="s">
        <v>143</v>
      </c>
      <c r="C21" s="145">
        <v>91.656178556542983</v>
      </c>
      <c r="D21" s="145">
        <v>97.760774404999523</v>
      </c>
      <c r="E21" s="145">
        <v>103.4260536606867</v>
      </c>
      <c r="F21" s="145">
        <v>85.583599629840393</v>
      </c>
      <c r="G21" s="145">
        <v>86.290924335432379</v>
      </c>
      <c r="H21" s="145">
        <v>79.645977411511495</v>
      </c>
      <c r="I21" s="145">
        <v>82.336609168492245</v>
      </c>
      <c r="J21" s="145">
        <v>84.132134038189548</v>
      </c>
      <c r="K21" s="145">
        <v>85.527169093439539</v>
      </c>
      <c r="L21" s="145">
        <v>55.059148784115429</v>
      </c>
      <c r="M21" s="145">
        <v>97.125249678607318</v>
      </c>
      <c r="N21" s="145">
        <v>109.50712615088079</v>
      </c>
      <c r="O21" s="145">
        <v>107.71612064208917</v>
      </c>
      <c r="P21" s="145">
        <v>125.0183261751495</v>
      </c>
      <c r="Q21" s="145">
        <v>134.3253569739685</v>
      </c>
      <c r="R21" s="145">
        <v>142.01752752484998</v>
      </c>
      <c r="S21" s="145">
        <v>217</v>
      </c>
      <c r="V21" s="145">
        <f t="shared" si="6"/>
        <v>378.42660625206963</v>
      </c>
      <c r="W21" s="145">
        <f t="shared" si="7"/>
        <v>332.40564495362571</v>
      </c>
      <c r="X21" s="145">
        <f t="shared" si="8"/>
        <v>347.21869370704303</v>
      </c>
      <c r="Y21" s="145">
        <f t="shared" si="9"/>
        <v>509.07733131605715</v>
      </c>
    </row>
    <row r="22" spans="1:25">
      <c r="B22" s="232" t="s">
        <v>10</v>
      </c>
      <c r="C22" s="145">
        <v>139.01577399840613</v>
      </c>
      <c r="D22" s="145">
        <v>293.09987845687999</v>
      </c>
      <c r="E22" s="145">
        <v>253.9535743096591</v>
      </c>
      <c r="F22" s="145">
        <v>316.96106933378292</v>
      </c>
      <c r="G22" s="145">
        <v>188.52993906878157</v>
      </c>
      <c r="H22" s="145">
        <v>217.87542634860483</v>
      </c>
      <c r="I22" s="145">
        <v>217.26705646595366</v>
      </c>
      <c r="J22" s="145">
        <v>223.87774960236661</v>
      </c>
      <c r="K22" s="145">
        <v>189.72239969243611</v>
      </c>
      <c r="L22" s="145">
        <v>179.84913223133114</v>
      </c>
      <c r="M22" s="145">
        <v>231.9677122559664</v>
      </c>
      <c r="N22" s="145">
        <v>268.12939486515972</v>
      </c>
      <c r="O22" s="145">
        <v>361.23134822147051</v>
      </c>
      <c r="P22" s="145">
        <v>365.03545369099038</v>
      </c>
      <c r="Q22" s="145">
        <v>610.1825691822487</v>
      </c>
      <c r="R22" s="145">
        <v>647.10507549514944</v>
      </c>
      <c r="S22" s="145">
        <v>439</v>
      </c>
      <c r="V22" s="145">
        <f t="shared" si="6"/>
        <v>1003.0302960987282</v>
      </c>
      <c r="W22" s="145">
        <f t="shared" si="7"/>
        <v>847.55017148570676</v>
      </c>
      <c r="X22" s="145">
        <f t="shared" si="8"/>
        <v>869.66863904489333</v>
      </c>
      <c r="Y22" s="145">
        <f t="shared" si="9"/>
        <v>1983.5544465898588</v>
      </c>
    </row>
    <row r="23" spans="1:25">
      <c r="B23" s="233" t="s">
        <v>162</v>
      </c>
      <c r="C23" s="223">
        <v>-76.293474060000008</v>
      </c>
      <c r="D23" s="223">
        <v>-75.963749120000003</v>
      </c>
      <c r="E23" s="223">
        <v>-90.126640090000009</v>
      </c>
      <c r="F23" s="223">
        <v>-69.630564580000012</v>
      </c>
      <c r="G23" s="223">
        <v>-71.251389920000008</v>
      </c>
      <c r="H23" s="223">
        <v>-58.512412349999991</v>
      </c>
      <c r="I23" s="223">
        <v>-57.088202420000002</v>
      </c>
      <c r="J23" s="223">
        <v>-66.670918440000023</v>
      </c>
      <c r="K23" s="223">
        <v>-74.028900960000001</v>
      </c>
      <c r="L23" s="223">
        <v>-47.155250169999988</v>
      </c>
      <c r="M23" s="223">
        <v>-62.682487130000027</v>
      </c>
      <c r="N23" s="223">
        <v>-96.281826409999994</v>
      </c>
      <c r="O23" s="223">
        <v>-76.913868990000381</v>
      </c>
      <c r="P23" s="223">
        <v>-74.142633320000002</v>
      </c>
      <c r="Q23" s="223">
        <v>-91.204280699999984</v>
      </c>
      <c r="R23" s="223">
        <v>-102.72135132</v>
      </c>
      <c r="S23" s="223">
        <v>-150</v>
      </c>
      <c r="V23" s="223">
        <f t="shared" si="6"/>
        <v>-312.01442785</v>
      </c>
      <c r="W23" s="223">
        <f t="shared" si="7"/>
        <v>-253.52292313000004</v>
      </c>
      <c r="X23" s="223">
        <f t="shared" si="8"/>
        <v>-280.14846467000001</v>
      </c>
      <c r="Y23" s="223">
        <f t="shared" si="9"/>
        <v>-344.98213433000035</v>
      </c>
    </row>
    <row r="24" spans="1:25">
      <c r="B24" s="231" t="s">
        <v>163</v>
      </c>
      <c r="C24" s="223">
        <v>-18</v>
      </c>
      <c r="D24" s="223">
        <v>-59</v>
      </c>
      <c r="E24" s="223">
        <v>-52</v>
      </c>
      <c r="F24" s="223">
        <v>-18</v>
      </c>
      <c r="G24" s="223">
        <v>43</v>
      </c>
      <c r="H24" s="223">
        <v>57</v>
      </c>
      <c r="I24" s="223">
        <v>39</v>
      </c>
      <c r="J24" s="223">
        <v>9</v>
      </c>
      <c r="K24" s="223">
        <v>-3.9380348399999998</v>
      </c>
      <c r="L24" s="223">
        <v>-34.088819459999996</v>
      </c>
      <c r="M24" s="223">
        <v>-84.631955980000001</v>
      </c>
      <c r="N24" s="223">
        <v>-125.25267432</v>
      </c>
      <c r="O24" s="223">
        <f>-146723/1000</f>
        <v>-146.72300000000001</v>
      </c>
      <c r="P24" s="223">
        <v>-182.00774041000003</v>
      </c>
      <c r="Q24" s="223">
        <v>-228.46880660999994</v>
      </c>
      <c r="R24" s="223">
        <v>-280.51403544999999</v>
      </c>
      <c r="S24" s="223">
        <v>-121</v>
      </c>
      <c r="V24" s="223">
        <f t="shared" si="6"/>
        <v>-147</v>
      </c>
      <c r="W24" s="223">
        <f t="shared" si="7"/>
        <v>148</v>
      </c>
      <c r="X24" s="223">
        <f t="shared" si="8"/>
        <v>-247.91148459999999</v>
      </c>
      <c r="Y24" s="223">
        <f t="shared" si="9"/>
        <v>-837.71358246999989</v>
      </c>
    </row>
    <row r="25" spans="1:25">
      <c r="B25" s="106" t="s">
        <v>29</v>
      </c>
      <c r="C25" s="145">
        <v>152</v>
      </c>
      <c r="D25" s="145">
        <v>200</v>
      </c>
      <c r="E25" s="145">
        <v>254</v>
      </c>
      <c r="F25" s="145">
        <v>216</v>
      </c>
      <c r="G25" s="145">
        <v>142</v>
      </c>
      <c r="H25" s="145">
        <v>166</v>
      </c>
      <c r="I25" s="145">
        <v>124</v>
      </c>
      <c r="J25" s="156">
        <v>84.625999999999976</v>
      </c>
      <c r="K25" s="156">
        <v>101.333</v>
      </c>
      <c r="L25" s="145">
        <v>80.908000000000015</v>
      </c>
      <c r="M25" s="145">
        <v>188.83199999999997</v>
      </c>
      <c r="N25" s="156">
        <v>189.07705261627933</v>
      </c>
      <c r="O25" s="156">
        <v>291.08800000000002</v>
      </c>
      <c r="P25" s="156">
        <v>395.56599999999997</v>
      </c>
      <c r="Q25" s="156">
        <v>358.38799999999986</v>
      </c>
      <c r="R25" s="156">
        <v>386.78300000000013</v>
      </c>
      <c r="S25" s="156">
        <f>611762/1000</f>
        <v>611.76199999999994</v>
      </c>
      <c r="V25" s="156">
        <f t="shared" si="6"/>
        <v>822</v>
      </c>
      <c r="W25" s="156">
        <f t="shared" si="7"/>
        <v>516.62599999999998</v>
      </c>
      <c r="X25" s="156">
        <f t="shared" si="8"/>
        <v>560.15005261627925</v>
      </c>
      <c r="Y25" s="156">
        <f t="shared" si="9"/>
        <v>1431.825</v>
      </c>
    </row>
    <row r="26" spans="1:25">
      <c r="B26" s="105" t="s">
        <v>34</v>
      </c>
      <c r="C26" s="168">
        <v>230</v>
      </c>
      <c r="D26" s="168">
        <v>209</v>
      </c>
      <c r="E26" s="168">
        <v>246</v>
      </c>
      <c r="F26" s="168">
        <v>208.92999999999995</v>
      </c>
      <c r="G26" s="168">
        <v>171</v>
      </c>
      <c r="H26" s="168">
        <v>353</v>
      </c>
      <c r="I26" s="168">
        <v>133</v>
      </c>
      <c r="J26" s="170">
        <v>197.80700000000002</v>
      </c>
      <c r="K26" s="170">
        <v>115.73099999999999</v>
      </c>
      <c r="L26" s="168">
        <v>189.16899999999998</v>
      </c>
      <c r="M26" s="168">
        <v>193.32900000000001</v>
      </c>
      <c r="N26" s="170">
        <v>185.32234302000001</v>
      </c>
      <c r="O26" s="170">
        <v>208.874</v>
      </c>
      <c r="P26" s="170">
        <v>389.64</v>
      </c>
      <c r="Q26" s="170">
        <f>970594/1000-SUM(O26:P26)</f>
        <v>372.08000000000004</v>
      </c>
      <c r="R26" s="170">
        <v>411.81700000000001</v>
      </c>
      <c r="S26" s="170">
        <f>615753/1000</f>
        <v>615.75300000000004</v>
      </c>
      <c r="V26" s="170">
        <f t="shared" si="6"/>
        <v>893.93</v>
      </c>
      <c r="W26" s="170">
        <f t="shared" si="7"/>
        <v>854.80700000000002</v>
      </c>
      <c r="X26" s="170">
        <f t="shared" si="8"/>
        <v>683.55134301999999</v>
      </c>
      <c r="Y26" s="170">
        <f t="shared" si="9"/>
        <v>1382.4110000000001</v>
      </c>
    </row>
    <row r="27" spans="1:25">
      <c r="B27" s="106" t="s">
        <v>20</v>
      </c>
      <c r="C27" s="145">
        <v>69</v>
      </c>
      <c r="D27" s="145">
        <v>69</v>
      </c>
      <c r="E27" s="145">
        <v>67</v>
      </c>
      <c r="F27" s="145">
        <v>68</v>
      </c>
      <c r="G27" s="145">
        <v>90</v>
      </c>
      <c r="H27" s="145">
        <v>135</v>
      </c>
      <c r="I27" s="145">
        <v>82</v>
      </c>
      <c r="J27" s="156">
        <v>125.61099999999999</v>
      </c>
      <c r="K27" s="156">
        <v>83.760999999999996</v>
      </c>
      <c r="L27" s="145">
        <v>102.79500000000002</v>
      </c>
      <c r="M27" s="145">
        <v>95.753999999999991</v>
      </c>
      <c r="N27" s="156">
        <v>118.51225635999998</v>
      </c>
      <c r="O27" s="156">
        <v>105.289</v>
      </c>
      <c r="P27" s="156">
        <v>118.18599999999999</v>
      </c>
      <c r="Q27" s="156">
        <v>127.67300000000003</v>
      </c>
      <c r="R27" s="156">
        <v>111.28099999999995</v>
      </c>
      <c r="S27" s="156">
        <f>119971/1000</f>
        <v>119.971</v>
      </c>
      <c r="V27" s="156">
        <f t="shared" si="6"/>
        <v>273</v>
      </c>
      <c r="W27" s="156">
        <f t="shared" si="7"/>
        <v>432.61099999999999</v>
      </c>
      <c r="X27" s="156">
        <f t="shared" si="8"/>
        <v>400.82225635999998</v>
      </c>
      <c r="Y27" s="156">
        <f t="shared" si="9"/>
        <v>462.42899999999997</v>
      </c>
    </row>
    <row r="28" spans="1:25" ht="7.5" customHeight="1">
      <c r="B28" s="105"/>
      <c r="C28" s="164"/>
      <c r="D28" s="164"/>
      <c r="E28" s="164"/>
      <c r="F28" s="164"/>
      <c r="G28" s="164"/>
      <c r="H28" s="164"/>
      <c r="I28" s="164"/>
      <c r="J28" s="169"/>
      <c r="K28" s="169"/>
      <c r="L28" s="164"/>
      <c r="M28" s="164"/>
      <c r="N28" s="169"/>
      <c r="O28" s="169"/>
      <c r="P28" s="169"/>
      <c r="Q28" s="169"/>
      <c r="R28" s="169"/>
      <c r="S28" s="169"/>
    </row>
    <row r="29" spans="1:25">
      <c r="B29" s="105"/>
      <c r="C29" s="219"/>
      <c r="D29" s="219"/>
      <c r="E29" s="219"/>
      <c r="F29" s="219"/>
      <c r="G29" s="171"/>
      <c r="H29" s="171"/>
      <c r="I29" s="171"/>
      <c r="J29" s="171"/>
      <c r="K29" s="171"/>
      <c r="L29" s="171"/>
      <c r="M29" s="171"/>
      <c r="N29" s="171"/>
      <c r="O29" s="171"/>
      <c r="P29" s="171"/>
      <c r="Q29" s="171"/>
      <c r="R29" s="171"/>
      <c r="S29" s="171"/>
    </row>
    <row r="30" spans="1:25" ht="14.45" customHeight="1" thickBot="1">
      <c r="A30" s="54"/>
      <c r="B30" s="162" t="s">
        <v>71</v>
      </c>
      <c r="C30" s="217"/>
      <c r="D30" s="217"/>
      <c r="E30" s="217"/>
      <c r="F30" s="217"/>
      <c r="G30" s="163"/>
      <c r="H30" s="163"/>
      <c r="I30" s="163"/>
      <c r="J30" s="172"/>
      <c r="K30" s="172"/>
      <c r="L30" s="163"/>
      <c r="M30" s="163"/>
      <c r="N30" s="172"/>
      <c r="O30" s="172"/>
      <c r="P30" s="172"/>
      <c r="Q30" s="172"/>
      <c r="R30" s="172"/>
      <c r="S30" s="172"/>
      <c r="V30" s="172"/>
      <c r="W30" s="172"/>
      <c r="X30" s="172"/>
      <c r="Y30" s="172"/>
    </row>
    <row r="31" spans="1:25" s="56" customFormat="1" ht="15">
      <c r="B31" s="146" t="s">
        <v>28</v>
      </c>
      <c r="C31" s="168">
        <v>253</v>
      </c>
      <c r="D31" s="168">
        <v>281</v>
      </c>
      <c r="E31" s="168">
        <v>323</v>
      </c>
      <c r="F31" s="168">
        <v>300.47600000000011</v>
      </c>
      <c r="G31" s="168">
        <v>309</v>
      </c>
      <c r="H31" s="168">
        <v>342</v>
      </c>
      <c r="I31" s="168">
        <v>368</v>
      </c>
      <c r="J31" s="169">
        <v>421.63499999999999</v>
      </c>
      <c r="K31" s="169">
        <v>264.63499999999999</v>
      </c>
      <c r="L31" s="168">
        <v>158.01834138108001</v>
      </c>
      <c r="M31" s="168">
        <v>183.00000000000006</v>
      </c>
      <c r="N31" s="169">
        <v>189.13165861891991</v>
      </c>
      <c r="O31" s="169">
        <v>185.25</v>
      </c>
      <c r="P31" s="169">
        <v>152.04500000000002</v>
      </c>
      <c r="Q31" s="169">
        <v>206.58599999999996</v>
      </c>
      <c r="R31" s="169">
        <v>182.52500000000001</v>
      </c>
      <c r="S31" s="169">
        <f>152157/1000</f>
        <v>152.15700000000001</v>
      </c>
      <c r="V31" s="169">
        <f>SUM(C31:F31)</f>
        <v>1157.4760000000001</v>
      </c>
      <c r="W31" s="169">
        <f t="shared" ref="W31:W34" si="10">SUM(G31:J31)</f>
        <v>1440.635</v>
      </c>
      <c r="X31" s="169">
        <f t="shared" ref="X31:X34" si="11">SUM(K31:N31)</f>
        <v>794.78499999999997</v>
      </c>
      <c r="Y31" s="169">
        <f t="shared" ref="Y31:Y34" si="12">SUM(O31:R31)</f>
        <v>726.40599999999995</v>
      </c>
    </row>
    <row r="32" spans="1:25">
      <c r="B32" s="106" t="s">
        <v>29</v>
      </c>
      <c r="C32" s="145">
        <v>82</v>
      </c>
      <c r="D32" s="145">
        <v>74</v>
      </c>
      <c r="E32" s="145">
        <v>15</v>
      </c>
      <c r="F32" s="145">
        <v>-12.567000000000007</v>
      </c>
      <c r="G32" s="145">
        <v>74</v>
      </c>
      <c r="H32" s="145">
        <v>38</v>
      </c>
      <c r="I32" s="145">
        <v>27</v>
      </c>
      <c r="J32" s="156">
        <v>44.276999999999987</v>
      </c>
      <c r="K32" s="156">
        <v>53.796999999999997</v>
      </c>
      <c r="L32" s="145">
        <v>-2.8000410643239775</v>
      </c>
      <c r="M32" s="145">
        <v>11</v>
      </c>
      <c r="N32" s="156">
        <v>0.74004106432398231</v>
      </c>
      <c r="O32" s="156">
        <v>157.47300000000001</v>
      </c>
      <c r="P32" s="156">
        <v>-4.7300000000000182</v>
      </c>
      <c r="Q32" s="156">
        <v>-39.588999999999999</v>
      </c>
      <c r="R32" s="156">
        <v>104.292</v>
      </c>
      <c r="S32" s="156">
        <f>-49786/1000</f>
        <v>-49.786000000000001</v>
      </c>
      <c r="V32" s="156">
        <f t="shared" ref="V31:V34" si="13">SUM(C32:F32)</f>
        <v>158.43299999999999</v>
      </c>
      <c r="W32" s="156">
        <f t="shared" si="10"/>
        <v>183.27699999999999</v>
      </c>
      <c r="X32" s="156">
        <f t="shared" si="11"/>
        <v>62.737000000000002</v>
      </c>
      <c r="Y32" s="156">
        <f t="shared" si="12"/>
        <v>217.446</v>
      </c>
    </row>
    <row r="33" spans="1:25">
      <c r="A33" s="58"/>
      <c r="B33" s="105" t="s">
        <v>34</v>
      </c>
      <c r="C33" s="168">
        <v>50</v>
      </c>
      <c r="D33" s="168">
        <v>72</v>
      </c>
      <c r="E33" s="168">
        <v>0</v>
      </c>
      <c r="F33" s="168">
        <v>66</v>
      </c>
      <c r="G33" s="168">
        <v>79</v>
      </c>
      <c r="H33" s="168">
        <v>47</v>
      </c>
      <c r="I33" s="168">
        <v>35</v>
      </c>
      <c r="J33" s="170">
        <v>53</v>
      </c>
      <c r="K33" s="170">
        <v>59.456000000000003</v>
      </c>
      <c r="L33" s="168">
        <v>3.0051083134261987</v>
      </c>
      <c r="M33" s="168">
        <v>17</v>
      </c>
      <c r="N33" s="170">
        <v>2.5388916865738054</v>
      </c>
      <c r="O33" s="170">
        <v>162.88999999999999</v>
      </c>
      <c r="P33" s="170">
        <v>-3.1279999999999859</v>
      </c>
      <c r="Q33" s="170">
        <v>-47.959000000000003</v>
      </c>
      <c r="R33" s="170">
        <v>99.548000000000002</v>
      </c>
      <c r="S33" s="170">
        <f>-50249/1000</f>
        <v>-50.249000000000002</v>
      </c>
      <c r="V33" s="170">
        <f t="shared" si="13"/>
        <v>188</v>
      </c>
      <c r="W33" s="170">
        <f t="shared" si="10"/>
        <v>214</v>
      </c>
      <c r="X33" s="170">
        <f t="shared" si="11"/>
        <v>82</v>
      </c>
      <c r="Y33" s="170">
        <f t="shared" si="12"/>
        <v>211.351</v>
      </c>
    </row>
    <row r="34" spans="1:25">
      <c r="B34" s="106" t="s">
        <v>20</v>
      </c>
      <c r="C34" s="145">
        <v>5</v>
      </c>
      <c r="D34" s="145">
        <v>9</v>
      </c>
      <c r="E34" s="145">
        <v>8</v>
      </c>
      <c r="F34" s="145">
        <v>7.2020000000000017</v>
      </c>
      <c r="G34" s="145">
        <v>7</v>
      </c>
      <c r="H34" s="145">
        <v>7</v>
      </c>
      <c r="I34" s="145">
        <v>8</v>
      </c>
      <c r="J34" s="156">
        <v>6.9420000000000002</v>
      </c>
      <c r="K34" s="156">
        <v>7.2370000000000001</v>
      </c>
      <c r="L34" s="145">
        <v>7.2406488253584804</v>
      </c>
      <c r="M34" s="145">
        <v>7.9999999999999982</v>
      </c>
      <c r="N34" s="156">
        <v>6.6383511746415209</v>
      </c>
      <c r="O34" s="156">
        <v>7.2249999999999996</v>
      </c>
      <c r="P34" s="156">
        <v>7.2420000000000009</v>
      </c>
      <c r="Q34" s="156">
        <v>8.6010000000000009</v>
      </c>
      <c r="R34" s="156">
        <v>7.3989999999999974</v>
      </c>
      <c r="S34" s="156">
        <f>7739/1000</f>
        <v>7.7389999999999999</v>
      </c>
      <c r="V34" s="156">
        <f t="shared" si="13"/>
        <v>29.202000000000002</v>
      </c>
      <c r="W34" s="156">
        <f t="shared" si="10"/>
        <v>28.942</v>
      </c>
      <c r="X34" s="156">
        <f t="shared" si="11"/>
        <v>29.116</v>
      </c>
      <c r="Y34" s="156">
        <f t="shared" si="12"/>
        <v>30.466999999999999</v>
      </c>
    </row>
    <row r="35" spans="1:25" ht="7.5" customHeight="1">
      <c r="B35" s="105"/>
      <c r="C35" s="164"/>
      <c r="D35" s="164"/>
      <c r="E35" s="164"/>
      <c r="F35" s="164"/>
      <c r="G35" s="164"/>
      <c r="H35" s="164"/>
      <c r="I35" s="164"/>
      <c r="J35" s="169"/>
      <c r="K35" s="169"/>
      <c r="L35" s="164"/>
      <c r="M35" s="164"/>
      <c r="N35" s="169"/>
      <c r="O35" s="169"/>
      <c r="P35" s="169"/>
      <c r="Q35" s="169"/>
      <c r="R35" s="169"/>
      <c r="S35" s="169"/>
      <c r="V35" s="169"/>
      <c r="W35" s="169"/>
      <c r="X35" s="169"/>
      <c r="Y35" s="169"/>
    </row>
    <row r="36" spans="1:25">
      <c r="B36" s="105"/>
      <c r="C36" s="219"/>
      <c r="D36" s="219"/>
      <c r="E36" s="219"/>
      <c r="F36" s="219"/>
      <c r="G36" s="219"/>
      <c r="H36" s="219"/>
      <c r="I36" s="219"/>
      <c r="J36" s="219"/>
      <c r="K36" s="219"/>
      <c r="L36" s="219"/>
      <c r="M36" s="219"/>
      <c r="N36" s="171"/>
      <c r="O36" s="171"/>
      <c r="P36" s="171"/>
      <c r="Q36" s="171"/>
      <c r="R36" s="171"/>
      <c r="S36" s="171"/>
      <c r="V36" s="171"/>
      <c r="W36" s="171"/>
      <c r="X36" s="171"/>
      <c r="Y36" s="171"/>
    </row>
    <row r="37" spans="1:25" ht="14.45" customHeight="1" thickBot="1">
      <c r="A37" s="54"/>
      <c r="B37" s="162" t="s">
        <v>80</v>
      </c>
      <c r="C37" s="217"/>
      <c r="D37" s="217"/>
      <c r="E37" s="217"/>
      <c r="F37" s="217"/>
      <c r="G37" s="217"/>
      <c r="H37" s="217"/>
      <c r="I37" s="217"/>
      <c r="J37" s="220"/>
      <c r="K37" s="220"/>
      <c r="L37" s="217"/>
      <c r="M37" s="217"/>
      <c r="N37" s="172"/>
      <c r="O37" s="172"/>
      <c r="P37" s="172"/>
      <c r="Q37" s="172"/>
      <c r="R37" s="172"/>
      <c r="S37" s="172"/>
      <c r="V37" s="172"/>
      <c r="W37" s="172"/>
      <c r="X37" s="172"/>
      <c r="Y37" s="172"/>
    </row>
    <row r="38" spans="1:25" s="56" customFormat="1" ht="15">
      <c r="B38" s="146" t="s">
        <v>28</v>
      </c>
      <c r="C38" s="168">
        <v>16</v>
      </c>
      <c r="D38" s="168">
        <v>10</v>
      </c>
      <c r="E38" s="168">
        <v>9</v>
      </c>
      <c r="F38" s="168">
        <v>3</v>
      </c>
      <c r="G38" s="168">
        <v>1</v>
      </c>
      <c r="H38" s="168">
        <v>2</v>
      </c>
      <c r="I38" s="168">
        <v>0</v>
      </c>
      <c r="J38" s="169">
        <v>5.0429999999999993</v>
      </c>
      <c r="K38" s="169">
        <v>2.7530000000000001</v>
      </c>
      <c r="L38" s="168">
        <v>4.5996612800000003</v>
      </c>
      <c r="M38" s="168">
        <v>1.9999999999999991</v>
      </c>
      <c r="N38" s="169">
        <v>4.3233387200000006</v>
      </c>
      <c r="O38" s="169">
        <v>7.1280000000000001</v>
      </c>
      <c r="P38" s="169">
        <v>10.119</v>
      </c>
      <c r="Q38" s="169">
        <v>6.5489999999999995</v>
      </c>
      <c r="R38" s="169">
        <v>2.1129999999999995</v>
      </c>
      <c r="S38" s="169">
        <f>3235/1000</f>
        <v>3.2349999999999999</v>
      </c>
      <c r="T38" s="57"/>
      <c r="U38" s="57"/>
      <c r="V38" s="169">
        <f t="shared" ref="V38:V41" si="14">SUM(C38:F38)</f>
        <v>38</v>
      </c>
      <c r="W38" s="169">
        <f t="shared" ref="W38:W41" si="15">SUM(G38:J38)</f>
        <v>8.0429999999999993</v>
      </c>
      <c r="X38" s="169">
        <f t="shared" ref="X38:X41" si="16">SUM(K38:N38)</f>
        <v>13.676</v>
      </c>
      <c r="Y38" s="169">
        <f t="shared" ref="Y38:Y41" si="17">SUM(O38:R38)</f>
        <v>25.908999999999999</v>
      </c>
    </row>
    <row r="39" spans="1:25">
      <c r="B39" s="106" t="s">
        <v>133</v>
      </c>
      <c r="C39" s="145">
        <v>-15</v>
      </c>
      <c r="D39" s="145">
        <v>-8</v>
      </c>
      <c r="E39" s="145">
        <v>-3</v>
      </c>
      <c r="F39" s="145">
        <v>-5</v>
      </c>
      <c r="G39" s="145">
        <v>-7</v>
      </c>
      <c r="H39" s="145">
        <v>-16</v>
      </c>
      <c r="I39" s="145">
        <v>-10</v>
      </c>
      <c r="J39" s="156">
        <v>-9.3359999999999985</v>
      </c>
      <c r="K39" s="156">
        <v>-6.9859999999999998</v>
      </c>
      <c r="L39" s="145">
        <v>-14.373766489999998</v>
      </c>
      <c r="M39" s="145">
        <v>-9</v>
      </c>
      <c r="N39" s="156">
        <v>-11.85723351</v>
      </c>
      <c r="O39" s="156">
        <v>-4.7750000000000004</v>
      </c>
      <c r="P39" s="156">
        <v>-4.4789999999999992</v>
      </c>
      <c r="Q39" s="156">
        <v>-8.8330000000000002</v>
      </c>
      <c r="R39" s="156">
        <v>-7.4759999999999991</v>
      </c>
      <c r="S39" s="156">
        <f>-8026/1000</f>
        <v>-8.0259999999999998</v>
      </c>
      <c r="V39" s="156">
        <f t="shared" si="14"/>
        <v>-31</v>
      </c>
      <c r="W39" s="156">
        <f t="shared" si="15"/>
        <v>-42.335999999999999</v>
      </c>
      <c r="X39" s="156">
        <f t="shared" si="16"/>
        <v>-42.216999999999999</v>
      </c>
      <c r="Y39" s="156">
        <f t="shared" si="17"/>
        <v>-25.562999999999999</v>
      </c>
    </row>
    <row r="40" spans="1:25">
      <c r="A40" s="58"/>
      <c r="B40" s="105" t="s">
        <v>34</v>
      </c>
      <c r="C40" s="168">
        <v>-41</v>
      </c>
      <c r="D40" s="168">
        <v>-18</v>
      </c>
      <c r="E40" s="168">
        <v>-17</v>
      </c>
      <c r="F40" s="168">
        <v>-26.727000000000004</v>
      </c>
      <c r="G40" s="168">
        <v>-20</v>
      </c>
      <c r="H40" s="168">
        <v>-55</v>
      </c>
      <c r="I40" s="168">
        <v>-39</v>
      </c>
      <c r="J40" s="170">
        <v>34.388000000000005</v>
      </c>
      <c r="K40" s="170">
        <v>-13.361000000000001</v>
      </c>
      <c r="L40" s="168">
        <v>-20.219407809999996</v>
      </c>
      <c r="M40" s="168">
        <v>-51</v>
      </c>
      <c r="N40" s="170">
        <v>-18.754592189999997</v>
      </c>
      <c r="O40" s="170">
        <v>-11.343</v>
      </c>
      <c r="P40" s="170">
        <v>-23.138000000000002</v>
      </c>
      <c r="Q40" s="170">
        <v>-10.479999999999997</v>
      </c>
      <c r="R40" s="170">
        <v>-11.844000000000001</v>
      </c>
      <c r="S40" s="170">
        <f>-13169/1000</f>
        <v>-13.169</v>
      </c>
      <c r="V40" s="170">
        <f t="shared" si="14"/>
        <v>-102.727</v>
      </c>
      <c r="W40" s="170">
        <f t="shared" si="15"/>
        <v>-79.611999999999995</v>
      </c>
      <c r="X40" s="170">
        <f t="shared" si="16"/>
        <v>-103.33499999999999</v>
      </c>
      <c r="Y40" s="170">
        <f t="shared" si="17"/>
        <v>-56.805</v>
      </c>
    </row>
    <row r="41" spans="1:25">
      <c r="B41" s="106" t="s">
        <v>20</v>
      </c>
      <c r="C41" s="145">
        <v>1</v>
      </c>
      <c r="D41" s="145">
        <v>0</v>
      </c>
      <c r="E41" s="145">
        <v>0</v>
      </c>
      <c r="F41" s="145">
        <v>0</v>
      </c>
      <c r="G41" s="145">
        <v>0</v>
      </c>
      <c r="H41" s="145">
        <v>0</v>
      </c>
      <c r="I41" s="145">
        <v>0</v>
      </c>
      <c r="J41" s="156">
        <v>1.008</v>
      </c>
      <c r="K41" s="156">
        <v>0.378</v>
      </c>
      <c r="L41" s="145">
        <v>0</v>
      </c>
      <c r="M41" s="145">
        <v>0</v>
      </c>
      <c r="N41" s="156">
        <v>1.907</v>
      </c>
      <c r="O41" s="156">
        <v>0.58599999999999997</v>
      </c>
      <c r="P41" s="156">
        <v>0.71299999999999997</v>
      </c>
      <c r="Q41" s="156">
        <v>0.87</v>
      </c>
      <c r="R41" s="156">
        <v>0.98</v>
      </c>
      <c r="S41" s="156">
        <f>1018/1000</f>
        <v>1.018</v>
      </c>
      <c r="V41" s="156">
        <f t="shared" si="14"/>
        <v>1</v>
      </c>
      <c r="W41" s="156">
        <f t="shared" si="15"/>
        <v>1.008</v>
      </c>
      <c r="X41" s="156">
        <f t="shared" si="16"/>
        <v>2.2850000000000001</v>
      </c>
      <c r="Y41" s="156">
        <f t="shared" si="17"/>
        <v>3.149</v>
      </c>
    </row>
    <row r="42" spans="1:25" ht="15">
      <c r="B42" s="105"/>
      <c r="C42" s="164"/>
      <c r="D42" s="164"/>
      <c r="E42" s="164"/>
      <c r="F42" s="164"/>
      <c r="G42" s="164"/>
      <c r="H42" s="164"/>
      <c r="I42" s="164"/>
      <c r="J42" s="164"/>
      <c r="K42" s="164"/>
      <c r="L42" s="164"/>
      <c r="M42" s="164"/>
      <c r="N42" s="164"/>
      <c r="O42" s="164"/>
      <c r="P42" s="164"/>
      <c r="Q42" s="164"/>
      <c r="R42" s="164"/>
      <c r="S42" s="164"/>
    </row>
    <row r="43" spans="1:25" s="59" customFormat="1" ht="14.1" customHeight="1">
      <c r="B43" s="173" t="s">
        <v>26</v>
      </c>
      <c r="C43" s="159">
        <v>3.2433000000000001</v>
      </c>
      <c r="D43" s="159">
        <v>3.6055999999999999</v>
      </c>
      <c r="E43" s="159">
        <v>3.9504999999999999</v>
      </c>
      <c r="F43" s="159">
        <v>3.8083999999999998</v>
      </c>
      <c r="G43" s="159">
        <v>3.7684000000000002</v>
      </c>
      <c r="H43" s="159">
        <v>3.92</v>
      </c>
      <c r="I43" s="159">
        <v>3.97</v>
      </c>
      <c r="J43" s="159">
        <v>4.1158000000000001</v>
      </c>
      <c r="K43" s="159">
        <v>4.4657</v>
      </c>
      <c r="L43" s="159">
        <v>5.3853999999999997</v>
      </c>
      <c r="M43" s="159">
        <v>5.3772000000000002</v>
      </c>
      <c r="N43" s="159">
        <v>5.3921000000000001</v>
      </c>
      <c r="O43" s="159">
        <v>5.4832999999999998</v>
      </c>
      <c r="P43" s="159">
        <v>5.2907241935483889</v>
      </c>
      <c r="Q43" s="159">
        <v>5.23</v>
      </c>
      <c r="R43" s="159">
        <v>5.59</v>
      </c>
      <c r="S43" s="159">
        <v>5.23</v>
      </c>
      <c r="V43" s="159">
        <v>3.6557843999999999</v>
      </c>
      <c r="W43" s="159">
        <v>3.9461185770751004</v>
      </c>
      <c r="X43" s="159">
        <v>5.157772908366538</v>
      </c>
      <c r="Y43" s="159">
        <v>5.3955605577689232</v>
      </c>
    </row>
    <row r="44" spans="1:25" s="117" customFormat="1">
      <c r="B44" s="173" t="s">
        <v>27</v>
      </c>
      <c r="C44" s="159">
        <v>3.3237999999999999</v>
      </c>
      <c r="D44" s="159">
        <v>3.8557999999999999</v>
      </c>
      <c r="E44" s="159">
        <v>4.0038999999999998</v>
      </c>
      <c r="F44" s="159">
        <v>3.8748</v>
      </c>
      <c r="G44" s="159">
        <v>3.8967000000000001</v>
      </c>
      <c r="H44" s="159">
        <v>3.83</v>
      </c>
      <c r="I44" s="159">
        <v>4.16</v>
      </c>
      <c r="J44" s="159">
        <v>4.0307000000000004</v>
      </c>
      <c r="K44" s="159">
        <v>5.1986999999999997</v>
      </c>
      <c r="L44" s="159">
        <v>5.476</v>
      </c>
      <c r="M44" s="159">
        <v>5.6406999999999998</v>
      </c>
      <c r="N44" s="159">
        <v>5.1966999999999999</v>
      </c>
      <c r="O44" s="159">
        <v>5.6973000000000003</v>
      </c>
      <c r="P44" s="159">
        <v>5.0022000000000002</v>
      </c>
      <c r="Q44" s="159">
        <v>5.44</v>
      </c>
      <c r="R44" s="159">
        <v>5.58</v>
      </c>
      <c r="S44" s="159">
        <v>4.74</v>
      </c>
      <c r="V44" s="159">
        <v>3.8748</v>
      </c>
      <c r="W44" s="159">
        <v>4.0307000000000004</v>
      </c>
      <c r="X44" s="159">
        <v>5.1966999999999999</v>
      </c>
      <c r="Y44" s="159">
        <v>5.58</v>
      </c>
    </row>
    <row r="45" spans="1:25" s="117" customFormat="1">
      <c r="B45" s="174" t="s">
        <v>139</v>
      </c>
      <c r="C45" s="230">
        <v>2159.1190476190477</v>
      </c>
      <c r="D45" s="230">
        <v>2259.2822580645161</v>
      </c>
      <c r="E45" s="230">
        <v>2056.8359375</v>
      </c>
      <c r="F45" s="230">
        <v>1970.53125</v>
      </c>
      <c r="G45" s="230">
        <v>1859.0079365079366</v>
      </c>
      <c r="H45" s="230">
        <v>1792.5081967213114</v>
      </c>
      <c r="I45" s="230">
        <v>1762.0923076923077</v>
      </c>
      <c r="J45" s="230">
        <v>1752.4921875</v>
      </c>
      <c r="K45" s="230">
        <v>1689.6875</v>
      </c>
      <c r="L45" s="230">
        <v>1496.516393442623</v>
      </c>
      <c r="M45" s="230">
        <v>1704.3153846153846</v>
      </c>
      <c r="N45" s="230">
        <v>1915.8203125</v>
      </c>
      <c r="O45" s="230">
        <v>2096.4206349206347</v>
      </c>
      <c r="P45" s="230">
        <v>2399.64</v>
      </c>
      <c r="Q45" s="230">
        <v>2648</v>
      </c>
      <c r="R45" s="230">
        <v>2762</v>
      </c>
      <c r="S45" s="230">
        <v>3280</v>
      </c>
      <c r="V45" s="230">
        <v>2110.084980237154</v>
      </c>
      <c r="W45" s="230">
        <v>1791.1304347826087</v>
      </c>
      <c r="X45" s="230">
        <v>1704.017716535433</v>
      </c>
      <c r="Y45" s="230">
        <v>2479.620553359684</v>
      </c>
    </row>
    <row r="46" spans="1:25">
      <c r="C46" s="74"/>
      <c r="D46" s="74"/>
      <c r="E46" s="74"/>
    </row>
    <row r="47" spans="1:25">
      <c r="C47" s="118"/>
      <c r="D47" s="118"/>
      <c r="E47" s="118"/>
      <c r="F47" s="118"/>
      <c r="G47" s="118"/>
      <c r="H47" s="118"/>
      <c r="I47" s="118"/>
      <c r="J47" s="118"/>
      <c r="K47" s="118"/>
      <c r="L47" s="118"/>
      <c r="M47" s="118"/>
      <c r="N47" s="118"/>
      <c r="O47" s="118"/>
      <c r="P47" s="118"/>
      <c r="Q47" s="118"/>
      <c r="R47" s="118"/>
      <c r="S47" s="118"/>
    </row>
  </sheetData>
  <pageMargins left="0.25" right="0.24" top="0.984251969" bottom="0.984251969" header="0.49212598499999999" footer="0.49212598499999999"/>
  <pageSetup paperSize="9" scale="77" orientation="landscape" r:id="rId1"/>
  <headerFooter alignWithMargins="0"/>
  <ignoredErrors>
    <ignoredError sqref="V18:Y27 V31:Y41"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
    <pageSetUpPr fitToPage="1"/>
  </sheetPr>
  <dimension ref="B2:S26"/>
  <sheetViews>
    <sheetView showGridLines="0" zoomScaleNormal="100" workbookViewId="0">
      <pane xSplit="2" ySplit="6" topLeftCell="H19" activePane="bottomRight" state="frozen"/>
      <selection activeCell="N12" sqref="N12"/>
      <selection pane="topRight" activeCell="N12" sqref="N12"/>
      <selection pane="bottomLeft" activeCell="N12" sqref="N12"/>
      <selection pane="bottomRight" activeCell="V15" sqref="V15"/>
    </sheetView>
  </sheetViews>
  <sheetFormatPr defaultColWidth="9.140625" defaultRowHeight="12.75"/>
  <cols>
    <col min="1" max="1" width="2.140625" style="42" customWidth="1"/>
    <col min="2" max="2" width="32.140625" style="42" customWidth="1"/>
    <col min="3" max="10" width="9.140625" style="42" customWidth="1"/>
    <col min="11" max="16384" width="9.140625" style="42"/>
  </cols>
  <sheetData>
    <row r="2" spans="2:19" ht="13.5" customHeight="1"/>
    <row r="4" spans="2:19" ht="20.25" customHeight="1"/>
    <row r="5" spans="2:19">
      <c r="B5" s="60"/>
    </row>
    <row r="6" spans="2:19" s="46" customFormat="1" ht="14.25" customHeight="1" thickBot="1">
      <c r="B6" s="61" t="s">
        <v>25</v>
      </c>
      <c r="C6" s="81" t="s">
        <v>42</v>
      </c>
      <c r="D6" s="81" t="s">
        <v>43</v>
      </c>
      <c r="E6" s="81" t="s">
        <v>44</v>
      </c>
      <c r="F6" s="81" t="s">
        <v>45</v>
      </c>
      <c r="G6" s="81" t="s">
        <v>46</v>
      </c>
      <c r="H6" s="81" t="s">
        <v>47</v>
      </c>
      <c r="I6" s="81" t="s">
        <v>48</v>
      </c>
      <c r="J6" s="81" t="s">
        <v>49</v>
      </c>
      <c r="K6" s="81" t="s">
        <v>50</v>
      </c>
      <c r="L6" s="81" t="s">
        <v>51</v>
      </c>
      <c r="M6" s="81" t="s">
        <v>52</v>
      </c>
      <c r="N6" s="81" t="s">
        <v>54</v>
      </c>
      <c r="O6" s="81" t="s">
        <v>57</v>
      </c>
      <c r="P6" s="81" t="s">
        <v>160</v>
      </c>
      <c r="Q6" s="81" t="s">
        <v>164</v>
      </c>
      <c r="R6" s="81" t="s">
        <v>174</v>
      </c>
      <c r="S6" s="81" t="s">
        <v>294</v>
      </c>
    </row>
    <row r="7" spans="2:19" s="46" customFormat="1" ht="5.25" customHeight="1" thickTop="1">
      <c r="B7" s="73"/>
      <c r="C7" s="74"/>
      <c r="D7" s="74"/>
      <c r="E7" s="74"/>
      <c r="F7" s="74"/>
      <c r="G7" s="74"/>
      <c r="H7" s="74"/>
      <c r="I7" s="74"/>
      <c r="J7" s="74"/>
      <c r="K7" s="74"/>
      <c r="L7" s="74"/>
      <c r="M7" s="74"/>
      <c r="N7" s="74"/>
      <c r="O7" s="74"/>
      <c r="P7" s="74"/>
      <c r="Q7" s="74"/>
      <c r="R7" s="105"/>
      <c r="S7" s="74"/>
    </row>
    <row r="8" spans="2:19" s="46" customFormat="1" ht="14.25" customHeight="1" thickBot="1">
      <c r="B8" s="75" t="s">
        <v>30</v>
      </c>
      <c r="C8" s="116">
        <v>1</v>
      </c>
      <c r="D8" s="116">
        <v>1</v>
      </c>
      <c r="E8" s="116">
        <v>1</v>
      </c>
      <c r="F8" s="116">
        <v>1</v>
      </c>
      <c r="G8" s="116">
        <v>1</v>
      </c>
      <c r="H8" s="116">
        <v>1</v>
      </c>
      <c r="I8" s="116">
        <v>1</v>
      </c>
      <c r="J8" s="116">
        <v>0.99999999999999989</v>
      </c>
      <c r="K8" s="116">
        <v>1</v>
      </c>
      <c r="L8" s="116">
        <v>1</v>
      </c>
      <c r="M8" s="116">
        <v>1</v>
      </c>
      <c r="N8" s="116">
        <v>1</v>
      </c>
      <c r="O8" s="116">
        <v>0.99999999999999989</v>
      </c>
      <c r="P8" s="116">
        <v>1</v>
      </c>
      <c r="Q8" s="116">
        <f>SUM(Q9:Q13)</f>
        <v>1</v>
      </c>
      <c r="R8" s="116">
        <v>0.99999999999999978</v>
      </c>
      <c r="S8" s="116">
        <v>0.99999999999999978</v>
      </c>
    </row>
    <row r="9" spans="2:19" s="46" customFormat="1" ht="14.25" customHeight="1">
      <c r="B9" s="74" t="s">
        <v>18</v>
      </c>
      <c r="C9" s="113">
        <v>0.12882787750791974</v>
      </c>
      <c r="D9" s="113">
        <v>0.1219047619047619</v>
      </c>
      <c r="E9" s="113">
        <v>0.11006825938566553</v>
      </c>
      <c r="F9" s="113">
        <v>0.10238645111624327</v>
      </c>
      <c r="G9" s="113">
        <v>0.11170688114387846</v>
      </c>
      <c r="H9" s="113">
        <v>0.11639762107051826</v>
      </c>
      <c r="I9" s="113">
        <v>0.11348122866894197</v>
      </c>
      <c r="J9" s="113">
        <v>0.12478031634446397</v>
      </c>
      <c r="K9" s="113">
        <v>0.11855203619909502</v>
      </c>
      <c r="L9" s="113">
        <v>0.13500482160077146</v>
      </c>
      <c r="M9" s="113">
        <v>0.11171032357473036</v>
      </c>
      <c r="N9" s="113">
        <v>0.12437095614665708</v>
      </c>
      <c r="O9" s="113">
        <v>0.10575173253216924</v>
      </c>
      <c r="P9" s="113">
        <v>9.3647675180091677E-2</v>
      </c>
      <c r="Q9" s="113">
        <v>7.6306250210444362E-2</v>
      </c>
      <c r="R9" s="113">
        <v>8.3324414746843975E-2</v>
      </c>
      <c r="S9" s="113">
        <v>9.6555534135344401E-2</v>
      </c>
    </row>
    <row r="10" spans="2:19" s="46" customFormat="1" ht="14.25" customHeight="1">
      <c r="B10" s="76" t="s">
        <v>19</v>
      </c>
      <c r="C10" s="114">
        <v>3.3790918690601898E-2</v>
      </c>
      <c r="D10" s="114">
        <v>4.476190476190476E-2</v>
      </c>
      <c r="E10" s="114">
        <v>8.0204778156996587E-2</v>
      </c>
      <c r="F10" s="114">
        <v>4.7729022324865283E-2</v>
      </c>
      <c r="G10" s="114">
        <v>4.1108132260947276E-2</v>
      </c>
      <c r="H10" s="114">
        <v>2.9736618521665252E-2</v>
      </c>
      <c r="I10" s="114">
        <v>0.10068259385665529</v>
      </c>
      <c r="J10" s="114">
        <v>6.32688927943761E-2</v>
      </c>
      <c r="K10" s="114">
        <v>6.5158371040723986E-2</v>
      </c>
      <c r="L10" s="114">
        <v>7.0395371263259399E-2</v>
      </c>
      <c r="M10" s="114">
        <v>8.1664098613251149E-2</v>
      </c>
      <c r="N10" s="114">
        <v>7.1171818835370243E-2</v>
      </c>
      <c r="O10" s="114">
        <v>5.4797607478519861E-2</v>
      </c>
      <c r="P10" s="114">
        <v>4.6496398166339228E-2</v>
      </c>
      <c r="Q10" s="114">
        <v>4.3722174228341314E-2</v>
      </c>
      <c r="R10" s="114">
        <v>1.2925487665724137E-2</v>
      </c>
      <c r="S10" s="114">
        <v>5.5813525232848882E-2</v>
      </c>
    </row>
    <row r="11" spans="2:19" s="46" customFormat="1" ht="14.25" customHeight="1">
      <c r="B11" s="78" t="s">
        <v>9</v>
      </c>
      <c r="C11" s="114">
        <v>7.8141499472016901E-2</v>
      </c>
      <c r="D11" s="114">
        <v>7.3333333333333334E-2</v>
      </c>
      <c r="E11" s="114">
        <v>6.2286689419795219E-2</v>
      </c>
      <c r="F11" s="114">
        <v>5.7736720554272515E-2</v>
      </c>
      <c r="G11" s="114">
        <v>8.3109919571045576E-2</v>
      </c>
      <c r="H11" s="114">
        <v>0.11554800339847068</v>
      </c>
      <c r="I11" s="114">
        <v>7.3378839590443681E-2</v>
      </c>
      <c r="J11" s="114">
        <v>0.12302284710017575</v>
      </c>
      <c r="K11" s="114">
        <v>7.8733031674208143E-2</v>
      </c>
      <c r="L11" s="114">
        <v>0.10607521697203472</v>
      </c>
      <c r="M11" s="114">
        <v>7.7812018489984591E-2</v>
      </c>
      <c r="N11" s="114">
        <v>8.8425593098490296E-2</v>
      </c>
      <c r="O11" s="114">
        <v>8.1472932173098297E-2</v>
      </c>
      <c r="P11" s="114">
        <v>7.9895219384413879E-2</v>
      </c>
      <c r="Q11" s="114">
        <v>6.6839645659418329E-2</v>
      </c>
      <c r="R11" s="114">
        <v>5.9457243262331032E-2</v>
      </c>
      <c r="S11" s="114">
        <v>7.1186586983481182E-2</v>
      </c>
    </row>
    <row r="12" spans="2:19" s="46" customFormat="1" ht="14.25" customHeight="1">
      <c r="B12" s="78" t="s">
        <v>81</v>
      </c>
      <c r="C12" s="115">
        <v>0.6958817317845829</v>
      </c>
      <c r="D12" s="115">
        <v>0.74285714285714288</v>
      </c>
      <c r="E12" s="115">
        <v>0.64078498293515362</v>
      </c>
      <c r="F12" s="115">
        <v>0.73056197074672824</v>
      </c>
      <c r="G12" s="115">
        <v>0.72386058981233248</v>
      </c>
      <c r="H12" s="115">
        <v>0.68734069668649111</v>
      </c>
      <c r="I12" s="115">
        <v>0.62372013651877134</v>
      </c>
      <c r="J12" s="115">
        <v>0.6300527240773286</v>
      </c>
      <c r="K12" s="115">
        <v>0.6588235294117647</v>
      </c>
      <c r="L12" s="115">
        <v>0.62873674059787854</v>
      </c>
      <c r="M12" s="115">
        <v>0.66332819722650227</v>
      </c>
      <c r="N12" s="115">
        <v>0.58231488138030196</v>
      </c>
      <c r="O12" s="115">
        <v>0.66623747161864355</v>
      </c>
      <c r="P12" s="115">
        <v>0.66339227242960053</v>
      </c>
      <c r="Q12" s="115">
        <v>0.75533825132410348</v>
      </c>
      <c r="R12" s="115">
        <v>0.80344831330141231</v>
      </c>
      <c r="S12" s="115">
        <v>0.69694224887280132</v>
      </c>
    </row>
    <row r="13" spans="2:19" s="46" customFormat="1" ht="14.25" customHeight="1">
      <c r="B13" s="78" t="s">
        <v>10</v>
      </c>
      <c r="C13" s="115">
        <v>6.3357972544878557E-2</v>
      </c>
      <c r="D13" s="115">
        <v>1.7142857142857144E-2</v>
      </c>
      <c r="E13" s="115">
        <v>0.10665529010238908</v>
      </c>
      <c r="F13" s="115">
        <v>6.1585835257890686E-2</v>
      </c>
      <c r="G13" s="115">
        <v>4.0214477211796246E-2</v>
      </c>
      <c r="H13" s="115">
        <v>5.0977060322854713E-2</v>
      </c>
      <c r="I13" s="115">
        <v>8.8737201365187715E-2</v>
      </c>
      <c r="J13" s="115">
        <v>5.8875219683655534E-2</v>
      </c>
      <c r="K13" s="115">
        <v>7.8733031674208143E-2</v>
      </c>
      <c r="L13" s="115">
        <v>5.9787849566055928E-2</v>
      </c>
      <c r="M13" s="115">
        <v>6.5485362095531588E-2</v>
      </c>
      <c r="N13" s="115">
        <v>0.13371675053918045</v>
      </c>
      <c r="O13" s="115">
        <v>9.1740256197569078E-2</v>
      </c>
      <c r="P13" s="115">
        <v>0.11656843483955469</v>
      </c>
      <c r="Q13" s="115">
        <v>5.7793678577692548E-2</v>
      </c>
      <c r="R13" s="115">
        <v>4.0844541023688272E-2</v>
      </c>
      <c r="S13" s="115">
        <v>7.9502104775524177E-2</v>
      </c>
    </row>
    <row r="14" spans="2:19" s="46" customFormat="1" ht="14.25" customHeight="1">
      <c r="B14" s="73"/>
      <c r="C14" s="74"/>
      <c r="D14" s="74"/>
      <c r="E14" s="74"/>
      <c r="F14" s="74"/>
      <c r="G14" s="74"/>
      <c r="H14" s="74"/>
      <c r="I14" s="74"/>
      <c r="J14" s="74"/>
      <c r="K14" s="74"/>
      <c r="L14" s="74"/>
      <c r="M14" s="74"/>
      <c r="N14" s="74"/>
      <c r="O14" s="74"/>
      <c r="P14" s="74"/>
      <c r="Q14" s="74"/>
      <c r="R14" s="105"/>
      <c r="S14" s="74"/>
    </row>
    <row r="15" spans="2:19" ht="15.75" thickBot="1">
      <c r="B15" s="75" t="s">
        <v>79</v>
      </c>
      <c r="C15" s="122">
        <v>0.79471544715447151</v>
      </c>
      <c r="D15" s="122">
        <v>0.79338842975206614</v>
      </c>
      <c r="E15" s="122">
        <v>0.74481658692185004</v>
      </c>
      <c r="F15" s="122">
        <v>0.7636229749631811</v>
      </c>
      <c r="G15" s="122">
        <v>0.79198635976129583</v>
      </c>
      <c r="H15" s="122">
        <v>0.7423756019261637</v>
      </c>
      <c r="I15" s="122">
        <v>0.72120730738681493</v>
      </c>
      <c r="J15" s="122">
        <v>0.68305643431103835</v>
      </c>
      <c r="K15" s="122">
        <v>0.81195786257511604</v>
      </c>
      <c r="L15" s="122">
        <v>0.8379022409861635</v>
      </c>
      <c r="M15" s="122">
        <v>0.86635590370526716</v>
      </c>
      <c r="N15" s="122">
        <v>0.86215656144208275</v>
      </c>
      <c r="O15" s="122">
        <v>0.97220601451199062</v>
      </c>
      <c r="P15" s="122">
        <v>0.89310286322371213</v>
      </c>
      <c r="Q15" s="122">
        <v>0.89310286322371213</v>
      </c>
      <c r="R15" s="122">
        <v>0.92137660884163397</v>
      </c>
      <c r="S15" s="122">
        <v>0.88295115663169177</v>
      </c>
    </row>
    <row r="16" spans="2:19" ht="15.75" thickBot="1">
      <c r="B16" s="75" t="s">
        <v>71</v>
      </c>
      <c r="C16" s="122">
        <v>0.17378048780487804</v>
      </c>
      <c r="D16" s="122">
        <v>0.19008264462809918</v>
      </c>
      <c r="E16" s="122">
        <v>0.24561403508771928</v>
      </c>
      <c r="F16" s="122">
        <v>0.23048600883652431</v>
      </c>
      <c r="G16" s="122">
        <v>0.20119352088661552</v>
      </c>
      <c r="H16" s="122">
        <v>0.24317817014446227</v>
      </c>
      <c r="I16" s="122">
        <v>0.27084988085782369</v>
      </c>
      <c r="J16" s="122">
        <v>0.30530676591815298</v>
      </c>
      <c r="K16" s="122">
        <v>0.17973962911086691</v>
      </c>
      <c r="L16" s="122">
        <v>0.14515347567191758</v>
      </c>
      <c r="M16" s="122">
        <v>0.12523247700811732</v>
      </c>
      <c r="N16" s="122">
        <v>0.12715498743809975</v>
      </c>
      <c r="O16" s="122">
        <v>1.9456490294869809E-2</v>
      </c>
      <c r="P16" s="122">
        <v>9.7791359304572598E-2</v>
      </c>
      <c r="Q16" s="122">
        <v>9.7791359304572598E-2</v>
      </c>
      <c r="R16" s="122">
        <v>7.1348628987129264E-2</v>
      </c>
      <c r="S16" s="122">
        <v>0.11086656243000259</v>
      </c>
    </row>
    <row r="17" spans="2:19" ht="15.75" thickBot="1">
      <c r="B17" s="75" t="s">
        <v>80</v>
      </c>
      <c r="C17" s="122">
        <v>3.1504065040650404E-2</v>
      </c>
      <c r="D17" s="122">
        <v>1.6528925619834711E-2</v>
      </c>
      <c r="E17" s="122">
        <v>9.5693779904306216E-3</v>
      </c>
      <c r="F17" s="122">
        <v>5.8910162002945507E-3</v>
      </c>
      <c r="G17" s="122">
        <v>6.8201193520886615E-3</v>
      </c>
      <c r="H17" s="122">
        <v>1.4446227929373997E-2</v>
      </c>
      <c r="I17" s="122">
        <v>7.9428117553613977E-3</v>
      </c>
      <c r="J17" s="122">
        <v>1.1636799770808701E-2</v>
      </c>
      <c r="K17" s="122">
        <v>8.3025083140170798E-3</v>
      </c>
      <c r="L17" s="122">
        <v>1.6944283341918793E-2</v>
      </c>
      <c r="M17" s="122">
        <v>8.4116192866154123E-3</v>
      </c>
      <c r="N17" s="122">
        <v>1.0688451119817477E-2</v>
      </c>
      <c r="O17" s="122">
        <v>8.3374951931394804E-3</v>
      </c>
      <c r="P17" s="122">
        <v>9.1057774717152023E-3</v>
      </c>
      <c r="Q17" s="122">
        <v>9.1057774717152023E-3</v>
      </c>
      <c r="R17" s="122">
        <v>7.2747621712367094E-3</v>
      </c>
      <c r="S17" s="122">
        <v>6.1822809383056563E-3</v>
      </c>
    </row>
    <row r="18" spans="2:19" ht="15">
      <c r="B18" s="120"/>
      <c r="C18" s="121"/>
      <c r="D18" s="121"/>
      <c r="E18" s="121"/>
      <c r="F18" s="121"/>
      <c r="G18" s="121"/>
      <c r="H18" s="121"/>
      <c r="I18" s="121"/>
      <c r="J18" s="121"/>
      <c r="K18" s="121"/>
      <c r="L18" s="121"/>
      <c r="M18" s="121"/>
      <c r="N18" s="121"/>
      <c r="O18" s="121"/>
      <c r="P18" s="121"/>
      <c r="Q18" s="121"/>
      <c r="R18" s="121"/>
    </row>
    <row r="19" spans="2:19" ht="15">
      <c r="B19" s="120"/>
      <c r="C19" s="121"/>
      <c r="D19" s="121"/>
      <c r="E19" s="121"/>
      <c r="F19" s="121"/>
      <c r="G19" s="121"/>
      <c r="H19" s="121"/>
      <c r="I19" s="121"/>
      <c r="J19" s="121"/>
      <c r="K19" s="121"/>
      <c r="L19" s="121"/>
      <c r="M19" s="121"/>
      <c r="N19" s="121"/>
      <c r="O19" s="121"/>
      <c r="P19" s="121"/>
      <c r="Q19" s="121"/>
      <c r="R19" s="121"/>
    </row>
    <row r="20" spans="2:19" ht="15.75" thickBot="1">
      <c r="B20" s="72" t="s">
        <v>216</v>
      </c>
      <c r="C20" s="72"/>
      <c r="D20" s="72"/>
      <c r="E20" s="72"/>
      <c r="F20" s="72"/>
      <c r="G20" s="72"/>
      <c r="H20" s="72"/>
      <c r="I20" s="72"/>
      <c r="J20" s="72"/>
      <c r="K20" s="72"/>
      <c r="L20" s="72"/>
      <c r="M20" s="72"/>
      <c r="N20" s="72"/>
      <c r="O20" s="72"/>
      <c r="P20" s="72"/>
      <c r="Q20" s="72"/>
      <c r="R20" s="72"/>
      <c r="S20" s="72"/>
    </row>
    <row r="21" spans="2:19" ht="15" thickTop="1">
      <c r="B21" s="77" t="s">
        <v>18</v>
      </c>
      <c r="C21" s="46"/>
      <c r="D21" s="46"/>
      <c r="E21" s="74"/>
      <c r="F21" s="74"/>
      <c r="G21" s="46"/>
      <c r="H21" s="74"/>
      <c r="I21" s="74"/>
      <c r="J21" s="74" t="s">
        <v>135</v>
      </c>
      <c r="K21" s="74"/>
      <c r="L21" s="74"/>
      <c r="M21" s="74"/>
      <c r="N21" s="74"/>
      <c r="O21" s="74"/>
      <c r="P21" s="74"/>
      <c r="Q21" s="74"/>
      <c r="R21" s="74"/>
      <c r="S21" s="74"/>
    </row>
    <row r="22" spans="2:19" ht="14.25">
      <c r="B22" s="77" t="s">
        <v>19</v>
      </c>
      <c r="C22" s="46"/>
      <c r="D22" s="46"/>
      <c r="E22" s="74"/>
      <c r="F22" s="74"/>
      <c r="G22" s="46"/>
      <c r="H22" s="74"/>
      <c r="I22" s="74"/>
      <c r="J22" s="74" t="s">
        <v>136</v>
      </c>
      <c r="K22" s="74"/>
      <c r="L22" s="74"/>
      <c r="M22" s="74"/>
      <c r="N22" s="74"/>
      <c r="O22" s="74"/>
      <c r="P22" s="74"/>
      <c r="Q22" s="74"/>
      <c r="R22" s="74"/>
    </row>
    <row r="23" spans="2:19" ht="14.25">
      <c r="B23" s="77" t="s">
        <v>9</v>
      </c>
      <c r="C23" s="46"/>
      <c r="D23" s="46"/>
      <c r="E23" s="74"/>
      <c r="F23" s="74"/>
      <c r="G23" s="46"/>
      <c r="H23" s="74"/>
      <c r="I23" s="74"/>
      <c r="J23" s="74" t="s">
        <v>134</v>
      </c>
      <c r="K23" s="74"/>
      <c r="L23" s="74"/>
      <c r="M23" s="74"/>
      <c r="N23" s="74"/>
      <c r="O23" s="74"/>
      <c r="P23" s="74"/>
      <c r="Q23" s="74"/>
      <c r="R23" s="74"/>
    </row>
    <row r="24" spans="2:19" ht="14.25">
      <c r="B24" s="77" t="s">
        <v>81</v>
      </c>
      <c r="C24" s="46"/>
      <c r="D24" s="46"/>
      <c r="E24" s="74"/>
      <c r="F24" s="74"/>
      <c r="G24" s="46"/>
      <c r="H24" s="74"/>
      <c r="I24" s="74"/>
      <c r="J24" s="74" t="s">
        <v>137</v>
      </c>
      <c r="K24" s="74"/>
      <c r="L24" s="74"/>
      <c r="M24" s="74"/>
      <c r="N24" s="74"/>
      <c r="O24" s="74"/>
      <c r="P24" s="74"/>
      <c r="Q24" s="74"/>
      <c r="R24" s="74"/>
    </row>
    <row r="25" spans="2:19" ht="14.25">
      <c r="B25" s="77" t="s">
        <v>10</v>
      </c>
      <c r="C25" s="46"/>
      <c r="D25" s="46"/>
      <c r="E25" s="74"/>
      <c r="F25" s="74"/>
      <c r="G25" s="46"/>
      <c r="H25" s="74"/>
      <c r="I25" s="74"/>
      <c r="J25" s="74" t="s">
        <v>138</v>
      </c>
      <c r="K25" s="74"/>
      <c r="L25" s="74"/>
      <c r="M25" s="74"/>
      <c r="N25" s="74"/>
      <c r="O25" s="74"/>
      <c r="P25" s="74"/>
      <c r="Q25" s="74"/>
      <c r="R25" s="74"/>
    </row>
    <row r="26" spans="2:19" ht="14.25">
      <c r="B26" s="40"/>
    </row>
  </sheetData>
  <phoneticPr fontId="0" type="noConversion"/>
  <pageMargins left="0.19685039370078741" right="0.19685039370078741" top="0.19685039370078741" bottom="0.19685039370078741" header="0.51181102362204722" footer="0.51181102362204722"/>
  <pageSetup paperSize="9" scale="83"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1" ma:contentTypeDescription="Create a new document." ma:contentTypeScope="" ma:versionID="24cbf9e6eb0cf3fd8e4feab043ae4841">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481252d4097837c0abe2a5451c6fea47"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FA92D2-0A72-41B8-8E6D-A8EA6B0FFAD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3.xml><?xml version="1.0" encoding="utf-8"?>
<ds:datastoreItem xmlns:ds="http://schemas.openxmlformats.org/officeDocument/2006/customXml" ds:itemID="{18D5D137-45E1-4D33-AF28-59081A745C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11</vt:i4>
      </vt:variant>
    </vt:vector>
  </HeadingPairs>
  <TitlesOfParts>
    <vt:vector size="22" baseType="lpstr">
      <vt:lpstr>Capa</vt:lpstr>
      <vt:lpstr>1 - Premissas</vt:lpstr>
      <vt:lpstr>2 - Processo Produtivo</vt:lpstr>
      <vt:lpstr>3 - Energia</vt:lpstr>
      <vt:lpstr>4 - Volume de Vendas Final</vt:lpstr>
      <vt:lpstr>5 - Dívida </vt:lpstr>
      <vt:lpstr>6 - Demonstrativos Financeiros</vt:lpstr>
      <vt:lpstr>7 - Resultados por negócio</vt:lpstr>
      <vt:lpstr>8 - Custos</vt:lpstr>
      <vt:lpstr>9 - Composição Custos</vt:lpstr>
      <vt:lpstr>10 - CAPEX</vt:lpstr>
      <vt:lpstr>'1 - Premissas'!Area_de_impressao</vt:lpstr>
      <vt:lpstr>'10 - CAPEX'!Area_de_impressao</vt:lpstr>
      <vt:lpstr>'2 - Processo Produtivo'!Area_de_impressao</vt:lpstr>
      <vt:lpstr>'3 - Energia'!Area_de_impressao</vt:lpstr>
      <vt:lpstr>'4 - Volume de Vendas Final'!Area_de_impressao</vt:lpstr>
      <vt:lpstr>'5 - Dívida '!Area_de_impressao</vt:lpstr>
      <vt:lpstr>'6 - Demonstrativos Financeiros'!Area_de_impressao</vt:lpstr>
      <vt:lpstr>'7 - Resultados por negócio'!Area_de_impressao</vt:lpstr>
      <vt:lpstr>'8 - Custos'!Area_de_impressao</vt:lpstr>
      <vt:lpstr>'9 - Composição Custos'!Area_de_impressao</vt:lpstr>
      <vt:lpstr>Capa!Area_de_impressao</vt:lpstr>
    </vt:vector>
  </TitlesOfParts>
  <Company>GERDAU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dc:creator>
  <cp:lastModifiedBy>Rhaissa D Orleans Jordao De Magalhaes</cp:lastModifiedBy>
  <cp:lastPrinted>2018-04-20T18:03:38Z</cp:lastPrinted>
  <dcterms:created xsi:type="dcterms:W3CDTF">2011-05-20T17:14:49Z</dcterms:created>
  <dcterms:modified xsi:type="dcterms:W3CDTF">2022-05-17T14:31:24Z</dcterms:modified>
</cp:coreProperties>
</file>