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EstaPasta_de_trabalho"/>
  <mc:AlternateContent xmlns:mc="http://schemas.openxmlformats.org/markup-compatibility/2006">
    <mc:Choice Requires="x15">
      <x15ac:absPath xmlns:x15ac="http://schemas.microsoft.com/office/spreadsheetml/2010/11/ac" url="C:\Users\Func\Downloads\"/>
    </mc:Choice>
  </mc:AlternateContent>
  <bookViews>
    <workbookView xWindow="0" yWindow="0" windowWidth="19200" windowHeight="8172" tabRatio="920"/>
  </bookViews>
  <sheets>
    <sheet name="Cover" sheetId="1" r:id="rId1"/>
    <sheet name="1 - Assumptions" sheetId="46" r:id="rId2"/>
    <sheet name="2 - Value Chain" sheetId="47" r:id="rId3"/>
    <sheet name="3 - ESG" sheetId="51" r:id="rId4"/>
    <sheet name="4 - Capacity and Utilization" sheetId="49" r:id="rId5"/>
    <sheet name="5 - Energy" sheetId="50" r:id="rId6"/>
    <sheet name="6 - Power Balance &amp; Result" sheetId="45" r:id="rId7"/>
    <sheet name="7 - Sales Volume" sheetId="35" r:id="rId8"/>
    <sheet name="8 - Debt" sheetId="30" r:id="rId9"/>
    <sheet name="9 - Financial Statements" sheetId="31" r:id="rId10"/>
    <sheet name="10 - Results by Business" sheetId="32" r:id="rId11"/>
    <sheet name="11 - Cost Breakdown" sheetId="40" r:id="rId12"/>
    <sheet name="12 - CAPEX" sheetId="39" r:id="rId13"/>
    <sheet name="13 - Financial Cycle" sheetId="42" r:id="rId14"/>
    <sheet name="14 - FCF" sheetId="43" r:id="rId15"/>
    <sheet name="15 - Cash Flow" sheetId="44" r:id="rId16"/>
  </sheets>
  <externalReferences>
    <externalReference r:id="rId17"/>
  </externalReferences>
  <definedNames>
    <definedName name="_xlnm._FilterDatabase" localSheetId="3" hidden="1">'3 - ESG'!$B$4:$E$29</definedName>
    <definedName name="_xlnm.Print_Area" localSheetId="1">'1 - Assumptions'!$A$1:$Q$27</definedName>
    <definedName name="_xlnm.Print_Area" localSheetId="10">'10 - Results by Business'!$A$1:$B$48</definedName>
    <definedName name="_xlnm.Print_Area" localSheetId="11">'11 - Cost Breakdown'!$A$1:$B$7</definedName>
    <definedName name="_xlnm.Print_Area" localSheetId="12">'12 - CAPEX'!$B$1:$C$11</definedName>
    <definedName name="_xlnm.Print_Area" localSheetId="2">'2 - Value Chain'!$A$1:$M$34</definedName>
    <definedName name="_xlnm.Print_Area" localSheetId="4">'4 - Capacity and Utilization'!$A$1:$B$8</definedName>
    <definedName name="_xlnm.Print_Area" localSheetId="5">'5 - Energy'!$B$1:$M$12</definedName>
    <definedName name="_xlnm.Print_Area" localSheetId="7">'7 - Sales Volume'!$A$1:$B$8</definedName>
    <definedName name="_xlnm.Print_Area" localSheetId="8">'8 - Debt'!$A$1:$D$38</definedName>
    <definedName name="_xlnm.Print_Area" localSheetId="9">'9 - Financial Statements'!$A$1:$B$109</definedName>
    <definedName name="_xlnm.Print_Area" localSheetId="0">Cover!$A$1:$M$31</definedName>
    <definedName name="CIQWBGuid" localSheetId="3" hidden="1">"7985db34-c804-47cf-a549-769d29aaa53a"</definedName>
    <definedName name="CIQWBGuid" hidden="1">"f952d49b-302a-480d-92fc-88ca2bbbc51f"</definedName>
    <definedName name="CIQWBInfo" localSheetId="3" hidden="1">"{ ""CIQVersion"":""9.49.2423.4439"" }"</definedName>
    <definedName name="CIQWBInfo" hidden="1">"{ ""CIQVersion"":""9.49.2423.4439"" }"</definedName>
    <definedName name="Dados_BPC">OFFSET(#REF!,0,0,COUNTA(#REF!))</definedName>
    <definedName name="Empresas" localSheetId="1">#REF!</definedName>
    <definedName name="Empresas" localSheetId="2">#REF!</definedName>
    <definedName name="Empresas" localSheetId="3">#REF!</definedName>
    <definedName name="Empresas" localSheetId="4">'4 - Capacity and Utilization'!#REF!</definedName>
    <definedName name="Empresas" localSheetId="5">'5 - Energy'!#REF!</definedName>
    <definedName name="Empresas">#REF!</definedName>
    <definedName name="exposição">OFFSET(#REF!,1,0,COUNTIF(#REF!,"&lt;&gt;0"))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1" hidden="1">44570.7998958333</definedName>
    <definedName name="IQ_NAMES_REVISION_DATE_" localSheetId="2" hidden="1">44570.7998958333</definedName>
    <definedName name="IQ_NAMES_REVISION_DATE_" hidden="1">44570.7998958333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QRCapitalIQA5" hidden="1">#REF!</definedName>
    <definedName name="IQRCapitalIQB5" hidden="1">#REF!</definedName>
    <definedName name="IQRCapitalIQD5" hidden="1">#REF!</definedName>
    <definedName name="IQRCapitalIQE5" hidden="1">#REF!</definedName>
    <definedName name="Listaun" localSheetId="3">#REF!</definedName>
    <definedName name="Listaun" localSheetId="4">'4 - Capacity and Utilization'!#REF!</definedName>
    <definedName name="Listaun" localSheetId="5">'5 - Energy'!#REF!</definedName>
    <definedName name="Listaun">#REF!</definedName>
    <definedName name="Mes">#REF!</definedName>
    <definedName name="Meses">#REF!</definedName>
    <definedName name="Periodo_Mes">#REF!</definedName>
    <definedName name="Periodos">#REF!</definedName>
    <definedName name="PLD">OFFSET(#REF!,1,0,COUNTIF(#REF!,"&lt;&gt;0"))</definedName>
    <definedName name="SEMANA">OFFSET(#REF!,1,0,COUNTIF(#REF!,"&lt;&gt;0"),2)</definedName>
    <definedName name="Unidades" localSheetId="1">#REF!</definedName>
    <definedName name="Unidades" localSheetId="2">#REF!</definedName>
    <definedName name="Unidades" localSheetId="3">#REF!</definedName>
    <definedName name="Unidades" localSheetId="4">'4 - Capacity and Utilization'!#REF!</definedName>
    <definedName name="Unidades" localSheetId="5">'5 - Energy'!#REF!</definedName>
    <definedName name="Unidades">#REF!</definedName>
    <definedName name="Versao_M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R19" i="35" l="1"/>
  <c r="AR18" i="35"/>
  <c r="AR17" i="35"/>
  <c r="AR16" i="35"/>
  <c r="AR15" i="35"/>
  <c r="AR14" i="35"/>
  <c r="AR13" i="35"/>
  <c r="AR12" i="35"/>
  <c r="AR11" i="35"/>
  <c r="AR10" i="35"/>
  <c r="AR9" i="35"/>
  <c r="AR9" i="39" l="1"/>
  <c r="AR46" i="32" l="1"/>
  <c r="AR45" i="32"/>
  <c r="AR44" i="32"/>
  <c r="AR43" i="32"/>
  <c r="AR42" i="32"/>
  <c r="AR38" i="32"/>
  <c r="AR37" i="32"/>
  <c r="AR36" i="32"/>
  <c r="AR35" i="32"/>
  <c r="AR34" i="32"/>
  <c r="AR30" i="32"/>
  <c r="AR29" i="32"/>
  <c r="AR28" i="32"/>
  <c r="AR27" i="32"/>
  <c r="AR26" i="32"/>
  <c r="AR25" i="32"/>
  <c r="AR24" i="32"/>
  <c r="AR23" i="32"/>
  <c r="AR22" i="32"/>
  <c r="AR21" i="32"/>
  <c r="AR20" i="32"/>
  <c r="AR19" i="32"/>
  <c r="AR15" i="32"/>
  <c r="AR14" i="32"/>
  <c r="AR13" i="32"/>
  <c r="AR12" i="32"/>
  <c r="AR11" i="32"/>
  <c r="AR10" i="32"/>
  <c r="AR9" i="32"/>
  <c r="AR35" i="31"/>
  <c r="AR36" i="31" s="1"/>
  <c r="AR34" i="31"/>
  <c r="AR33" i="31"/>
  <c r="AR32" i="31"/>
  <c r="AR31" i="31"/>
  <c r="AR30" i="31"/>
  <c r="AR29" i="31"/>
  <c r="AR28" i="31"/>
  <c r="AR26" i="31"/>
  <c r="AR25" i="31"/>
  <c r="AR24" i="31"/>
  <c r="AR22" i="31"/>
  <c r="AR21" i="31"/>
  <c r="AR20" i="31"/>
  <c r="AR19" i="31"/>
  <c r="AR18" i="31"/>
  <c r="AR17" i="31"/>
  <c r="AR16" i="31"/>
  <c r="AR14" i="31"/>
  <c r="AR13" i="31"/>
  <c r="AR12" i="31"/>
  <c r="AR11" i="31"/>
  <c r="AR15" i="31" s="1"/>
  <c r="AR23" i="31" s="1"/>
  <c r="AR27" i="31" s="1"/>
  <c r="AR9" i="31"/>
  <c r="AR10" i="31" s="1"/>
  <c r="AR8" i="31"/>
  <c r="AR7" i="31"/>
  <c r="BI7" i="35"/>
  <c r="BI9" i="35"/>
  <c r="BI10" i="35"/>
  <c r="BI11" i="35"/>
  <c r="BI12" i="35"/>
  <c r="BI13" i="35"/>
  <c r="BI14" i="35"/>
  <c r="BI15" i="35"/>
  <c r="BI16" i="35"/>
  <c r="BI17" i="35"/>
  <c r="BI18" i="35"/>
  <c r="BI19" i="35"/>
  <c r="AF10" i="39"/>
  <c r="AG10" i="39"/>
  <c r="AH10" i="39"/>
  <c r="AR7" i="39"/>
  <c r="AR8" i="39"/>
  <c r="AM44" i="45" l="1"/>
  <c r="AM36" i="45"/>
  <c r="AL36" i="45"/>
  <c r="AK36" i="45"/>
  <c r="AM31" i="45"/>
  <c r="AL31" i="45"/>
  <c r="AK31" i="45"/>
  <c r="AK12" i="45"/>
  <c r="AK18" i="45" s="1"/>
  <c r="AK21" i="45" s="1"/>
  <c r="AK24" i="45" s="1"/>
  <c r="AL12" i="45"/>
  <c r="AL18" i="45" s="1"/>
  <c r="AK19" i="45"/>
  <c r="AL19" i="45"/>
  <c r="AM19" i="45"/>
  <c r="AM23" i="45"/>
  <c r="AL23" i="45"/>
  <c r="AK23" i="45"/>
  <c r="AM27" i="45"/>
  <c r="AD42" i="45"/>
  <c r="AC42" i="45"/>
  <c r="AD41" i="45"/>
  <c r="AA36" i="45"/>
  <c r="Z36" i="45"/>
  <c r="Y36" i="45"/>
  <c r="X36" i="45"/>
  <c r="AA34" i="45"/>
  <c r="AB34" i="45"/>
  <c r="AC34" i="45"/>
  <c r="AD34" i="45"/>
  <c r="AD36" i="45"/>
  <c r="AD31" i="45"/>
  <c r="AD19" i="45"/>
  <c r="AD12" i="45"/>
  <c r="AD18" i="45" s="1"/>
  <c r="AD21" i="45" s="1"/>
  <c r="AD24" i="45" s="1"/>
  <c r="AD8" i="45"/>
  <c r="AL21" i="45" l="1"/>
  <c r="AL24" i="45" s="1"/>
  <c r="AB23" i="49" l="1"/>
  <c r="AB15" i="49"/>
  <c r="AB21" i="49"/>
  <c r="AB29" i="49" s="1"/>
  <c r="AB20" i="49"/>
  <c r="AB28" i="49" s="1"/>
  <c r="AB19" i="49"/>
  <c r="AB27" i="49" s="1"/>
  <c r="AB18" i="49"/>
  <c r="AB17" i="49"/>
  <c r="AB13" i="49"/>
  <c r="AB12" i="49"/>
  <c r="AB11" i="49"/>
  <c r="AB10" i="49"/>
  <c r="AB26" i="49" s="1"/>
  <c r="AB9" i="49"/>
  <c r="AB25" i="49" s="1"/>
  <c r="AA23" i="49"/>
  <c r="AA25" i="49"/>
  <c r="AA26" i="49"/>
  <c r="AA27" i="49"/>
  <c r="AA28" i="49"/>
  <c r="AA29" i="49"/>
  <c r="AA15" i="49" l="1"/>
  <c r="AH13" i="32"/>
  <c r="AH14" i="32"/>
  <c r="AH15" i="32"/>
  <c r="AH110" i="44"/>
  <c r="AH93" i="44"/>
  <c r="AH41" i="44"/>
  <c r="AH67" i="44" s="1"/>
  <c r="AG41" i="44"/>
  <c r="AC38" i="30"/>
  <c r="AD38" i="30"/>
  <c r="AE38" i="30"/>
  <c r="AF38" i="30"/>
  <c r="AG38" i="30"/>
  <c r="AR110" i="31"/>
  <c r="AR111" i="31"/>
  <c r="AR109" i="31"/>
  <c r="AH110" i="31"/>
  <c r="AH111" i="31"/>
  <c r="AH109" i="31"/>
  <c r="AH107" i="31"/>
  <c r="AH99" i="31"/>
  <c r="AH88" i="31"/>
  <c r="AH70" i="31"/>
  <c r="AH67" i="31"/>
  <c r="AH51" i="31"/>
  <c r="AH41" i="31"/>
  <c r="AH29" i="31"/>
  <c r="AH24" i="31"/>
  <c r="AH18" i="31"/>
  <c r="AH16" i="31"/>
  <c r="AH15" i="31"/>
  <c r="AH11" i="31"/>
  <c r="AC10" i="31"/>
  <c r="AD10" i="31"/>
  <c r="AE10" i="31"/>
  <c r="AF10" i="31"/>
  <c r="AG10" i="31"/>
  <c r="AH9" i="31"/>
  <c r="AH10" i="31" s="1"/>
  <c r="AH38" i="31"/>
  <c r="AH15" i="42"/>
  <c r="AH12" i="42"/>
  <c r="AH35" i="31" l="1"/>
  <c r="AH23" i="31"/>
  <c r="AH70" i="44"/>
  <c r="AH27" i="31" l="1"/>
  <c r="AH36" i="31"/>
  <c r="V8" i="43"/>
  <c r="W38" i="40"/>
  <c r="X38" i="40"/>
  <c r="Y38" i="40"/>
  <c r="Z38" i="40"/>
  <c r="Z28" i="40"/>
  <c r="Z21" i="40"/>
  <c r="Z15" i="40"/>
  <c r="Z8" i="40"/>
  <c r="AH10" i="32"/>
  <c r="AH12" i="32" s="1"/>
  <c r="AH10" i="30"/>
  <c r="AH8" i="30"/>
  <c r="AH24" i="35"/>
  <c r="AM40" i="45"/>
  <c r="AM39" i="45"/>
  <c r="AM35" i="45"/>
  <c r="AM32" i="45"/>
  <c r="AM30" i="45"/>
  <c r="AM29" i="45"/>
  <c r="AM22" i="45"/>
  <c r="AM20" i="45"/>
  <c r="AM17" i="45"/>
  <c r="AM16" i="45"/>
  <c r="AM15" i="45"/>
  <c r="AM14" i="45"/>
  <c r="AM13" i="45"/>
  <c r="AM11" i="45"/>
  <c r="AM10" i="45"/>
  <c r="AM9" i="45"/>
  <c r="AM8" i="45"/>
  <c r="AD27" i="45"/>
  <c r="E43" i="50"/>
  <c r="E42" i="50"/>
  <c r="BI25" i="35" l="1"/>
  <c r="BI26" i="35"/>
  <c r="BI27" i="35"/>
  <c r="V16" i="43"/>
  <c r="AM12" i="45"/>
  <c r="AM18" i="45" s="1"/>
  <c r="AM21" i="45" s="1"/>
  <c r="AM24" i="45" s="1"/>
  <c r="AM34" i="45"/>
  <c r="AH12" i="30"/>
  <c r="E44" i="50"/>
  <c r="AD29" i="31"/>
  <c r="AD24" i="31"/>
  <c r="AD27" i="31" s="1"/>
  <c r="AD18" i="31"/>
  <c r="AD16" i="31"/>
  <c r="AD15" i="31"/>
  <c r="AD11" i="31"/>
  <c r="AD9" i="31"/>
  <c r="Z34" i="40"/>
  <c r="C27" i="31"/>
  <c r="D27" i="31"/>
  <c r="E27" i="31"/>
  <c r="F27" i="31"/>
  <c r="G27" i="31"/>
  <c r="H27" i="31"/>
  <c r="I27" i="31"/>
  <c r="J27" i="31"/>
  <c r="K27" i="31"/>
  <c r="L27" i="31"/>
  <c r="M27" i="31"/>
  <c r="N27" i="31"/>
  <c r="O27" i="31"/>
  <c r="P27" i="31"/>
  <c r="Q27" i="31"/>
  <c r="R27" i="31"/>
  <c r="S27" i="31"/>
  <c r="T27" i="31"/>
  <c r="U27" i="31"/>
  <c r="V27" i="31"/>
  <c r="C29" i="31"/>
  <c r="D29" i="31"/>
  <c r="E29" i="31"/>
  <c r="F29" i="31"/>
  <c r="G29" i="31"/>
  <c r="H29" i="31"/>
  <c r="I29" i="31"/>
  <c r="J29" i="31"/>
  <c r="K29" i="31"/>
  <c r="L29" i="31"/>
  <c r="M29" i="31"/>
  <c r="N29" i="31"/>
  <c r="O29" i="31"/>
  <c r="P29" i="31"/>
  <c r="Q29" i="31"/>
  <c r="R29" i="31"/>
  <c r="S29" i="31"/>
  <c r="T29" i="31"/>
  <c r="U29" i="31"/>
  <c r="V29" i="31"/>
  <c r="W29" i="31"/>
  <c r="X29" i="31"/>
  <c r="Z29" i="31"/>
  <c r="AA29" i="31"/>
  <c r="AB29" i="31"/>
  <c r="AC29" i="31"/>
  <c r="AE29" i="31"/>
  <c r="AF29" i="31"/>
  <c r="BI24" i="35" l="1"/>
  <c r="AM42" i="45"/>
  <c r="AM41" i="45"/>
  <c r="AD35" i="31"/>
  <c r="AD36" i="31" s="1"/>
  <c r="AH19" i="30"/>
  <c r="AH23" i="30"/>
  <c r="AG19" i="32"/>
  <c r="U36" i="40"/>
  <c r="V36" i="40"/>
  <c r="AA12" i="45"/>
  <c r="AB12" i="45"/>
  <c r="AC10" i="39"/>
  <c r="Y12" i="45"/>
  <c r="C93" i="44"/>
  <c r="D70" i="31"/>
  <c r="E70" i="31"/>
  <c r="F70" i="31"/>
  <c r="G70" i="31"/>
  <c r="H70" i="31"/>
  <c r="I70" i="31"/>
  <c r="J70" i="31"/>
  <c r="K70" i="31"/>
  <c r="L70" i="31"/>
  <c r="M70" i="31"/>
  <c r="N70" i="31"/>
  <c r="O70" i="31"/>
  <c r="P70" i="31"/>
  <c r="Q70" i="31"/>
  <c r="R70" i="31"/>
  <c r="S70" i="31"/>
  <c r="T70" i="31"/>
  <c r="U70" i="31"/>
  <c r="V70" i="31"/>
  <c r="W70" i="31"/>
  <c r="X70" i="31"/>
  <c r="Y70" i="31"/>
  <c r="Z70" i="31"/>
  <c r="AA70" i="31"/>
  <c r="AB70" i="31"/>
  <c r="AC70" i="31"/>
  <c r="AD70" i="31"/>
  <c r="AE70" i="31"/>
  <c r="AF70" i="31"/>
  <c r="AG70" i="31"/>
  <c r="C70" i="31"/>
  <c r="AH38" i="30" l="1"/>
  <c r="AG12" i="42"/>
  <c r="AG15" i="42" s="1"/>
  <c r="Y28" i="40"/>
  <c r="Y21" i="40"/>
  <c r="Y15" i="40"/>
  <c r="Y8" i="40"/>
  <c r="Y34" i="40"/>
  <c r="AG15" i="32"/>
  <c r="AG14" i="32"/>
  <c r="AG13" i="32"/>
  <c r="AG9" i="32"/>
  <c r="AG38" i="31"/>
  <c r="AG99" i="31"/>
  <c r="AG88" i="31"/>
  <c r="AG107" i="31" s="1"/>
  <c r="AG51" i="31"/>
  <c r="AG41" i="31"/>
  <c r="AG29" i="31"/>
  <c r="AG24" i="31"/>
  <c r="AG18" i="31"/>
  <c r="AG16" i="31"/>
  <c r="AG11" i="31"/>
  <c r="AG9" i="31"/>
  <c r="AG12" i="30"/>
  <c r="AG23" i="30" s="1"/>
  <c r="BH7" i="35"/>
  <c r="AG24" i="35"/>
  <c r="BH25" i="35" s="1"/>
  <c r="AG17" i="35"/>
  <c r="AG13" i="35"/>
  <c r="AG9" i="35" s="1"/>
  <c r="AG10" i="35"/>
  <c r="AC27" i="45"/>
  <c r="AC31" i="45"/>
  <c r="AC36" i="45"/>
  <c r="AC41" i="45"/>
  <c r="AC8" i="45"/>
  <c r="AC18" i="45" s="1"/>
  <c r="AC12" i="45"/>
  <c r="AC19" i="45"/>
  <c r="Z15" i="49"/>
  <c r="Z23" i="49"/>
  <c r="Z25" i="49"/>
  <c r="Z26" i="49"/>
  <c r="Z27" i="49"/>
  <c r="Z28" i="49"/>
  <c r="Z29" i="49"/>
  <c r="AG110" i="44"/>
  <c r="AG93" i="44"/>
  <c r="AB12" i="30"/>
  <c r="AC12" i="30"/>
  <c r="AD12" i="30"/>
  <c r="AF12" i="32"/>
  <c r="BH27" i="35" l="1"/>
  <c r="BH26" i="35"/>
  <c r="BH24" i="35" s="1"/>
  <c r="AG67" i="31"/>
  <c r="AG15" i="31"/>
  <c r="AG19" i="30"/>
  <c r="BH18" i="35"/>
  <c r="BH10" i="35"/>
  <c r="BH19" i="35"/>
  <c r="BH11" i="35"/>
  <c r="BH12" i="35"/>
  <c r="BH14" i="35"/>
  <c r="BH15" i="35"/>
  <c r="BH16" i="35"/>
  <c r="BH17" i="35"/>
  <c r="BH13" i="35"/>
  <c r="AC21" i="45"/>
  <c r="AC24" i="45" s="1"/>
  <c r="AG23" i="31"/>
  <c r="AG27" i="31" s="1"/>
  <c r="AG35" i="31"/>
  <c r="AG36" i="31" s="1"/>
  <c r="AG10" i="32"/>
  <c r="AC36" i="31"/>
  <c r="AF14" i="32"/>
  <c r="AF15" i="32"/>
  <c r="AF110" i="44"/>
  <c r="AF93" i="44"/>
  <c r="AF41" i="44"/>
  <c r="AF67" i="44" s="1"/>
  <c r="AF70" i="44" s="1"/>
  <c r="T16" i="43"/>
  <c r="AF12" i="42"/>
  <c r="AF15" i="42" s="1"/>
  <c r="X28" i="40"/>
  <c r="X21" i="40"/>
  <c r="X15" i="40"/>
  <c r="X8" i="40"/>
  <c r="AF19" i="32"/>
  <c r="AF28" i="32" s="1"/>
  <c r="AF13" i="32" s="1"/>
  <c r="AF99" i="31"/>
  <c r="AE99" i="31"/>
  <c r="AF88" i="31"/>
  <c r="AE88" i="31"/>
  <c r="AE107" i="31" s="1"/>
  <c r="AF41" i="31"/>
  <c r="AF51" i="31"/>
  <c r="AF24" i="31"/>
  <c r="AF18" i="31"/>
  <c r="AF16" i="31"/>
  <c r="AF11" i="31"/>
  <c r="AF15" i="31" s="1"/>
  <c r="AF12" i="30"/>
  <c r="AF19" i="30" s="1"/>
  <c r="BH9" i="35" l="1"/>
  <c r="AG12" i="32"/>
  <c r="U8" i="43"/>
  <c r="U16" i="43" s="1"/>
  <c r="AF9" i="32"/>
  <c r="AF11" i="32" s="1"/>
  <c r="AF107" i="31"/>
  <c r="AF23" i="31"/>
  <c r="AF27" i="31" s="1"/>
  <c r="AF35" i="31"/>
  <c r="AF36" i="31" s="1"/>
  <c r="AF24" i="35"/>
  <c r="AF17" i="35"/>
  <c r="AF13" i="35"/>
  <c r="AF10" i="35"/>
  <c r="AF9" i="35" s="1"/>
  <c r="AB42" i="45"/>
  <c r="AB41" i="45"/>
  <c r="AB36" i="45"/>
  <c r="AB31" i="45"/>
  <c r="AB23" i="45"/>
  <c r="AB19" i="45"/>
  <c r="AB8" i="45"/>
  <c r="AB18" i="45" s="1"/>
  <c r="AB21" i="45" s="1"/>
  <c r="AB24" i="45" s="1"/>
  <c r="Y23" i="49"/>
  <c r="Y15" i="49"/>
  <c r="Y29" i="49"/>
  <c r="Y28" i="49"/>
  <c r="Y27" i="49"/>
  <c r="Y26" i="49"/>
  <c r="Y25" i="49"/>
  <c r="T36" i="40"/>
  <c r="W36" i="40"/>
  <c r="X36" i="40"/>
  <c r="S36" i="40"/>
  <c r="X34" i="40"/>
  <c r="AF67" i="31"/>
  <c r="AF38" i="31"/>
  <c r="BG27" i="35" l="1"/>
  <c r="AR27" i="35"/>
  <c r="AR26" i="35"/>
  <c r="AR25" i="35"/>
  <c r="AR24" i="35" s="1"/>
  <c r="BG12" i="35"/>
  <c r="BG11" i="35"/>
  <c r="BG26" i="35"/>
  <c r="BG13" i="35"/>
  <c r="BG25" i="35"/>
  <c r="BG10" i="35"/>
  <c r="BG16" i="35"/>
  <c r="BG15" i="35"/>
  <c r="BG19" i="35"/>
  <c r="BG18" i="35"/>
  <c r="BG17" i="35"/>
  <c r="BG9" i="35" s="1"/>
  <c r="BG14" i="35"/>
  <c r="AQ46" i="32"/>
  <c r="AQ45" i="32"/>
  <c r="AQ43" i="32"/>
  <c r="AQ42" i="32"/>
  <c r="AQ38" i="32"/>
  <c r="AQ37" i="32"/>
  <c r="AQ35" i="32"/>
  <c r="AQ34" i="32"/>
  <c r="AQ30" i="32"/>
  <c r="AQ29" i="32"/>
  <c r="AQ27" i="32"/>
  <c r="AQ25" i="32"/>
  <c r="AQ23" i="32"/>
  <c r="AQ22" i="32"/>
  <c r="AQ21" i="32"/>
  <c r="AQ20" i="32"/>
  <c r="AQ10" i="32"/>
  <c r="Z12" i="32"/>
  <c r="AA12" i="32"/>
  <c r="AB12" i="32"/>
  <c r="AC12" i="32"/>
  <c r="AD12" i="32"/>
  <c r="O12" i="32"/>
  <c r="P12" i="32"/>
  <c r="Q12" i="32"/>
  <c r="R12" i="32"/>
  <c r="S12" i="32"/>
  <c r="T12" i="32"/>
  <c r="U12" i="32"/>
  <c r="V12" i="32"/>
  <c r="W12" i="32"/>
  <c r="X12" i="32"/>
  <c r="BG24" i="35" l="1"/>
  <c r="AQ12" i="32"/>
  <c r="AE110" i="44"/>
  <c r="AE93" i="44"/>
  <c r="AE41" i="44"/>
  <c r="AE67" i="44" s="1"/>
  <c r="AE70" i="44" s="1"/>
  <c r="S16" i="43"/>
  <c r="AE12" i="42"/>
  <c r="AE15" i="42" s="1"/>
  <c r="AE10" i="39"/>
  <c r="AR10" i="39" s="1"/>
  <c r="W28" i="40"/>
  <c r="W21" i="40"/>
  <c r="W15" i="40"/>
  <c r="W8" i="40"/>
  <c r="W34" i="40"/>
  <c r="AE19" i="32"/>
  <c r="AE15" i="32"/>
  <c r="AE14" i="32"/>
  <c r="AE51" i="31"/>
  <c r="AE41" i="31"/>
  <c r="AE24" i="31"/>
  <c r="AE18" i="31"/>
  <c r="AE16" i="31"/>
  <c r="AE11" i="31"/>
  <c r="AE9" i="31"/>
  <c r="AE12" i="30"/>
  <c r="AE19" i="30" s="1"/>
  <c r="BE10" i="35"/>
  <c r="BE11" i="35"/>
  <c r="BE12" i="35"/>
  <c r="BE13" i="35"/>
  <c r="BE14" i="35"/>
  <c r="BE15" i="35"/>
  <c r="BE16" i="35"/>
  <c r="BE17" i="35"/>
  <c r="BE18" i="35"/>
  <c r="BE19" i="35"/>
  <c r="BE25" i="35"/>
  <c r="BE26" i="35"/>
  <c r="BE27" i="35"/>
  <c r="AE24" i="35"/>
  <c r="BF27" i="35" s="1"/>
  <c r="AE17" i="35"/>
  <c r="AE13" i="35"/>
  <c r="AE10" i="35"/>
  <c r="AE38" i="31"/>
  <c r="W36" i="31"/>
  <c r="Y34" i="31"/>
  <c r="Y33" i="31"/>
  <c r="Y31" i="31"/>
  <c r="Y30" i="31"/>
  <c r="Y29" i="31" s="1"/>
  <c r="Y26" i="31"/>
  <c r="Y25" i="31"/>
  <c r="Y24" i="31" s="1"/>
  <c r="AC24" i="31"/>
  <c r="AB24" i="31"/>
  <c r="AA24" i="31"/>
  <c r="Z24" i="31"/>
  <c r="X24" i="31"/>
  <c r="X27" i="31" s="1"/>
  <c r="W24" i="31"/>
  <c r="W27" i="31" s="1"/>
  <c r="Y22" i="31"/>
  <c r="Y21" i="31"/>
  <c r="Y20" i="31"/>
  <c r="Y19" i="31"/>
  <c r="AC18" i="31"/>
  <c r="AB18" i="31"/>
  <c r="AA18" i="31"/>
  <c r="Z18" i="31"/>
  <c r="X18" i="31"/>
  <c r="Y17" i="31"/>
  <c r="Y16" i="31" s="1"/>
  <c r="AC16" i="31"/>
  <c r="AB16" i="31"/>
  <c r="AA16" i="31"/>
  <c r="Z16" i="31"/>
  <c r="Y14" i="31"/>
  <c r="Y13" i="31"/>
  <c r="Y12" i="31"/>
  <c r="AC11" i="31"/>
  <c r="AB11" i="31"/>
  <c r="AA11" i="31"/>
  <c r="Z11" i="31"/>
  <c r="X11" i="31"/>
  <c r="W11" i="31"/>
  <c r="X9" i="31"/>
  <c r="X10" i="31" s="1"/>
  <c r="W9" i="31"/>
  <c r="W10" i="31" s="1"/>
  <c r="AC9" i="31"/>
  <c r="AB9" i="31"/>
  <c r="AA9" i="31"/>
  <c r="AA10" i="31" s="1"/>
  <c r="Z9" i="31"/>
  <c r="Z10" i="31" s="1"/>
  <c r="Y7" i="31"/>
  <c r="Y12" i="32"/>
  <c r="AC13" i="32"/>
  <c r="AB13" i="32"/>
  <c r="AA13" i="32"/>
  <c r="Z13" i="32"/>
  <c r="Y13" i="32"/>
  <c r="X13" i="32"/>
  <c r="W13" i="32"/>
  <c r="AA31" i="45"/>
  <c r="AA42" i="45" s="1"/>
  <c r="X29" i="49"/>
  <c r="X28" i="49"/>
  <c r="X27" i="49"/>
  <c r="X26" i="49"/>
  <c r="X25" i="49"/>
  <c r="X23" i="49"/>
  <c r="X15" i="49"/>
  <c r="AP110" i="31"/>
  <c r="AE35" i="31" l="1"/>
  <c r="AE67" i="31"/>
  <c r="AE9" i="32"/>
  <c r="AE28" i="32"/>
  <c r="AE13" i="32" s="1"/>
  <c r="BE9" i="35"/>
  <c r="AE9" i="35"/>
  <c r="BF16" i="35" s="1"/>
  <c r="AA35" i="31"/>
  <c r="AA36" i="31" s="1"/>
  <c r="Y11" i="31"/>
  <c r="BF26" i="35"/>
  <c r="BF25" i="35"/>
  <c r="BF24" i="35" s="1"/>
  <c r="BF10" i="35"/>
  <c r="BF15" i="35"/>
  <c r="AA41" i="45"/>
  <c r="Y18" i="31"/>
  <c r="Y35" i="31" s="1"/>
  <c r="Y36" i="31" s="1"/>
  <c r="AB35" i="31"/>
  <c r="AB36" i="31" s="1"/>
  <c r="X35" i="31"/>
  <c r="X36" i="31" s="1"/>
  <c r="Y9" i="31"/>
  <c r="Y10" i="31" s="1"/>
  <c r="Z35" i="31"/>
  <c r="Z36" i="31" s="1"/>
  <c r="AE15" i="31"/>
  <c r="AE23" i="31" s="1"/>
  <c r="AE27" i="31" s="1"/>
  <c r="BE24" i="35"/>
  <c r="BF19" i="35"/>
  <c r="BF17" i="35"/>
  <c r="Z15" i="31"/>
  <c r="Z23" i="31" s="1"/>
  <c r="Z27" i="31" s="1"/>
  <c r="AB15" i="31"/>
  <c r="AB23" i="31" s="1"/>
  <c r="AB27" i="31" s="1"/>
  <c r="AB10" i="31"/>
  <c r="AA15" i="31"/>
  <c r="AA23" i="31" s="1"/>
  <c r="AA27" i="31" s="1"/>
  <c r="AC15" i="31"/>
  <c r="AC23" i="31" s="1"/>
  <c r="AC27" i="31" s="1"/>
  <c r="AD41" i="44"/>
  <c r="AD67" i="44" s="1"/>
  <c r="AD70" i="44" s="1"/>
  <c r="S41" i="44"/>
  <c r="S67" i="44" s="1"/>
  <c r="S70" i="44" s="1"/>
  <c r="T41" i="44"/>
  <c r="T67" i="44" s="1"/>
  <c r="T70" i="44" s="1"/>
  <c r="U41" i="44"/>
  <c r="U67" i="44" s="1"/>
  <c r="U70" i="44" s="1"/>
  <c r="V41" i="44"/>
  <c r="V67" i="44" s="1"/>
  <c r="V70" i="44" s="1"/>
  <c r="W41" i="44"/>
  <c r="W67" i="44" s="1"/>
  <c r="W70" i="44" s="1"/>
  <c r="X41" i="44"/>
  <c r="X67" i="44" s="1"/>
  <c r="X70" i="44" s="1"/>
  <c r="Y41" i="44"/>
  <c r="Z41" i="44"/>
  <c r="Z67" i="44" s="1"/>
  <c r="Z70" i="44" s="1"/>
  <c r="AA41" i="44"/>
  <c r="AB41" i="44"/>
  <c r="AC41" i="44"/>
  <c r="AC67" i="44" s="1"/>
  <c r="AC70" i="44" s="1"/>
  <c r="Y45" i="44"/>
  <c r="AB45" i="44"/>
  <c r="Y46" i="44"/>
  <c r="AA46" i="44"/>
  <c r="AB46" i="44" s="1"/>
  <c r="Y47" i="44"/>
  <c r="AA47" i="44"/>
  <c r="AB47" i="44" s="1"/>
  <c r="Y49" i="44"/>
  <c r="AB49" i="44"/>
  <c r="AB50" i="44"/>
  <c r="Y52" i="44"/>
  <c r="AB52" i="44"/>
  <c r="Y54" i="44"/>
  <c r="AB54" i="44"/>
  <c r="Y55" i="44"/>
  <c r="AA55" i="44"/>
  <c r="AB55" i="44" s="1"/>
  <c r="Y56" i="44"/>
  <c r="AA56" i="44"/>
  <c r="AB56" i="44" s="1"/>
  <c r="AA57" i="44"/>
  <c r="AB57" i="44" s="1"/>
  <c r="Y58" i="44"/>
  <c r="AA58" i="44"/>
  <c r="AB58" i="44" s="1"/>
  <c r="Y59" i="44"/>
  <c r="AB59" i="44"/>
  <c r="AA60" i="44"/>
  <c r="AB60" i="44" s="1"/>
  <c r="AB61" i="44"/>
  <c r="Y65" i="44"/>
  <c r="AA65" i="44"/>
  <c r="AB65" i="44" s="1"/>
  <c r="C67" i="44"/>
  <c r="C70" i="44" s="1"/>
  <c r="D67" i="44"/>
  <c r="D70" i="44" s="1"/>
  <c r="E67" i="44"/>
  <c r="E70" i="44" s="1"/>
  <c r="F67" i="44"/>
  <c r="F70" i="44" s="1"/>
  <c r="G67" i="44"/>
  <c r="H67" i="44"/>
  <c r="I67" i="44"/>
  <c r="I70" i="44" s="1"/>
  <c r="J67" i="44"/>
  <c r="J70" i="44" s="1"/>
  <c r="K67" i="44"/>
  <c r="K70" i="44" s="1"/>
  <c r="L67" i="44"/>
  <c r="L70" i="44" s="1"/>
  <c r="M67" i="44"/>
  <c r="M70" i="44" s="1"/>
  <c r="N67" i="44"/>
  <c r="N70" i="44" s="1"/>
  <c r="O67" i="44"/>
  <c r="O70" i="44" s="1"/>
  <c r="P67" i="44"/>
  <c r="P70" i="44" s="1"/>
  <c r="Q67" i="44"/>
  <c r="Q70" i="44" s="1"/>
  <c r="R67" i="44"/>
  <c r="R70" i="44" s="1"/>
  <c r="G70" i="44"/>
  <c r="H70" i="44"/>
  <c r="D93" i="44"/>
  <c r="E93" i="44"/>
  <c r="F93" i="44"/>
  <c r="G93" i="44"/>
  <c r="H93" i="44"/>
  <c r="I93" i="44"/>
  <c r="J93" i="44"/>
  <c r="K93" i="44"/>
  <c r="L93" i="44"/>
  <c r="M93" i="44"/>
  <c r="N93" i="44"/>
  <c r="O93" i="44"/>
  <c r="P93" i="44"/>
  <c r="Q93" i="44"/>
  <c r="R93" i="44"/>
  <c r="S93" i="44"/>
  <c r="T93" i="44"/>
  <c r="U93" i="44"/>
  <c r="V93" i="44"/>
  <c r="W93" i="44"/>
  <c r="X93" i="44"/>
  <c r="Z93" i="44"/>
  <c r="AC93" i="44"/>
  <c r="AD93" i="44"/>
  <c r="Y96" i="44"/>
  <c r="AB96" i="44"/>
  <c r="Y104" i="44"/>
  <c r="AA104" i="44"/>
  <c r="AB104" i="44" s="1"/>
  <c r="Y105" i="44"/>
  <c r="AB105" i="44"/>
  <c r="Y106" i="44"/>
  <c r="AB106" i="44"/>
  <c r="AA107" i="44"/>
  <c r="AB107" i="44" s="1"/>
  <c r="C110" i="44"/>
  <c r="D110" i="44"/>
  <c r="E110" i="44"/>
  <c r="F110" i="44"/>
  <c r="G110" i="44"/>
  <c r="H110" i="44"/>
  <c r="I110" i="44"/>
  <c r="J110" i="44"/>
  <c r="K110" i="44"/>
  <c r="L110" i="44"/>
  <c r="M110" i="44"/>
  <c r="N110" i="44"/>
  <c r="O110" i="44"/>
  <c r="P110" i="44"/>
  <c r="Q110" i="44"/>
  <c r="R110" i="44"/>
  <c r="S110" i="44"/>
  <c r="T110" i="44"/>
  <c r="U110" i="44"/>
  <c r="V110" i="44"/>
  <c r="W110" i="44"/>
  <c r="X110" i="44"/>
  <c r="Z110" i="44"/>
  <c r="AC110" i="44"/>
  <c r="AD110" i="44"/>
  <c r="P14" i="43"/>
  <c r="P16" i="43" s="1"/>
  <c r="C16" i="43"/>
  <c r="D16" i="43"/>
  <c r="E16" i="43"/>
  <c r="F16" i="43"/>
  <c r="G16" i="43"/>
  <c r="H16" i="43"/>
  <c r="I16" i="43"/>
  <c r="J16" i="43"/>
  <c r="K16" i="43"/>
  <c r="L16" i="43"/>
  <c r="M16" i="43"/>
  <c r="N16" i="43"/>
  <c r="O16" i="43"/>
  <c r="Q16" i="43"/>
  <c r="R16" i="43"/>
  <c r="W8" i="42"/>
  <c r="W9" i="42"/>
  <c r="W10" i="42"/>
  <c r="W11" i="42"/>
  <c r="C12" i="42"/>
  <c r="C15" i="42" s="1"/>
  <c r="D12" i="42"/>
  <c r="D15" i="42" s="1"/>
  <c r="E12" i="42"/>
  <c r="E15" i="42" s="1"/>
  <c r="F12" i="42"/>
  <c r="F15" i="42" s="1"/>
  <c r="G12" i="42"/>
  <c r="G15" i="42" s="1"/>
  <c r="H12" i="42"/>
  <c r="H15" i="42" s="1"/>
  <c r="I12" i="42"/>
  <c r="I15" i="42" s="1"/>
  <c r="J12" i="42"/>
  <c r="J15" i="42" s="1"/>
  <c r="K12" i="42"/>
  <c r="K15" i="42" s="1"/>
  <c r="L12" i="42"/>
  <c r="L15" i="42" s="1"/>
  <c r="M12" i="42"/>
  <c r="M15" i="42" s="1"/>
  <c r="N12" i="42"/>
  <c r="N15" i="42" s="1"/>
  <c r="O12" i="42"/>
  <c r="O15" i="42" s="1"/>
  <c r="P12" i="42"/>
  <c r="P15" i="42" s="1"/>
  <c r="Q12" i="42"/>
  <c r="Q15" i="42" s="1"/>
  <c r="R12" i="42"/>
  <c r="R15" i="42" s="1"/>
  <c r="S12" i="42"/>
  <c r="S15" i="42" s="1"/>
  <c r="T12" i="42"/>
  <c r="T15" i="42" s="1"/>
  <c r="U12" i="42"/>
  <c r="U15" i="42" s="1"/>
  <c r="V12" i="42"/>
  <c r="X12" i="42"/>
  <c r="X15" i="42" s="1"/>
  <c r="Y12" i="42"/>
  <c r="Y15" i="42" s="1"/>
  <c r="Z12" i="42"/>
  <c r="Z15" i="42" s="1"/>
  <c r="AA12" i="42"/>
  <c r="AA15" i="42" s="1"/>
  <c r="AC15" i="42"/>
  <c r="AD12" i="42"/>
  <c r="AD15" i="42" s="1"/>
  <c r="W13" i="42"/>
  <c r="V14" i="42"/>
  <c r="AK7" i="39"/>
  <c r="AL7" i="39"/>
  <c r="AM7" i="39"/>
  <c r="AN7" i="39"/>
  <c r="AO7" i="39"/>
  <c r="AP7" i="39"/>
  <c r="AQ7" i="39"/>
  <c r="AK8" i="39"/>
  <c r="AL8" i="39"/>
  <c r="AM8" i="39"/>
  <c r="AN8" i="39"/>
  <c r="AO8" i="39"/>
  <c r="AP8" i="39"/>
  <c r="AQ8" i="39"/>
  <c r="AK9" i="39"/>
  <c r="AL9" i="39"/>
  <c r="AM9" i="39"/>
  <c r="AN9" i="39"/>
  <c r="AO9" i="39"/>
  <c r="AP9" i="39"/>
  <c r="AQ9" i="39"/>
  <c r="C10" i="39"/>
  <c r="D10" i="39"/>
  <c r="E10" i="39"/>
  <c r="F10" i="39"/>
  <c r="G10" i="39"/>
  <c r="H10" i="39"/>
  <c r="I10" i="39"/>
  <c r="J10" i="39"/>
  <c r="K10" i="39"/>
  <c r="L10" i="39"/>
  <c r="M10" i="39"/>
  <c r="N10" i="39"/>
  <c r="O10" i="39"/>
  <c r="P10" i="39"/>
  <c r="Q10" i="39"/>
  <c r="R10" i="39"/>
  <c r="S10" i="39"/>
  <c r="T10" i="39"/>
  <c r="U10" i="39"/>
  <c r="V10" i="39"/>
  <c r="W10" i="39"/>
  <c r="X10" i="39"/>
  <c r="Y10" i="39"/>
  <c r="AD10" i="39"/>
  <c r="AQ10" i="39" s="1"/>
  <c r="AP10" i="39"/>
  <c r="C8" i="40"/>
  <c r="D8" i="40"/>
  <c r="E8" i="40"/>
  <c r="F8" i="40"/>
  <c r="G8" i="40"/>
  <c r="H8" i="40"/>
  <c r="I8" i="40"/>
  <c r="J8" i="40"/>
  <c r="K8" i="40"/>
  <c r="L8" i="40"/>
  <c r="M8" i="40"/>
  <c r="N8" i="40"/>
  <c r="O8" i="40"/>
  <c r="P8" i="40"/>
  <c r="Q8" i="40"/>
  <c r="R8" i="40"/>
  <c r="S8" i="40"/>
  <c r="T8" i="40"/>
  <c r="U8" i="40"/>
  <c r="C15" i="40"/>
  <c r="D15" i="40"/>
  <c r="E15" i="40"/>
  <c r="F15" i="40"/>
  <c r="G15" i="40"/>
  <c r="H15" i="40"/>
  <c r="I15" i="40"/>
  <c r="J15" i="40"/>
  <c r="K15" i="40"/>
  <c r="L15" i="40"/>
  <c r="M15" i="40"/>
  <c r="N15" i="40"/>
  <c r="O15" i="40"/>
  <c r="P15" i="40"/>
  <c r="Q15" i="40"/>
  <c r="R15" i="40"/>
  <c r="S15" i="40"/>
  <c r="T15" i="40"/>
  <c r="U15" i="40"/>
  <c r="P21" i="40"/>
  <c r="U21" i="40"/>
  <c r="P28" i="40"/>
  <c r="U28" i="40"/>
  <c r="L34" i="40"/>
  <c r="S34" i="40"/>
  <c r="T34" i="40"/>
  <c r="U34" i="40"/>
  <c r="V34" i="40"/>
  <c r="P38" i="40"/>
  <c r="P36" i="40" s="1"/>
  <c r="C9" i="32"/>
  <c r="D9" i="32"/>
  <c r="E9" i="32"/>
  <c r="F9" i="32"/>
  <c r="G9" i="32"/>
  <c r="H9" i="32"/>
  <c r="I9" i="32"/>
  <c r="J9" i="32"/>
  <c r="K9" i="32"/>
  <c r="L9" i="32"/>
  <c r="M9" i="32"/>
  <c r="N9" i="32"/>
  <c r="AD19" i="32"/>
  <c r="AQ19" i="32" s="1"/>
  <c r="AP9" i="32"/>
  <c r="C11" i="32"/>
  <c r="C10" i="32" s="1"/>
  <c r="D11" i="32"/>
  <c r="E11" i="32"/>
  <c r="F11" i="32"/>
  <c r="G11" i="32"/>
  <c r="H11" i="32"/>
  <c r="I11" i="32"/>
  <c r="J11" i="32"/>
  <c r="K11" i="32"/>
  <c r="L11" i="32"/>
  <c r="M11" i="32"/>
  <c r="N11" i="32"/>
  <c r="AP10" i="32"/>
  <c r="AP12" i="32"/>
  <c r="C13" i="32"/>
  <c r="D13" i="32"/>
  <c r="E13" i="32"/>
  <c r="F13" i="32"/>
  <c r="G13" i="32"/>
  <c r="H13" i="32"/>
  <c r="I13" i="32"/>
  <c r="J13" i="32"/>
  <c r="K13" i="32"/>
  <c r="L13" i="32"/>
  <c r="M13" i="32"/>
  <c r="N13" i="32"/>
  <c r="AP13" i="32"/>
  <c r="C14" i="32"/>
  <c r="D14" i="32"/>
  <c r="E14" i="32"/>
  <c r="F14" i="32"/>
  <c r="G14" i="32"/>
  <c r="H14" i="32"/>
  <c r="I14" i="32"/>
  <c r="J14" i="32"/>
  <c r="K14" i="32"/>
  <c r="L14" i="32"/>
  <c r="M14" i="32"/>
  <c r="N14" i="32"/>
  <c r="AQ14" i="32"/>
  <c r="AP14" i="32"/>
  <c r="C15" i="32"/>
  <c r="D15" i="32"/>
  <c r="E15" i="32"/>
  <c r="F15" i="32"/>
  <c r="G15" i="32"/>
  <c r="H15" i="32"/>
  <c r="I15" i="32"/>
  <c r="J15" i="32"/>
  <c r="K15" i="32"/>
  <c r="L15" i="32"/>
  <c r="M15" i="32"/>
  <c r="N15" i="32"/>
  <c r="AQ15" i="32"/>
  <c r="AP15" i="32"/>
  <c r="AP19" i="32"/>
  <c r="AP20" i="32"/>
  <c r="AP21" i="32"/>
  <c r="AP22" i="32"/>
  <c r="AP23" i="32"/>
  <c r="AP25" i="32"/>
  <c r="AK27" i="32"/>
  <c r="AL27" i="32"/>
  <c r="AM27" i="32"/>
  <c r="AN27" i="32"/>
  <c r="AO27" i="32"/>
  <c r="AP27" i="32"/>
  <c r="AP28" i="32"/>
  <c r="AP29" i="32"/>
  <c r="AP30" i="32"/>
  <c r="AP34" i="32"/>
  <c r="C35" i="32"/>
  <c r="D35" i="32"/>
  <c r="E35" i="32"/>
  <c r="F35" i="32"/>
  <c r="G35" i="32"/>
  <c r="H35" i="32"/>
  <c r="I35" i="32"/>
  <c r="J35" i="32"/>
  <c r="K35" i="32"/>
  <c r="L35" i="32"/>
  <c r="M35" i="32"/>
  <c r="N35" i="32"/>
  <c r="AK35" i="32"/>
  <c r="AL35" i="32"/>
  <c r="AM35" i="32"/>
  <c r="AN35" i="32"/>
  <c r="AO35" i="32"/>
  <c r="AP35" i="32"/>
  <c r="AD36" i="32"/>
  <c r="AQ36" i="32" s="1"/>
  <c r="AP36" i="32"/>
  <c r="AP37" i="32"/>
  <c r="AP38" i="32"/>
  <c r="AP42" i="32"/>
  <c r="C43" i="32"/>
  <c r="D43" i="32"/>
  <c r="E43" i="32"/>
  <c r="F43" i="32"/>
  <c r="G43" i="32"/>
  <c r="H43" i="32"/>
  <c r="I43" i="32"/>
  <c r="J43" i="32"/>
  <c r="K43" i="32"/>
  <c r="L43" i="32"/>
  <c r="M43" i="32"/>
  <c r="N43" i="32"/>
  <c r="AK43" i="32"/>
  <c r="AL43" i="32"/>
  <c r="AM43" i="32"/>
  <c r="AN43" i="32"/>
  <c r="AO43" i="32"/>
  <c r="AP43" i="32"/>
  <c r="AD44" i="32"/>
  <c r="AQ44" i="32" s="1"/>
  <c r="AP44" i="32"/>
  <c r="AP45" i="32"/>
  <c r="AP46" i="32"/>
  <c r="AQ7" i="31"/>
  <c r="AQ8" i="31"/>
  <c r="AQ9" i="31"/>
  <c r="AQ12" i="31"/>
  <c r="AQ13" i="31"/>
  <c r="AQ14" i="31"/>
  <c r="AQ17" i="31"/>
  <c r="AQ16" i="31" s="1"/>
  <c r="AQ19" i="31"/>
  <c r="AQ20" i="31"/>
  <c r="AQ21" i="31"/>
  <c r="AQ22" i="31"/>
  <c r="AQ25" i="31"/>
  <c r="AQ26" i="31"/>
  <c r="AQ30" i="31"/>
  <c r="AQ31" i="31"/>
  <c r="AQ33" i="31"/>
  <c r="AQ34" i="31"/>
  <c r="AB38" i="31"/>
  <c r="AC38" i="31"/>
  <c r="AD38" i="31"/>
  <c r="AD41" i="31"/>
  <c r="AD51" i="31"/>
  <c r="AD67" i="31" s="1"/>
  <c r="AD88" i="31"/>
  <c r="AD99" i="31"/>
  <c r="K19" i="30"/>
  <c r="L19" i="30"/>
  <c r="M19" i="30"/>
  <c r="N19" i="30"/>
  <c r="O19" i="30"/>
  <c r="P19" i="30"/>
  <c r="Q19" i="30"/>
  <c r="R19" i="30"/>
  <c r="S19" i="30"/>
  <c r="T19" i="30"/>
  <c r="U19" i="30"/>
  <c r="V19" i="30"/>
  <c r="W19" i="30"/>
  <c r="X19" i="30"/>
  <c r="Y19" i="30"/>
  <c r="Z19" i="30"/>
  <c r="AA19" i="30"/>
  <c r="AB19" i="30"/>
  <c r="AC19" i="30"/>
  <c r="AD19" i="30"/>
  <c r="AB22" i="30"/>
  <c r="AD22" i="30"/>
  <c r="AD23" i="30" s="1"/>
  <c r="N23" i="30"/>
  <c r="O23" i="30"/>
  <c r="P23" i="30"/>
  <c r="Q23" i="30"/>
  <c r="R23" i="30"/>
  <c r="S23" i="30"/>
  <c r="T23" i="30"/>
  <c r="U23" i="30"/>
  <c r="V23" i="30"/>
  <c r="W23" i="30"/>
  <c r="X23" i="30"/>
  <c r="Y23" i="30"/>
  <c r="AB23" i="30"/>
  <c r="AC23" i="30"/>
  <c r="U9" i="35"/>
  <c r="V9" i="35"/>
  <c r="W9" i="35"/>
  <c r="AX11" i="35" s="1"/>
  <c r="X9" i="35"/>
  <c r="AY10" i="35" s="1"/>
  <c r="Y9" i="35"/>
  <c r="AZ10" i="35" s="1"/>
  <c r="Z9" i="35"/>
  <c r="AA9" i="35"/>
  <c r="BB13" i="35" s="1"/>
  <c r="AB9" i="35"/>
  <c r="BC12" i="35" s="1"/>
  <c r="AC9" i="35"/>
  <c r="BD17" i="35" s="1"/>
  <c r="AK10" i="35"/>
  <c r="AL10" i="35"/>
  <c r="AM10" i="35"/>
  <c r="AN10" i="35"/>
  <c r="AK11" i="35"/>
  <c r="AL11" i="35"/>
  <c r="AM11" i="35"/>
  <c r="AN11" i="35"/>
  <c r="AK12" i="35"/>
  <c r="AL12" i="35"/>
  <c r="AM12" i="35"/>
  <c r="AN12" i="35"/>
  <c r="AK13" i="35"/>
  <c r="AL13" i="35"/>
  <c r="AM13" i="35"/>
  <c r="AN13" i="35"/>
  <c r="AK14" i="35"/>
  <c r="AL14" i="35"/>
  <c r="AM14" i="35"/>
  <c r="AN14" i="35"/>
  <c r="AK15" i="35"/>
  <c r="AL15" i="35"/>
  <c r="AM15" i="35"/>
  <c r="AN15" i="35"/>
  <c r="AK16" i="35"/>
  <c r="AL16" i="35"/>
  <c r="AM16" i="35"/>
  <c r="AN16" i="35"/>
  <c r="AK17" i="35"/>
  <c r="AL17" i="35"/>
  <c r="AM17" i="35"/>
  <c r="AN17" i="35"/>
  <c r="AK18" i="35"/>
  <c r="AL18" i="35"/>
  <c r="AM18" i="35"/>
  <c r="AN18" i="35"/>
  <c r="AK19" i="35"/>
  <c r="AL19" i="35"/>
  <c r="AM19" i="35"/>
  <c r="AN19" i="35"/>
  <c r="AK24" i="35"/>
  <c r="AL24" i="35"/>
  <c r="AM24" i="35"/>
  <c r="AN24" i="35"/>
  <c r="AO24" i="35"/>
  <c r="AP25" i="35"/>
  <c r="AP26" i="35"/>
  <c r="AP27" i="35"/>
  <c r="AQ25" i="35"/>
  <c r="AQ26" i="35"/>
  <c r="AQ27" i="35"/>
  <c r="AX24" i="35"/>
  <c r="AY24" i="35"/>
  <c r="AZ24" i="35"/>
  <c r="BB25" i="35"/>
  <c r="BB26" i="35"/>
  <c r="BB27" i="35"/>
  <c r="BC25" i="35"/>
  <c r="BC26" i="35"/>
  <c r="BC27" i="35"/>
  <c r="BD25" i="35"/>
  <c r="BD26" i="35"/>
  <c r="BD27" i="35"/>
  <c r="AK25" i="35"/>
  <c r="AL25" i="35"/>
  <c r="AM25" i="35"/>
  <c r="AN25" i="35"/>
  <c r="AO25" i="35"/>
  <c r="AX25" i="35"/>
  <c r="AY25" i="35"/>
  <c r="AZ25" i="35"/>
  <c r="AK26" i="35"/>
  <c r="AL26" i="35"/>
  <c r="AM26" i="35"/>
  <c r="AN26" i="35"/>
  <c r="AO26" i="35"/>
  <c r="AX26" i="35"/>
  <c r="AY26" i="35"/>
  <c r="AZ26" i="35"/>
  <c r="AK27" i="35"/>
  <c r="AL27" i="35"/>
  <c r="AM27" i="35"/>
  <c r="AN27" i="35"/>
  <c r="AO27" i="35"/>
  <c r="AX27" i="35"/>
  <c r="AY27" i="35"/>
  <c r="AZ27" i="35"/>
  <c r="K8" i="45"/>
  <c r="L8" i="45"/>
  <c r="M8" i="45"/>
  <c r="N8" i="45"/>
  <c r="O8" i="45"/>
  <c r="P8" i="45"/>
  <c r="Q8" i="45"/>
  <c r="R8" i="45"/>
  <c r="S8" i="45"/>
  <c r="T8" i="45"/>
  <c r="U8" i="45"/>
  <c r="V8" i="45"/>
  <c r="W8" i="45"/>
  <c r="X8" i="45"/>
  <c r="Y8" i="45"/>
  <c r="Z8" i="45"/>
  <c r="AI9" i="45"/>
  <c r="AJ9" i="45"/>
  <c r="AK9" i="45"/>
  <c r="AL9" i="45"/>
  <c r="AI10" i="45"/>
  <c r="AJ10" i="45"/>
  <c r="AK10" i="45"/>
  <c r="AL10" i="45"/>
  <c r="AI11" i="45"/>
  <c r="AJ11" i="45"/>
  <c r="AK11" i="45"/>
  <c r="AL11" i="45"/>
  <c r="K17" i="45"/>
  <c r="K12" i="45"/>
  <c r="L12" i="45"/>
  <c r="M12" i="45"/>
  <c r="N17" i="45"/>
  <c r="N12" i="45" s="1"/>
  <c r="O12" i="45"/>
  <c r="P12" i="45"/>
  <c r="Q12" i="45"/>
  <c r="R12" i="45"/>
  <c r="S12" i="45"/>
  <c r="T12" i="45"/>
  <c r="U12" i="45"/>
  <c r="V12" i="45"/>
  <c r="W12" i="45"/>
  <c r="X12" i="45"/>
  <c r="Z12" i="45"/>
  <c r="AI13" i="45"/>
  <c r="AJ13" i="45"/>
  <c r="AK13" i="45"/>
  <c r="AL13" i="45"/>
  <c r="AI14" i="45"/>
  <c r="AJ14" i="45"/>
  <c r="AK14" i="45"/>
  <c r="AL14" i="45"/>
  <c r="AI15" i="45"/>
  <c r="AJ15" i="45"/>
  <c r="AK15" i="45"/>
  <c r="AL15" i="45"/>
  <c r="AI16" i="45"/>
  <c r="AJ16" i="45"/>
  <c r="AK16" i="45"/>
  <c r="AL16" i="45"/>
  <c r="AJ17" i="45"/>
  <c r="AK17" i="45"/>
  <c r="AL17" i="45"/>
  <c r="AI19" i="45"/>
  <c r="AJ19" i="45"/>
  <c r="AI20" i="45"/>
  <c r="AJ20" i="45"/>
  <c r="AK20" i="45"/>
  <c r="AL20" i="45"/>
  <c r="AI22" i="45"/>
  <c r="AJ22" i="45"/>
  <c r="AK22" i="45"/>
  <c r="AL22" i="45"/>
  <c r="AL29" i="45"/>
  <c r="AL30" i="45"/>
  <c r="C31" i="45"/>
  <c r="C34" i="45" s="1"/>
  <c r="C36" i="45" s="1"/>
  <c r="D31" i="45"/>
  <c r="D34" i="45" s="1"/>
  <c r="D36" i="45" s="1"/>
  <c r="E31" i="45"/>
  <c r="E34" i="45" s="1"/>
  <c r="E36" i="45" s="1"/>
  <c r="F31" i="45"/>
  <c r="F34" i="45" s="1"/>
  <c r="F36" i="45" s="1"/>
  <c r="G31" i="45"/>
  <c r="G34" i="45" s="1"/>
  <c r="G36" i="45" s="1"/>
  <c r="H31" i="45"/>
  <c r="H34" i="45" s="1"/>
  <c r="H36" i="45" s="1"/>
  <c r="I31" i="45"/>
  <c r="I34" i="45" s="1"/>
  <c r="I36" i="45" s="1"/>
  <c r="J31" i="45"/>
  <c r="J34" i="45" s="1"/>
  <c r="J36" i="45" s="1"/>
  <c r="K31" i="45"/>
  <c r="K34" i="45" s="1"/>
  <c r="L31" i="45"/>
  <c r="L34" i="45" s="1"/>
  <c r="M31" i="45"/>
  <c r="M34" i="45" s="1"/>
  <c r="N31" i="45"/>
  <c r="N34" i="45" s="1"/>
  <c r="O31" i="45"/>
  <c r="O34" i="45" s="1"/>
  <c r="P31" i="45"/>
  <c r="P34" i="45" s="1"/>
  <c r="Q31" i="45"/>
  <c r="Q34" i="45" s="1"/>
  <c r="R31" i="45"/>
  <c r="R34" i="45" s="1"/>
  <c r="S31" i="45"/>
  <c r="S34" i="45" s="1"/>
  <c r="S36" i="45" s="1"/>
  <c r="T31" i="45"/>
  <c r="T34" i="45" s="1"/>
  <c r="U31" i="45"/>
  <c r="U34" i="45" s="1"/>
  <c r="V31" i="45"/>
  <c r="V34" i="45" s="1"/>
  <c r="Z31" i="45"/>
  <c r="Z34" i="45" s="1"/>
  <c r="AL32" i="45"/>
  <c r="Y34" i="45"/>
  <c r="AF34" i="45"/>
  <c r="AF36" i="45" s="1"/>
  <c r="AG34" i="45"/>
  <c r="AG36" i="45" s="1"/>
  <c r="AH34" i="45"/>
  <c r="AH36" i="45" s="1"/>
  <c r="AI34" i="45"/>
  <c r="AI36" i="45" s="1"/>
  <c r="AJ34" i="45"/>
  <c r="AJ36" i="45" s="1"/>
  <c r="AL35" i="45"/>
  <c r="AK39" i="45"/>
  <c r="AL39" i="45"/>
  <c r="AK40" i="45"/>
  <c r="AL40" i="45"/>
  <c r="K44" i="45"/>
  <c r="L44" i="45"/>
  <c r="M44" i="45"/>
  <c r="N44" i="45"/>
  <c r="O44" i="45"/>
  <c r="P44" i="45"/>
  <c r="Q44" i="45"/>
  <c r="R44" i="45"/>
  <c r="S44" i="45"/>
  <c r="T44" i="45"/>
  <c r="U44" i="45"/>
  <c r="V44" i="45"/>
  <c r="W44" i="45"/>
  <c r="X44" i="45"/>
  <c r="X42" i="45" s="1"/>
  <c r="Y44" i="45"/>
  <c r="Z44" i="45"/>
  <c r="F9" i="50"/>
  <c r="F10" i="50"/>
  <c r="F11" i="50"/>
  <c r="F12" i="50"/>
  <c r="F13" i="50"/>
  <c r="F14" i="50"/>
  <c r="F15" i="50"/>
  <c r="F16" i="50"/>
  <c r="F17" i="50"/>
  <c r="F18" i="50"/>
  <c r="F19" i="50"/>
  <c r="F20" i="50"/>
  <c r="F21" i="50"/>
  <c r="F22" i="50"/>
  <c r="F23" i="50"/>
  <c r="F24" i="50"/>
  <c r="F25" i="50"/>
  <c r="F26" i="50"/>
  <c r="F27" i="50"/>
  <c r="F28" i="50"/>
  <c r="F29" i="50"/>
  <c r="F30" i="50"/>
  <c r="E32" i="50"/>
  <c r="G32" i="50"/>
  <c r="H9" i="49"/>
  <c r="M9" i="49"/>
  <c r="R9" i="49"/>
  <c r="W9" i="49"/>
  <c r="W25" i="49" s="1"/>
  <c r="H10" i="49"/>
  <c r="M10" i="49"/>
  <c r="R10" i="49"/>
  <c r="W10" i="49"/>
  <c r="W26" i="49" s="1"/>
  <c r="H11" i="49"/>
  <c r="M11" i="49"/>
  <c r="R11" i="49"/>
  <c r="W11" i="49"/>
  <c r="H12" i="49"/>
  <c r="M12" i="49"/>
  <c r="R12" i="49"/>
  <c r="W12" i="49"/>
  <c r="H13" i="49"/>
  <c r="M13" i="49"/>
  <c r="R13" i="49"/>
  <c r="W13" i="49"/>
  <c r="W29" i="49" s="1"/>
  <c r="T15" i="49"/>
  <c r="U15" i="49"/>
  <c r="W15" i="49"/>
  <c r="H17" i="49"/>
  <c r="M17" i="49"/>
  <c r="R17" i="49"/>
  <c r="W17" i="49"/>
  <c r="H18" i="49"/>
  <c r="M18" i="49"/>
  <c r="R18" i="49"/>
  <c r="W18" i="49"/>
  <c r="H19" i="49"/>
  <c r="M19" i="49"/>
  <c r="R19" i="49"/>
  <c r="W19" i="49"/>
  <c r="H20" i="49"/>
  <c r="M20" i="49"/>
  <c r="R20" i="49"/>
  <c r="W20" i="49"/>
  <c r="H21" i="49"/>
  <c r="M21" i="49"/>
  <c r="R21" i="49"/>
  <c r="W21" i="49"/>
  <c r="T23" i="49"/>
  <c r="U23" i="49"/>
  <c r="W23" i="49"/>
  <c r="D25" i="49"/>
  <c r="E25" i="49"/>
  <c r="F25" i="49"/>
  <c r="G25" i="49"/>
  <c r="I25" i="49"/>
  <c r="J25" i="49"/>
  <c r="K25" i="49"/>
  <c r="L25" i="49"/>
  <c r="N25" i="49"/>
  <c r="O25" i="49"/>
  <c r="P25" i="49"/>
  <c r="Q25" i="49"/>
  <c r="S25" i="49"/>
  <c r="T25" i="49"/>
  <c r="U25" i="49"/>
  <c r="V25" i="49"/>
  <c r="D26" i="49"/>
  <c r="E26" i="49"/>
  <c r="F26" i="49"/>
  <c r="G26" i="49"/>
  <c r="I26" i="49"/>
  <c r="J26" i="49"/>
  <c r="K26" i="49"/>
  <c r="L26" i="49"/>
  <c r="N26" i="49"/>
  <c r="O26" i="49"/>
  <c r="P26" i="49"/>
  <c r="Q26" i="49"/>
  <c r="S26" i="49"/>
  <c r="T26" i="49"/>
  <c r="U26" i="49"/>
  <c r="V26" i="49"/>
  <c r="D27" i="49"/>
  <c r="E27" i="49"/>
  <c r="F27" i="49"/>
  <c r="G27" i="49"/>
  <c r="I27" i="49"/>
  <c r="J27" i="49"/>
  <c r="K27" i="49"/>
  <c r="L27" i="49"/>
  <c r="N27" i="49"/>
  <c r="O27" i="49"/>
  <c r="P27" i="49"/>
  <c r="Q27" i="49"/>
  <c r="S27" i="49"/>
  <c r="T27" i="49"/>
  <c r="U27" i="49"/>
  <c r="V27" i="49"/>
  <c r="D28" i="49"/>
  <c r="E28" i="49"/>
  <c r="F28" i="49"/>
  <c r="G28" i="49"/>
  <c r="I28" i="49"/>
  <c r="J28" i="49"/>
  <c r="K28" i="49"/>
  <c r="L28" i="49"/>
  <c r="N28" i="49"/>
  <c r="O28" i="49"/>
  <c r="P28" i="49"/>
  <c r="Q28" i="49"/>
  <c r="S28" i="49"/>
  <c r="T28" i="49"/>
  <c r="U28" i="49"/>
  <c r="V28" i="49"/>
  <c r="D29" i="49"/>
  <c r="E29" i="49"/>
  <c r="F29" i="49"/>
  <c r="G29" i="49"/>
  <c r="I29" i="49"/>
  <c r="J29" i="49"/>
  <c r="K29" i="49"/>
  <c r="L29" i="49"/>
  <c r="N29" i="49"/>
  <c r="O29" i="49"/>
  <c r="P29" i="49"/>
  <c r="Q29" i="49"/>
  <c r="S29" i="49"/>
  <c r="T29" i="49"/>
  <c r="U29" i="49"/>
  <c r="V29" i="49"/>
  <c r="R6" i="51"/>
  <c r="R7" i="51"/>
  <c r="R8" i="51"/>
  <c r="R9" i="51"/>
  <c r="R11" i="51"/>
  <c r="R12" i="51"/>
  <c r="R13" i="51"/>
  <c r="R15" i="51"/>
  <c r="R16" i="51"/>
  <c r="R17" i="51"/>
  <c r="L18" i="51"/>
  <c r="R18" i="51" s="1"/>
  <c r="R19" i="51"/>
  <c r="Q20" i="51"/>
  <c r="R20" i="51"/>
  <c r="R21" i="51"/>
  <c r="L22" i="51"/>
  <c r="Q22" i="51"/>
  <c r="R23" i="51"/>
  <c r="R24" i="51"/>
  <c r="R26" i="51"/>
  <c r="R27" i="51"/>
  <c r="R28" i="51"/>
  <c r="R29" i="51"/>
  <c r="W28" i="49" l="1"/>
  <c r="AY16" i="35"/>
  <c r="AX15" i="35"/>
  <c r="AE36" i="31"/>
  <c r="N10" i="32"/>
  <c r="N12" i="32" s="1"/>
  <c r="AD9" i="32"/>
  <c r="AY15" i="35"/>
  <c r="AY17" i="35"/>
  <c r="BF13" i="35"/>
  <c r="AY13" i="35"/>
  <c r="BF14" i="35"/>
  <c r="AZ15" i="35"/>
  <c r="AZ19" i="35"/>
  <c r="AY12" i="35"/>
  <c r="BF12" i="35"/>
  <c r="BF11" i="35"/>
  <c r="AY19" i="35"/>
  <c r="BF18" i="35"/>
  <c r="F32" i="50"/>
  <c r="V15" i="42"/>
  <c r="I10" i="32"/>
  <c r="I12" i="32" s="1"/>
  <c r="AO11" i="35"/>
  <c r="AZ17" i="35"/>
  <c r="AY18" i="35"/>
  <c r="AZ11" i="35"/>
  <c r="AZ13" i="35"/>
  <c r="AY11" i="35"/>
  <c r="V18" i="45"/>
  <c r="V21" i="45" s="1"/>
  <c r="V24" i="45" s="1"/>
  <c r="W18" i="45"/>
  <c r="W21" i="45" s="1"/>
  <c r="W24" i="45" s="1"/>
  <c r="T18" i="45"/>
  <c r="T21" i="45" s="1"/>
  <c r="T24" i="45" s="1"/>
  <c r="K18" i="45"/>
  <c r="K21" i="45" s="1"/>
  <c r="AA110" i="44"/>
  <c r="AA93" i="44"/>
  <c r="AQ29" i="31"/>
  <c r="Y67" i="44"/>
  <c r="Y70" i="44" s="1"/>
  <c r="AB110" i="44"/>
  <c r="Y93" i="44"/>
  <c r="AN10" i="39"/>
  <c r="H10" i="32"/>
  <c r="H12" i="32" s="1"/>
  <c r="C12" i="32"/>
  <c r="AD28" i="32"/>
  <c r="AQ28" i="32" s="1"/>
  <c r="AD11" i="32"/>
  <c r="AQ11" i="32" s="1"/>
  <c r="AQ9" i="32"/>
  <c r="AQ10" i="35"/>
  <c r="BF9" i="35"/>
  <c r="AZ18" i="35"/>
  <c r="AZ16" i="35"/>
  <c r="AZ12" i="35"/>
  <c r="AZ14" i="35"/>
  <c r="BC24" i="35"/>
  <c r="BB12" i="35"/>
  <c r="AY14" i="35"/>
  <c r="BB19" i="35"/>
  <c r="O41" i="45"/>
  <c r="N18" i="45"/>
  <c r="N21" i="45" s="1"/>
  <c r="N24" i="45" s="1"/>
  <c r="R29" i="49"/>
  <c r="M26" i="49"/>
  <c r="R28" i="49"/>
  <c r="R27" i="49"/>
  <c r="R25" i="49"/>
  <c r="M28" i="49"/>
  <c r="W27" i="49"/>
  <c r="H29" i="49"/>
  <c r="R26" i="49"/>
  <c r="H26" i="49"/>
  <c r="Y15" i="31"/>
  <c r="Y23" i="31" s="1"/>
  <c r="Y27" i="31" s="1"/>
  <c r="AB93" i="44"/>
  <c r="Y110" i="44"/>
  <c r="AB12" i="42"/>
  <c r="AB15" i="42" s="1"/>
  <c r="AM10" i="39"/>
  <c r="AL10" i="39"/>
  <c r="AO10" i="39"/>
  <c r="AK10" i="39"/>
  <c r="G10" i="32"/>
  <c r="G12" i="32" s="1"/>
  <c r="F10" i="32"/>
  <c r="F12" i="32" s="1"/>
  <c r="E10" i="32"/>
  <c r="E12" i="32" s="1"/>
  <c r="D10" i="32"/>
  <c r="D12" i="32" s="1"/>
  <c r="M10" i="32"/>
  <c r="M12" i="32" s="1"/>
  <c r="L10" i="32"/>
  <c r="L12" i="32" s="1"/>
  <c r="K10" i="32"/>
  <c r="K12" i="32" s="1"/>
  <c r="J10" i="32"/>
  <c r="J12" i="32" s="1"/>
  <c r="AO12" i="35"/>
  <c r="BC18" i="35"/>
  <c r="AX13" i="35"/>
  <c r="BB18" i="35"/>
  <c r="BB10" i="35"/>
  <c r="AP19" i="35"/>
  <c r="AO19" i="35"/>
  <c r="AO14" i="35"/>
  <c r="AQ24" i="35"/>
  <c r="AP13" i="35"/>
  <c r="P18" i="45"/>
  <c r="P21" i="45" s="1"/>
  <c r="P24" i="45" s="1"/>
  <c r="S41" i="45"/>
  <c r="AL34" i="45"/>
  <c r="AL41" i="45" s="1"/>
  <c r="S42" i="45"/>
  <c r="AI17" i="45"/>
  <c r="X41" i="45"/>
  <c r="AI44" i="45"/>
  <c r="AI41" i="45" s="1"/>
  <c r="Y18" i="45"/>
  <c r="M18" i="45"/>
  <c r="M21" i="45" s="1"/>
  <c r="M24" i="45" s="1"/>
  <c r="Y42" i="45"/>
  <c r="X18" i="45"/>
  <c r="X21" i="45" s="1"/>
  <c r="X24" i="45" s="1"/>
  <c r="AP24" i="35"/>
  <c r="AQ19" i="35"/>
  <c r="AQ12" i="35"/>
  <c r="BD16" i="35"/>
  <c r="BD15" i="35"/>
  <c r="BD14" i="35"/>
  <c r="BC16" i="35"/>
  <c r="BC15" i="35"/>
  <c r="BC14" i="35"/>
  <c r="AO13" i="35"/>
  <c r="BD13" i="35"/>
  <c r="BB24" i="35"/>
  <c r="BB16" i="35"/>
  <c r="BB15" i="35"/>
  <c r="BB14" i="35"/>
  <c r="BD10" i="35"/>
  <c r="BC17" i="35"/>
  <c r="BC13" i="35"/>
  <c r="BD11" i="35"/>
  <c r="AO10" i="35"/>
  <c r="BC10" i="35"/>
  <c r="AO17" i="35"/>
  <c r="AQ18" i="35"/>
  <c r="AQ16" i="35"/>
  <c r="BD19" i="35"/>
  <c r="AO16" i="35"/>
  <c r="AQ15" i="35"/>
  <c r="BC11" i="35"/>
  <c r="BB17" i="35"/>
  <c r="BD24" i="35"/>
  <c r="BC19" i="35"/>
  <c r="BD18" i="35"/>
  <c r="BB11" i="35"/>
  <c r="W12" i="42"/>
  <c r="W15" i="42" s="1"/>
  <c r="AQ11" i="31"/>
  <c r="AQ15" i="31" s="1"/>
  <c r="AQ18" i="31"/>
  <c r="Z41" i="45"/>
  <c r="Z42" i="45"/>
  <c r="K42" i="45"/>
  <c r="K36" i="45"/>
  <c r="AI42" i="45"/>
  <c r="AI8" i="45"/>
  <c r="L18" i="45"/>
  <c r="Q18" i="45"/>
  <c r="Q21" i="45" s="1"/>
  <c r="Q24" i="45" s="1"/>
  <c r="AL44" i="45"/>
  <c r="K41" i="45"/>
  <c r="Z18" i="45"/>
  <c r="Z21" i="45" s="1"/>
  <c r="Z24" i="45" s="1"/>
  <c r="S18" i="45"/>
  <c r="S21" i="45" s="1"/>
  <c r="S24" i="45" s="1"/>
  <c r="AL8" i="45"/>
  <c r="AI12" i="45"/>
  <c r="AJ12" i="45"/>
  <c r="AK8" i="45"/>
  <c r="O18" i="45"/>
  <c r="AJ44" i="45"/>
  <c r="AJ41" i="45" s="1"/>
  <c r="R42" i="45"/>
  <c r="R18" i="45"/>
  <c r="R21" i="45" s="1"/>
  <c r="R24" i="45" s="1"/>
  <c r="M27" i="49"/>
  <c r="H27" i="49"/>
  <c r="M25" i="49"/>
  <c r="H28" i="49"/>
  <c r="H25" i="49"/>
  <c r="M29" i="49"/>
  <c r="R22" i="51"/>
  <c r="AQ10" i="31"/>
  <c r="AQ24" i="31"/>
  <c r="AD107" i="31"/>
  <c r="T42" i="45"/>
  <c r="T36" i="45"/>
  <c r="T41" i="45"/>
  <c r="L42" i="45"/>
  <c r="L36" i="45"/>
  <c r="L41" i="45"/>
  <c r="K24" i="45"/>
  <c r="AB67" i="44"/>
  <c r="AB70" i="44" s="1"/>
  <c r="Q42" i="45"/>
  <c r="Q36" i="45"/>
  <c r="Q41" i="45"/>
  <c r="P36" i="45"/>
  <c r="P41" i="45"/>
  <c r="P42" i="45"/>
  <c r="V41" i="45"/>
  <c r="V42" i="45"/>
  <c r="V36" i="45"/>
  <c r="N42" i="45"/>
  <c r="N36" i="45"/>
  <c r="N41" i="45"/>
  <c r="U36" i="45"/>
  <c r="U42" i="45"/>
  <c r="U41" i="45"/>
  <c r="M42" i="45"/>
  <c r="M36" i="45"/>
  <c r="M41" i="45"/>
  <c r="Y41" i="45"/>
  <c r="O36" i="45"/>
  <c r="U18" i="45"/>
  <c r="U21" i="45" s="1"/>
  <c r="U24" i="45" s="1"/>
  <c r="AO15" i="35"/>
  <c r="AQ11" i="35"/>
  <c r="AQ17" i="35"/>
  <c r="AA67" i="44"/>
  <c r="AA70" i="44" s="1"/>
  <c r="W42" i="45"/>
  <c r="O42" i="45"/>
  <c r="AK44" i="45"/>
  <c r="AK42" i="45" s="1"/>
  <c r="AX18" i="35"/>
  <c r="AP16" i="35"/>
  <c r="AX12" i="35"/>
  <c r="AP11" i="35"/>
  <c r="AX10" i="35"/>
  <c r="AQ13" i="35"/>
  <c r="AJ8" i="45"/>
  <c r="AX19" i="35"/>
  <c r="AP18" i="35"/>
  <c r="AX17" i="35"/>
  <c r="AX14" i="35"/>
  <c r="AP12" i="35"/>
  <c r="W41" i="45"/>
  <c r="AO18" i="35"/>
  <c r="AQ14" i="35"/>
  <c r="BD12" i="35"/>
  <c r="AP17" i="35"/>
  <c r="R36" i="45"/>
  <c r="AP14" i="35"/>
  <c r="R41" i="45"/>
  <c r="AP10" i="35"/>
  <c r="AX16" i="35"/>
  <c r="AP15" i="35"/>
  <c r="BB9" i="35" l="1"/>
  <c r="Y21" i="45"/>
  <c r="AL42" i="45"/>
  <c r="AI18" i="45"/>
  <c r="AD13" i="32"/>
  <c r="AQ13" i="32" s="1"/>
  <c r="BC9" i="35"/>
  <c r="AQ23" i="31"/>
  <c r="AQ27" i="31" s="1"/>
  <c r="AP9" i="35"/>
  <c r="L21" i="45"/>
  <c r="L24" i="45" s="1"/>
  <c r="AI24" i="45" s="1"/>
  <c r="AJ42" i="45"/>
  <c r="BD9" i="35"/>
  <c r="AQ9" i="35"/>
  <c r="AJ18" i="45"/>
  <c r="O21" i="45"/>
  <c r="AQ35" i="31"/>
  <c r="AQ36" i="31" s="1"/>
  <c r="AK41" i="45"/>
  <c r="Y24" i="45" l="1"/>
  <c r="AI21" i="45"/>
  <c r="AJ21" i="45"/>
  <c r="O24" i="45"/>
  <c r="AJ24" i="45" s="1"/>
  <c r="AE10" i="32" l="1"/>
  <c r="AE12" i="32"/>
  <c r="AG67" i="44" l="1"/>
  <c r="AG70" i="44" l="1"/>
</calcChain>
</file>

<file path=xl/sharedStrings.xml><?xml version="1.0" encoding="utf-8"?>
<sst xmlns="http://schemas.openxmlformats.org/spreadsheetml/2006/main" count="1429" uniqueCount="562">
  <si>
    <t xml:space="preserve">        </t>
  </si>
  <si>
    <t>SP</t>
  </si>
  <si>
    <t>Juquiá</t>
  </si>
  <si>
    <t>CBA</t>
  </si>
  <si>
    <t>jun-16¹</t>
  </si>
  <si>
    <t>Sorocaba</t>
  </si>
  <si>
    <t>MG</t>
  </si>
  <si>
    <t>Juiz de Fora</t>
  </si>
  <si>
    <t>Parapanema</t>
  </si>
  <si>
    <t>GO</t>
  </si>
  <si>
    <t>Rio Verdinho</t>
  </si>
  <si>
    <t>SC</t>
  </si>
  <si>
    <t>Salto Pilão</t>
  </si>
  <si>
    <t>Canoas</t>
  </si>
  <si>
    <t>Machadinho</t>
  </si>
  <si>
    <t>Enercan</t>
  </si>
  <si>
    <t>CBA Energia</t>
  </si>
  <si>
    <t>RS</t>
  </si>
  <si>
    <t>Baesa</t>
  </si>
  <si>
    <t>Total</t>
  </si>
  <si>
    <t>VAP²</t>
  </si>
  <si>
    <t>Alumina</t>
  </si>
  <si>
    <t>Hedge</t>
  </si>
  <si>
    <t>R$/t</t>
  </si>
  <si>
    <t>Alumina:</t>
  </si>
  <si>
    <t>CAPEX</t>
  </si>
  <si>
    <t>TOTAL</t>
  </si>
  <si>
    <t>FCF</t>
  </si>
  <si>
    <t/>
  </si>
  <si>
    <t>Take Alunorte</t>
  </si>
  <si>
    <t>Summary</t>
  </si>
  <si>
    <t>1.  Assumptions</t>
  </si>
  <si>
    <t>2.  Aluminum Value Chain</t>
  </si>
  <si>
    <t>Data Tables - Assumptions</t>
  </si>
  <si>
    <r>
      <t>Historical data begins in</t>
    </r>
    <r>
      <rPr>
        <sz val="12"/>
        <color indexed="63"/>
        <rFont val="Votorantim Sans Black"/>
      </rPr>
      <t xml:space="preserve"> 1Q18</t>
    </r>
  </si>
  <si>
    <r>
      <t xml:space="preserve">Update: </t>
    </r>
    <r>
      <rPr>
        <sz val="12"/>
        <color theme="1"/>
        <rFont val="Votorantim Sans Black"/>
      </rPr>
      <t>quarterly</t>
    </r>
  </si>
  <si>
    <r>
      <t>Accounting Standard:</t>
    </r>
    <r>
      <rPr>
        <sz val="12"/>
        <color indexed="63"/>
        <rFont val="Votorantim Sans Black"/>
      </rPr>
      <t xml:space="preserve"> IFRS</t>
    </r>
  </si>
  <si>
    <r>
      <t>Volume Unit:</t>
    </r>
    <r>
      <rPr>
        <sz val="12"/>
        <color indexed="63"/>
        <rFont val="Votorantim Sans Black"/>
      </rPr>
      <t xml:space="preserve"> Tonnes</t>
    </r>
  </si>
  <si>
    <r>
      <t xml:space="preserve">Currency: </t>
    </r>
    <r>
      <rPr>
        <sz val="12"/>
        <color theme="1"/>
        <rFont val="Votorantim Sans Black"/>
      </rPr>
      <t>BRL</t>
    </r>
  </si>
  <si>
    <t>Operations by segment</t>
  </si>
  <si>
    <t xml:space="preserve">For more information about CBA's production process, check the video in our website:  </t>
  </si>
  <si>
    <t>Click Here</t>
  </si>
  <si>
    <t>Energy assets</t>
  </si>
  <si>
    <t>Location</t>
  </si>
  <si>
    <t>CBA %</t>
  </si>
  <si>
    <t>Total Capacity (MW)</t>
  </si>
  <si>
    <t>Physical Guarantee (MWm)³</t>
  </si>
  <si>
    <t>Operation</t>
  </si>
  <si>
    <t>Complex/ Consortium</t>
  </si>
  <si>
    <t>Corporate Structure</t>
  </si>
  <si>
    <t>Concession Term</t>
  </si>
  <si>
    <t xml:space="preserve"> Alecrim </t>
  </si>
  <si>
    <t>Linked to Alumínio</t>
  </si>
  <si>
    <t xml:space="preserve"> Barra </t>
  </si>
  <si>
    <t xml:space="preserve"> Fumaça </t>
  </si>
  <si>
    <t xml:space="preserve"> França </t>
  </si>
  <si>
    <t xml:space="preserve"> Porto Raso </t>
  </si>
  <si>
    <t xml:space="preserve"> Serraria </t>
  </si>
  <si>
    <t xml:space="preserve"> Salto do Iporanga </t>
  </si>
  <si>
    <t> Itupararanga </t>
  </si>
  <si>
    <t xml:space="preserve"> Jurupará </t>
  </si>
  <si>
    <t xml:space="preserve"> Santa Helena </t>
  </si>
  <si>
    <t xml:space="preserve"> Votorantim </t>
  </si>
  <si>
    <t xml:space="preserve"> Sobragi </t>
  </si>
  <si>
    <t>NIS</t>
  </si>
  <si>
    <t xml:space="preserve"> Piraju </t>
  </si>
  <si>
    <t xml:space="preserve"> Ourinhos </t>
  </si>
  <si>
    <t xml:space="preserve"> Rio Verdinho </t>
  </si>
  <si>
    <t xml:space="preserve"> Salto Pilão </t>
  </si>
  <si>
    <t xml:space="preserve"> Canoas I </t>
  </si>
  <si>
    <t xml:space="preserve"> Canoas II </t>
  </si>
  <si>
    <t xml:space="preserve"> Machadinho </t>
  </si>
  <si>
    <t xml:space="preserve"> Campos Novos </t>
  </si>
  <si>
    <t xml:space="preserve"> Barra Grande </t>
  </si>
  <si>
    <t xml:space="preserve">³ Regarding the CBA's participation. </t>
  </si>
  <si>
    <t xml:space="preserve">23% of the power plants are linked directly to the operarion in Alumínio unit: </t>
  </si>
  <si>
    <t>Total capacity (MW) - Sorocaba</t>
  </si>
  <si>
    <t>Contracts</t>
  </si>
  <si>
    <t>Proprietary generation</t>
  </si>
  <si>
    <t>1Q19</t>
  </si>
  <si>
    <t>2Q19</t>
  </si>
  <si>
    <t>3Q19</t>
  </si>
  <si>
    <t>4Q19</t>
  </si>
  <si>
    <t>1Q20</t>
  </si>
  <si>
    <t>2Q20</t>
  </si>
  <si>
    <t>3Q20</t>
  </si>
  <si>
    <t>4Q20</t>
  </si>
  <si>
    <t>1Q21</t>
  </si>
  <si>
    <t>2Q21</t>
  </si>
  <si>
    <t>3Q21</t>
  </si>
  <si>
    <t>4Q21</t>
  </si>
  <si>
    <t>1Q22</t>
  </si>
  <si>
    <t>2Q22</t>
  </si>
  <si>
    <t>3Q22</t>
  </si>
  <si>
    <t>1Q18</t>
  </si>
  <si>
    <t>2Q18</t>
  </si>
  <si>
    <t>3Q18</t>
  </si>
  <si>
    <t>4Q18</t>
  </si>
  <si>
    <t>Primary</t>
  </si>
  <si>
    <t>Ingot¹</t>
  </si>
  <si>
    <t>Downstream</t>
  </si>
  <si>
    <t>Extruded</t>
  </si>
  <si>
    <t>Foils</t>
  </si>
  <si>
    <t>Recycling</t>
  </si>
  <si>
    <t>Services</t>
  </si>
  <si>
    <t>Products (sales)</t>
  </si>
  <si>
    <t>Others</t>
  </si>
  <si>
    <t>Ingot³</t>
  </si>
  <si>
    <t>Various</t>
  </si>
  <si>
    <t>¹ Aluminum ingot and liquid aluminum</t>
  </si>
  <si>
    <t>² Aluminum alloys, billet and rod</t>
  </si>
  <si>
    <t>³ Ingot's trading</t>
  </si>
  <si>
    <t>Thousand tonnes</t>
  </si>
  <si>
    <t>SHORT TERM</t>
  </si>
  <si>
    <t>LONG TERM</t>
  </si>
  <si>
    <t>GROSS DEBT</t>
  </si>
  <si>
    <t>CASH AND EQUIVALENTS</t>
  </si>
  <si>
    <t>DERIVATIVE FINANCIAL INSTRUMENTS</t>
  </si>
  <si>
    <t>LEASES</t>
  </si>
  <si>
    <t>FINANCIAL INVESTMENTS</t>
  </si>
  <si>
    <t>NET DEBT</t>
  </si>
  <si>
    <t>GROSS DEBT BY CURRENCY</t>
  </si>
  <si>
    <t>BRL</t>
  </si>
  <si>
    <t>USD</t>
  </si>
  <si>
    <t>GROSS DEBT - MATURITY</t>
  </si>
  <si>
    <t>R$ million</t>
  </si>
  <si>
    <t>Net revenues of products sold and services provided</t>
  </si>
  <si>
    <t>Cost of products sold and services provided</t>
  </si>
  <si>
    <t>Gross profit</t>
  </si>
  <si>
    <t>Gross margin</t>
  </si>
  <si>
    <t>Operating revenues (expenses)</t>
  </si>
  <si>
    <t>Selling</t>
  </si>
  <si>
    <t>General and administrative</t>
  </si>
  <si>
    <t>Other operating revenue (expenses), net</t>
  </si>
  <si>
    <t>Operating profit before holdings</t>
  </si>
  <si>
    <t>Equity Income</t>
  </si>
  <si>
    <t>Equity Equivalence</t>
  </si>
  <si>
    <t>Net financial result</t>
  </si>
  <si>
    <t>Financial income</t>
  </si>
  <si>
    <t>Financial expenses</t>
  </si>
  <si>
    <t>Derivative financial instruments results</t>
  </si>
  <si>
    <t>Exchange variations, net</t>
  </si>
  <si>
    <t>Profit (loss) before income tax</t>
  </si>
  <si>
    <t>Income tax and social contribution</t>
  </si>
  <si>
    <t xml:space="preserve">Current </t>
  </si>
  <si>
    <t>Deferred</t>
  </si>
  <si>
    <t>Profit (loss) for the period</t>
  </si>
  <si>
    <t>Profit assgined to non-controlling shareholders</t>
  </si>
  <si>
    <t>Depreciation &amp; Amortization</t>
  </si>
  <si>
    <t>Exceptional items</t>
  </si>
  <si>
    <t>Adjusted EBITDA</t>
  </si>
  <si>
    <t>Adjusted EBITDA Margin</t>
  </si>
  <si>
    <t>BALANCE SHEET (R$ Millions)</t>
  </si>
  <si>
    <t>CURRENT ASSETS</t>
  </si>
  <si>
    <t>Cash and cash equivalents</t>
  </si>
  <si>
    <t>Financial Investments</t>
  </si>
  <si>
    <t>Derivative financial instruments</t>
  </si>
  <si>
    <t>Accounts Receivable from Customers</t>
  </si>
  <si>
    <t>Inventories</t>
  </si>
  <si>
    <t>Recoverable taxes</t>
  </si>
  <si>
    <t>Dividends Receivable</t>
  </si>
  <si>
    <t>Financial Investments - firm commitment</t>
  </si>
  <si>
    <t>Other assets</t>
  </si>
  <si>
    <t>NON-CURRENT ASSETS</t>
  </si>
  <si>
    <t xml:space="preserve">Long-term receivables </t>
  </si>
  <si>
    <t xml:space="preserve">Deferred income tax and social contribution </t>
  </si>
  <si>
    <t>Related parties</t>
  </si>
  <si>
    <t>Judicial deposits</t>
  </si>
  <si>
    <t>Investments</t>
  </si>
  <si>
    <t>Property, Plant and Equipment</t>
  </si>
  <si>
    <t>Intangible assets</t>
  </si>
  <si>
    <t>Right of use</t>
  </si>
  <si>
    <t>TOTAL ASSETS</t>
  </si>
  <si>
    <t>CURRENT LIABILITIES</t>
  </si>
  <si>
    <t>Loans and Financing</t>
  </si>
  <si>
    <t>Leasing</t>
  </si>
  <si>
    <t>Supplier finance programs</t>
  </si>
  <si>
    <t>Trade accounts payable</t>
  </si>
  <si>
    <t>Payroll and related liabilities</t>
  </si>
  <si>
    <t>Taxes Payable</t>
  </si>
  <si>
    <t>Advances from customers</t>
  </si>
  <si>
    <t>Dividens payable</t>
  </si>
  <si>
    <t>Use of public assets - UBP</t>
  </si>
  <si>
    <t>Electric power futures contracts</t>
  </si>
  <si>
    <t>Provisions</t>
  </si>
  <si>
    <t>Othes liabilities</t>
  </si>
  <si>
    <t>NON-CURRENT LIABILITIES</t>
  </si>
  <si>
    <t>Leases</t>
  </si>
  <si>
    <t>Deferred Income Tax and Social contribution</t>
  </si>
  <si>
    <t>SHAREHOLDERS' EQUITY</t>
  </si>
  <si>
    <t>Share capital</t>
  </si>
  <si>
    <t>Capital reserve</t>
  </si>
  <si>
    <t>Accrued losses</t>
  </si>
  <si>
    <t>Equity valuation adjustments</t>
  </si>
  <si>
    <t>Shareholders' equity assigned to controlling shareholders</t>
  </si>
  <si>
    <t>Share of non-controlling shareholders</t>
  </si>
  <si>
    <t>TOTAL LIABILITIES AND SHAREHOLDER'S EQUITY</t>
  </si>
  <si>
    <t>FINANCIAL STATEMENTS (R$ million)</t>
  </si>
  <si>
    <t>Asset</t>
  </si>
  <si>
    <t xml:space="preserve"> R$ million</t>
  </si>
  <si>
    <t>Consolidated</t>
  </si>
  <si>
    <t>Net Revenue - Eliminations</t>
  </si>
  <si>
    <t>(-) Eliminations¹</t>
  </si>
  <si>
    <t>Net Revenue</t>
  </si>
  <si>
    <t>Gross Profit</t>
  </si>
  <si>
    <t>DEPRECIATION</t>
  </si>
  <si>
    <t>¹ Elimination of energy sales for the aluminum business, also considered in COGS</t>
  </si>
  <si>
    <t>Aluminum</t>
  </si>
  <si>
    <t>(-) Elimination</t>
  </si>
  <si>
    <t>Energy</t>
  </si>
  <si>
    <t>Liquid Aluminum</t>
  </si>
  <si>
    <t>Anode paste</t>
  </si>
  <si>
    <t>Power</t>
  </si>
  <si>
    <t>Other variable costs</t>
  </si>
  <si>
    <t>Fixed costs</t>
  </si>
  <si>
    <t>Depreciation</t>
  </si>
  <si>
    <t>Primary products</t>
  </si>
  <si>
    <t>Additional metal</t>
  </si>
  <si>
    <t>Conversion cost (variable)</t>
  </si>
  <si>
    <t>Conversion cost (fixed)</t>
  </si>
  <si>
    <t>Downstream products</t>
  </si>
  <si>
    <t>Production volume (kt)</t>
  </si>
  <si>
    <t>Primary Products</t>
  </si>
  <si>
    <t>Downstream Products</t>
  </si>
  <si>
    <t>Other</t>
  </si>
  <si>
    <t>Ingot</t>
  </si>
  <si>
    <t>GLOSSARY</t>
  </si>
  <si>
    <t xml:space="preserve">Anode paste: </t>
  </si>
  <si>
    <t xml:space="preserve">Power: </t>
  </si>
  <si>
    <t xml:space="preserve">Depreciation: </t>
  </si>
  <si>
    <t xml:space="preserve">Fixed costs: </t>
  </si>
  <si>
    <t xml:space="preserve">Other variable costs: </t>
  </si>
  <si>
    <t xml:space="preserve">Liquid aluminum: </t>
  </si>
  <si>
    <t xml:space="preserve">Additional metal: </t>
  </si>
  <si>
    <t>Conversion cost (fixed):</t>
  </si>
  <si>
    <t>Conversion cost (variable):</t>
  </si>
  <si>
    <t xml:space="preserve">Recycling: </t>
  </si>
  <si>
    <t xml:space="preserve">Ingot Trading: </t>
  </si>
  <si>
    <t xml:space="preserve">Other: </t>
  </si>
  <si>
    <t>Pitch, coke and other fixed and variable costs</t>
  </si>
  <si>
    <t>Cost of energy consumed on the operation and generation of power plants</t>
  </si>
  <si>
    <t>Fixed assets and intangible depreciation from power plants, mining, alumina and smelters</t>
  </si>
  <si>
    <t>Expenses related to personnel and other manufacturing expenses</t>
  </si>
  <si>
    <t>Expenses related to auxiliary electricity and other raw materials</t>
  </si>
  <si>
    <t xml:space="preserve">Liquid aluminum cost for the production of 1 ton of primary products. It is lower than the cost of 1 ton of liquid aluminum produced since less than 1 ton of liquid aluminum is needed to produce 1 ton of primary products. </t>
  </si>
  <si>
    <t>Production chain scrap and metal purchased from third parties</t>
  </si>
  <si>
    <t xml:space="preserve">Fixed assets and intangible depreciation from smelting, in addition to the liquid aluminum consumed depreciation. </t>
  </si>
  <si>
    <t>Expenses related to personnel, services, materials and maintenance and other fixed costs</t>
  </si>
  <si>
    <t>Expenses related to fuel, electricity, freight, gas, packaging, auxiliary materials and other variable costs</t>
  </si>
  <si>
    <t xml:space="preserve">Liquid aluminum cost for the production of 1 ton of downstream products. It is lower than the cost of 1 ton of liquid aluminum produced since less than 1 ton of liquid aluminum is needed to produce 1 ton of downstream products. </t>
  </si>
  <si>
    <t>Billets cost of goods sold (COGS) and transformation of third party scrap services</t>
  </si>
  <si>
    <t>Imported ingot cost of goods sold (COGS)</t>
  </si>
  <si>
    <t>Alumina trading total cost and sales of scrap, sludge, oxide, hydrate</t>
  </si>
  <si>
    <t>Expansion &amp; Modernization</t>
  </si>
  <si>
    <t>Maintenance</t>
  </si>
  <si>
    <t>Pot Relining</t>
  </si>
  <si>
    <t>Financial Cycle</t>
  </si>
  <si>
    <t>Customers</t>
  </si>
  <si>
    <t>Inventory</t>
  </si>
  <si>
    <t>Suppliers</t>
  </si>
  <si>
    <t>Drawee risk</t>
  </si>
  <si>
    <t>Working Capital</t>
  </si>
  <si>
    <t>Sales</t>
  </si>
  <si>
    <t>Number of days in the Quarter</t>
  </si>
  <si>
    <t>Working Capital Days</t>
  </si>
  <si>
    <t>Working capital</t>
  </si>
  <si>
    <t>Income taxes</t>
  </si>
  <si>
    <t>Public Offering of Shares</t>
  </si>
  <si>
    <t>Profit (loss) before income tax and social contribution</t>
  </si>
  <si>
    <t>Adjustment to non-cash items</t>
  </si>
  <si>
    <t>Interest, indexation accruals and exchange variations</t>
  </si>
  <si>
    <t>Equity results</t>
  </si>
  <si>
    <t>Depreciation, amortization and depletion</t>
  </si>
  <si>
    <t xml:space="preserve">Energy future contracts </t>
  </si>
  <si>
    <t>Loss on sale of investments</t>
  </si>
  <si>
    <t>Decrease (increase) in assets</t>
  </si>
  <si>
    <t>Trade receivables</t>
  </si>
  <si>
    <t>Taxes recoverable</t>
  </si>
  <si>
    <t>Other receivable and other assets</t>
  </si>
  <si>
    <t>Increase (decrease) in liabilities</t>
  </si>
  <si>
    <t>Trade payables</t>
  </si>
  <si>
    <t>Drawee risk payable</t>
  </si>
  <si>
    <t>Salaries and payroll charges</t>
  </si>
  <si>
    <t>Taxes liabilities</t>
  </si>
  <si>
    <t xml:space="preserve">Payments of tax, civil and labor proceedings </t>
  </si>
  <si>
    <t>Other obligations and other liabilities</t>
  </si>
  <si>
    <t>Cash Flow from investing activities</t>
  </si>
  <si>
    <t>Acquisition of property, plant and equipment and intangible assets</t>
  </si>
  <si>
    <t>Capital increase in investees</t>
  </si>
  <si>
    <t>Net cash used in investing activities</t>
  </si>
  <si>
    <t>Average exchange rate USD/BRL</t>
  </si>
  <si>
    <t>Net cash provided by financing activities</t>
  </si>
  <si>
    <t>Final exchange rate USD/BRL</t>
  </si>
  <si>
    <t>Average LME Aluminum (US$)</t>
  </si>
  <si>
    <t xml:space="preserve">Net increase in cash and cash equivalents </t>
  </si>
  <si>
    <t>Cash effects of company acquired and included in consolidation</t>
  </si>
  <si>
    <t xml:space="preserve">Cash and cash equivalents at the beggining of the period </t>
  </si>
  <si>
    <t xml:space="preserve">Cash and cash equivalents at the end of the period </t>
  </si>
  <si>
    <t xml:space="preserve">Repayment of borrowings and debentures </t>
  </si>
  <si>
    <t xml:space="preserve">Settlement of leases </t>
  </si>
  <si>
    <t>New loans and financings</t>
  </si>
  <si>
    <t>Share issue costs</t>
  </si>
  <si>
    <t>FINANCIAL LEVERAGE
(Net Debt/Adjusted EBITDA)</t>
  </si>
  <si>
    <t>Cash flow from financing activities</t>
  </si>
  <si>
    <t>Dividends received</t>
  </si>
  <si>
    <t>Dividends paid</t>
  </si>
  <si>
    <t>Write-off of disposed assets</t>
  </si>
  <si>
    <t>Increase (decrease) in the provision for impairment of assets</t>
  </si>
  <si>
    <t>Constitution of provisions, net</t>
  </si>
  <si>
    <t>Cash provided by operating activities</t>
  </si>
  <si>
    <t>Interest paid on lborrowings, debentures and use of public assets (UBP)</t>
  </si>
  <si>
    <t>Income tax andsocial contribution paid</t>
  </si>
  <si>
    <t>Net cash provided by operating activities</t>
  </si>
  <si>
    <t>Average Cost (R$/MWh)</t>
  </si>
  <si>
    <t>Capital reduction in investees</t>
  </si>
  <si>
    <t>Receipt for sale of investment</t>
  </si>
  <si>
    <t>Receipt for the sale of fixed and intangible assets</t>
  </si>
  <si>
    <t>Receipt for the issuance of common shares - Primary offering of shares</t>
  </si>
  <si>
    <t>Capital reduction</t>
  </si>
  <si>
    <t>Dividends and interest on equity received</t>
  </si>
  <si>
    <t>Acquisition of investment</t>
  </si>
  <si>
    <t>Lease payments made</t>
  </si>
  <si>
    <t>Recognition of tax credits related to the ICMS exclusion from the PIS and COFINS calculation basis</t>
  </si>
  <si>
    <t>Hydrological risk renegotiation</t>
  </si>
  <si>
    <t>Spending on non-activatable projects</t>
  </si>
  <si>
    <t>Price adjustment on investment</t>
  </si>
  <si>
    <t>ACR - Financial instrument - firm commitment</t>
  </si>
  <si>
    <t>ACL - Financial instrument - firm commitment</t>
  </si>
  <si>
    <t>ACL - Recognition of financial instrument - firm commitment</t>
  </si>
  <si>
    <t>ACR - Reduction (increase) in the volume of financial instrument - firm commitment</t>
  </si>
  <si>
    <t>Fair value - Investment property</t>
  </si>
  <si>
    <t>4Q22</t>
  </si>
  <si>
    <t>Net income from continuing operations</t>
  </si>
  <si>
    <t>Net income (loss) from discontinued operations</t>
  </si>
  <si>
    <t>Acquisition of investment - 80% Alux</t>
  </si>
  <si>
    <t>Acquisition of investment - 20% Alux</t>
  </si>
  <si>
    <t>Investment Sale - São Miguel Paulista</t>
  </si>
  <si>
    <t>Acquisition of non-controlling interests - Enercan</t>
  </si>
  <si>
    <t>Receipt for CBA Energia capital increase</t>
  </si>
  <si>
    <t>Cash effects of company acquired and excluded in consolidation</t>
  </si>
  <si>
    <t>Non-current assets available for sale</t>
  </si>
  <si>
    <t>1Q23</t>
  </si>
  <si>
    <t>-</t>
  </si>
  <si>
    <t>Exports</t>
  </si>
  <si>
    <t>Domestic Market</t>
  </si>
  <si>
    <t>COGS</t>
  </si>
  <si>
    <t>COGS²</t>
  </si>
  <si>
    <t>² Includes cost of sold energy and cost of holdings</t>
  </si>
  <si>
    <t>Raw materials comsumption in the production of Alumina, including bauxite, gas and soda, and other fixed and variable costs. The cash cost of alumina can be divided into bauxite (~30%), caustic soda (~20%), natural gas (~15%), fixed costs (~10%) and other variable costs (~25%). Bauxite's cash cost is made up of freight (~40%), other variable costs (~45%) and fixed costs (~15%).</t>
  </si>
  <si>
    <t>Smelter</t>
  </si>
  <si>
    <t>%</t>
  </si>
  <si>
    <t>Cash from operations</t>
  </si>
  <si>
    <t>Recycling (CBA, Metalex and Alux)</t>
  </si>
  <si>
    <t>Casting (Alumínio and Itapissuma)</t>
  </si>
  <si>
    <t>Downstream (Alumínio and Itapissuma)</t>
  </si>
  <si>
    <t>Utilization Rate</t>
  </si>
  <si>
    <t>Production</t>
  </si>
  <si>
    <t>000 tonnes</t>
  </si>
  <si>
    <t>Refinery</t>
  </si>
  <si>
    <t>Recognition of gain for advantageous purchase in the acquisition of investments</t>
  </si>
  <si>
    <t>Fair value of assets available for sale</t>
  </si>
  <si>
    <t>Provision for devaluation of taxes (impairment)</t>
  </si>
  <si>
    <t>Write-off of lease agreements</t>
  </si>
  <si>
    <t>Deferred income tax and social contribution</t>
  </si>
  <si>
    <t>Cash Flow</t>
  </si>
  <si>
    <t>Surplus (avg. MW)</t>
  </si>
  <si>
    <t>Hedge (avg. MW)</t>
  </si>
  <si>
    <t>Total sales (avg. MW)</t>
  </si>
  <si>
    <t>Consumption (avg. MW)</t>
  </si>
  <si>
    <t xml:space="preserve">Power Balance </t>
  </si>
  <si>
    <t>Proprietary generation (avg. MW)</t>
  </si>
  <si>
    <t>Contracts (avg. MW)</t>
  </si>
  <si>
    <t>Available resource (avg. MW)</t>
  </si>
  <si>
    <t xml:space="preserve">            -  </t>
  </si>
  <si>
    <t>2Q23</t>
  </si>
  <si>
    <t>PE/PI</t>
  </si>
  <si>
    <t>Ventos de Santo Anselmo/Ventos de Santo Isidoro</t>
  </si>
  <si>
    <t>Energy asset</t>
  </si>
  <si>
    <t>Liabilities related to assets held for sale</t>
  </si>
  <si>
    <t>PR</t>
  </si>
  <si>
    <t>,</t>
  </si>
  <si>
    <t>.</t>
  </si>
  <si>
    <t>3Q23</t>
  </si>
  <si>
    <t>Sheet</t>
  </si>
  <si>
    <t>4Q23</t>
  </si>
  <si>
    <t>Mudanças Climáticas</t>
  </si>
  <si>
    <t>Anual</t>
  </si>
  <si>
    <t xml:space="preserve"> -</t>
  </si>
  <si>
    <t>Energia
renovável</t>
  </si>
  <si>
    <t>MWh</t>
  </si>
  <si>
    <t>NA</t>
  </si>
  <si>
    <t>Circularidade do Alumínio</t>
  </si>
  <si>
    <t>ton</t>
  </si>
  <si>
    <t>Recursos Naturais</t>
  </si>
  <si>
    <r>
      <t>m</t>
    </r>
    <r>
      <rPr>
        <vertAlign val="superscript"/>
        <sz val="11"/>
        <color theme="1"/>
        <rFont val="Votorantim Sans Black"/>
      </rPr>
      <t>3</t>
    </r>
    <r>
      <rPr>
        <sz val="11"/>
        <color theme="1"/>
        <rFont val="Votorantim Sans Black"/>
      </rPr>
      <t>/t</t>
    </r>
  </si>
  <si>
    <t>Social</t>
  </si>
  <si>
    <t>Valorização das pessoas</t>
  </si>
  <si>
    <t>n°/1000 hht</t>
  </si>
  <si>
    <t>Legado social</t>
  </si>
  <si>
    <t>Cadeia de
Valor Sustentável</t>
  </si>
  <si>
    <t>R$</t>
  </si>
  <si>
    <t>Ética e Transparência</t>
  </si>
  <si>
    <t>ESG ownership</t>
  </si>
  <si>
    <t>Environmental</t>
  </si>
  <si>
    <t>Governance</t>
  </si>
  <si>
    <t>Pillar</t>
  </si>
  <si>
    <t>Lever</t>
  </si>
  <si>
    <t>Program</t>
  </si>
  <si>
    <t>Climate
mitigation and
adaptation</t>
  </si>
  <si>
    <t xml:space="preserve"> Renewable power
generation</t>
  </si>
  <si>
    <t>Aluminum
recycling</t>
  </si>
  <si>
    <t>Carton and
flexible packaging
recycling</t>
  </si>
  <si>
    <t>Water
stewardship</t>
  </si>
  <si>
    <t>Diversity, equity
and inclusion</t>
  </si>
  <si>
    <t>Health and
safety</t>
  </si>
  <si>
    <t>Social legacy</t>
  </si>
  <si>
    <t>Sustainable
Procurement</t>
  </si>
  <si>
    <t>Sustainable
solutions for
customers</t>
  </si>
  <si>
    <t xml:space="preserve"> Ethics and
transparency</t>
  </si>
  <si>
    <t>Annual</t>
  </si>
  <si>
    <t>Indicator</t>
  </si>
  <si>
    <t>Unit</t>
  </si>
  <si>
    <t>Periodicity</t>
  </si>
  <si>
    <t>Quarterly Values</t>
  </si>
  <si>
    <t>Annual Value</t>
  </si>
  <si>
    <t>Variation 22/23</t>
  </si>
  <si>
    <t>Quarterly</t>
  </si>
  <si>
    <t>% of women in the organization</t>
  </si>
  <si>
    <t>% of suppliers assessed on ESG criteria</t>
  </si>
  <si>
    <t>Number of customers using Alennium</t>
  </si>
  <si>
    <t>% of ESG-linked fundraisings and investments</t>
  </si>
  <si>
    <t>% of renewable sources in production processes</t>
  </si>
  <si>
    <t>Installed capacity of hydroelectric plants</t>
  </si>
  <si>
    <t>Installed wind farm capacity</t>
  </si>
  <si>
    <t>Captured volume of cartons and flexible packaging</t>
  </si>
  <si>
    <t>% of women in leadership (managers and above)</t>
  </si>
  <si>
    <r>
      <t>tCO</t>
    </r>
    <r>
      <rPr>
        <vertAlign val="subscript"/>
        <sz val="11"/>
        <color theme="1"/>
        <rFont val="Votorantim Sans Black"/>
      </rPr>
      <t>2</t>
    </r>
    <r>
      <rPr>
        <sz val="11"/>
        <color theme="1"/>
        <rFont val="Votorantim Sans Black"/>
      </rPr>
      <t>e/t of product</t>
    </r>
  </si>
  <si>
    <t>tCO2e/t of product</t>
  </si>
  <si>
    <t>% of eligible units certified to the ASI</t>
  </si>
  <si>
    <t>n#</t>
  </si>
  <si>
    <t>¹ Scope 1 and Scope 2 GHG emissions of the chain (Mining, Alumina, Pot Rooms, Casting and Support Areas) and Scope 3 related to the purchase of ingot from Metalex and Alux are being considered. The production of casting areas at the Aluminum Plant (SP), Metalex (SP) and Alux (SP) is considered.</t>
  </si>
  <si>
    <t>4.  Capacity and Utilization Rate</t>
  </si>
  <si>
    <t>5.  Energy</t>
  </si>
  <si>
    <t>7.  Sales Volume</t>
  </si>
  <si>
    <t>8.  Debt</t>
  </si>
  <si>
    <t xml:space="preserve">9.  Financial Statements </t>
  </si>
  <si>
    <t>10.  Results by Business</t>
  </si>
  <si>
    <t>11.  Cost Breakdown</t>
  </si>
  <si>
    <t>12. CAPEX</t>
  </si>
  <si>
    <t>13. Financial Cycle</t>
  </si>
  <si>
    <t>14. Free Cash Flow</t>
  </si>
  <si>
    <t>15. Cash Flow</t>
  </si>
  <si>
    <t>jun/46²</t>
  </si>
  <si>
    <t>nov/21⁴</t>
  </si>
  <si>
    <t>Enrollment*</t>
  </si>
  <si>
    <t>¹The Ministry of Mines and Energy rejected the request for extension, pending the analysis of CBA's administrative appeal</t>
  </si>
  <si>
    <t>²The Ministry of Mines and Energy granted the request for extension, pending the publication of the authorizing acts</t>
  </si>
  <si>
    <t>⁴The Ministry of Mines and Energy rejected the request for extension, and should include it in the list of plants to be tendered</t>
  </si>
  <si>
    <r>
      <rPr>
        <vertAlign val="superscript"/>
        <sz val="11"/>
        <rFont val="Votorantim Sans Black"/>
      </rPr>
      <t>*</t>
    </r>
    <r>
      <rPr>
        <sz val="11"/>
        <rFont val="Votorantim Sans Black"/>
      </rPr>
      <t>It does not have a fixed deadline</t>
    </r>
  </si>
  <si>
    <t>3.  ESG</t>
  </si>
  <si>
    <t>1.462,7 </t>
  </si>
  <si>
    <t>1Q24</t>
  </si>
  <si>
    <t xml:space="preserve">           -  </t>
  </si>
  <si>
    <t xml:space="preserve">          -  </t>
  </si>
  <si>
    <t>Interest on equity payable</t>
  </si>
  <si>
    <t>2Q24</t>
  </si>
  <si>
    <t>3Q24</t>
  </si>
  <si>
    <t>4Q24</t>
  </si>
  <si>
    <t> </t>
  </si>
  <si>
    <t>CBA has 21 energy assets and 2 wind complexes totaling 1,6 GW of installed capacity, capable of meeting practically the entire electrical energy requirement for its aluminum production. Some assets are connected to the National Integrated System (NIS) and other assets linked directly to Alumínio unit.</t>
  </si>
  <si>
    <t>³ 2024 third-party audit data, subject to change.</t>
  </si>
  <si>
    <r>
      <t>% of aluminum recycling with industrial scrap and obsolescence at Metalex</t>
    </r>
    <r>
      <rPr>
        <vertAlign val="superscript"/>
        <sz val="11"/>
        <color theme="1"/>
        <rFont val="Votorantim Sans Black"/>
      </rPr>
      <t>3</t>
    </r>
  </si>
  <si>
    <r>
      <t>% of aluminum recycling with industrial scrap and obsolescence in billet production at the Aluminum Plant</t>
    </r>
    <r>
      <rPr>
        <vertAlign val="superscript"/>
        <sz val="11"/>
        <color theme="1"/>
        <rFont val="Votorantim Sans Black"/>
      </rPr>
      <t>3</t>
    </r>
  </si>
  <si>
    <r>
      <t>% of aluminum recycling with industrial scrap and obsolescence in ingots production at Alux</t>
    </r>
    <r>
      <rPr>
        <vertAlign val="superscript"/>
        <sz val="11"/>
        <color theme="1"/>
        <rFont val="Votorantim Sans Black"/>
      </rPr>
      <t>3</t>
    </r>
  </si>
  <si>
    <t>Water consumption per metric ton of molten aluminum³</t>
  </si>
  <si>
    <r>
      <t>Number of major accidents in operations</t>
    </r>
    <r>
      <rPr>
        <vertAlign val="superscript"/>
        <sz val="11"/>
        <color theme="1"/>
        <rFont val="Votorantim Sans Black"/>
      </rPr>
      <t>4</t>
    </r>
  </si>
  <si>
    <r>
      <t>Accident frequency rate</t>
    </r>
    <r>
      <rPr>
        <vertAlign val="superscript"/>
        <sz val="11"/>
        <color theme="1"/>
        <rFont val="Votorantim Sans Black"/>
      </rPr>
      <t>5</t>
    </r>
  </si>
  <si>
    <r>
      <t>SLA in social programs</t>
    </r>
    <r>
      <rPr>
        <vertAlign val="superscript"/>
        <sz val="11"/>
        <color theme="1"/>
        <rFont val="Votorantim Sans Black"/>
      </rPr>
      <t>6</t>
    </r>
  </si>
  <si>
    <t>% spend with local suppliers³</t>
  </si>
  <si>
    <t>% of local suppliers³</t>
  </si>
  <si>
    <r>
      <t>Third-party-audited
Compliance Program</t>
    </r>
    <r>
      <rPr>
        <vertAlign val="superscript"/>
        <sz val="11"/>
        <color theme="1"/>
        <rFont val="Votorantim Sans Black"/>
      </rPr>
      <t>7</t>
    </r>
    <r>
      <rPr>
        <sz val="11"/>
        <color theme="1"/>
        <rFont val="Votorantim Sans Black"/>
      </rPr>
      <t xml:space="preserve"> </t>
    </r>
  </si>
  <si>
    <r>
      <t>% of employees with ESG goals</t>
    </r>
    <r>
      <rPr>
        <vertAlign val="superscript"/>
        <sz val="11"/>
        <color theme="1"/>
        <rFont val="Votorantim Sans Black"/>
      </rPr>
      <t>8</t>
    </r>
  </si>
  <si>
    <t>EBITDA</t>
  </si>
  <si>
    <t>Energy Result</t>
  </si>
  <si>
    <t>Net Revenue (Holdings)</t>
  </si>
  <si>
    <t>SWAP Submarket (Surplus)</t>
  </si>
  <si>
    <t>COGS (Holdings)</t>
  </si>
  <si>
    <t>GOGS (Surplus)</t>
  </si>
  <si>
    <t>Swap Enery (USD)</t>
  </si>
  <si>
    <t>Other operating income/expenses</t>
  </si>
  <si>
    <t>Other operating income/expenses (Holdings)</t>
  </si>
  <si>
    <t>Dividends received (cash effect) from unconsolidated companies</t>
  </si>
  <si>
    <t>EBITDA ajusted</t>
  </si>
  <si>
    <t>Net Revenue (Surplus)</t>
  </si>
  <si>
    <t>Hours</t>
  </si>
  <si>
    <t>Gain on sale of investment - Alunorte and Santa Cruz</t>
  </si>
  <si>
    <t>Dividends receivables</t>
  </si>
  <si>
    <t>Financial Applications</t>
  </si>
  <si>
    <t>Redemption of financial investments</t>
  </si>
  <si>
    <t>Capital Increase</t>
  </si>
  <si>
    <t>CBA's % Capacity (MW)</t>
  </si>
  <si>
    <t>Other effects² ³</t>
  </si>
  <si>
    <t>COGS ¹</t>
  </si>
  <si>
    <t>6.  Power Balance &amp; Result</t>
  </si>
  <si>
    <t>Goodwill on capital transactions</t>
  </si>
  <si>
    <r>
      <rPr>
        <b/>
        <vertAlign val="superscript"/>
        <sz val="10"/>
        <color theme="1"/>
        <rFont val="Verdana"/>
        <family val="2"/>
      </rPr>
      <t>4</t>
    </r>
    <r>
      <rPr>
        <b/>
        <sz val="10"/>
        <color theme="1"/>
        <rFont val="Verdana"/>
        <family val="2"/>
      </rPr>
      <t xml:space="preserve"> Considers a fatal accident or an injury that generates permanent disability (levels v and vi).</t>
    </r>
  </si>
  <si>
    <r>
      <rPr>
        <b/>
        <vertAlign val="superscript"/>
        <sz val="10"/>
        <color theme="1"/>
        <rFont val="Verdana"/>
        <family val="2"/>
      </rPr>
      <t>5</t>
    </r>
    <r>
      <rPr>
        <b/>
        <sz val="10"/>
        <color theme="1"/>
        <rFont val="Verdana"/>
        <family val="2"/>
      </rPr>
      <t xml:space="preserve"> Base 1 million HHT. It includes own employees and third parties.</t>
    </r>
  </si>
  <si>
    <r>
      <rPr>
        <b/>
        <vertAlign val="superscript"/>
        <sz val="10"/>
        <color theme="1"/>
        <rFont val="Verdana"/>
        <family val="2"/>
      </rPr>
      <t xml:space="preserve">6 </t>
    </r>
    <r>
      <rPr>
        <b/>
        <sz val="10"/>
        <color theme="1"/>
        <rFont val="Verdana"/>
        <family val="2"/>
      </rPr>
      <t>The SLA is a cumulative index that measures the achievement of the expected results for the projects being executed in the period.</t>
    </r>
  </si>
  <si>
    <r>
      <rPr>
        <b/>
        <vertAlign val="superscript"/>
        <sz val="10"/>
        <color theme="1"/>
        <rFont val="Verdana"/>
        <family val="2"/>
      </rPr>
      <t>7</t>
    </r>
    <r>
      <rPr>
        <b/>
        <sz val="10"/>
        <color theme="1"/>
        <rFont val="Verdana"/>
        <family val="2"/>
      </rPr>
      <t xml:space="preserve"> Evaluation conducted every 3 years.</t>
    </r>
  </si>
  <si>
    <r>
      <rPr>
        <b/>
        <vertAlign val="superscript"/>
        <sz val="10"/>
        <rFont val="Verdana"/>
        <family val="2"/>
      </rPr>
      <t xml:space="preserve">8 </t>
    </r>
    <r>
      <rPr>
        <b/>
        <sz val="10"/>
        <rFont val="Verdana"/>
        <family val="2"/>
      </rPr>
      <t>By 2022, employees in the Professional and Leadership public eligible for Variable Compensation already had formalized ESG-linked targets. For Operational level employees eligible for the Profit Sharing Program (PPR), there were ESG goals, but they were not a mandatory criteria. In 2023, this practice was formalized.</t>
    </r>
  </si>
  <si>
    <r>
      <t>GHG emissions from melted procusts</t>
    </r>
    <r>
      <rPr>
        <vertAlign val="superscript"/>
        <sz val="11"/>
        <color theme="1"/>
        <rFont val="Votorantim Sans Black"/>
      </rPr>
      <t>1</t>
    </r>
  </si>
  <si>
    <r>
      <t>% reduction of emissions from cast products (base year 2019)</t>
    </r>
    <r>
      <rPr>
        <vertAlign val="superscript"/>
        <sz val="11"/>
        <color theme="1"/>
        <rFont val="Votorantim Sans Black"/>
      </rPr>
      <t>1</t>
    </r>
  </si>
  <si>
    <t>GHG emission from Metalex billet</t>
  </si>
  <si>
    <t>1Q25</t>
  </si>
  <si>
    <t>4Q25</t>
  </si>
  <si>
    <t>Loss attributable to controlling shareholders</t>
  </si>
  <si>
    <t>Sale (Surplus)</t>
  </si>
  <si>
    <t>Capacity¹</t>
  </si>
  <si>
    <t>¹ Capacity presented on an annual basis, with proportional allocation per quarter</t>
  </si>
  <si>
    <t>2Q25</t>
  </si>
  <si>
    <t>Obligation for asset decommissioning and environmental liability.</t>
  </si>
  <si>
    <t xml:space="preserve"> -   </t>
  </si>
  <si>
    <t>Scrap, Master alloys and trird metals</t>
  </si>
  <si>
    <t>Realization of operational hedge accounting reserve</t>
  </si>
  <si>
    <t xml:space="preserve">Dividend </t>
  </si>
  <si>
    <t>Financial</t>
  </si>
  <si>
    <t>COGS (Surplus)</t>
  </si>
  <si>
    <t>Asset retirement obligation and environmental liability</t>
  </si>
  <si>
    <t>3Q25</t>
  </si>
  <si>
    <t>Provision (reversal) for asset impairment</t>
  </si>
  <si>
    <t>Provision (reversal) for loss of other assets</t>
  </si>
  <si>
    <t>Net investment gain</t>
  </si>
  <si>
    <t>Rondon project Impairment</t>
  </si>
  <si>
    <t>Cost of fuding</t>
  </si>
  <si>
    <t>Foreign exchange variation in cash and cash equivalents</t>
  </si>
  <si>
    <t>Receipt of corporate transactions</t>
  </si>
  <si>
    <t>Receipt for the sale of assets</t>
  </si>
  <si>
    <t>Capital increase of participation in investees</t>
  </si>
  <si>
    <r>
      <t>Others</t>
    </r>
    <r>
      <rPr>
        <vertAlign val="superscript"/>
        <sz val="11"/>
        <rFont val="Votorantim Sans Black"/>
      </rPr>
      <t>4</t>
    </r>
  </si>
  <si>
    <t>Wind complexes Curral Novo do Piauí II</t>
  </si>
  <si>
    <t>RN</t>
  </si>
  <si>
    <t>SIN</t>
  </si>
  <si>
    <t>TGR3</t>
  </si>
  <si>
    <t>feb/24⁴</t>
  </si>
  <si>
    <t>oct-25</t>
  </si>
  <si>
    <t>dec-2024</t>
  </si>
  <si>
    <t>dec-56</t>
  </si>
  <si>
    <r>
      <t>Nota</t>
    </r>
    <r>
      <rPr>
        <i/>
        <sz val="10"/>
        <color rgb="FF242424"/>
        <rFont val="Votorantim Sans Black"/>
      </rPr>
      <t>: o parque de usinas ainda conta com outras 5 UHEs operadas por consórcios, como: Machadinho, CAN I&amp;II, Salto Pilão, Baesa, Enercan.</t>
    </r>
  </si>
  <si>
    <t>GLOSSÁRIO</t>
  </si>
  <si>
    <t>UHE - Usina Hidrelétrica</t>
  </si>
  <si>
    <t>CGH - Central de Geração Hidrelétrica</t>
  </si>
  <si>
    <t>SIN - Sistema Integrado Nacional</t>
  </si>
  <si>
    <t>Total capacity (MW) - Sorocaba -  Juquiá Complex</t>
  </si>
  <si>
    <t>2029 ONWARD</t>
  </si>
  <si>
    <t>2,45³</t>
  </si>
  <si>
    <t>39%³</t>
  </si>
  <si>
    <t>68,6%³</t>
  </si>
  <si>
    <t>25,1%³</t>
  </si>
  <si>
    <t>92,92%³</t>
  </si>
  <si>
    <t>1,35³</t>
  </si>
  <si>
    <r>
      <rPr>
        <vertAlign val="superscript"/>
        <sz val="8"/>
        <rFont val="Votorantim Sans Black"/>
      </rPr>
      <t>5</t>
    </r>
    <r>
      <rPr>
        <sz val="10"/>
        <rFont val="Votorantim Sans Black"/>
      </rPr>
      <t xml:space="preserve"> CBA has 60 MWm of contracted energy</t>
    </r>
  </si>
  <si>
    <r>
      <t>Wind complexes Serra do Tigre</t>
    </r>
    <r>
      <rPr>
        <vertAlign val="superscript"/>
        <sz val="8"/>
        <color theme="1"/>
        <rFont val="Votorantim Sans Black"/>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</si>
</sst>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_(* \(#,##0.00\);_(* &quot;-&quot;??_);_(@_)"/>
    <numFmt numFmtId="165" formatCode="_(* #,##0_);_(* \(#,##0\);_(* &quot;-&quot;??_);_(@_)"/>
    <numFmt numFmtId="166" formatCode="[$-416]mmmm\-yy;@"/>
    <numFmt numFmtId="167" formatCode="_-* #,##0.00\ _€_-;\-* #,##0.00\ _€_-;_-* &quot;-&quot;??\ _€_-;_-@_-"/>
    <numFmt numFmtId="168" formatCode="_-* #,##0_-;\-* #,##0_-;_-* &quot;-&quot;??_-;_-@_-"/>
    <numFmt numFmtId="169" formatCode="0.0"/>
    <numFmt numFmtId="170" formatCode="[$-416]mmm\-yy;@"/>
    <numFmt numFmtId="171" formatCode="0.0%"/>
    <numFmt numFmtId="172" formatCode="#,##0.0"/>
    <numFmt numFmtId="173" formatCode="[$-F800]dddd\,\ mmmm\ dd\,\ yyyy"/>
  </numFmts>
  <fonts count="90">
    <font>
      <sz val="10"/>
      <name val="Arial"/>
    </font>
    <font>
      <sz val="11"/>
      <color theme="1"/>
      <name val="Calibri"/>
      <family val="2"/>
      <scheme val="minor"/>
    </font>
    <font>
      <sz val="10"/>
      <name val="Arial"/>
      <family val="2"/>
    </font>
    <font>
      <u/>
      <sz val="10"/>
      <color indexed="52"/>
      <name val="Arial"/>
      <family val="2"/>
    </font>
    <font>
      <b/>
      <sz val="11"/>
      <color indexed="8"/>
      <name val="Calibri"/>
      <family val="2"/>
    </font>
    <font>
      <sz val="10"/>
      <name val="MS Sans Serif"/>
      <family val="2"/>
    </font>
    <font>
      <sz val="10"/>
      <name val="Arial"/>
      <family val="2"/>
    </font>
    <font>
      <u/>
      <sz val="10"/>
      <color indexed="12"/>
      <name val="Arial"/>
      <family val="2"/>
    </font>
    <font>
      <sz val="10"/>
      <name val="Barlow"/>
    </font>
    <font>
      <b/>
      <sz val="28"/>
      <color indexed="18"/>
      <name val="Barlow"/>
    </font>
    <font>
      <b/>
      <sz val="10"/>
      <color indexed="18"/>
      <name val="Barlow"/>
    </font>
    <font>
      <b/>
      <i/>
      <sz val="10"/>
      <color indexed="18"/>
      <name val="Barlow"/>
    </font>
    <font>
      <sz val="10"/>
      <name val="Arial"/>
      <family val="2"/>
    </font>
    <font>
      <b/>
      <sz val="10"/>
      <name val="Votorantim Sans Black"/>
    </font>
    <font>
      <b/>
      <sz val="11"/>
      <color indexed="12"/>
      <name val="Votorantim Sans Black"/>
    </font>
    <font>
      <sz val="10"/>
      <name val="Votorantim Sans Black"/>
    </font>
    <font>
      <u/>
      <sz val="12"/>
      <color indexed="18"/>
      <name val="Votorantim Sans Black"/>
    </font>
    <font>
      <sz val="12"/>
      <name val="Votorantim Sans Black"/>
    </font>
    <font>
      <sz val="12"/>
      <color indexed="18"/>
      <name val="Votorantim Sans Black"/>
    </font>
    <font>
      <sz val="10"/>
      <color indexed="18"/>
      <name val="Votorantim Sans Black"/>
    </font>
    <font>
      <b/>
      <sz val="12"/>
      <color indexed="18"/>
      <name val="Votorantim Sans Black"/>
    </font>
    <font>
      <sz val="9"/>
      <color indexed="18"/>
      <name val="Votorantim Sans Black"/>
    </font>
    <font>
      <sz val="9"/>
      <name val="Votorantim Sans Black"/>
    </font>
    <font>
      <b/>
      <sz val="10"/>
      <color indexed="18"/>
      <name val="Votorantim Sans Black"/>
    </font>
    <font>
      <b/>
      <sz val="11"/>
      <color indexed="18"/>
      <name val="Votorantim Sans Black"/>
    </font>
    <font>
      <sz val="10"/>
      <color indexed="10"/>
      <name val="Votorantim Sans Black"/>
    </font>
    <font>
      <u/>
      <sz val="10"/>
      <color indexed="52"/>
      <name val="Votorantim Sans Black"/>
    </font>
    <font>
      <sz val="11"/>
      <name val="Votorantim Sans Black"/>
    </font>
    <font>
      <b/>
      <sz val="10"/>
      <color indexed="44"/>
      <name val="Votorantim Sans Black"/>
    </font>
    <font>
      <i/>
      <sz val="10"/>
      <name val="Votorantim Sans Black"/>
    </font>
    <font>
      <b/>
      <sz val="11"/>
      <name val="Votorantim Sans Black"/>
    </font>
    <font>
      <i/>
      <sz val="11"/>
      <name val="Votorantim Sans Black"/>
    </font>
    <font>
      <b/>
      <i/>
      <sz val="11"/>
      <name val="Votorantim Sans Black"/>
    </font>
    <font>
      <sz val="12"/>
      <color indexed="63"/>
      <name val="Votorantim Sans Black"/>
    </font>
    <font>
      <sz val="11"/>
      <name val="Arial"/>
      <family val="2"/>
    </font>
    <font>
      <b/>
      <sz val="11"/>
      <name val="Arial"/>
      <family val="2"/>
    </font>
    <font>
      <sz val="11"/>
      <color theme="1"/>
      <name val="Calibri"/>
      <family val="2"/>
      <scheme val="minor"/>
    </font>
    <font>
      <sz val="12"/>
      <color rgb="FF002060"/>
      <name val="Barlow"/>
    </font>
    <font>
      <sz val="10"/>
      <color rgb="FF002060"/>
      <name val="Barlow"/>
    </font>
    <font>
      <b/>
      <sz val="11"/>
      <color rgb="FF5600EB"/>
      <name val="Votorantim Sans Black"/>
    </font>
    <font>
      <sz val="12"/>
      <color rgb="FF5600EB"/>
      <name val="Votorantim Sans Black"/>
    </font>
    <font>
      <b/>
      <sz val="14"/>
      <color rgb="FF5600EB"/>
      <name val="Votorantim Sans Black"/>
    </font>
    <font>
      <sz val="10"/>
      <color rgb="FF002060"/>
      <name val="Votorantim Sans Black"/>
    </font>
    <font>
      <sz val="10"/>
      <color theme="4" tint="-0.249977111117893"/>
      <name val="Votorantim Sans Black"/>
    </font>
    <font>
      <b/>
      <sz val="8"/>
      <color theme="4" tint="-0.249977111117893"/>
      <name val="Votorantim Sans Black"/>
    </font>
    <font>
      <sz val="11"/>
      <color rgb="FF002060"/>
      <name val="Votorantim Sans Black"/>
    </font>
    <font>
      <b/>
      <sz val="11"/>
      <color rgb="FF002060"/>
      <name val="Votorantim Sans Black"/>
    </font>
    <font>
      <b/>
      <sz val="11"/>
      <color theme="0"/>
      <name val="Votorantim Sans Black"/>
    </font>
    <font>
      <b/>
      <sz val="11"/>
      <color theme="1"/>
      <name val="Votorantim Sans Black"/>
    </font>
    <font>
      <sz val="10"/>
      <color theme="1"/>
      <name val="Votorantim Sans Black"/>
    </font>
    <font>
      <sz val="11"/>
      <color theme="1"/>
      <name val="Votorantim Sans Black"/>
    </font>
    <font>
      <b/>
      <sz val="10"/>
      <color theme="1"/>
      <name val="Votorantim Sans Black"/>
    </font>
    <font>
      <b/>
      <u/>
      <sz val="12"/>
      <color theme="1"/>
      <name val="Votorantim Sans Black"/>
    </font>
    <font>
      <u/>
      <sz val="12"/>
      <color theme="1"/>
      <name val="Votorantim Sans Black"/>
    </font>
    <font>
      <sz val="12"/>
      <color theme="1"/>
      <name val="Votorantim Sans Black"/>
    </font>
    <font>
      <b/>
      <sz val="12"/>
      <color theme="1"/>
      <name val="Votorantim Sans Black"/>
    </font>
    <font>
      <b/>
      <sz val="9"/>
      <color theme="1"/>
      <name val="Votorantim Sans Black"/>
    </font>
    <font>
      <sz val="9"/>
      <color theme="1"/>
      <name val="Votorantim Sans Black"/>
    </font>
    <font>
      <i/>
      <sz val="11"/>
      <color rgb="FF002060"/>
      <name val="Votorantim Sans Black"/>
    </font>
    <font>
      <b/>
      <sz val="12"/>
      <color rgb="FF000080"/>
      <name val="Votorantim Sans Black"/>
    </font>
    <font>
      <sz val="10"/>
      <name val="Arial"/>
      <family val="2"/>
    </font>
    <font>
      <b/>
      <sz val="9"/>
      <name val="Votorantim Sans Black"/>
    </font>
    <font>
      <sz val="9"/>
      <color theme="1"/>
      <name val="Calibri"/>
      <family val="2"/>
      <scheme val="minor"/>
    </font>
    <font>
      <sz val="11"/>
      <color theme="4"/>
      <name val="Votorantim Sans Black"/>
    </font>
    <font>
      <i/>
      <sz val="10"/>
      <color rgb="FF242424"/>
      <name val="Votorantim Sans Black"/>
    </font>
    <font>
      <sz val="11"/>
      <color rgb="FF0070C0"/>
      <name val="Votorantim Sans Black"/>
    </font>
    <font>
      <b/>
      <sz val="11"/>
      <color rgb="FF0070C0"/>
      <name val="Votorantim Sans Black"/>
    </font>
    <font>
      <b/>
      <sz val="10"/>
      <name val="Arial"/>
      <family val="2"/>
    </font>
    <font>
      <b/>
      <sz val="11"/>
      <color rgb="FF66FFFF"/>
      <name val="Votorantim Sans Black"/>
    </font>
    <font>
      <sz val="10"/>
      <color rgb="FFFF0000"/>
      <name val="Votorantim Sans Black"/>
    </font>
    <font>
      <sz val="10"/>
      <color rgb="FFFF0000"/>
      <name val="Arial"/>
      <family val="2"/>
    </font>
    <font>
      <i/>
      <sz val="9"/>
      <name val="Votorantim Sans Black"/>
    </font>
    <font>
      <sz val="8"/>
      <name val="Arial"/>
      <family val="2"/>
    </font>
    <font>
      <sz val="10"/>
      <color rgb="FF000000"/>
      <name val="Verdana"/>
      <family val="2"/>
    </font>
    <font>
      <sz val="10"/>
      <color theme="0"/>
      <name val="Barlow"/>
    </font>
    <font>
      <b/>
      <sz val="12"/>
      <color theme="0"/>
      <name val="Verdana"/>
      <family val="2"/>
    </font>
    <font>
      <sz val="10"/>
      <color theme="1"/>
      <name val="Verdana"/>
      <family val="2"/>
    </font>
    <font>
      <vertAlign val="superscript"/>
      <sz val="11"/>
      <color theme="1"/>
      <name val="Votorantim Sans Black"/>
    </font>
    <font>
      <vertAlign val="subscript"/>
      <sz val="11"/>
      <color theme="1"/>
      <name val="Votorantim Sans Black"/>
    </font>
    <font>
      <b/>
      <sz val="9"/>
      <color theme="1"/>
      <name val="Verdana"/>
      <family val="2"/>
    </font>
    <font>
      <b/>
      <sz val="9"/>
      <name val="Verdana"/>
      <family val="2"/>
    </font>
    <font>
      <b/>
      <sz val="10"/>
      <color theme="1"/>
      <name val="Verdana"/>
      <family val="2"/>
    </font>
    <font>
      <vertAlign val="superscript"/>
      <sz val="11"/>
      <name val="Votorantim Sans Black"/>
    </font>
    <font>
      <sz val="8"/>
      <name val="Arial"/>
      <family val="2"/>
    </font>
    <font>
      <b/>
      <vertAlign val="superscript"/>
      <sz val="10"/>
      <color theme="1"/>
      <name val="Verdana"/>
      <family val="2"/>
    </font>
    <font>
      <b/>
      <sz val="10"/>
      <name val="Verdana"/>
      <family val="2"/>
    </font>
    <font>
      <b/>
      <vertAlign val="superscript"/>
      <sz val="10"/>
      <name val="Verdana"/>
      <family val="2"/>
    </font>
    <font>
      <sz val="8"/>
      <name val="Arial"/>
      <family val="2"/>
    </font>
    <font>
      <vertAlign val="superscript"/>
      <sz val="8"/>
      <name val="Votorantim Sans Black"/>
    </font>
    <font>
      <vertAlign val="superscript"/>
      <sz val="8"/>
      <color theme="1"/>
      <name val="Votorantim Sans Black"/>
    </font>
  </fonts>
  <fills count="10">
    <fill>
      <patternFill patternType="none"/>
    </fill>
    <fill>
      <patternFill patternType="gray125"/>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00599C"/>
        <bgColor indexed="64"/>
      </patternFill>
    </fill>
    <fill>
      <patternFill patternType="solid">
        <fgColor rgb="FF002060"/>
        <bgColor indexed="64"/>
      </patternFill>
    </fill>
    <fill>
      <patternFill patternType="solid">
        <fgColor theme="3" tint="0.79998168889431442"/>
        <bgColor indexed="64"/>
      </patternFill>
    </fill>
    <fill>
      <patternFill patternType="solid">
        <fgColor rgb="FF070775"/>
        <bgColor indexed="64"/>
      </patternFill>
    </fill>
    <fill>
      <patternFill patternType="solid">
        <fgColor rgb="FFC5D9F1"/>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23"/>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ck">
        <color indexed="23"/>
      </bottom>
      <diagonal/>
    </border>
    <border>
      <left style="thin">
        <color indexed="64"/>
      </left>
      <right/>
      <top/>
      <bottom/>
      <diagonal/>
    </border>
    <border>
      <left/>
      <right/>
      <top style="thick">
        <color indexed="23"/>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0"/>
      </bottom>
      <diagonal/>
    </border>
    <border>
      <left/>
      <right style="dotted">
        <color theme="0" tint="-0.14996795556505021"/>
      </right>
      <top/>
      <bottom/>
      <diagonal/>
    </border>
    <border>
      <left style="dotted">
        <color theme="0" tint="-0.14996795556505021"/>
      </left>
      <right/>
      <top/>
      <bottom style="dotted">
        <color theme="0" tint="-0.14996795556505021"/>
      </bottom>
      <diagonal/>
    </border>
    <border>
      <left/>
      <right/>
      <top/>
      <bottom style="dotted">
        <color theme="0" tint="-0.14996795556505021"/>
      </bottom>
      <diagonal/>
    </border>
    <border>
      <left/>
      <right style="dotted">
        <color theme="0" tint="-0.14996795556505021"/>
      </right>
      <top/>
      <bottom style="dotted">
        <color theme="0" tint="-0.14996795556505021"/>
      </bottom>
      <diagonal/>
    </border>
    <border>
      <left style="dotted">
        <color theme="0" tint="-0.14996795556505021"/>
      </left>
      <right style="dotted">
        <color theme="0" tint="-0.14996795556505021"/>
      </right>
      <top/>
      <bottom style="dotted">
        <color theme="0" tint="-0.14996795556505021"/>
      </bottom>
      <diagonal/>
    </border>
    <border>
      <left style="dotted">
        <color theme="0" tint="-0.14996795556505021"/>
      </left>
      <right style="dotted">
        <color theme="0" tint="-0.14996795556505021"/>
      </right>
      <top/>
      <bottom/>
      <diagonal/>
    </border>
    <border>
      <left/>
      <right/>
      <top/>
      <bottom style="thick">
        <color theme="0" tint="-0.499984740745262"/>
      </bottom>
      <diagonal/>
    </border>
    <border>
      <left/>
      <right style="dotted">
        <color theme="0" tint="-0.14996795556505021"/>
      </right>
      <top/>
      <bottom style="thick">
        <color theme="0" tint="-0.499984740745262"/>
      </bottom>
      <diagonal/>
    </border>
    <border>
      <left style="dotted">
        <color theme="0" tint="-0.14996795556505021"/>
      </left>
      <right style="dotted">
        <color theme="0" tint="-0.14996795556505021"/>
      </right>
      <top style="dotted">
        <color theme="0" tint="-0.14996795556505021"/>
      </top>
      <bottom style="thick">
        <color theme="0" tint="-0.499984740745262"/>
      </bottom>
      <diagonal/>
    </border>
    <border>
      <left style="dotted">
        <color theme="0" tint="-0.14996795556505021"/>
      </left>
      <right style="dotted">
        <color theme="0" tint="-0.14996795556505021"/>
      </right>
      <top/>
      <bottom style="thick">
        <color theme="0" tint="-0.499984740745262"/>
      </bottom>
      <diagonal/>
    </border>
    <border>
      <left style="dotted">
        <color theme="0" tint="-0.14996795556505021"/>
      </left>
      <right/>
      <top/>
      <bottom style="dotted">
        <color theme="0" tint="-0.34998626667073579"/>
      </bottom>
      <diagonal/>
    </border>
    <border>
      <left/>
      <right/>
      <top style="thick">
        <color theme="0" tint="-0.499984740745262"/>
      </top>
      <bottom/>
      <diagonal/>
    </border>
    <border>
      <left/>
      <right/>
      <top/>
      <bottom style="dotted">
        <color theme="0" tint="-0.34998626667073579"/>
      </bottom>
      <diagonal/>
    </border>
    <border>
      <left style="dotted">
        <color theme="0" tint="-0.14993743705557422"/>
      </left>
      <right style="dotted">
        <color theme="0" tint="-0.14993743705557422"/>
      </right>
      <top/>
      <bottom style="dotted">
        <color theme="0" tint="-0.34998626667073579"/>
      </bottom>
      <diagonal/>
    </border>
    <border>
      <left style="dotted">
        <color theme="0" tint="-0.14993743705557422"/>
      </left>
      <right style="dotted">
        <color theme="0" tint="-0.14993743705557422"/>
      </right>
      <top style="dotted">
        <color theme="0" tint="-0.34998626667073579"/>
      </top>
      <bottom style="dotted">
        <color theme="0" tint="-0.34998626667073579"/>
      </bottom>
      <diagonal/>
    </border>
    <border>
      <left style="dotted">
        <color theme="0" tint="-0.14996795556505021"/>
      </left>
      <right/>
      <top style="dotted">
        <color theme="0" tint="-0.34998626667073579"/>
      </top>
      <bottom style="dotted">
        <color theme="0" tint="-0.34998626667073579"/>
      </bottom>
      <diagonal/>
    </border>
    <border>
      <left/>
      <right/>
      <top style="dotted">
        <color theme="0" tint="-0.34998626667073579"/>
      </top>
      <bottom/>
      <diagonal/>
    </border>
    <border>
      <left/>
      <right/>
      <top style="dotted">
        <color theme="0" tint="-0.34998626667073579"/>
      </top>
      <bottom style="dotted">
        <color theme="0" tint="-0.34998626667073579"/>
      </bottom>
      <diagonal/>
    </border>
    <border>
      <left style="dotted">
        <color theme="0" tint="-0.14993743705557422"/>
      </left>
      <right style="dotted">
        <color theme="0" tint="-0.14993743705557422"/>
      </right>
      <top style="dotted">
        <color theme="0" tint="-0.34998626667073579"/>
      </top>
      <bottom style="thin">
        <color theme="0" tint="-0.34998626667073579"/>
      </bottom>
      <diagonal/>
    </border>
    <border>
      <left style="dotted">
        <color theme="0" tint="-0.14996795556505021"/>
      </left>
      <right/>
      <top style="dotted">
        <color theme="0" tint="-0.34998626667073579"/>
      </top>
      <bottom style="thick">
        <color theme="0" tint="-0.499984740745262"/>
      </bottom>
      <diagonal/>
    </border>
    <border>
      <left/>
      <right/>
      <top style="dotted">
        <color theme="0" tint="-0.34998626667073579"/>
      </top>
      <bottom style="thick">
        <color theme="0" tint="-0.499984740745262"/>
      </bottom>
      <diagonal/>
    </border>
    <border>
      <left style="dotted">
        <color theme="0" tint="-0.14993743705557422"/>
      </left>
      <right style="dotted">
        <color theme="0" tint="-0.14993743705557422"/>
      </right>
      <top style="dotted">
        <color theme="0" tint="-0.34998626667073579"/>
      </top>
      <bottom style="thick">
        <color theme="0" tint="-0.499984740745262"/>
      </bottom>
      <diagonal/>
    </border>
    <border>
      <left style="dotted">
        <color theme="0" tint="-0.14993743705557422"/>
      </left>
      <right style="dotted">
        <color theme="0" tint="-0.14993743705557422"/>
      </right>
      <top/>
      <bottom style="thick">
        <color theme="0" tint="-0.499984740745262"/>
      </bottom>
      <diagonal/>
    </border>
    <border>
      <left/>
      <right/>
      <top style="medium">
        <color theme="0" tint="-0.499984740745262"/>
      </top>
      <bottom/>
      <diagonal/>
    </border>
  </borders>
  <cellStyleXfs count="31">
    <xf numFmtId="0" fontId="0" fillId="0" borderId="0"/>
    <xf numFmtId="0" fontId="6" fillId="0" borderId="0"/>
    <xf numFmtId="0" fontId="6" fillId="0" borderId="0"/>
    <xf numFmtId="0" fontId="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 fillId="0" borderId="0"/>
    <xf numFmtId="0" fontId="36" fillId="0" borderId="0"/>
    <xf numFmtId="0" fontId="6" fillId="2" borderId="1" applyNumberFormat="0" applyFont="0" applyAlignment="0" applyProtection="0"/>
    <xf numFmtId="9" fontId="2" fillId="0" borderId="0" applyFont="0" applyFill="0" applyBorder="0" applyAlignment="0" applyProtection="0"/>
    <xf numFmtId="9"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164" fontId="6" fillId="0" borderId="0" applyFont="0" applyFill="0" applyBorder="0" applyAlignment="0" applyProtection="0"/>
    <xf numFmtId="164" fontId="1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0" fillId="0" borderId="0" applyFont="0" applyFill="0" applyBorder="0" applyAlignment="0" applyProtection="0"/>
    <xf numFmtId="9" fontId="60"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625">
    <xf numFmtId="0" fontId="0" fillId="0" borderId="0" xfId="0"/>
    <xf numFmtId="0" fontId="8" fillId="3" borderId="0" xfId="0" applyFont="1" applyFill="1"/>
    <xf numFmtId="0" fontId="9" fillId="0" borderId="0" xfId="0" applyFont="1"/>
    <xf numFmtId="0" fontId="10" fillId="3" borderId="0" xfId="0" applyFont="1" applyFill="1"/>
    <xf numFmtId="0" fontId="10" fillId="0" borderId="0" xfId="0" applyFont="1"/>
    <xf numFmtId="166" fontId="11" fillId="3" borderId="0" xfId="0" applyNumberFormat="1" applyFont="1" applyFill="1" applyAlignment="1">
      <alignment horizontal="right"/>
    </xf>
    <xf numFmtId="0" fontId="37" fillId="3" borderId="0" xfId="0" applyFont="1" applyFill="1"/>
    <xf numFmtId="0" fontId="37" fillId="3" borderId="0" xfId="3" applyFont="1" applyFill="1" applyAlignment="1" applyProtection="1"/>
    <xf numFmtId="0" fontId="38" fillId="3" borderId="0" xfId="0" applyFont="1" applyFill="1"/>
    <xf numFmtId="0" fontId="38" fillId="4" borderId="0" xfId="0" applyFont="1" applyFill="1"/>
    <xf numFmtId="0" fontId="38" fillId="0" borderId="0" xfId="0" applyFont="1"/>
    <xf numFmtId="0" fontId="37" fillId="4" borderId="0" xfId="0" applyFont="1" applyFill="1"/>
    <xf numFmtId="0" fontId="37" fillId="0" borderId="0" xfId="0" applyFont="1"/>
    <xf numFmtId="0" fontId="13" fillId="3" borderId="0" xfId="0" applyFont="1" applyFill="1"/>
    <xf numFmtId="0" fontId="39" fillId="3" borderId="0" xfId="3" applyFont="1" applyFill="1" applyAlignment="1" applyProtection="1">
      <alignment vertical="center"/>
    </xf>
    <xf numFmtId="0" fontId="40" fillId="3" borderId="0" xfId="0" applyFont="1" applyFill="1"/>
    <xf numFmtId="0" fontId="40" fillId="3" borderId="0" xfId="0" applyFont="1" applyFill="1" applyAlignment="1">
      <alignment horizontal="center"/>
    </xf>
    <xf numFmtId="0" fontId="41"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20" fillId="0" borderId="0" xfId="0" applyFont="1"/>
    <xf numFmtId="14" fontId="17" fillId="0" borderId="0" xfId="0" applyNumberFormat="1" applyFont="1"/>
    <xf numFmtId="0" fontId="21" fillId="0" borderId="0" xfId="0" applyFont="1"/>
    <xf numFmtId="0" fontId="22" fillId="0" borderId="0" xfId="0" applyFont="1"/>
    <xf numFmtId="165" fontId="21" fillId="0" borderId="0" xfId="0" applyNumberFormat="1" applyFont="1"/>
    <xf numFmtId="0" fontId="19" fillId="0" borderId="0" xfId="0" applyFont="1"/>
    <xf numFmtId="0" fontId="21" fillId="0" borderId="0" xfId="0" applyFont="1" applyAlignment="1">
      <alignment horizontal="left"/>
    </xf>
    <xf numFmtId="0" fontId="19" fillId="0" borderId="0" xfId="0" applyFont="1" applyAlignment="1">
      <alignment vertical="center"/>
    </xf>
    <xf numFmtId="165" fontId="21" fillId="0" borderId="0" xfId="0" applyNumberFormat="1" applyFont="1" applyAlignment="1">
      <alignment vertical="center"/>
    </xf>
    <xf numFmtId="165" fontId="19" fillId="3" borderId="0" xfId="0" applyNumberFormat="1" applyFont="1" applyFill="1"/>
    <xf numFmtId="0" fontId="23" fillId="0" borderId="0" xfId="0" applyFont="1"/>
    <xf numFmtId="0" fontId="19" fillId="4" borderId="0" xfId="0" applyFont="1" applyFill="1"/>
    <xf numFmtId="0" fontId="42" fillId="0" borderId="0" xfId="0" applyFont="1"/>
    <xf numFmtId="14" fontId="15" fillId="0" borderId="0" xfId="0" applyNumberFormat="1" applyFont="1"/>
    <xf numFmtId="0" fontId="25" fillId="0" borderId="0" xfId="0" applyFont="1"/>
    <xf numFmtId="0" fontId="26" fillId="0" borderId="0" xfId="3" applyFont="1" applyAlignment="1" applyProtection="1"/>
    <xf numFmtId="0" fontId="27" fillId="4" borderId="0" xfId="0" applyFont="1" applyFill="1"/>
    <xf numFmtId="0" fontId="43" fillId="0" borderId="0" xfId="0" applyFont="1"/>
    <xf numFmtId="0" fontId="15" fillId="3" borderId="0" xfId="0" applyFont="1" applyFill="1"/>
    <xf numFmtId="0" fontId="44" fillId="0" borderId="0" xfId="0" applyFont="1"/>
    <xf numFmtId="0" fontId="28" fillId="3" borderId="0" xfId="0" applyFont="1" applyFill="1"/>
    <xf numFmtId="0" fontId="14" fillId="3" borderId="0" xfId="0" applyFont="1" applyFill="1"/>
    <xf numFmtId="0" fontId="15" fillId="3" borderId="0" xfId="0" applyFont="1" applyFill="1" applyAlignment="1">
      <alignment vertical="center"/>
    </xf>
    <xf numFmtId="0" fontId="27" fillId="3" borderId="0" xfId="0" applyFont="1" applyFill="1" applyAlignment="1">
      <alignment vertical="center"/>
    </xf>
    <xf numFmtId="0" fontId="24" fillId="3" borderId="0" xfId="0" applyFont="1" applyFill="1" applyAlignment="1">
      <alignment horizontal="left" vertical="center"/>
    </xf>
    <xf numFmtId="0" fontId="13" fillId="3" borderId="0" xfId="0" applyFont="1" applyFill="1" applyAlignment="1">
      <alignment vertical="center"/>
    </xf>
    <xf numFmtId="165" fontId="13" fillId="3" borderId="0" xfId="0" applyNumberFormat="1" applyFont="1" applyFill="1" applyAlignment="1">
      <alignment vertical="center"/>
    </xf>
    <xf numFmtId="0" fontId="15" fillId="0" borderId="0" xfId="0" applyFont="1" applyAlignment="1">
      <alignment vertical="center"/>
    </xf>
    <xf numFmtId="0" fontId="45" fillId="3" borderId="0" xfId="0" applyFont="1" applyFill="1" applyAlignment="1">
      <alignment vertical="center"/>
    </xf>
    <xf numFmtId="165" fontId="27" fillId="3" borderId="0" xfId="0" applyNumberFormat="1" applyFont="1" applyFill="1"/>
    <xf numFmtId="0" fontId="24" fillId="3" borderId="0" xfId="0" applyFont="1" applyFill="1" applyAlignment="1">
      <alignment horizontal="right" vertical="center"/>
    </xf>
    <xf numFmtId="0" fontId="46" fillId="3" borderId="0" xfId="0" applyFont="1" applyFill="1" applyAlignment="1">
      <alignment vertical="center"/>
    </xf>
    <xf numFmtId="165" fontId="46" fillId="3" borderId="0" xfId="0" applyNumberFormat="1" applyFont="1" applyFill="1" applyAlignment="1">
      <alignment vertical="center"/>
    </xf>
    <xf numFmtId="0" fontId="31" fillId="3" borderId="0" xfId="0" applyFont="1" applyFill="1"/>
    <xf numFmtId="0" fontId="32" fillId="3" borderId="0" xfId="0" applyFont="1" applyFill="1"/>
    <xf numFmtId="0" fontId="23" fillId="3" borderId="0" xfId="0" applyFont="1" applyFill="1"/>
    <xf numFmtId="0" fontId="47" fillId="5" borderId="3" xfId="0" applyFont="1" applyFill="1" applyBorder="1" applyAlignment="1">
      <alignment horizontal="left" vertical="center"/>
    </xf>
    <xf numFmtId="0" fontId="47" fillId="5" borderId="3" xfId="0" applyFont="1" applyFill="1" applyBorder="1" applyAlignment="1">
      <alignment horizontal="center" vertical="center" wrapText="1"/>
    </xf>
    <xf numFmtId="0" fontId="48" fillId="3" borderId="0" xfId="0" applyFont="1" applyFill="1" applyAlignment="1">
      <alignment horizontal="left" vertical="center"/>
    </xf>
    <xf numFmtId="0" fontId="48" fillId="4" borderId="0" xfId="0" applyFont="1" applyFill="1" applyAlignment="1">
      <alignment horizontal="center" vertical="center" wrapText="1"/>
    </xf>
    <xf numFmtId="0" fontId="48" fillId="3" borderId="0" xfId="0" applyFont="1" applyFill="1" applyAlignment="1">
      <alignment vertical="center"/>
    </xf>
    <xf numFmtId="165" fontId="50" fillId="0" borderId="0" xfId="13" applyNumberFormat="1" applyFont="1" applyFill="1" applyBorder="1"/>
    <xf numFmtId="0" fontId="48" fillId="0" borderId="4" xfId="0" applyFont="1" applyBorder="1"/>
    <xf numFmtId="165" fontId="48" fillId="0" borderId="4" xfId="13" applyNumberFormat="1" applyFont="1" applyFill="1" applyBorder="1"/>
    <xf numFmtId="165" fontId="50" fillId="0" borderId="5" xfId="13" applyNumberFormat="1" applyFont="1" applyFill="1" applyBorder="1"/>
    <xf numFmtId="165" fontId="50" fillId="0" borderId="6" xfId="13" applyNumberFormat="1" applyFont="1" applyFill="1" applyBorder="1"/>
    <xf numFmtId="0" fontId="13" fillId="3" borderId="0" xfId="0" applyFont="1" applyFill="1" applyAlignment="1">
      <alignment horizontal="left" vertical="center"/>
    </xf>
    <xf numFmtId="0" fontId="30" fillId="0" borderId="3" xfId="0" applyFont="1" applyBorder="1" applyAlignment="1">
      <alignment horizontal="left" vertical="center"/>
    </xf>
    <xf numFmtId="0" fontId="30" fillId="0" borderId="0" xfId="0" applyFont="1"/>
    <xf numFmtId="0" fontId="27" fillId="0" borderId="0" xfId="0" applyFont="1"/>
    <xf numFmtId="0" fontId="30" fillId="0" borderId="4" xfId="0" applyFont="1" applyBorder="1"/>
    <xf numFmtId="0" fontId="27" fillId="0" borderId="5" xfId="0" applyFont="1" applyBorder="1"/>
    <xf numFmtId="0" fontId="27" fillId="0" borderId="7" xfId="0" applyFont="1" applyBorder="1"/>
    <xf numFmtId="0" fontId="47" fillId="5" borderId="3" xfId="0" applyFont="1" applyFill="1" applyBorder="1"/>
    <xf numFmtId="0" fontId="47" fillId="5" borderId="3" xfId="0" applyFont="1" applyFill="1" applyBorder="1" applyAlignment="1">
      <alignment horizontal="right"/>
    </xf>
    <xf numFmtId="0" fontId="47" fillId="5" borderId="3" xfId="0" applyFont="1" applyFill="1" applyBorder="1" applyAlignment="1">
      <alignment horizontal="right" vertical="center" wrapText="1"/>
    </xf>
    <xf numFmtId="0" fontId="53" fillId="0" borderId="0" xfId="0" applyFont="1"/>
    <xf numFmtId="0" fontId="54" fillId="0" borderId="0" xfId="0" applyFont="1"/>
    <xf numFmtId="0" fontId="57" fillId="0" borderId="0" xfId="0" applyFont="1"/>
    <xf numFmtId="165" fontId="57" fillId="0" borderId="0" xfId="0" applyNumberFormat="1" applyFont="1"/>
    <xf numFmtId="0" fontId="49" fillId="0" borderId="0" xfId="0" applyFont="1"/>
    <xf numFmtId="0" fontId="50" fillId="0" borderId="5" xfId="0" applyFont="1" applyBorder="1" applyAlignment="1">
      <alignment horizontal="left" indent="2"/>
    </xf>
    <xf numFmtId="0" fontId="50" fillId="0" borderId="6" xfId="0" applyFont="1" applyBorder="1" applyAlignment="1">
      <alignment horizontal="left" indent="2"/>
    </xf>
    <xf numFmtId="0" fontId="50" fillId="0" borderId="0" xfId="0" applyFont="1" applyAlignment="1">
      <alignment horizontal="left" indent="2"/>
    </xf>
    <xf numFmtId="0" fontId="48" fillId="0" borderId="9" xfId="0" applyFont="1" applyBorder="1"/>
    <xf numFmtId="165" fontId="48" fillId="0" borderId="9" xfId="13" applyNumberFormat="1" applyFont="1" applyFill="1" applyBorder="1"/>
    <xf numFmtId="0" fontId="58" fillId="3" borderId="0" xfId="0" applyFont="1" applyFill="1" applyAlignment="1">
      <alignment vertical="center"/>
    </xf>
    <xf numFmtId="0" fontId="34" fillId="0" borderId="5" xfId="0" applyFont="1" applyBorder="1" applyAlignment="1">
      <alignment horizontal="left" indent="2"/>
    </xf>
    <xf numFmtId="0" fontId="34" fillId="0" borderId="7" xfId="0" applyFont="1" applyBorder="1" applyAlignment="1">
      <alignment horizontal="left" indent="2"/>
    </xf>
    <xf numFmtId="0" fontId="34" fillId="0" borderId="6" xfId="0" applyFont="1" applyBorder="1" applyAlignment="1">
      <alignment horizontal="left" indent="2"/>
    </xf>
    <xf numFmtId="0" fontId="35" fillId="0" borderId="4" xfId="0" applyFont="1" applyBorder="1" applyAlignment="1">
      <alignment horizontal="left"/>
    </xf>
    <xf numFmtId="0" fontId="35" fillId="0" borderId="9" xfId="0" applyFont="1" applyBorder="1" applyAlignment="1">
      <alignment horizontal="left"/>
    </xf>
    <xf numFmtId="0" fontId="34" fillId="0" borderId="0" xfId="0" applyFont="1" applyAlignment="1">
      <alignment horizontal="left" indent="2"/>
    </xf>
    <xf numFmtId="0" fontId="27" fillId="0" borderId="0" xfId="0" applyFont="1" applyAlignment="1">
      <alignment horizontal="left" indent="2"/>
    </xf>
    <xf numFmtId="0" fontId="27" fillId="0" borderId="7" xfId="0" applyFont="1" applyBorder="1" applyAlignment="1">
      <alignment horizontal="left" indent="2"/>
    </xf>
    <xf numFmtId="0" fontId="46" fillId="3" borderId="0" xfId="0" applyFont="1" applyFill="1" applyAlignment="1">
      <alignment horizontal="left" vertical="center"/>
    </xf>
    <xf numFmtId="0" fontId="59" fillId="0" borderId="0" xfId="0" applyFont="1"/>
    <xf numFmtId="0" fontId="31" fillId="4" borderId="0" xfId="0" applyFont="1" applyFill="1"/>
    <xf numFmtId="165" fontId="27" fillId="4" borderId="0" xfId="0" applyNumberFormat="1" applyFont="1" applyFill="1"/>
    <xf numFmtId="37" fontId="13" fillId="0" borderId="0" xfId="0" applyNumberFormat="1" applyFont="1"/>
    <xf numFmtId="9" fontId="30" fillId="0" borderId="0" xfId="9" applyFont="1" applyFill="1" applyBorder="1" applyAlignment="1">
      <alignment horizontal="right"/>
    </xf>
    <xf numFmtId="0" fontId="48" fillId="0" borderId="4" xfId="0" applyFont="1" applyBorder="1" applyAlignment="1">
      <alignment vertical="center"/>
    </xf>
    <xf numFmtId="0" fontId="48" fillId="0" borderId="0" xfId="0" applyFont="1" applyAlignment="1">
      <alignment vertical="center"/>
    </xf>
    <xf numFmtId="0" fontId="50" fillId="0" borderId="0" xfId="0" applyFont="1" applyAlignment="1">
      <alignment vertical="center"/>
    </xf>
    <xf numFmtId="0" fontId="50" fillId="0" borderId="4" xfId="0" applyFont="1" applyBorder="1" applyAlignment="1">
      <alignment vertical="center"/>
    </xf>
    <xf numFmtId="0" fontId="48" fillId="0" borderId="9" xfId="0" applyFont="1" applyBorder="1" applyAlignment="1">
      <alignment vertical="center"/>
    </xf>
    <xf numFmtId="0" fontId="48" fillId="0" borderId="8" xfId="0" applyFont="1" applyBorder="1" applyAlignment="1">
      <alignment horizontal="left" vertical="center"/>
    </xf>
    <xf numFmtId="0" fontId="50" fillId="0" borderId="10" xfId="0" applyFont="1" applyBorder="1" applyAlignment="1">
      <alignment vertical="center"/>
    </xf>
    <xf numFmtId="0" fontId="50" fillId="0" borderId="8" xfId="0" applyFont="1" applyBorder="1" applyAlignment="1">
      <alignment vertical="center"/>
    </xf>
    <xf numFmtId="0" fontId="51" fillId="0" borderId="4" xfId="0" applyFont="1" applyBorder="1" applyAlignment="1">
      <alignment vertical="center"/>
    </xf>
    <xf numFmtId="0" fontId="50" fillId="0" borderId="7" xfId="0" applyFont="1" applyBorder="1" applyAlignment="1">
      <alignment horizontal="left" vertical="center"/>
    </xf>
    <xf numFmtId="0" fontId="50" fillId="0" borderId="0" xfId="0" applyFont="1" applyAlignment="1">
      <alignment horizontal="left" vertical="center"/>
    </xf>
    <xf numFmtId="0" fontId="50" fillId="0" borderId="5" xfId="0" applyFont="1" applyBorder="1" applyAlignment="1">
      <alignment horizontal="left" vertical="center"/>
    </xf>
    <xf numFmtId="0" fontId="48" fillId="0" borderId="4" xfId="0" applyFont="1" applyBorder="1" applyAlignment="1">
      <alignment horizontal="center" vertical="center" wrapText="1"/>
    </xf>
    <xf numFmtId="0" fontId="30" fillId="0" borderId="4" xfId="0" applyFont="1" applyBorder="1" applyAlignment="1">
      <alignment vertical="center"/>
    </xf>
    <xf numFmtId="0" fontId="27" fillId="0" borderId="0" xfId="0" applyFont="1" applyAlignment="1">
      <alignment horizontal="left" vertical="center"/>
    </xf>
    <xf numFmtId="165" fontId="27" fillId="0" borderId="0" xfId="20" applyNumberFormat="1" applyFont="1" applyFill="1" applyBorder="1" applyAlignment="1">
      <alignment vertical="center"/>
    </xf>
    <xf numFmtId="0" fontId="31" fillId="0" borderId="0" xfId="0" applyFont="1" applyAlignment="1">
      <alignment horizontal="left" vertical="center"/>
    </xf>
    <xf numFmtId="0" fontId="30" fillId="0" borderId="8" xfId="0" applyFont="1" applyBorder="1" applyAlignment="1">
      <alignment vertical="center"/>
    </xf>
    <xf numFmtId="0" fontId="27" fillId="0" borderId="0" xfId="0" applyFont="1" applyAlignment="1">
      <alignment horizontal="left" vertical="center" indent="2"/>
    </xf>
    <xf numFmtId="0" fontId="45" fillId="0" borderId="0" xfId="0" applyFont="1" applyAlignment="1">
      <alignment vertical="center"/>
    </xf>
    <xf numFmtId="0" fontId="27" fillId="0" borderId="7" xfId="0" applyFont="1" applyBorder="1" applyAlignment="1">
      <alignment horizontal="left" vertical="center" indent="2"/>
    </xf>
    <xf numFmtId="165" fontId="27" fillId="0" borderId="7" xfId="20" applyNumberFormat="1" applyFont="1" applyFill="1" applyBorder="1" applyAlignment="1">
      <alignment horizontal="center" vertical="center"/>
    </xf>
    <xf numFmtId="0" fontId="27" fillId="0" borderId="0" xfId="0" applyFont="1" applyAlignment="1">
      <alignment vertical="center"/>
    </xf>
    <xf numFmtId="0" fontId="30" fillId="0" borderId="0" xfId="0" applyFont="1" applyAlignment="1">
      <alignment horizontal="left" vertical="center"/>
    </xf>
    <xf numFmtId="0" fontId="27" fillId="0" borderId="10" xfId="0" applyFont="1" applyBorder="1" applyAlignment="1">
      <alignment horizontal="left" vertical="center"/>
    </xf>
    <xf numFmtId="0" fontId="27" fillId="0" borderId="6" xfId="0" applyFont="1" applyBorder="1" applyAlignment="1">
      <alignment vertical="center"/>
    </xf>
    <xf numFmtId="3" fontId="27" fillId="0" borderId="0" xfId="0" applyNumberFormat="1"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0" fillId="0" borderId="4" xfId="0" applyFont="1" applyBorder="1" applyAlignment="1">
      <alignment horizontal="left" vertical="center"/>
    </xf>
    <xf numFmtId="0" fontId="27" fillId="0" borderId="7" xfId="0" applyFont="1" applyBorder="1" applyAlignment="1">
      <alignment horizontal="left" vertical="center"/>
    </xf>
    <xf numFmtId="0" fontId="27" fillId="0" borderId="7" xfId="0" applyFont="1" applyBorder="1" applyAlignment="1">
      <alignment vertical="center"/>
    </xf>
    <xf numFmtId="165" fontId="27" fillId="0" borderId="7" xfId="20" applyNumberFormat="1" applyFont="1" applyFill="1" applyBorder="1" applyAlignment="1">
      <alignment vertical="center"/>
    </xf>
    <xf numFmtId="165" fontId="27" fillId="0" borderId="0" xfId="20" quotePrefix="1" applyNumberFormat="1" applyFont="1" applyFill="1" applyBorder="1" applyAlignment="1">
      <alignment vertical="center"/>
    </xf>
    <xf numFmtId="0" fontId="31" fillId="0" borderId="0" xfId="0" applyFont="1" applyAlignment="1">
      <alignment vertical="center"/>
    </xf>
    <xf numFmtId="164" fontId="31" fillId="0" borderId="0" xfId="20" applyFont="1" applyFill="1" applyBorder="1" applyAlignment="1">
      <alignment vertical="center"/>
    </xf>
    <xf numFmtId="164" fontId="31" fillId="0" borderId="0" xfId="20" applyFont="1" applyFill="1" applyBorder="1" applyAlignment="1">
      <alignment horizontal="right" vertical="center"/>
    </xf>
    <xf numFmtId="0" fontId="58" fillId="0" borderId="0" xfId="0" applyFont="1" applyAlignment="1">
      <alignment vertical="center"/>
    </xf>
    <xf numFmtId="0" fontId="30" fillId="0" borderId="4" xfId="0" applyFont="1" applyBorder="1" applyAlignment="1">
      <alignment horizontal="right" vertical="center"/>
    </xf>
    <xf numFmtId="165" fontId="30" fillId="0" borderId="0" xfId="20" applyNumberFormat="1" applyFont="1" applyFill="1" applyAlignment="1">
      <alignment vertical="center"/>
    </xf>
    <xf numFmtId="165" fontId="30" fillId="0" borderId="7" xfId="20" applyNumberFormat="1" applyFont="1" applyFill="1" applyBorder="1" applyAlignment="1">
      <alignment vertical="center"/>
    </xf>
    <xf numFmtId="165" fontId="30" fillId="0" borderId="0" xfId="20" applyNumberFormat="1" applyFont="1" applyFill="1" applyAlignment="1">
      <alignment horizontal="right" vertical="center"/>
    </xf>
    <xf numFmtId="37" fontId="30" fillId="0" borderId="4" xfId="0" applyNumberFormat="1" applyFont="1" applyBorder="1" applyAlignment="1">
      <alignment horizontal="right"/>
    </xf>
    <xf numFmtId="165" fontId="27" fillId="0" borderId="0" xfId="20" applyNumberFormat="1" applyFont="1" applyFill="1" applyAlignment="1">
      <alignment horizontal="center" vertical="center"/>
    </xf>
    <xf numFmtId="165" fontId="27" fillId="0" borderId="0" xfId="20" applyNumberFormat="1" applyFont="1" applyFill="1" applyAlignment="1">
      <alignment vertical="center"/>
    </xf>
    <xf numFmtId="165" fontId="27" fillId="0" borderId="0" xfId="20" applyNumberFormat="1" applyFont="1" applyFill="1" applyAlignment="1">
      <alignment horizontal="right" vertical="center"/>
    </xf>
    <xf numFmtId="37" fontId="27" fillId="0" borderId="0" xfId="0" applyNumberFormat="1" applyFont="1" applyAlignment="1">
      <alignment horizontal="right"/>
    </xf>
    <xf numFmtId="0" fontId="27" fillId="0" borderId="4" xfId="0" applyFont="1" applyBorder="1" applyAlignment="1">
      <alignment horizontal="right" vertical="center"/>
    </xf>
    <xf numFmtId="165" fontId="50" fillId="0" borderId="0" xfId="20" applyNumberFormat="1" applyFont="1" applyFill="1" applyAlignment="1">
      <alignment vertical="center"/>
    </xf>
    <xf numFmtId="165" fontId="50" fillId="0" borderId="4" xfId="20" applyNumberFormat="1" applyFont="1" applyFill="1" applyBorder="1" applyAlignment="1">
      <alignment vertical="center"/>
    </xf>
    <xf numFmtId="165" fontId="48" fillId="0" borderId="4" xfId="20" applyNumberFormat="1" applyFont="1" applyFill="1" applyBorder="1" applyAlignment="1">
      <alignment vertical="center"/>
    </xf>
    <xf numFmtId="165" fontId="48" fillId="0" borderId="9" xfId="20" applyNumberFormat="1" applyFont="1" applyFill="1" applyBorder="1" applyAlignment="1">
      <alignment vertical="center"/>
    </xf>
    <xf numFmtId="0" fontId="48" fillId="0" borderId="8" xfId="0" applyFont="1" applyBorder="1" applyAlignment="1">
      <alignment vertical="center"/>
    </xf>
    <xf numFmtId="165" fontId="50" fillId="0" borderId="10" xfId="20" applyNumberFormat="1" applyFont="1" applyFill="1" applyBorder="1" applyAlignment="1">
      <alignment vertical="center"/>
    </xf>
    <xf numFmtId="165" fontId="50" fillId="0" borderId="8" xfId="20" applyNumberFormat="1" applyFont="1" applyFill="1" applyBorder="1" applyAlignment="1">
      <alignment vertical="center"/>
    </xf>
    <xf numFmtId="165" fontId="50" fillId="0" borderId="8" xfId="20" applyNumberFormat="1" applyFont="1" applyFill="1" applyBorder="1" applyAlignment="1">
      <alignment horizontal="center" vertical="center"/>
    </xf>
    <xf numFmtId="0" fontId="49" fillId="0" borderId="0" xfId="0" applyFont="1" applyAlignment="1">
      <alignment vertical="center"/>
    </xf>
    <xf numFmtId="165" fontId="48" fillId="0" borderId="0" xfId="20" applyNumberFormat="1" applyFont="1" applyFill="1" applyAlignment="1">
      <alignment vertical="center"/>
    </xf>
    <xf numFmtId="0" fontId="49" fillId="0" borderId="4" xfId="0" applyFont="1" applyBorder="1" applyAlignment="1">
      <alignment vertical="center"/>
    </xf>
    <xf numFmtId="165" fontId="50" fillId="0" borderId="7" xfId="20" applyNumberFormat="1" applyFont="1" applyFill="1" applyBorder="1" applyAlignment="1">
      <alignment vertical="center"/>
    </xf>
    <xf numFmtId="164" fontId="49" fillId="0" borderId="7" xfId="20" applyFont="1" applyFill="1" applyBorder="1" applyAlignment="1">
      <alignment vertical="center"/>
    </xf>
    <xf numFmtId="0" fontId="49" fillId="0" borderId="5" xfId="0" applyFont="1" applyBorder="1" applyAlignment="1">
      <alignment vertical="center"/>
    </xf>
    <xf numFmtId="165" fontId="50" fillId="0" borderId="5" xfId="20" applyNumberFormat="1" applyFont="1" applyFill="1" applyBorder="1" applyAlignment="1">
      <alignment vertical="center"/>
    </xf>
    <xf numFmtId="164" fontId="48" fillId="0" borderId="4" xfId="20" applyFont="1" applyFill="1" applyBorder="1" applyAlignment="1">
      <alignment vertical="center"/>
    </xf>
    <xf numFmtId="165" fontId="30" fillId="0" borderId="4" xfId="20" applyNumberFormat="1" applyFont="1" applyFill="1" applyBorder="1" applyAlignment="1">
      <alignment vertical="center"/>
    </xf>
    <xf numFmtId="165" fontId="30" fillId="0" borderId="4" xfId="20" applyNumberFormat="1" applyFont="1" applyFill="1" applyBorder="1" applyAlignment="1">
      <alignment horizontal="right" vertical="center"/>
    </xf>
    <xf numFmtId="9" fontId="31" fillId="0" borderId="0" xfId="21" applyFont="1" applyFill="1" applyBorder="1" applyAlignment="1">
      <alignment vertical="center"/>
    </xf>
    <xf numFmtId="165" fontId="27" fillId="0" borderId="6" xfId="20" applyNumberFormat="1" applyFont="1" applyFill="1" applyBorder="1" applyAlignment="1">
      <alignment vertical="center"/>
    </xf>
    <xf numFmtId="165" fontId="30" fillId="0" borderId="4" xfId="0" applyNumberFormat="1" applyFont="1" applyBorder="1" applyAlignment="1">
      <alignment horizontal="right" vertical="center"/>
    </xf>
    <xf numFmtId="165" fontId="27" fillId="0" borderId="0" xfId="0" applyNumberFormat="1" applyFont="1" applyAlignment="1">
      <alignment vertical="center"/>
    </xf>
    <xf numFmtId="3" fontId="27" fillId="0" borderId="7" xfId="0" applyNumberFormat="1" applyFont="1" applyBorder="1" applyAlignment="1">
      <alignment vertical="center"/>
    </xf>
    <xf numFmtId="165" fontId="27" fillId="0" borderId="7" xfId="0" applyNumberFormat="1" applyFont="1" applyBorder="1" applyAlignment="1">
      <alignment vertical="center"/>
    </xf>
    <xf numFmtId="168" fontId="27" fillId="0" borderId="7" xfId="20" applyNumberFormat="1" applyFont="1" applyFill="1" applyBorder="1" applyAlignment="1">
      <alignment vertical="center"/>
    </xf>
    <xf numFmtId="164" fontId="27" fillId="0" borderId="7" xfId="20" applyFont="1" applyFill="1" applyBorder="1" applyAlignment="1">
      <alignment vertical="center"/>
    </xf>
    <xf numFmtId="3" fontId="30" fillId="0" borderId="0" xfId="0" applyNumberFormat="1" applyFont="1" applyAlignment="1">
      <alignment horizontal="right" vertical="center"/>
    </xf>
    <xf numFmtId="3" fontId="27" fillId="0" borderId="7" xfId="0" applyNumberFormat="1" applyFont="1" applyBorder="1" applyAlignment="1">
      <alignment horizontal="right" vertical="center"/>
    </xf>
    <xf numFmtId="3" fontId="27" fillId="0" borderId="6" xfId="0" applyNumberFormat="1" applyFont="1" applyBorder="1" applyAlignment="1">
      <alignment vertical="center"/>
    </xf>
    <xf numFmtId="165" fontId="30" fillId="0" borderId="0" xfId="20" applyNumberFormat="1" applyFont="1" applyFill="1" applyBorder="1" applyAlignment="1">
      <alignment vertical="center"/>
    </xf>
    <xf numFmtId="168" fontId="27" fillId="0" borderId="0" xfId="20" applyNumberFormat="1" applyFont="1" applyFill="1" applyBorder="1" applyAlignment="1">
      <alignment vertical="center"/>
    </xf>
    <xf numFmtId="165" fontId="15" fillId="3" borderId="0" xfId="0" applyNumberFormat="1" applyFont="1" applyFill="1"/>
    <xf numFmtId="0" fontId="13" fillId="0" borderId="0" xfId="0" applyFont="1" applyAlignment="1">
      <alignment horizontal="center"/>
    </xf>
    <xf numFmtId="165" fontId="27" fillId="0" borderId="7" xfId="20" applyNumberFormat="1" applyFont="1" applyFill="1" applyBorder="1" applyAlignment="1">
      <alignment horizontal="right" vertical="center"/>
    </xf>
    <xf numFmtId="165" fontId="49" fillId="0" borderId="0" xfId="0" applyNumberFormat="1" applyFont="1" applyAlignment="1">
      <alignment vertical="center"/>
    </xf>
    <xf numFmtId="0" fontId="46" fillId="0" borderId="0" xfId="0" applyFont="1" applyAlignment="1">
      <alignment vertical="center"/>
    </xf>
    <xf numFmtId="165" fontId="27" fillId="0" borderId="0" xfId="13" applyNumberFormat="1" applyFont="1" applyFill="1" applyBorder="1" applyAlignment="1">
      <alignment horizontal="center" vertical="center"/>
    </xf>
    <xf numFmtId="165" fontId="58" fillId="0" borderId="0" xfId="20" applyNumberFormat="1" applyFont="1" applyFill="1" applyBorder="1" applyAlignment="1">
      <alignment vertical="center"/>
    </xf>
    <xf numFmtId="0" fontId="27" fillId="0" borderId="7" xfId="0" applyFont="1" applyBorder="1" applyAlignment="1">
      <alignment horizontal="left" indent="1"/>
    </xf>
    <xf numFmtId="0" fontId="27" fillId="0" borderId="0" xfId="0" applyFont="1" applyAlignment="1">
      <alignment horizontal="left" indent="1"/>
    </xf>
    <xf numFmtId="165" fontId="30" fillId="0" borderId="0" xfId="20" applyNumberFormat="1" applyFont="1" applyFill="1" applyAlignment="1">
      <alignment horizontal="center" vertical="center"/>
    </xf>
    <xf numFmtId="165" fontId="13" fillId="3" borderId="0" xfId="13" applyNumberFormat="1" applyFont="1" applyFill="1"/>
    <xf numFmtId="165" fontId="30" fillId="0" borderId="4" xfId="9" applyNumberFormat="1" applyFont="1" applyFill="1" applyBorder="1" applyAlignment="1">
      <alignment horizontal="right"/>
    </xf>
    <xf numFmtId="165" fontId="50" fillId="0" borderId="5" xfId="13" applyNumberFormat="1" applyFont="1" applyFill="1" applyBorder="1" applyAlignment="1">
      <alignment horizontal="left" indent="2"/>
    </xf>
    <xf numFmtId="0" fontId="50" fillId="0" borderId="7" xfId="0" applyFont="1" applyBorder="1" applyAlignment="1">
      <alignment horizontal="left" indent="2"/>
    </xf>
    <xf numFmtId="165" fontId="50" fillId="0" borderId="7" xfId="13" applyNumberFormat="1" applyFont="1" applyFill="1" applyBorder="1"/>
    <xf numFmtId="0" fontId="57" fillId="0" borderId="0" xfId="0" applyFont="1" applyAlignment="1">
      <alignment horizontal="left" indent="2"/>
    </xf>
    <xf numFmtId="165" fontId="61" fillId="3" borderId="0" xfId="13" applyNumberFormat="1" applyFont="1" applyFill="1"/>
    <xf numFmtId="165" fontId="15" fillId="3" borderId="0" xfId="0" applyNumberFormat="1" applyFont="1" applyFill="1" applyAlignment="1">
      <alignment vertical="center"/>
    </xf>
    <xf numFmtId="165" fontId="15" fillId="0" borderId="0" xfId="0" applyNumberFormat="1" applyFont="1"/>
    <xf numFmtId="0" fontId="62" fillId="4" borderId="0" xfId="0" applyFont="1" applyFill="1"/>
    <xf numFmtId="0" fontId="57" fillId="4" borderId="0" xfId="0" applyFont="1" applyFill="1"/>
    <xf numFmtId="0" fontId="48" fillId="4" borderId="0" xfId="0" applyFont="1" applyFill="1"/>
    <xf numFmtId="0" fontId="50" fillId="0" borderId="0" xfId="0" applyFont="1"/>
    <xf numFmtId="0" fontId="50" fillId="4" borderId="0" xfId="0" applyFont="1" applyFill="1"/>
    <xf numFmtId="0" fontId="50" fillId="4" borderId="0" xfId="0" applyFont="1" applyFill="1" applyAlignment="1">
      <alignment horizontal="justify"/>
    </xf>
    <xf numFmtId="0" fontId="15" fillId="0" borderId="0" xfId="0" applyFont="1" applyAlignment="1">
      <alignment horizontal="left" wrapText="1"/>
    </xf>
    <xf numFmtId="0" fontId="47" fillId="5" borderId="11" xfId="0" applyFont="1" applyFill="1" applyBorder="1" applyAlignment="1">
      <alignment horizontal="left" vertical="center"/>
    </xf>
    <xf numFmtId="0" fontId="47" fillId="5" borderId="11" xfId="0" applyFont="1" applyFill="1" applyBorder="1" applyAlignment="1">
      <alignment horizontal="center" vertical="center"/>
    </xf>
    <xf numFmtId="0" fontId="47" fillId="5" borderId="11" xfId="0" applyFont="1" applyFill="1" applyBorder="1" applyAlignment="1">
      <alignment horizontal="center" vertical="center" wrapText="1"/>
    </xf>
    <xf numFmtId="0" fontId="50" fillId="0" borderId="12" xfId="0" applyFont="1" applyBorder="1" applyAlignment="1">
      <alignment horizontal="left" vertical="center"/>
    </xf>
    <xf numFmtId="0" fontId="50" fillId="0" borderId="0" xfId="0" applyFont="1" applyAlignment="1">
      <alignment horizontal="center" vertical="center"/>
    </xf>
    <xf numFmtId="9" fontId="63" fillId="0" borderId="13" xfId="0" applyNumberFormat="1" applyFont="1" applyBorder="1" applyAlignment="1">
      <alignment horizontal="center" vertical="center"/>
    </xf>
    <xf numFmtId="169" fontId="27" fillId="0" borderId="7" xfId="0" applyNumberFormat="1" applyFont="1" applyBorder="1" applyAlignment="1">
      <alignment horizontal="center" vertical="center"/>
    </xf>
    <xf numFmtId="170" fontId="27" fillId="0" borderId="7" xfId="0" applyNumberFormat="1" applyFont="1" applyBorder="1" applyAlignment="1">
      <alignment horizontal="center" vertical="center"/>
    </xf>
    <xf numFmtId="0" fontId="50" fillId="0" borderId="14" xfId="0" applyFont="1" applyBorder="1" applyAlignment="1">
      <alignment horizontal="left" vertical="center"/>
    </xf>
    <xf numFmtId="0" fontId="50" fillId="0" borderId="7" xfId="0" applyFont="1" applyBorder="1" applyAlignment="1">
      <alignment horizontal="center" vertical="center"/>
    </xf>
    <xf numFmtId="9" fontId="63" fillId="0" borderId="7" xfId="0" applyNumberFormat="1" applyFont="1" applyBorder="1" applyAlignment="1">
      <alignment horizontal="center" vertical="center"/>
    </xf>
    <xf numFmtId="171" fontId="50" fillId="0" borderId="7" xfId="0" applyNumberFormat="1" applyFont="1" applyBorder="1" applyAlignment="1">
      <alignment horizontal="center" vertical="center"/>
    </xf>
    <xf numFmtId="0" fontId="15" fillId="0" borderId="0" xfId="0" applyFont="1" applyAlignment="1">
      <alignment vertical="top" wrapText="1"/>
    </xf>
    <xf numFmtId="169" fontId="15" fillId="0" borderId="0" xfId="0" applyNumberFormat="1" applyFont="1" applyAlignment="1">
      <alignment horizontal="center"/>
    </xf>
    <xf numFmtId="0" fontId="13" fillId="0" borderId="0" xfId="0" applyFont="1" applyAlignment="1">
      <alignment horizontal="right"/>
    </xf>
    <xf numFmtId="9" fontId="15" fillId="0" borderId="0" xfId="8" applyFont="1" applyAlignment="1">
      <alignment horizontal="center"/>
    </xf>
    <xf numFmtId="0" fontId="29" fillId="0" borderId="0" xfId="0" applyFont="1"/>
    <xf numFmtId="9" fontId="15" fillId="3" borderId="0" xfId="8" applyFont="1" applyFill="1"/>
    <xf numFmtId="9" fontId="48" fillId="0" borderId="4" xfId="8" applyFont="1" applyFill="1" applyBorder="1"/>
    <xf numFmtId="9" fontId="48" fillId="0" borderId="9" xfId="8" applyFont="1" applyFill="1" applyBorder="1"/>
    <xf numFmtId="9" fontId="50" fillId="0" borderId="0" xfId="8" applyFont="1" applyFill="1" applyBorder="1"/>
    <xf numFmtId="9" fontId="50" fillId="0" borderId="5" xfId="8" applyFont="1" applyFill="1" applyBorder="1"/>
    <xf numFmtId="9" fontId="50" fillId="0" borderId="6" xfId="8" applyFont="1" applyFill="1" applyBorder="1"/>
    <xf numFmtId="9" fontId="50" fillId="0" borderId="15" xfId="8" applyFont="1" applyFill="1" applyBorder="1"/>
    <xf numFmtId="0" fontId="47" fillId="0" borderId="0" xfId="0" applyFont="1" applyAlignment="1">
      <alignment horizontal="right"/>
    </xf>
    <xf numFmtId="165" fontId="30" fillId="0" borderId="0" xfId="0" applyNumberFormat="1" applyFont="1" applyAlignment="1">
      <alignment horizontal="right" vertical="center"/>
    </xf>
    <xf numFmtId="164" fontId="27" fillId="0" borderId="0" xfId="20" applyFont="1" applyFill="1" applyBorder="1" applyAlignment="1">
      <alignment vertical="center"/>
    </xf>
    <xf numFmtId="165" fontId="30" fillId="0" borderId="0" xfId="20" applyNumberFormat="1" applyFont="1" applyFill="1" applyBorder="1" applyAlignment="1">
      <alignment horizontal="right" vertical="center"/>
    </xf>
    <xf numFmtId="3" fontId="27" fillId="0" borderId="0" xfId="0" applyNumberFormat="1" applyFont="1" applyAlignment="1">
      <alignment horizontal="right" vertical="center"/>
    </xf>
    <xf numFmtId="0" fontId="27" fillId="4" borderId="5" xfId="0" applyFont="1" applyFill="1" applyBorder="1"/>
    <xf numFmtId="165" fontId="45" fillId="3" borderId="0" xfId="0" applyNumberFormat="1" applyFont="1" applyFill="1" applyAlignment="1">
      <alignment vertical="center"/>
    </xf>
    <xf numFmtId="164" fontId="15" fillId="3" borderId="0" xfId="13" applyFont="1" applyFill="1" applyAlignment="1">
      <alignment vertical="center"/>
    </xf>
    <xf numFmtId="0" fontId="30" fillId="0" borderId="8" xfId="0" applyFont="1" applyBorder="1"/>
    <xf numFmtId="0" fontId="27" fillId="0" borderId="4" xfId="0" applyFont="1" applyBorder="1"/>
    <xf numFmtId="165" fontId="27" fillId="0" borderId="4" xfId="20" applyNumberFormat="1" applyFont="1" applyFill="1" applyBorder="1" applyAlignment="1">
      <alignment vertical="center"/>
    </xf>
    <xf numFmtId="0" fontId="30" fillId="0" borderId="7" xfId="0" applyFont="1" applyBorder="1"/>
    <xf numFmtId="0" fontId="27" fillId="0" borderId="8" xfId="0" applyFont="1" applyBorder="1"/>
    <xf numFmtId="9" fontId="27" fillId="4" borderId="0" xfId="0" applyNumberFormat="1" applyFont="1" applyFill="1"/>
    <xf numFmtId="9" fontId="46" fillId="3" borderId="0" xfId="0" applyNumberFormat="1" applyFont="1" applyFill="1" applyAlignment="1">
      <alignment vertical="center"/>
    </xf>
    <xf numFmtId="9" fontId="48" fillId="0" borderId="0" xfId="8" applyFont="1" applyFill="1" applyBorder="1"/>
    <xf numFmtId="9" fontId="48" fillId="4" borderId="6" xfId="8" applyFont="1" applyFill="1" applyBorder="1"/>
    <xf numFmtId="0" fontId="13" fillId="4" borderId="0" xfId="0" applyFont="1" applyFill="1"/>
    <xf numFmtId="0" fontId="15" fillId="4" borderId="0" xfId="0" applyFont="1" applyFill="1"/>
    <xf numFmtId="9" fontId="50" fillId="4" borderId="6" xfId="8" applyFont="1" applyFill="1" applyBorder="1"/>
    <xf numFmtId="0" fontId="27" fillId="3" borderId="0" xfId="0" applyFont="1" applyFill="1"/>
    <xf numFmtId="0" fontId="24" fillId="3" borderId="0" xfId="0" applyFont="1" applyFill="1"/>
    <xf numFmtId="0" fontId="30" fillId="3" borderId="0" xfId="0" applyFont="1" applyFill="1"/>
    <xf numFmtId="0" fontId="27" fillId="0" borderId="6" xfId="0" applyFont="1" applyBorder="1"/>
    <xf numFmtId="165" fontId="27" fillId="0" borderId="0" xfId="0" applyNumberFormat="1" applyFont="1"/>
    <xf numFmtId="165" fontId="30" fillId="0" borderId="0" xfId="0" applyNumberFormat="1" applyFont="1"/>
    <xf numFmtId="0" fontId="27" fillId="0" borderId="4" xfId="0" applyFont="1" applyBorder="1" applyAlignment="1">
      <alignment horizontal="left" indent="1"/>
    </xf>
    <xf numFmtId="0" fontId="27" fillId="0" borderId="6" xfId="0" applyFont="1" applyBorder="1" applyAlignment="1">
      <alignment horizontal="left" indent="1"/>
    </xf>
    <xf numFmtId="0" fontId="30" fillId="0" borderId="4" xfId="0" applyFont="1" applyBorder="1" applyAlignment="1">
      <alignment horizontal="left"/>
    </xf>
    <xf numFmtId="165" fontId="27" fillId="0" borderId="7" xfId="23" applyNumberFormat="1" applyFont="1" applyFill="1" applyBorder="1" applyAlignment="1">
      <alignment vertical="center"/>
    </xf>
    <xf numFmtId="1" fontId="27" fillId="0" borderId="7" xfId="0" applyNumberFormat="1" applyFont="1" applyBorder="1"/>
    <xf numFmtId="165" fontId="48" fillId="0" borderId="4" xfId="13" applyNumberFormat="1" applyFont="1" applyFill="1" applyBorder="1" applyAlignment="1">
      <alignment horizontal="right"/>
    </xf>
    <xf numFmtId="165" fontId="27" fillId="0" borderId="5" xfId="23" applyNumberFormat="1" applyFont="1" applyFill="1" applyBorder="1" applyAlignment="1">
      <alignment vertical="center"/>
    </xf>
    <xf numFmtId="165" fontId="27" fillId="0" borderId="0" xfId="23" applyNumberFormat="1" applyFont="1" applyFill="1" applyBorder="1" applyAlignment="1">
      <alignment vertical="center"/>
    </xf>
    <xf numFmtId="0" fontId="47" fillId="0" borderId="0" xfId="0" applyFont="1" applyAlignment="1">
      <alignment horizontal="center" vertical="center" wrapText="1"/>
    </xf>
    <xf numFmtId="165" fontId="48" fillId="0" borderId="0" xfId="13" applyNumberFormat="1" applyFont="1" applyFill="1" applyBorder="1"/>
    <xf numFmtId="165" fontId="46" fillId="3" borderId="0" xfId="13" applyNumberFormat="1" applyFont="1" applyFill="1" applyAlignment="1">
      <alignment vertical="center"/>
    </xf>
    <xf numFmtId="165" fontId="45" fillId="3" borderId="0" xfId="13" applyNumberFormat="1" applyFont="1" applyFill="1" applyAlignment="1">
      <alignment vertical="center"/>
    </xf>
    <xf numFmtId="165" fontId="58" fillId="3" borderId="0" xfId="13" applyNumberFormat="1" applyFont="1" applyFill="1" applyAlignment="1">
      <alignment vertical="center"/>
    </xf>
    <xf numFmtId="165" fontId="45" fillId="0" borderId="0" xfId="13" applyNumberFormat="1" applyFont="1" applyAlignment="1">
      <alignment vertical="center"/>
    </xf>
    <xf numFmtId="165" fontId="46" fillId="0" borderId="0" xfId="13" applyNumberFormat="1" applyFont="1" applyAlignment="1">
      <alignment vertical="center"/>
    </xf>
    <xf numFmtId="165" fontId="45" fillId="0" borderId="0" xfId="0" applyNumberFormat="1" applyFont="1" applyAlignment="1">
      <alignment vertical="center"/>
    </xf>
    <xf numFmtId="0" fontId="52" fillId="0" borderId="0" xfId="24" applyFont="1"/>
    <xf numFmtId="0" fontId="54" fillId="0" borderId="0" xfId="24" applyFont="1"/>
    <xf numFmtId="0" fontId="55" fillId="0" borderId="0" xfId="24" applyFont="1"/>
    <xf numFmtId="0" fontId="56" fillId="0" borderId="0" xfId="24" applyFont="1"/>
    <xf numFmtId="0" fontId="52" fillId="0" borderId="0" xfId="24" applyFont="1" applyAlignment="1">
      <alignment horizontal="left"/>
    </xf>
    <xf numFmtId="0" fontId="59" fillId="0" borderId="0" xfId="24" applyFont="1"/>
    <xf numFmtId="0" fontId="50" fillId="0" borderId="0" xfId="13" applyNumberFormat="1" applyFont="1" applyFill="1" applyAlignment="1">
      <alignment horizontal="left" vertical="center"/>
    </xf>
    <xf numFmtId="0" fontId="27" fillId="0" borderId="5" xfId="0" applyFont="1" applyBorder="1" applyAlignment="1">
      <alignment horizontal="left" indent="2"/>
    </xf>
    <xf numFmtId="0" fontId="50" fillId="0" borderId="0" xfId="0" applyFont="1" applyAlignment="1">
      <alignment vertical="top"/>
    </xf>
    <xf numFmtId="0" fontId="27" fillId="0" borderId="5" xfId="24" applyFont="1" applyBorder="1"/>
    <xf numFmtId="0" fontId="27" fillId="0" borderId="7" xfId="24" applyFont="1" applyBorder="1"/>
    <xf numFmtId="0" fontId="30" fillId="0" borderId="4" xfId="24" applyFont="1" applyBorder="1"/>
    <xf numFmtId="0" fontId="15" fillId="3" borderId="0" xfId="22" applyFont="1" applyFill="1"/>
    <xf numFmtId="0" fontId="47" fillId="5" borderId="3" xfId="22" applyFont="1" applyFill="1" applyBorder="1" applyAlignment="1">
      <alignment horizontal="right" vertical="center" wrapText="1"/>
    </xf>
    <xf numFmtId="0" fontId="24" fillId="3" borderId="0" xfId="22" applyFont="1" applyFill="1" applyAlignment="1">
      <alignment horizontal="right" vertical="center"/>
    </xf>
    <xf numFmtId="1" fontId="27" fillId="0" borderId="7" xfId="22" applyNumberFormat="1" applyFont="1" applyBorder="1"/>
    <xf numFmtId="1" fontId="48" fillId="0" borderId="4" xfId="13" applyNumberFormat="1" applyFont="1" applyFill="1" applyBorder="1" applyAlignment="1">
      <alignment horizontal="right"/>
    </xf>
    <xf numFmtId="1" fontId="27" fillId="0" borderId="5" xfId="23" applyNumberFormat="1" applyFont="1" applyFill="1" applyBorder="1" applyAlignment="1">
      <alignment vertical="center"/>
    </xf>
    <xf numFmtId="0" fontId="27" fillId="0" borderId="0" xfId="22" applyFont="1"/>
    <xf numFmtId="0" fontId="2" fillId="0" borderId="0" xfId="22"/>
    <xf numFmtId="0" fontId="15" fillId="3" borderId="0" xfId="24" applyFont="1" applyFill="1"/>
    <xf numFmtId="0" fontId="47" fillId="5" borderId="3" xfId="24" applyFont="1" applyFill="1" applyBorder="1" applyAlignment="1">
      <alignment horizontal="center" vertical="center" wrapText="1"/>
    </xf>
    <xf numFmtId="165" fontId="48" fillId="0" borderId="4" xfId="23" applyNumberFormat="1" applyFont="1" applyFill="1" applyBorder="1"/>
    <xf numFmtId="165" fontId="48" fillId="0" borderId="9" xfId="23" applyNumberFormat="1" applyFont="1" applyFill="1" applyBorder="1"/>
    <xf numFmtId="165" fontId="50" fillId="0" borderId="0" xfId="23" applyNumberFormat="1" applyFont="1" applyFill="1" applyBorder="1"/>
    <xf numFmtId="165" fontId="50" fillId="0" borderId="5" xfId="23" applyNumberFormat="1" applyFont="1" applyFill="1" applyBorder="1"/>
    <xf numFmtId="165" fontId="50" fillId="0" borderId="6" xfId="23" applyNumberFormat="1" applyFont="1" applyFill="1" applyBorder="1"/>
    <xf numFmtId="9" fontId="15" fillId="3" borderId="0" xfId="25" applyFont="1" applyFill="1"/>
    <xf numFmtId="9" fontId="48" fillId="0" borderId="4" xfId="25" applyFont="1" applyFill="1" applyBorder="1"/>
    <xf numFmtId="9" fontId="48" fillId="0" borderId="9" xfId="25" applyFont="1" applyFill="1" applyBorder="1"/>
    <xf numFmtId="9" fontId="50" fillId="0" borderId="0" xfId="25" applyFont="1" applyFill="1" applyBorder="1"/>
    <xf numFmtId="9" fontId="50" fillId="0" borderId="5" xfId="25" applyFont="1" applyFill="1" applyBorder="1"/>
    <xf numFmtId="9" fontId="50" fillId="0" borderId="15" xfId="25" applyFont="1" applyFill="1" applyBorder="1"/>
    <xf numFmtId="9" fontId="50" fillId="0" borderId="6" xfId="25" applyFont="1" applyFill="1" applyBorder="1"/>
    <xf numFmtId="9" fontId="48" fillId="0" borderId="0" xfId="25" applyFont="1" applyFill="1" applyBorder="1"/>
    <xf numFmtId="9" fontId="48" fillId="4" borderId="6" xfId="25" applyFont="1" applyFill="1" applyBorder="1"/>
    <xf numFmtId="9" fontId="50" fillId="4" borderId="6" xfId="25" applyFont="1" applyFill="1" applyBorder="1"/>
    <xf numFmtId="0" fontId="15" fillId="4" borderId="0" xfId="24" applyFont="1" applyFill="1"/>
    <xf numFmtId="165" fontId="48" fillId="0" borderId="4" xfId="23" applyNumberFormat="1" applyFont="1" applyFill="1" applyBorder="1" applyAlignment="1">
      <alignment vertical="center"/>
    </xf>
    <xf numFmtId="165" fontId="50" fillId="0" borderId="0" xfId="23" applyNumberFormat="1" applyFont="1" applyFill="1" applyAlignment="1">
      <alignment vertical="center"/>
    </xf>
    <xf numFmtId="165" fontId="50" fillId="0" borderId="4" xfId="23" applyNumberFormat="1" applyFont="1" applyFill="1" applyBorder="1" applyAlignment="1">
      <alignment vertical="center"/>
    </xf>
    <xf numFmtId="165" fontId="48" fillId="0" borderId="9" xfId="23" applyNumberFormat="1" applyFont="1" applyFill="1" applyBorder="1" applyAlignment="1">
      <alignment vertical="center"/>
    </xf>
    <xf numFmtId="165" fontId="50" fillId="0" borderId="10" xfId="23" applyNumberFormat="1" applyFont="1" applyFill="1" applyBorder="1" applyAlignment="1">
      <alignment vertical="center"/>
    </xf>
    <xf numFmtId="165" fontId="50" fillId="0" borderId="8" xfId="23" applyNumberFormat="1" applyFont="1" applyFill="1" applyBorder="1" applyAlignment="1">
      <alignment horizontal="center" vertical="center"/>
    </xf>
    <xf numFmtId="165" fontId="50" fillId="0" borderId="7" xfId="23" applyNumberFormat="1" applyFont="1" applyFill="1" applyBorder="1" applyAlignment="1">
      <alignment vertical="center"/>
    </xf>
    <xf numFmtId="165" fontId="50" fillId="0" borderId="5" xfId="23" applyNumberFormat="1" applyFont="1" applyFill="1" applyBorder="1" applyAlignment="1">
      <alignment vertical="center"/>
    </xf>
    <xf numFmtId="164" fontId="48" fillId="0" borderId="4" xfId="23" applyFont="1" applyFill="1" applyBorder="1" applyAlignment="1">
      <alignment vertical="center"/>
    </xf>
    <xf numFmtId="0" fontId="47" fillId="5" borderId="3" xfId="0" applyFont="1" applyFill="1" applyBorder="1" applyAlignment="1">
      <alignment horizontal="center"/>
    </xf>
    <xf numFmtId="165" fontId="30" fillId="0" borderId="4" xfId="23" applyNumberFormat="1" applyFont="1" applyFill="1" applyBorder="1" applyAlignment="1">
      <alignment vertical="center"/>
    </xf>
    <xf numFmtId="165" fontId="30" fillId="0" borderId="4" xfId="23" applyNumberFormat="1" applyFont="1" applyFill="1" applyBorder="1" applyAlignment="1">
      <alignment horizontal="right" vertical="center"/>
    </xf>
    <xf numFmtId="165" fontId="30" fillId="0" borderId="8" xfId="23" applyNumberFormat="1" applyFont="1" applyFill="1" applyBorder="1" applyAlignment="1">
      <alignment vertical="center"/>
    </xf>
    <xf numFmtId="165" fontId="27" fillId="0" borderId="7" xfId="23" applyNumberFormat="1" applyFont="1" applyFill="1" applyBorder="1" applyAlignment="1">
      <alignment horizontal="center" vertical="center"/>
    </xf>
    <xf numFmtId="165" fontId="27" fillId="0" borderId="0" xfId="23" applyNumberFormat="1" applyFont="1" applyFill="1" applyBorder="1" applyAlignment="1">
      <alignment horizontal="center" vertical="center"/>
    </xf>
    <xf numFmtId="165" fontId="30" fillId="0" borderId="0" xfId="23" applyNumberFormat="1" applyFont="1" applyFill="1" applyBorder="1" applyAlignment="1">
      <alignment horizontal="center" vertical="center"/>
    </xf>
    <xf numFmtId="165" fontId="27" fillId="0" borderId="5" xfId="23" applyNumberFormat="1" applyFont="1" applyFill="1" applyBorder="1" applyAlignment="1">
      <alignment horizontal="center" vertical="center"/>
    </xf>
    <xf numFmtId="165" fontId="27" fillId="0" borderId="6" xfId="23" applyNumberFormat="1" applyFont="1" applyFill="1" applyBorder="1" applyAlignment="1">
      <alignment horizontal="center" vertical="center"/>
    </xf>
    <xf numFmtId="165" fontId="30" fillId="0" borderId="4" xfId="23" applyNumberFormat="1" applyFont="1" applyFill="1" applyBorder="1" applyAlignment="1">
      <alignment horizontal="center" vertical="center"/>
    </xf>
    <xf numFmtId="165" fontId="30" fillId="0" borderId="9" xfId="23" applyNumberFormat="1" applyFont="1" applyFill="1" applyBorder="1" applyAlignment="1">
      <alignment horizontal="center" vertical="center"/>
    </xf>
    <xf numFmtId="165" fontId="27" fillId="0" borderId="10" xfId="23" applyNumberFormat="1" applyFont="1" applyFill="1" applyBorder="1" applyAlignment="1">
      <alignment horizontal="center" vertical="center"/>
    </xf>
    <xf numFmtId="165" fontId="27" fillId="0" borderId="6" xfId="23" applyNumberFormat="1" applyFont="1" applyFill="1" applyBorder="1" applyAlignment="1">
      <alignment vertical="center"/>
    </xf>
    <xf numFmtId="168" fontId="27" fillId="0" borderId="0" xfId="23" applyNumberFormat="1" applyFont="1" applyFill="1" applyBorder="1" applyAlignment="1">
      <alignment vertical="center"/>
    </xf>
    <xf numFmtId="168" fontId="27" fillId="0" borderId="7" xfId="23" applyNumberFormat="1" applyFont="1" applyFill="1" applyBorder="1" applyAlignment="1">
      <alignment vertical="center"/>
    </xf>
    <xf numFmtId="164" fontId="31" fillId="0" borderId="0" xfId="23" applyFont="1" applyFill="1" applyBorder="1" applyAlignment="1">
      <alignment vertical="center"/>
    </xf>
    <xf numFmtId="164" fontId="31" fillId="0" borderId="0" xfId="23" applyFont="1" applyFill="1" applyBorder="1" applyAlignment="1">
      <alignment horizontal="right" vertical="center"/>
    </xf>
    <xf numFmtId="165" fontId="58" fillId="0" borderId="0" xfId="23" applyNumberFormat="1" applyFont="1" applyFill="1" applyBorder="1" applyAlignment="1">
      <alignment vertical="center"/>
    </xf>
    <xf numFmtId="0" fontId="47" fillId="5" borderId="3" xfId="0" applyFont="1" applyFill="1" applyBorder="1" applyAlignment="1">
      <alignment horizontal="center" vertical="center"/>
    </xf>
    <xf numFmtId="165" fontId="30" fillId="0" borderId="7" xfId="23" applyNumberFormat="1" applyFont="1" applyFill="1" applyBorder="1" applyAlignment="1">
      <alignment vertical="center"/>
    </xf>
    <xf numFmtId="165" fontId="30" fillId="0" borderId="0" xfId="23" applyNumberFormat="1" applyFont="1" applyFill="1" applyAlignment="1">
      <alignment horizontal="right" vertical="center"/>
    </xf>
    <xf numFmtId="165" fontId="27" fillId="0" borderId="0" xfId="23" applyNumberFormat="1" applyFont="1" applyFill="1" applyAlignment="1">
      <alignment vertical="center"/>
    </xf>
    <xf numFmtId="165" fontId="30" fillId="0" borderId="0" xfId="23" applyNumberFormat="1" applyFont="1" applyFill="1" applyAlignment="1">
      <alignment vertical="center"/>
    </xf>
    <xf numFmtId="165" fontId="27" fillId="0" borderId="0" xfId="23" applyNumberFormat="1" applyFont="1" applyFill="1" applyAlignment="1">
      <alignment horizontal="center" vertical="center"/>
    </xf>
    <xf numFmtId="165" fontId="27" fillId="0" borderId="0" xfId="23" applyNumberFormat="1" applyFont="1" applyFill="1" applyAlignment="1">
      <alignment horizontal="right" vertical="center"/>
    </xf>
    <xf numFmtId="165" fontId="27" fillId="0" borderId="7" xfId="23" applyNumberFormat="1" applyFont="1" applyFill="1" applyBorder="1" applyAlignment="1">
      <alignment horizontal="right" vertical="center"/>
    </xf>
    <xf numFmtId="0" fontId="47" fillId="5" borderId="3" xfId="22" applyFont="1" applyFill="1" applyBorder="1" applyAlignment="1">
      <alignment horizontal="center" vertical="center" wrapText="1"/>
    </xf>
    <xf numFmtId="0" fontId="30" fillId="0" borderId="3" xfId="22" applyFont="1" applyBorder="1" applyAlignment="1">
      <alignment horizontal="left" vertical="center"/>
    </xf>
    <xf numFmtId="0" fontId="50" fillId="4" borderId="0" xfId="22" applyFont="1" applyFill="1"/>
    <xf numFmtId="0" fontId="50" fillId="0" borderId="0" xfId="22" applyFont="1"/>
    <xf numFmtId="0" fontId="50" fillId="4" borderId="0" xfId="22" applyFont="1" applyFill="1" applyAlignment="1">
      <alignment horizontal="justify"/>
    </xf>
    <xf numFmtId="165" fontId="30" fillId="0" borderId="4" xfId="25" applyNumberFormat="1" applyFont="1" applyFill="1" applyBorder="1" applyAlignment="1">
      <alignment horizontal="right"/>
    </xf>
    <xf numFmtId="9" fontId="30" fillId="0" borderId="0" xfId="25" applyFont="1" applyFill="1" applyBorder="1" applyAlignment="1">
      <alignment horizontal="right"/>
    </xf>
    <xf numFmtId="0" fontId="27" fillId="0" borderId="8" xfId="22" applyFont="1" applyBorder="1"/>
    <xf numFmtId="1" fontId="48" fillId="0" borderId="8" xfId="22" applyNumberFormat="1" applyFont="1" applyBorder="1"/>
    <xf numFmtId="165" fontId="27" fillId="0" borderId="4" xfId="23" applyNumberFormat="1" applyFont="1" applyFill="1" applyBorder="1" applyAlignment="1">
      <alignment vertical="center"/>
    </xf>
    <xf numFmtId="0" fontId="27" fillId="3" borderId="0" xfId="22" applyFont="1" applyFill="1"/>
    <xf numFmtId="165" fontId="27" fillId="0" borderId="6" xfId="22" applyNumberFormat="1" applyFont="1" applyBorder="1"/>
    <xf numFmtId="165" fontId="30" fillId="0" borderId="7" xfId="22" applyNumberFormat="1" applyFont="1" applyBorder="1"/>
    <xf numFmtId="165" fontId="27" fillId="0" borderId="7" xfId="22" applyNumberFormat="1" applyFont="1" applyBorder="1"/>
    <xf numFmtId="165" fontId="30" fillId="0" borderId="4" xfId="22" applyNumberFormat="1" applyFont="1" applyBorder="1"/>
    <xf numFmtId="3" fontId="27" fillId="0" borderId="0" xfId="22" applyNumberFormat="1" applyFont="1"/>
    <xf numFmtId="0" fontId="27" fillId="0" borderId="7" xfId="22" applyFont="1" applyBorder="1" applyAlignment="1">
      <alignment horizontal="left" indent="1"/>
    </xf>
    <xf numFmtId="0" fontId="27" fillId="0" borderId="15" xfId="0" applyFont="1" applyBorder="1"/>
    <xf numFmtId="0" fontId="48" fillId="0" borderId="8" xfId="0" applyFont="1" applyBorder="1"/>
    <xf numFmtId="165" fontId="48" fillId="0" borderId="8" xfId="13" applyNumberFormat="1" applyFont="1" applyFill="1" applyBorder="1" applyAlignment="1">
      <alignment horizontal="right"/>
    </xf>
    <xf numFmtId="1" fontId="48" fillId="0" borderId="8" xfId="13" applyNumberFormat="1" applyFont="1" applyFill="1" applyBorder="1" applyAlignment="1">
      <alignment horizontal="right"/>
    </xf>
    <xf numFmtId="1" fontId="27" fillId="0" borderId="0" xfId="23" applyNumberFormat="1" applyFont="1" applyFill="1" applyBorder="1" applyAlignment="1">
      <alignment vertical="center"/>
    </xf>
    <xf numFmtId="0" fontId="24" fillId="0" borderId="0" xfId="0" applyFont="1" applyAlignment="1">
      <alignment horizontal="right" vertical="center"/>
    </xf>
    <xf numFmtId="165" fontId="65" fillId="0" borderId="0" xfId="23" applyNumberFormat="1" applyFont="1" applyFill="1" applyBorder="1" applyAlignment="1">
      <alignment vertical="center"/>
    </xf>
    <xf numFmtId="165" fontId="66" fillId="0" borderId="0" xfId="23" applyNumberFormat="1" applyFont="1" applyFill="1" applyBorder="1" applyAlignment="1">
      <alignment vertical="center"/>
    </xf>
    <xf numFmtId="0" fontId="27" fillId="0" borderId="7" xfId="22" applyFont="1" applyBorder="1"/>
    <xf numFmtId="0" fontId="27" fillId="0" borderId="5" xfId="22" applyFont="1" applyBorder="1"/>
    <xf numFmtId="0" fontId="30" fillId="0" borderId="5" xfId="22" applyFont="1" applyBorder="1"/>
    <xf numFmtId="165" fontId="30" fillId="0" borderId="5" xfId="23" applyNumberFormat="1" applyFont="1" applyFill="1" applyBorder="1" applyAlignment="1">
      <alignment vertical="center"/>
    </xf>
    <xf numFmtId="0" fontId="30" fillId="0" borderId="7" xfId="22" applyFont="1" applyBorder="1"/>
    <xf numFmtId="165" fontId="30" fillId="0" borderId="4" xfId="13" applyNumberFormat="1" applyFont="1" applyFill="1" applyBorder="1" applyAlignment="1">
      <alignment horizontal="right"/>
    </xf>
    <xf numFmtId="1" fontId="30" fillId="0" borderId="4" xfId="13" applyNumberFormat="1" applyFont="1" applyFill="1" applyBorder="1" applyAlignment="1">
      <alignment horizontal="right"/>
    </xf>
    <xf numFmtId="165" fontId="30" fillId="0" borderId="8" xfId="13" applyNumberFormat="1" applyFont="1" applyFill="1" applyBorder="1" applyAlignment="1">
      <alignment horizontal="right"/>
    </xf>
    <xf numFmtId="1" fontId="30" fillId="0" borderId="8" xfId="13" applyNumberFormat="1" applyFont="1" applyFill="1" applyBorder="1" applyAlignment="1">
      <alignment horizontal="right"/>
    </xf>
    <xf numFmtId="0" fontId="30" fillId="0" borderId="6" xfId="24" applyFont="1" applyBorder="1" applyAlignment="1">
      <alignment horizontal="left" indent="2"/>
    </xf>
    <xf numFmtId="9" fontId="30" fillId="0" borderId="6" xfId="8" applyFont="1" applyFill="1" applyBorder="1"/>
    <xf numFmtId="165" fontId="27" fillId="0" borderId="15" xfId="23" applyNumberFormat="1" applyFont="1" applyFill="1" applyBorder="1" applyAlignment="1">
      <alignment vertical="center"/>
    </xf>
    <xf numFmtId="165" fontId="27" fillId="4" borderId="0" xfId="13" applyNumberFormat="1" applyFont="1" applyFill="1"/>
    <xf numFmtId="165" fontId="30" fillId="3" borderId="0" xfId="0" applyNumberFormat="1" applyFont="1" applyFill="1" applyAlignment="1">
      <alignment vertical="center"/>
    </xf>
    <xf numFmtId="9" fontId="30" fillId="3" borderId="0" xfId="0" applyNumberFormat="1" applyFont="1" applyFill="1" applyAlignment="1">
      <alignment vertical="center"/>
    </xf>
    <xf numFmtId="0" fontId="30" fillId="3" borderId="0" xfId="0" applyFont="1" applyFill="1" applyAlignment="1">
      <alignment vertical="center"/>
    </xf>
    <xf numFmtId="165" fontId="27" fillId="0" borderId="5" xfId="22" applyNumberFormat="1" applyFont="1" applyBorder="1"/>
    <xf numFmtId="165" fontId="27" fillId="0" borderId="4" xfId="22" applyNumberFormat="1" applyFont="1" applyBorder="1"/>
    <xf numFmtId="165" fontId="30" fillId="0" borderId="6" xfId="22" applyNumberFormat="1" applyFont="1" applyBorder="1"/>
    <xf numFmtId="3" fontId="27" fillId="0" borderId="7" xfId="22" applyNumberFormat="1" applyFont="1" applyBorder="1"/>
    <xf numFmtId="0" fontId="0" fillId="0" borderId="0" xfId="22" applyFont="1"/>
    <xf numFmtId="0" fontId="67" fillId="0" borderId="0" xfId="22" applyFont="1"/>
    <xf numFmtId="0" fontId="15" fillId="0" borderId="0" xfId="22" applyFont="1"/>
    <xf numFmtId="0" fontId="43" fillId="0" borderId="0" xfId="22" applyFont="1"/>
    <xf numFmtId="0" fontId="44" fillId="0" borderId="0" xfId="22" applyFont="1"/>
    <xf numFmtId="0" fontId="13" fillId="3" borderId="0" xfId="22" applyFont="1" applyFill="1" applyAlignment="1">
      <alignment horizontal="left" vertical="center"/>
    </xf>
    <xf numFmtId="165" fontId="15" fillId="3" borderId="0" xfId="22" applyNumberFormat="1" applyFont="1" applyFill="1"/>
    <xf numFmtId="0" fontId="28" fillId="3" borderId="0" xfId="22" applyFont="1" applyFill="1"/>
    <xf numFmtId="0" fontId="19" fillId="0" borderId="0" xfId="22" applyFont="1"/>
    <xf numFmtId="0" fontId="47" fillId="5" borderId="0" xfId="22" applyFont="1" applyFill="1" applyAlignment="1">
      <alignment horizontal="left" vertical="center"/>
    </xf>
    <xf numFmtId="0" fontId="47" fillId="5" borderId="0" xfId="22" applyFont="1" applyFill="1" applyAlignment="1">
      <alignment horizontal="center" vertical="center" wrapText="1"/>
    </xf>
    <xf numFmtId="0" fontId="68" fillId="6" borderId="16" xfId="22" applyFont="1" applyFill="1" applyBorder="1"/>
    <xf numFmtId="0" fontId="50" fillId="7" borderId="16" xfId="22" applyFont="1" applyFill="1" applyBorder="1"/>
    <xf numFmtId="165" fontId="48" fillId="0" borderId="16" xfId="13" applyNumberFormat="1" applyFont="1" applyBorder="1"/>
    <xf numFmtId="165" fontId="48" fillId="7" borderId="16" xfId="13" applyNumberFormat="1" applyFont="1" applyFill="1" applyBorder="1"/>
    <xf numFmtId="9" fontId="69" fillId="3" borderId="0" xfId="8" applyFont="1" applyFill="1"/>
    <xf numFmtId="165" fontId="30" fillId="0" borderId="16" xfId="13" applyNumberFormat="1" applyFont="1" applyBorder="1"/>
    <xf numFmtId="9" fontId="30" fillId="0" borderId="16" xfId="13" applyNumberFormat="1" applyFont="1" applyBorder="1"/>
    <xf numFmtId="9" fontId="30" fillId="7" borderId="16" xfId="13" applyNumberFormat="1" applyFont="1" applyFill="1" applyBorder="1"/>
    <xf numFmtId="9" fontId="48" fillId="0" borderId="16" xfId="13" applyNumberFormat="1" applyFont="1" applyBorder="1"/>
    <xf numFmtId="0" fontId="69" fillId="3" borderId="0" xfId="22" applyFont="1" applyFill="1"/>
    <xf numFmtId="0" fontId="0" fillId="4" borderId="0" xfId="22" applyFont="1" applyFill="1"/>
    <xf numFmtId="165" fontId="0" fillId="4" borderId="0" xfId="22" applyNumberFormat="1" applyFont="1" applyFill="1"/>
    <xf numFmtId="165" fontId="70" fillId="4" borderId="0" xfId="22" applyNumberFormat="1" applyFont="1" applyFill="1"/>
    <xf numFmtId="0" fontId="48" fillId="0" borderId="4" xfId="22" applyFont="1" applyBorder="1"/>
    <xf numFmtId="0" fontId="27" fillId="0" borderId="6" xfId="22" applyFont="1" applyBorder="1"/>
    <xf numFmtId="0" fontId="47" fillId="5" borderId="0" xfId="22" quotePrefix="1" applyFont="1" applyFill="1" applyAlignment="1">
      <alignment horizontal="left" vertical="center"/>
    </xf>
    <xf numFmtId="0" fontId="27" fillId="0" borderId="5" xfId="22" applyFont="1" applyBorder="1" applyAlignment="1">
      <alignment horizontal="left" indent="1"/>
    </xf>
    <xf numFmtId="0" fontId="71" fillId="4" borderId="0" xfId="0" applyFont="1" applyFill="1"/>
    <xf numFmtId="165" fontId="30" fillId="0" borderId="16" xfId="13" applyNumberFormat="1" applyFont="1" applyFill="1" applyBorder="1"/>
    <xf numFmtId="165" fontId="48" fillId="0" borderId="16" xfId="13" applyNumberFormat="1" applyFont="1" applyFill="1" applyBorder="1"/>
    <xf numFmtId="169" fontId="13" fillId="0" borderId="0" xfId="0" applyNumberFormat="1" applyFont="1" applyAlignment="1">
      <alignment horizontal="center"/>
    </xf>
    <xf numFmtId="169" fontId="65" fillId="0" borderId="7" xfId="0" applyNumberFormat="1" applyFont="1" applyBorder="1" applyAlignment="1">
      <alignment horizontal="center" vertical="center"/>
    </xf>
    <xf numFmtId="1" fontId="47" fillId="5" borderId="11" xfId="0" applyNumberFormat="1" applyFont="1" applyFill="1" applyBorder="1" applyAlignment="1">
      <alignment horizontal="center" vertical="center"/>
    </xf>
    <xf numFmtId="0" fontId="73" fillId="0" borderId="0" xfId="0" applyFont="1"/>
    <xf numFmtId="0" fontId="74" fillId="3" borderId="0" xfId="0" applyFont="1" applyFill="1"/>
    <xf numFmtId="37" fontId="13" fillId="6" borderId="16" xfId="22" applyNumberFormat="1" applyFont="1" applyFill="1" applyBorder="1"/>
    <xf numFmtId="0" fontId="76" fillId="0" borderId="0" xfId="26" applyFont="1" applyAlignment="1">
      <alignment vertical="center"/>
    </xf>
    <xf numFmtId="0" fontId="75" fillId="0" borderId="17" xfId="26" applyFont="1" applyBorder="1" applyAlignment="1">
      <alignment horizontal="center" vertical="center" wrapText="1"/>
    </xf>
    <xf numFmtId="0" fontId="47" fillId="5" borderId="22" xfId="26" applyFont="1" applyFill="1" applyBorder="1" applyAlignment="1">
      <alignment horizontal="center" vertical="center" wrapText="1"/>
    </xf>
    <xf numFmtId="0" fontId="47" fillId="5" borderId="26" xfId="26" applyFont="1" applyFill="1" applyBorder="1" applyAlignment="1">
      <alignment horizontal="center" vertical="center" wrapText="1"/>
    </xf>
    <xf numFmtId="0" fontId="50" fillId="4" borderId="31" xfId="26" applyFont="1" applyFill="1" applyBorder="1" applyAlignment="1">
      <alignment horizontal="center" vertical="center" wrapText="1"/>
    </xf>
    <xf numFmtId="0" fontId="48" fillId="9" borderId="31" xfId="26" applyFont="1" applyFill="1" applyBorder="1" applyAlignment="1">
      <alignment horizontal="center" vertical="center" wrapText="1"/>
    </xf>
    <xf numFmtId="171" fontId="48" fillId="4" borderId="31" xfId="27" applyNumberFormat="1" applyFont="1" applyFill="1" applyBorder="1" applyAlignment="1">
      <alignment horizontal="center" vertical="center" wrapText="1"/>
    </xf>
    <xf numFmtId="0" fontId="50" fillId="4" borderId="32" xfId="26" applyFont="1" applyFill="1" applyBorder="1" applyAlignment="1">
      <alignment horizontal="center" vertical="center" wrapText="1"/>
    </xf>
    <xf numFmtId="10" fontId="50" fillId="4" borderId="31" xfId="26" applyNumberFormat="1" applyFont="1" applyFill="1" applyBorder="1" applyAlignment="1">
      <alignment horizontal="center" vertical="center" wrapText="1"/>
    </xf>
    <xf numFmtId="171" fontId="48" fillId="9" borderId="31" xfId="26" applyNumberFormat="1" applyFont="1" applyFill="1" applyBorder="1" applyAlignment="1">
      <alignment horizontal="center" vertical="center" wrapText="1"/>
    </xf>
    <xf numFmtId="0" fontId="50" fillId="4" borderId="35" xfId="26" applyFont="1" applyFill="1" applyBorder="1" applyAlignment="1">
      <alignment vertical="center" wrapText="1"/>
    </xf>
    <xf numFmtId="9" fontId="48" fillId="9" borderId="32" xfId="26" applyNumberFormat="1" applyFont="1" applyFill="1" applyBorder="1" applyAlignment="1">
      <alignment horizontal="center" vertical="center" wrapText="1"/>
    </xf>
    <xf numFmtId="171" fontId="48" fillId="9" borderId="32" xfId="26" applyNumberFormat="1" applyFont="1" applyFill="1" applyBorder="1" applyAlignment="1">
      <alignment horizontal="center" vertical="center" wrapText="1"/>
    </xf>
    <xf numFmtId="172" fontId="50" fillId="4" borderId="32" xfId="26" applyNumberFormat="1" applyFont="1" applyFill="1" applyBorder="1" applyAlignment="1">
      <alignment horizontal="center" vertical="center" wrapText="1"/>
    </xf>
    <xf numFmtId="172" fontId="48" fillId="9" borderId="32" xfId="26" applyNumberFormat="1" applyFont="1" applyFill="1" applyBorder="1" applyAlignment="1">
      <alignment horizontal="center" vertical="center" wrapText="1"/>
    </xf>
    <xf numFmtId="0" fontId="48" fillId="9" borderId="32" xfId="26" applyFont="1" applyFill="1" applyBorder="1" applyAlignment="1">
      <alignment horizontal="center" vertical="center" wrapText="1"/>
    </xf>
    <xf numFmtId="169" fontId="50" fillId="0" borderId="32" xfId="26" applyNumberFormat="1" applyFont="1" applyBorder="1" applyAlignment="1">
      <alignment horizontal="center" vertical="center" wrapText="1"/>
    </xf>
    <xf numFmtId="169" fontId="48" fillId="9" borderId="32" xfId="26" applyNumberFormat="1" applyFont="1" applyFill="1" applyBorder="1" applyAlignment="1">
      <alignment horizontal="center" vertical="center" wrapText="1"/>
    </xf>
    <xf numFmtId="169" fontId="50" fillId="0" borderId="36" xfId="26" applyNumberFormat="1" applyFont="1" applyBorder="1" applyAlignment="1">
      <alignment horizontal="center" vertical="center" wrapText="1"/>
    </xf>
    <xf numFmtId="169" fontId="48" fillId="9" borderId="36" xfId="26" applyNumberFormat="1" applyFont="1" applyFill="1" applyBorder="1" applyAlignment="1">
      <alignment horizontal="center" vertical="center" wrapText="1"/>
    </xf>
    <xf numFmtId="0" fontId="48" fillId="4" borderId="38" xfId="26" applyFont="1" applyFill="1" applyBorder="1" applyAlignment="1">
      <alignment horizontal="left" vertical="center" wrapText="1"/>
    </xf>
    <xf numFmtId="0" fontId="50" fillId="4" borderId="38" xfId="26" applyFont="1" applyFill="1" applyBorder="1" applyAlignment="1">
      <alignment vertical="center" wrapText="1"/>
    </xf>
    <xf numFmtId="0" fontId="50" fillId="4" borderId="39" xfId="26" applyFont="1" applyFill="1" applyBorder="1" applyAlignment="1">
      <alignment horizontal="center" vertical="center" wrapText="1"/>
    </xf>
    <xf numFmtId="169" fontId="50" fillId="4" borderId="39" xfId="26" applyNumberFormat="1" applyFont="1" applyFill="1" applyBorder="1" applyAlignment="1">
      <alignment horizontal="center" vertical="center" wrapText="1"/>
    </xf>
    <xf numFmtId="169" fontId="48" fillId="9" borderId="39" xfId="26" applyNumberFormat="1" applyFont="1" applyFill="1" applyBorder="1" applyAlignment="1">
      <alignment horizontal="center" vertical="center" wrapText="1"/>
    </xf>
    <xf numFmtId="171" fontId="48" fillId="4" borderId="40" xfId="27" applyNumberFormat="1" applyFont="1" applyFill="1" applyBorder="1" applyAlignment="1">
      <alignment horizontal="center" vertical="center" wrapText="1"/>
    </xf>
    <xf numFmtId="171" fontId="50" fillId="4" borderId="31" xfId="26" applyNumberFormat="1" applyFont="1" applyFill="1" applyBorder="1" applyAlignment="1">
      <alignment horizontal="center" vertical="center" wrapText="1"/>
    </xf>
    <xf numFmtId="0" fontId="48" fillId="4" borderId="35" xfId="26" applyFont="1" applyFill="1" applyBorder="1" applyAlignment="1">
      <alignment horizontal="left" vertical="center" wrapText="1"/>
    </xf>
    <xf numFmtId="171" fontId="50" fillId="4" borderId="32" xfId="26" applyNumberFormat="1" applyFont="1" applyFill="1" applyBorder="1" applyAlignment="1">
      <alignment horizontal="center" vertical="center" wrapText="1"/>
    </xf>
    <xf numFmtId="0" fontId="50" fillId="0" borderId="32" xfId="26" applyFont="1" applyBorder="1" applyAlignment="1">
      <alignment horizontal="center" vertical="center" wrapText="1"/>
    </xf>
    <xf numFmtId="9" fontId="50" fillId="4" borderId="39" xfId="26" applyNumberFormat="1" applyFont="1" applyFill="1" applyBorder="1" applyAlignment="1">
      <alignment horizontal="center" vertical="center" wrapText="1"/>
    </xf>
    <xf numFmtId="171" fontId="48" fillId="9" borderId="39" xfId="26" applyNumberFormat="1" applyFont="1" applyFill="1" applyBorder="1" applyAlignment="1">
      <alignment horizontal="center" vertical="center" wrapText="1"/>
    </xf>
    <xf numFmtId="9" fontId="48" fillId="9" borderId="39" xfId="26" applyNumberFormat="1" applyFont="1" applyFill="1" applyBorder="1" applyAlignment="1">
      <alignment horizontal="center" vertical="center" wrapText="1"/>
    </xf>
    <xf numFmtId="9" fontId="48" fillId="9" borderId="31" xfId="26" applyNumberFormat="1" applyFont="1" applyFill="1" applyBorder="1" applyAlignment="1">
      <alignment horizontal="center" vertical="center" wrapText="1"/>
    </xf>
    <xf numFmtId="9" fontId="50" fillId="4" borderId="32" xfId="26" applyNumberFormat="1" applyFont="1" applyFill="1" applyBorder="1" applyAlignment="1">
      <alignment horizontal="center" vertical="center" wrapText="1"/>
    </xf>
    <xf numFmtId="0" fontId="50" fillId="0" borderId="39" xfId="26" applyFont="1" applyBorder="1" applyAlignment="1">
      <alignment horizontal="center" vertical="center" wrapText="1"/>
    </xf>
    <xf numFmtId="9" fontId="50" fillId="0" borderId="39" xfId="26" applyNumberFormat="1" applyFont="1" applyBorder="1" applyAlignment="1">
      <alignment horizontal="center" vertical="center" wrapText="1"/>
    </xf>
    <xf numFmtId="171" fontId="48" fillId="0" borderId="39" xfId="27" applyNumberFormat="1" applyFont="1" applyFill="1" applyBorder="1" applyAlignment="1">
      <alignment horizontal="center" vertical="center" wrapText="1"/>
    </xf>
    <xf numFmtId="0" fontId="76" fillId="0" borderId="0" xfId="26" applyFont="1" applyAlignment="1">
      <alignment vertical="center" wrapText="1"/>
    </xf>
    <xf numFmtId="0" fontId="76" fillId="0" borderId="0" xfId="26" applyFont="1" applyAlignment="1">
      <alignment horizontal="left" vertical="center" wrapText="1"/>
    </xf>
    <xf numFmtId="0" fontId="76" fillId="0" borderId="0" xfId="26" applyFont="1" applyAlignment="1">
      <alignment horizontal="center" vertical="center" wrapText="1"/>
    </xf>
    <xf numFmtId="0" fontId="81" fillId="0" borderId="0" xfId="26" applyFont="1" applyAlignment="1">
      <alignment horizontal="center" vertical="center" wrapText="1"/>
    </xf>
    <xf numFmtId="0" fontId="50" fillId="0" borderId="35" xfId="26" applyFont="1" applyBorder="1" applyAlignment="1">
      <alignment vertical="center" wrapText="1"/>
    </xf>
    <xf numFmtId="0" fontId="50" fillId="0" borderId="30" xfId="26" applyFont="1" applyBorder="1" applyAlignment="1">
      <alignment vertical="center" wrapText="1"/>
    </xf>
    <xf numFmtId="0" fontId="50" fillId="0" borderId="35" xfId="26" applyFont="1" applyBorder="1" applyAlignment="1">
      <alignment horizontal="left" vertical="center" wrapText="1"/>
    </xf>
    <xf numFmtId="0" fontId="50" fillId="0" borderId="38" xfId="26" applyFont="1" applyBorder="1" applyAlignment="1">
      <alignment horizontal="left" vertical="center" wrapText="1"/>
    </xf>
    <xf numFmtId="0" fontId="50" fillId="0" borderId="38" xfId="26" applyFont="1" applyBorder="1" applyAlignment="1">
      <alignment vertical="center" wrapText="1"/>
    </xf>
    <xf numFmtId="0" fontId="15" fillId="0" borderId="0" xfId="0" applyFont="1" applyAlignment="1">
      <alignment horizontal="left" vertical="top" wrapText="1"/>
    </xf>
    <xf numFmtId="173" fontId="27" fillId="0" borderId="7" xfId="0" applyNumberFormat="1" applyFont="1" applyBorder="1" applyAlignment="1">
      <alignment horizontal="center" vertical="center"/>
    </xf>
    <xf numFmtId="0" fontId="75" fillId="0" borderId="0" xfId="26" applyFont="1" applyAlignment="1">
      <alignment horizontal="center" vertical="center" wrapText="1"/>
    </xf>
    <xf numFmtId="0" fontId="80" fillId="0" borderId="0" xfId="26" applyFont="1" applyAlignment="1">
      <alignment horizontal="left" vertical="center" wrapText="1"/>
    </xf>
    <xf numFmtId="0" fontId="79" fillId="0" borderId="0" xfId="26" applyFont="1" applyAlignment="1">
      <alignment horizontal="left" vertical="center" wrapText="1"/>
    </xf>
    <xf numFmtId="1" fontId="48" fillId="0" borderId="4" xfId="13" applyNumberFormat="1" applyFont="1" applyBorder="1" applyAlignment="1">
      <alignment horizontal="right"/>
    </xf>
    <xf numFmtId="1" fontId="27" fillId="0" borderId="5" xfId="23" applyNumberFormat="1" applyFont="1" applyBorder="1" applyAlignment="1">
      <alignment vertical="center"/>
    </xf>
    <xf numFmtId="165" fontId="27" fillId="0" borderId="5" xfId="23" applyNumberFormat="1" applyFont="1" applyBorder="1" applyAlignment="1">
      <alignment vertical="center"/>
    </xf>
    <xf numFmtId="165" fontId="30" fillId="0" borderId="5" xfId="23" applyNumberFormat="1" applyFont="1" applyBorder="1" applyAlignment="1">
      <alignment vertical="center"/>
    </xf>
    <xf numFmtId="1" fontId="48" fillId="0" borderId="8" xfId="13" applyNumberFormat="1" applyFont="1" applyBorder="1" applyAlignment="1">
      <alignment horizontal="right"/>
    </xf>
    <xf numFmtId="165" fontId="30" fillId="0" borderId="7" xfId="23" applyNumberFormat="1" applyFont="1" applyBorder="1" applyAlignment="1">
      <alignment vertical="center"/>
    </xf>
    <xf numFmtId="165" fontId="48" fillId="0" borderId="4" xfId="23" applyNumberFormat="1" applyFont="1" applyBorder="1"/>
    <xf numFmtId="165" fontId="48" fillId="0" borderId="9" xfId="23" applyNumberFormat="1" applyFont="1" applyBorder="1"/>
    <xf numFmtId="165" fontId="50" fillId="0" borderId="0" xfId="23" applyNumberFormat="1" applyFont="1"/>
    <xf numFmtId="165" fontId="50" fillId="0" borderId="5" xfId="23" applyNumberFormat="1" applyFont="1" applyBorder="1"/>
    <xf numFmtId="165" fontId="50" fillId="0" borderId="6" xfId="23" applyNumberFormat="1" applyFont="1" applyBorder="1"/>
    <xf numFmtId="9" fontId="30" fillId="0" borderId="6" xfId="8" applyFont="1" applyBorder="1"/>
    <xf numFmtId="9" fontId="50" fillId="0" borderId="0" xfId="8" applyFont="1"/>
    <xf numFmtId="9" fontId="48" fillId="0" borderId="4" xfId="25" applyFont="1" applyBorder="1"/>
    <xf numFmtId="9" fontId="48" fillId="0" borderId="9" xfId="25" applyFont="1" applyBorder="1"/>
    <xf numFmtId="9" fontId="50" fillId="0" borderId="0" xfId="25" applyFont="1"/>
    <xf numFmtId="9" fontId="50" fillId="0" borderId="5" xfId="25" applyFont="1" applyBorder="1"/>
    <xf numFmtId="9" fontId="50" fillId="0" borderId="15" xfId="25" applyFont="1" applyBorder="1"/>
    <xf numFmtId="9" fontId="50" fillId="0" borderId="6" xfId="25" applyFont="1" applyBorder="1"/>
    <xf numFmtId="9" fontId="48" fillId="0" borderId="0" xfId="25" applyFont="1"/>
    <xf numFmtId="9" fontId="30" fillId="0" borderId="0" xfId="25" applyFont="1"/>
    <xf numFmtId="165" fontId="48" fillId="0" borderId="4" xfId="23" applyNumberFormat="1" applyFont="1" applyBorder="1" applyAlignment="1">
      <alignment vertical="center"/>
    </xf>
    <xf numFmtId="165" fontId="50" fillId="0" borderId="0" xfId="23" applyNumberFormat="1" applyFont="1" applyAlignment="1">
      <alignment vertical="center"/>
    </xf>
    <xf numFmtId="165" fontId="50" fillId="0" borderId="4" xfId="23" applyNumberFormat="1" applyFont="1" applyBorder="1" applyAlignment="1">
      <alignment vertical="center"/>
    </xf>
    <xf numFmtId="165" fontId="48" fillId="0" borderId="9" xfId="23" applyNumberFormat="1" applyFont="1" applyBorder="1" applyAlignment="1">
      <alignment vertical="center"/>
    </xf>
    <xf numFmtId="165" fontId="50" fillId="0" borderId="10" xfId="23" applyNumberFormat="1" applyFont="1" applyBorder="1" applyAlignment="1">
      <alignment vertical="center"/>
    </xf>
    <xf numFmtId="165" fontId="50" fillId="0" borderId="7" xfId="23" applyNumberFormat="1" applyFont="1" applyBorder="1" applyAlignment="1">
      <alignment vertical="center"/>
    </xf>
    <xf numFmtId="164" fontId="48" fillId="0" borderId="4" xfId="23" applyFont="1" applyBorder="1" applyAlignment="1">
      <alignment vertical="center"/>
    </xf>
    <xf numFmtId="165" fontId="30" fillId="0" borderId="4" xfId="23" applyNumberFormat="1" applyFont="1" applyBorder="1" applyAlignment="1">
      <alignment vertical="center"/>
    </xf>
    <xf numFmtId="165" fontId="27" fillId="0" borderId="0" xfId="23" applyNumberFormat="1" applyFont="1" applyAlignment="1">
      <alignment vertical="center"/>
    </xf>
    <xf numFmtId="165" fontId="30" fillId="0" borderId="4" xfId="23" applyNumberFormat="1" applyFont="1" applyBorder="1" applyAlignment="1">
      <alignment horizontal="right" vertical="center"/>
    </xf>
    <xf numFmtId="165" fontId="27" fillId="0" borderId="7" xfId="23" applyNumberFormat="1" applyFont="1" applyBorder="1" applyAlignment="1">
      <alignment horizontal="center" vertical="center"/>
    </xf>
    <xf numFmtId="165" fontId="27" fillId="0" borderId="0" xfId="23" applyNumberFormat="1" applyFont="1" applyAlignment="1">
      <alignment horizontal="center" vertical="center"/>
    </xf>
    <xf numFmtId="165" fontId="27" fillId="0" borderId="15" xfId="23" applyNumberFormat="1" applyFont="1" applyBorder="1" applyAlignment="1">
      <alignment vertical="center"/>
    </xf>
    <xf numFmtId="165" fontId="27" fillId="0" borderId="7" xfId="23" applyNumberFormat="1" applyFont="1" applyBorder="1" applyAlignment="1">
      <alignment vertical="center"/>
    </xf>
    <xf numFmtId="164" fontId="31" fillId="0" borderId="0" xfId="23" applyFont="1" applyAlignment="1">
      <alignment vertical="center"/>
    </xf>
    <xf numFmtId="164" fontId="31" fillId="0" borderId="0" xfId="23" applyFont="1" applyAlignment="1">
      <alignment horizontal="right" vertical="center"/>
    </xf>
    <xf numFmtId="165" fontId="58" fillId="0" borderId="0" xfId="23" applyNumberFormat="1" applyFont="1" applyAlignment="1">
      <alignment vertical="center"/>
    </xf>
    <xf numFmtId="165" fontId="30" fillId="0" borderId="0" xfId="23" applyNumberFormat="1" applyFont="1" applyAlignment="1">
      <alignment horizontal="right" vertical="center"/>
    </xf>
    <xf numFmtId="165" fontId="30" fillId="0" borderId="0" xfId="23" applyNumberFormat="1" applyFont="1" applyAlignment="1">
      <alignment vertical="center"/>
    </xf>
    <xf numFmtId="165" fontId="27" fillId="0" borderId="7" xfId="23" applyNumberFormat="1" applyFont="1" applyBorder="1" applyAlignment="1">
      <alignment horizontal="right" vertical="center"/>
    </xf>
    <xf numFmtId="165" fontId="27" fillId="0" borderId="0" xfId="23" applyNumberFormat="1" applyFont="1" applyAlignment="1">
      <alignment horizontal="right" vertical="center"/>
    </xf>
    <xf numFmtId="165" fontId="58" fillId="0" borderId="0" xfId="20" applyNumberFormat="1" applyFont="1" applyAlignment="1">
      <alignment vertical="center"/>
    </xf>
    <xf numFmtId="165" fontId="48" fillId="0" borderId="4" xfId="13" applyNumberFormat="1" applyFont="1" applyBorder="1"/>
    <xf numFmtId="165" fontId="50" fillId="0" borderId="5" xfId="13" applyNumberFormat="1" applyFont="1" applyBorder="1"/>
    <xf numFmtId="165" fontId="50" fillId="0" borderId="5" xfId="13" applyNumberFormat="1" applyFont="1" applyBorder="1" applyAlignment="1">
      <alignment horizontal="left" indent="2"/>
    </xf>
    <xf numFmtId="165" fontId="50" fillId="0" borderId="7" xfId="13" applyNumberFormat="1" applyFont="1" applyBorder="1"/>
    <xf numFmtId="165" fontId="48" fillId="0" borderId="9" xfId="13" applyNumberFormat="1" applyFont="1" applyBorder="1"/>
    <xf numFmtId="165" fontId="50" fillId="0" borderId="6" xfId="13" applyNumberFormat="1" applyFont="1" applyBorder="1"/>
    <xf numFmtId="165" fontId="30" fillId="0" borderId="4" xfId="25" applyNumberFormat="1" applyFont="1" applyBorder="1" applyAlignment="1">
      <alignment horizontal="right"/>
    </xf>
    <xf numFmtId="165" fontId="27" fillId="0" borderId="4" xfId="23" applyNumberFormat="1" applyFont="1" applyBorder="1" applyAlignment="1">
      <alignment vertical="center"/>
    </xf>
    <xf numFmtId="164" fontId="58" fillId="0" borderId="0" xfId="20" applyFont="1" applyFill="1" applyBorder="1" applyAlignment="1">
      <alignment vertical="center"/>
    </xf>
    <xf numFmtId="164" fontId="58" fillId="0" borderId="0" xfId="23" applyFont="1" applyFill="1" applyBorder="1" applyAlignment="1">
      <alignment vertical="center"/>
    </xf>
    <xf numFmtId="164" fontId="58" fillId="0" borderId="0" xfId="23" applyFont="1" applyAlignment="1">
      <alignment vertical="center"/>
    </xf>
    <xf numFmtId="165" fontId="58" fillId="0" borderId="0" xfId="13" applyNumberFormat="1" applyFont="1" applyFill="1" applyBorder="1" applyAlignment="1">
      <alignment vertical="center"/>
    </xf>
    <xf numFmtId="165" fontId="58" fillId="0" borderId="0" xfId="13" applyNumberFormat="1" applyFont="1" applyAlignment="1">
      <alignment vertical="center"/>
    </xf>
    <xf numFmtId="164" fontId="27" fillId="0" borderId="7" xfId="23" applyFont="1" applyBorder="1" applyAlignment="1">
      <alignment vertical="center"/>
    </xf>
    <xf numFmtId="165" fontId="27" fillId="0" borderId="7" xfId="13" applyNumberFormat="1" applyFont="1" applyBorder="1" applyAlignment="1">
      <alignment horizontal="right" vertical="center"/>
    </xf>
    <xf numFmtId="165" fontId="27" fillId="0" borderId="0" xfId="23" quotePrefix="1" applyNumberFormat="1" applyFont="1" applyFill="1" applyBorder="1" applyAlignment="1">
      <alignment vertical="center"/>
    </xf>
    <xf numFmtId="0" fontId="68" fillId="6" borderId="0" xfId="22" applyFont="1" applyFill="1"/>
    <xf numFmtId="0" fontId="47" fillId="5" borderId="3" xfId="22" applyFont="1" applyFill="1" applyBorder="1" applyAlignment="1">
      <alignment horizontal="left" vertical="center"/>
    </xf>
    <xf numFmtId="165" fontId="30" fillId="0" borderId="7" xfId="13" applyNumberFormat="1" applyFont="1" applyFill="1" applyBorder="1"/>
    <xf numFmtId="165" fontId="27" fillId="0" borderId="7" xfId="13" applyNumberFormat="1" applyFont="1" applyFill="1" applyBorder="1"/>
    <xf numFmtId="1" fontId="48" fillId="0" borderId="4" xfId="23" applyNumberFormat="1" applyFont="1" applyBorder="1" applyAlignment="1">
      <alignment horizontal="right"/>
    </xf>
    <xf numFmtId="9" fontId="48" fillId="4" borderId="5" xfId="25" applyFont="1" applyFill="1" applyBorder="1"/>
    <xf numFmtId="9" fontId="50" fillId="4" borderId="7" xfId="25" applyFont="1" applyFill="1" applyBorder="1"/>
    <xf numFmtId="9" fontId="31" fillId="0" borderId="0" xfId="28" applyFont="1" applyFill="1" applyBorder="1" applyAlignment="1">
      <alignment vertical="center"/>
    </xf>
    <xf numFmtId="165" fontId="27" fillId="0" borderId="0" xfId="13" applyNumberFormat="1" applyFont="1" applyFill="1" applyAlignment="1">
      <alignment horizontal="center" vertical="center"/>
    </xf>
    <xf numFmtId="165" fontId="27" fillId="0" borderId="0" xfId="22" applyNumberFormat="1" applyFont="1"/>
    <xf numFmtId="165" fontId="30" fillId="0" borderId="0" xfId="22" applyNumberFormat="1" applyFont="1"/>
    <xf numFmtId="3" fontId="47" fillId="5" borderId="11" xfId="0" applyNumberFormat="1" applyFont="1" applyFill="1" applyBorder="1" applyAlignment="1">
      <alignment horizontal="center" vertical="center"/>
    </xf>
    <xf numFmtId="1" fontId="27" fillId="4" borderId="0" xfId="22" applyNumberFormat="1" applyFont="1" applyFill="1"/>
    <xf numFmtId="1" fontId="27" fillId="0" borderId="0" xfId="23" applyNumberFormat="1" applyFont="1" applyAlignment="1">
      <alignment vertical="center"/>
    </xf>
    <xf numFmtId="1" fontId="48" fillId="0" borderId="8" xfId="23" applyNumberFormat="1" applyFont="1" applyBorder="1" applyAlignment="1">
      <alignment horizontal="right"/>
    </xf>
    <xf numFmtId="165" fontId="0" fillId="0" borderId="0" xfId="22" applyNumberFormat="1" applyFont="1"/>
    <xf numFmtId="165" fontId="2" fillId="0" borderId="0" xfId="13" applyNumberFormat="1"/>
    <xf numFmtId="165" fontId="0" fillId="0" borderId="0" xfId="0" applyNumberFormat="1"/>
    <xf numFmtId="9" fontId="27" fillId="4" borderId="0" xfId="8" applyFont="1" applyFill="1"/>
    <xf numFmtId="165" fontId="27" fillId="0" borderId="0" xfId="29" applyNumberFormat="1" applyFont="1" applyFill="1" applyAlignment="1">
      <alignment horizontal="center" vertical="center"/>
    </xf>
    <xf numFmtId="165" fontId="27" fillId="0" borderId="7" xfId="29" applyNumberFormat="1" applyFont="1" applyBorder="1" applyAlignment="1">
      <alignment horizontal="right" vertical="center"/>
    </xf>
    <xf numFmtId="165" fontId="27" fillId="0" borderId="7" xfId="0" applyNumberFormat="1" applyFont="1" applyBorder="1" applyAlignment="1">
      <alignment horizontal="right" vertical="center"/>
    </xf>
    <xf numFmtId="165" fontId="27" fillId="0" borderId="6" xfId="0" applyNumberFormat="1" applyFont="1" applyBorder="1" applyAlignment="1">
      <alignment vertical="center"/>
    </xf>
    <xf numFmtId="9" fontId="30" fillId="0" borderId="6" xfId="30" applyFont="1" applyFill="1" applyBorder="1"/>
    <xf numFmtId="9" fontId="50" fillId="0" borderId="0" xfId="30" applyFont="1" applyFill="1" applyBorder="1"/>
    <xf numFmtId="171" fontId="50" fillId="4" borderId="39" xfId="26" applyNumberFormat="1" applyFont="1" applyFill="1" applyBorder="1" applyAlignment="1">
      <alignment horizontal="center" vertical="center" wrapText="1"/>
    </xf>
    <xf numFmtId="9" fontId="50" fillId="0" borderId="39" xfId="26" quotePrefix="1" applyNumberFormat="1" applyFont="1" applyBorder="1" applyAlignment="1">
      <alignment horizontal="center" vertical="center" wrapText="1"/>
    </xf>
    <xf numFmtId="165" fontId="50" fillId="0" borderId="0" xfId="30" applyNumberFormat="1" applyFont="1" applyFill="1" applyBorder="1"/>
    <xf numFmtId="165" fontId="50" fillId="0" borderId="8" xfId="23" applyNumberFormat="1" applyFont="1" applyBorder="1" applyAlignment="1">
      <alignment horizontal="center" vertical="center"/>
    </xf>
    <xf numFmtId="164" fontId="30" fillId="0" borderId="0" xfId="13" applyFont="1" applyFill="1" applyAlignment="1">
      <alignment vertical="center"/>
    </xf>
    <xf numFmtId="168" fontId="27" fillId="0" borderId="0" xfId="23" applyNumberFormat="1" applyFont="1" applyFill="1" applyAlignment="1">
      <alignment vertical="center"/>
    </xf>
    <xf numFmtId="171" fontId="50" fillId="0" borderId="0" xfId="0" applyNumberFormat="1" applyFont="1" applyAlignment="1">
      <alignment horizontal="center" vertical="center"/>
    </xf>
    <xf numFmtId="169" fontId="27" fillId="0" borderId="0" xfId="0" applyNumberFormat="1" applyFont="1" applyAlignment="1">
      <alignment horizontal="center" vertical="center"/>
    </xf>
    <xf numFmtId="169" fontId="65" fillId="0" borderId="0" xfId="0" applyNumberFormat="1" applyFont="1" applyAlignment="1">
      <alignment horizontal="center" vertical="center"/>
    </xf>
    <xf numFmtId="170" fontId="27" fillId="0" borderId="7" xfId="0" quotePrefix="1" applyNumberFormat="1" applyFont="1" applyBorder="1" applyAlignment="1">
      <alignment horizontal="center" vertical="center"/>
    </xf>
    <xf numFmtId="170" fontId="27" fillId="0" borderId="0" xfId="0" quotePrefix="1" applyNumberFormat="1" applyFont="1" applyAlignment="1">
      <alignment horizontal="center" vertical="center"/>
    </xf>
    <xf numFmtId="9" fontId="15" fillId="0" borderId="0" xfId="8" applyFont="1" applyBorder="1" applyAlignment="1">
      <alignment horizontal="center"/>
    </xf>
    <xf numFmtId="0" fontId="29" fillId="0" borderId="41" xfId="0" applyFont="1" applyBorder="1"/>
    <xf numFmtId="164" fontId="49" fillId="0" borderId="5" xfId="20" applyFont="1" applyFill="1" applyBorder="1" applyAlignment="1">
      <alignment vertical="center"/>
    </xf>
    <xf numFmtId="165" fontId="31" fillId="0" borderId="0" xfId="23" applyNumberFormat="1" applyFont="1" applyFill="1" applyBorder="1" applyAlignment="1">
      <alignment vertical="center"/>
    </xf>
    <xf numFmtId="164" fontId="58" fillId="3" borderId="0" xfId="0" applyNumberFormat="1" applyFont="1" applyFill="1" applyAlignment="1">
      <alignment vertical="center"/>
    </xf>
    <xf numFmtId="165" fontId="58" fillId="3" borderId="0" xfId="0" applyNumberFormat="1" applyFont="1" applyFill="1" applyAlignment="1">
      <alignment vertical="center"/>
    </xf>
    <xf numFmtId="0" fontId="47" fillId="5" borderId="19" xfId="26" applyFont="1" applyFill="1" applyBorder="1" applyAlignment="1">
      <alignment horizontal="center" vertical="center" wrapText="1"/>
    </xf>
    <xf numFmtId="0" fontId="47" fillId="5" borderId="20" xfId="26" applyFont="1" applyFill="1" applyBorder="1" applyAlignment="1">
      <alignment horizontal="center" vertical="center" wrapText="1"/>
    </xf>
    <xf numFmtId="0" fontId="47" fillId="5" borderId="21" xfId="26" applyFont="1" applyFill="1" applyBorder="1" applyAlignment="1">
      <alignment horizontal="center" vertical="center" wrapText="1"/>
    </xf>
    <xf numFmtId="0" fontId="75" fillId="0" borderId="0" xfId="26" applyFont="1" applyAlignment="1">
      <alignment horizontal="center" vertical="center" wrapText="1"/>
    </xf>
    <xf numFmtId="0" fontId="47" fillId="5" borderId="0" xfId="26" applyFont="1" applyFill="1" applyAlignment="1">
      <alignment horizontal="center" vertical="center" wrapText="1"/>
    </xf>
    <xf numFmtId="0" fontId="47" fillId="5" borderId="24" xfId="26" applyFont="1" applyFill="1" applyBorder="1" applyAlignment="1">
      <alignment horizontal="center" vertical="center" wrapText="1"/>
    </xf>
    <xf numFmtId="0" fontId="47" fillId="5" borderId="18" xfId="26" applyFont="1" applyFill="1" applyBorder="1" applyAlignment="1">
      <alignment horizontal="center" vertical="center" wrapText="1"/>
    </xf>
    <xf numFmtId="0" fontId="47" fillId="5" borderId="25" xfId="26" applyFont="1" applyFill="1" applyBorder="1" applyAlignment="1">
      <alignment horizontal="center" vertical="center" wrapText="1"/>
    </xf>
    <xf numFmtId="0" fontId="47" fillId="5" borderId="23" xfId="26" applyFont="1" applyFill="1" applyBorder="1" applyAlignment="1">
      <alignment horizontal="center" vertical="center" wrapText="1"/>
    </xf>
    <xf numFmtId="0" fontId="47" fillId="5" borderId="27" xfId="26" applyFont="1" applyFill="1" applyBorder="1" applyAlignment="1">
      <alignment horizontal="center" vertical="center" wrapText="1"/>
    </xf>
    <xf numFmtId="0" fontId="50" fillId="4" borderId="35" xfId="26" applyFont="1" applyFill="1" applyBorder="1" applyAlignment="1">
      <alignment horizontal="left" vertical="center" wrapText="1"/>
    </xf>
    <xf numFmtId="0" fontId="48" fillId="4" borderId="35" xfId="26" applyFont="1" applyFill="1" applyBorder="1" applyAlignment="1">
      <alignment horizontal="left" vertical="center"/>
    </xf>
    <xf numFmtId="0" fontId="48" fillId="4" borderId="38" xfId="26" applyFont="1" applyFill="1" applyBorder="1" applyAlignment="1">
      <alignment horizontal="left" vertical="center"/>
    </xf>
    <xf numFmtId="0" fontId="50" fillId="4" borderId="35" xfId="26" applyFont="1" applyFill="1" applyBorder="1" applyAlignment="1">
      <alignment horizontal="left" vertical="center"/>
    </xf>
    <xf numFmtId="0" fontId="50" fillId="4" borderId="38" xfId="26" applyFont="1" applyFill="1" applyBorder="1" applyAlignment="1">
      <alignment horizontal="left" vertical="center"/>
    </xf>
    <xf numFmtId="0" fontId="47" fillId="8" borderId="28" xfId="26" applyFont="1" applyFill="1" applyBorder="1" applyAlignment="1">
      <alignment horizontal="center" vertical="center" wrapText="1"/>
    </xf>
    <xf numFmtId="0" fontId="47" fillId="8" borderId="33" xfId="26" applyFont="1" applyFill="1" applyBorder="1" applyAlignment="1">
      <alignment horizontal="center" vertical="center" wrapText="1"/>
    </xf>
    <xf numFmtId="0" fontId="47" fillId="8" borderId="37" xfId="26" applyFont="1" applyFill="1" applyBorder="1" applyAlignment="1">
      <alignment horizontal="center" vertical="center" wrapText="1"/>
    </xf>
    <xf numFmtId="0" fontId="48" fillId="4" borderId="0" xfId="26" applyFont="1" applyFill="1" applyAlignment="1">
      <alignment horizontal="left" vertical="center" wrapText="1"/>
    </xf>
    <xf numFmtId="0" fontId="48" fillId="4" borderId="30" xfId="26" applyFont="1" applyFill="1" applyBorder="1" applyAlignment="1">
      <alignment horizontal="left" vertical="center" wrapText="1"/>
    </xf>
    <xf numFmtId="0" fontId="50" fillId="4" borderId="29" xfId="26" applyFont="1" applyFill="1" applyBorder="1" applyAlignment="1">
      <alignment horizontal="left" vertical="center" wrapText="1"/>
    </xf>
    <xf numFmtId="0" fontId="50" fillId="4" borderId="30" xfId="26" applyFont="1" applyFill="1" applyBorder="1" applyAlignment="1">
      <alignment horizontal="left" vertical="center" wrapText="1"/>
    </xf>
    <xf numFmtId="0" fontId="48" fillId="4" borderId="34" xfId="26" applyFont="1" applyFill="1" applyBorder="1" applyAlignment="1">
      <alignment horizontal="left" vertical="center" wrapText="1"/>
    </xf>
    <xf numFmtId="0" fontId="50" fillId="4" borderId="34" xfId="26" applyFont="1" applyFill="1" applyBorder="1" applyAlignment="1">
      <alignment horizontal="left" vertical="center" wrapText="1"/>
    </xf>
    <xf numFmtId="0" fontId="50" fillId="4" borderId="0" xfId="26" applyFont="1" applyFill="1" applyAlignment="1">
      <alignment horizontal="left" vertical="center" wrapText="1"/>
    </xf>
    <xf numFmtId="0" fontId="79" fillId="0" borderId="0" xfId="26" applyFont="1" applyAlignment="1">
      <alignment horizontal="left" vertical="center" wrapText="1"/>
    </xf>
    <xf numFmtId="0" fontId="85" fillId="0" borderId="0" xfId="26" applyFont="1" applyAlignment="1">
      <alignment horizontal="left" vertical="center" wrapText="1"/>
    </xf>
    <xf numFmtId="0" fontId="81" fillId="0" borderId="0" xfId="26" applyFont="1" applyAlignment="1">
      <alignment horizontal="left" vertical="center" wrapText="1"/>
    </xf>
    <xf numFmtId="0" fontId="30" fillId="9" borderId="28" xfId="26" applyFont="1" applyFill="1" applyBorder="1" applyAlignment="1">
      <alignment horizontal="center" vertical="center" wrapText="1"/>
    </xf>
    <xf numFmtId="0" fontId="30" fillId="9" borderId="33" xfId="26" applyFont="1" applyFill="1" applyBorder="1" applyAlignment="1">
      <alignment horizontal="center" vertical="center" wrapText="1"/>
    </xf>
    <xf numFmtId="0" fontId="30" fillId="9" borderId="37" xfId="26" applyFont="1" applyFill="1" applyBorder="1" applyAlignment="1">
      <alignment horizontal="center" vertical="center" wrapText="1"/>
    </xf>
    <xf numFmtId="0" fontId="48" fillId="4" borderId="35" xfId="26" applyFont="1" applyFill="1" applyBorder="1" applyAlignment="1">
      <alignment horizontal="left" vertical="center" wrapText="1"/>
    </xf>
    <xf numFmtId="0" fontId="50" fillId="4" borderId="30" xfId="26" applyFont="1" applyFill="1" applyBorder="1" applyAlignment="1">
      <alignment vertical="center" wrapText="1"/>
    </xf>
    <xf numFmtId="0" fontId="50" fillId="4" borderId="35" xfId="26" applyFont="1" applyFill="1" applyBorder="1" applyAlignment="1">
      <alignment vertical="center" wrapText="1"/>
    </xf>
    <xf numFmtId="0" fontId="47" fillId="5" borderId="28" xfId="26" applyFont="1" applyFill="1" applyBorder="1" applyAlignment="1">
      <alignment horizontal="center" vertical="center" wrapText="1"/>
    </xf>
    <xf numFmtId="0" fontId="47" fillId="5" borderId="33" xfId="26" applyFont="1" applyFill="1" applyBorder="1" applyAlignment="1">
      <alignment horizontal="center" vertical="center" wrapText="1"/>
    </xf>
    <xf numFmtId="0" fontId="47" fillId="5" borderId="37" xfId="26"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vertical="center" wrapText="1"/>
    </xf>
    <xf numFmtId="0" fontId="15" fillId="0" borderId="0" xfId="0" applyFont="1" applyAlignment="1">
      <alignment horizontal="left" vertical="top" wrapText="1"/>
    </xf>
    <xf numFmtId="0" fontId="13" fillId="0" borderId="0" xfId="0" applyFont="1" applyAlignment="1">
      <alignment horizontal="center"/>
    </xf>
    <xf numFmtId="0" fontId="50" fillId="0" borderId="0" xfId="0" applyFont="1" applyAlignment="1">
      <alignment horizontal="justify" vertical="top"/>
    </xf>
    <xf numFmtId="0" fontId="50" fillId="0" borderId="0" xfId="0" applyFont="1" applyAlignment="1">
      <alignment horizontal="left" vertical="top" wrapText="1"/>
    </xf>
  </cellXfs>
  <cellStyles count="31">
    <cellStyle name="%" xfId="1"/>
    <cellStyle name="% 2 3" xfId="2"/>
    <cellStyle name="Comma" xfId="29"/>
    <cellStyle name="Hiperlink" xfId="3" builtinId="8"/>
    <cellStyle name="Hiperlink 2" xfId="4"/>
    <cellStyle name="Normal" xfId="0" builtinId="0"/>
    <cellStyle name="Normal 10" xfId="5"/>
    <cellStyle name="Normal 10 3" xfId="22"/>
    <cellStyle name="Normal 2" xfId="6"/>
    <cellStyle name="Normal 3" xfId="24"/>
    <cellStyle name="Normal 4" xfId="26"/>
    <cellStyle name="Nota 2" xfId="7"/>
    <cellStyle name="Percent" xfId="30"/>
    <cellStyle name="Porcentagem" xfId="8" builtinId="5"/>
    <cellStyle name="Porcentagem 2" xfId="9"/>
    <cellStyle name="Porcentagem 2 2" xfId="25"/>
    <cellStyle name="Porcentagem 3" xfId="21"/>
    <cellStyle name="Porcentagem 3 2" xfId="28"/>
    <cellStyle name="Porcentagem 4" xfId="27"/>
    <cellStyle name="Separador de milhares 3" xfId="10"/>
    <cellStyle name="Separador de milhares 3 2" xfId="11"/>
    <cellStyle name="Total" xfId="12" builtinId="25" customBuiltin="1"/>
    <cellStyle name="Vírgula" xfId="13" builtinId="3"/>
    <cellStyle name="Vírgula 2" xfId="14"/>
    <cellStyle name="Vírgula 2 2" xfId="15"/>
    <cellStyle name="Vírgula 2 2 2" xfId="16"/>
    <cellStyle name="Vírgula 2 3" xfId="17"/>
    <cellStyle name="Vírgula 3" xfId="18"/>
    <cellStyle name="Vírgula 3 2" xfId="19"/>
    <cellStyle name="Vírgula 4" xfId="20"/>
    <cellStyle name="Vírgula 4 2"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1.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2.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5.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6.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hyperlink" Target="#Cover!A1"/><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hyperlink" Target="#Capa!A1"/><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18" Type="http://schemas.openxmlformats.org/officeDocument/2006/relationships/image" Target="../media/image22.jpeg"/><Relationship Id="rId26" Type="http://schemas.openxmlformats.org/officeDocument/2006/relationships/image" Target="../media/image30.jpeg"/><Relationship Id="rId3" Type="http://schemas.openxmlformats.org/officeDocument/2006/relationships/image" Target="../media/image4.emf"/><Relationship Id="rId21" Type="http://schemas.openxmlformats.org/officeDocument/2006/relationships/image" Target="../media/image25.jpeg"/><Relationship Id="rId7" Type="http://schemas.openxmlformats.org/officeDocument/2006/relationships/image" Target="../media/image11.jpeg"/><Relationship Id="rId12" Type="http://schemas.openxmlformats.org/officeDocument/2006/relationships/image" Target="../media/image16.png"/><Relationship Id="rId17" Type="http://schemas.openxmlformats.org/officeDocument/2006/relationships/image" Target="../media/image21.png"/><Relationship Id="rId25" Type="http://schemas.openxmlformats.org/officeDocument/2006/relationships/image" Target="../media/image29.jpeg"/><Relationship Id="rId2" Type="http://schemas.openxmlformats.org/officeDocument/2006/relationships/hyperlink" Target="#Cover!A1"/><Relationship Id="rId16" Type="http://schemas.openxmlformats.org/officeDocument/2006/relationships/image" Target="../media/image20.png"/><Relationship Id="rId20" Type="http://schemas.openxmlformats.org/officeDocument/2006/relationships/image" Target="../media/image24.jpeg"/><Relationship Id="rId1" Type="http://schemas.openxmlformats.org/officeDocument/2006/relationships/hyperlink" Target="#Capa!A1"/><Relationship Id="rId6" Type="http://schemas.openxmlformats.org/officeDocument/2006/relationships/image" Target="../media/image10.png"/><Relationship Id="rId11" Type="http://schemas.openxmlformats.org/officeDocument/2006/relationships/image" Target="../media/image15.png"/><Relationship Id="rId24" Type="http://schemas.openxmlformats.org/officeDocument/2006/relationships/image" Target="../media/image28.jpeg"/><Relationship Id="rId5" Type="http://schemas.openxmlformats.org/officeDocument/2006/relationships/image" Target="../media/image9.png"/><Relationship Id="rId15" Type="http://schemas.openxmlformats.org/officeDocument/2006/relationships/image" Target="../media/image19.png"/><Relationship Id="rId23" Type="http://schemas.openxmlformats.org/officeDocument/2006/relationships/image" Target="../media/image27.jpeg"/><Relationship Id="rId10" Type="http://schemas.openxmlformats.org/officeDocument/2006/relationships/image" Target="../media/image14.jpeg"/><Relationship Id="rId19" Type="http://schemas.openxmlformats.org/officeDocument/2006/relationships/image" Target="../media/image23.jpe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jpeg"/><Relationship Id="rId22" Type="http://schemas.openxmlformats.org/officeDocument/2006/relationships/image" Target="../media/image26.jpeg"/></Relationships>
</file>

<file path=xl/drawings/_rels/drawing7.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9.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drawing1.xml><?xml version="1.0" encoding="utf-8"?>
<xdr:wsDr xmlns:xdr="http://schemas.openxmlformats.org/drawingml/2006/spreadsheetDrawing" xmlns:a="http://schemas.openxmlformats.org/drawingml/2006/main">
  <xdr:twoCellAnchor>
    <xdr:from>
      <xdr:col>9</xdr:col>
      <xdr:colOff>866775</xdr:colOff>
      <xdr:row>0</xdr:row>
      <xdr:rowOff>133350</xdr:rowOff>
    </xdr:from>
    <xdr:to>
      <xdr:col>10</xdr:col>
      <xdr:colOff>238125</xdr:colOff>
      <xdr:row>2</xdr:row>
      <xdr:rowOff>123825</xdr:rowOff>
    </xdr:to>
    <xdr:sp macro="" textlink="">
      <xdr:nvSpPr>
        <xdr:cNvPr id="279712" name="Rectangle 22">
          <a:extLst>
            <a:ext uri="{FF2B5EF4-FFF2-40B4-BE49-F238E27FC236}">
              <a16:creationId xmlns:a16="http://schemas.microsoft.com/office/drawing/2014/main" id="{9389E315-77A9-496C-80FA-364319747BD7}"/>
            </a:ext>
          </a:extLst>
        </xdr:cNvPr>
        <xdr:cNvSpPr>
          <a:spLocks noChangeArrowheads="1"/>
        </xdr:cNvSpPr>
      </xdr:nvSpPr>
      <xdr:spPr bwMode="auto">
        <a:xfrm>
          <a:off x="5972175" y="133350"/>
          <a:ext cx="1438275" cy="371475"/>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7</xdr:col>
      <xdr:colOff>123825</xdr:colOff>
      <xdr:row>4</xdr:row>
      <xdr:rowOff>114300</xdr:rowOff>
    </xdr:from>
    <xdr:to>
      <xdr:col>8</xdr:col>
      <xdr:colOff>161925</xdr:colOff>
      <xdr:row>5</xdr:row>
      <xdr:rowOff>0</xdr:rowOff>
    </xdr:to>
    <xdr:sp macro="" textlink="">
      <xdr:nvSpPr>
        <xdr:cNvPr id="279713" name="Rectangle 32">
          <a:extLst>
            <a:ext uri="{FF2B5EF4-FFF2-40B4-BE49-F238E27FC236}">
              <a16:creationId xmlns:a16="http://schemas.microsoft.com/office/drawing/2014/main" id="{B2A7B293-A77B-413C-97D3-97F3B037EA81}"/>
            </a:ext>
          </a:extLst>
        </xdr:cNvPr>
        <xdr:cNvSpPr>
          <a:spLocks noChangeArrowheads="1"/>
        </xdr:cNvSpPr>
      </xdr:nvSpPr>
      <xdr:spPr bwMode="auto">
        <a:xfrm>
          <a:off x="4400550" y="876300"/>
          <a:ext cx="409575" cy="76200"/>
        </a:xfrm>
        <a:prstGeom prst="rect">
          <a:avLst/>
        </a:prstGeom>
        <a:solidFill>
          <a:srgbClr val="FFFFFF"/>
        </a:solidFill>
        <a:ln w="9525" algn="ctr">
          <a:solidFill>
            <a:srgbClr val="FFFFFF"/>
          </a:solidFill>
          <a:miter lim="800000"/>
          <a:headEnd/>
          <a:tailEnd/>
        </a:ln>
      </xdr:spPr>
    </xdr:sp>
    <xdr:clientData/>
  </xdr:twoCellAnchor>
  <xdr:twoCellAnchor>
    <xdr:from>
      <xdr:col>8</xdr:col>
      <xdr:colOff>276225</xdr:colOff>
      <xdr:row>4</xdr:row>
      <xdr:rowOff>85725</xdr:rowOff>
    </xdr:from>
    <xdr:to>
      <xdr:col>9</xdr:col>
      <xdr:colOff>523875</xdr:colOff>
      <xdr:row>5</xdr:row>
      <xdr:rowOff>0</xdr:rowOff>
    </xdr:to>
    <xdr:sp macro="" textlink="">
      <xdr:nvSpPr>
        <xdr:cNvPr id="279714" name="Rectangle 33">
          <a:extLst>
            <a:ext uri="{FF2B5EF4-FFF2-40B4-BE49-F238E27FC236}">
              <a16:creationId xmlns:a16="http://schemas.microsoft.com/office/drawing/2014/main" id="{891FFBD4-D166-42DC-8562-FCE953A07E52}"/>
            </a:ext>
          </a:extLst>
        </xdr:cNvPr>
        <xdr:cNvSpPr>
          <a:spLocks noChangeArrowheads="1"/>
        </xdr:cNvSpPr>
      </xdr:nvSpPr>
      <xdr:spPr bwMode="auto">
        <a:xfrm>
          <a:off x="4924425" y="847725"/>
          <a:ext cx="704850" cy="104775"/>
        </a:xfrm>
        <a:prstGeom prst="rect">
          <a:avLst/>
        </a:prstGeom>
        <a:solidFill>
          <a:srgbClr val="FFFFFF"/>
        </a:solidFill>
        <a:ln w="9525" algn="ctr">
          <a:solidFill>
            <a:srgbClr val="FFFFFF"/>
          </a:solidFill>
          <a:miter lim="800000"/>
          <a:headEnd/>
          <a:tailEnd/>
        </a:ln>
      </xdr:spPr>
    </xdr:sp>
    <xdr:clientData/>
  </xdr:twoCellAnchor>
  <xdr:oneCellAnchor>
    <xdr:from>
      <xdr:col>9</xdr:col>
      <xdr:colOff>406109</xdr:colOff>
      <xdr:row>12</xdr:row>
      <xdr:rowOff>91573</xdr:rowOff>
    </xdr:from>
    <xdr:ext cx="184731" cy="937629"/>
    <xdr:sp macro="" textlink="">
      <xdr:nvSpPr>
        <xdr:cNvPr id="5" name="Retângulo 4">
          <a:extLst>
            <a:ext uri="{FF2B5EF4-FFF2-40B4-BE49-F238E27FC236}">
              <a16:creationId xmlns:a16="http://schemas.microsoft.com/office/drawing/2014/main" id="{96BF82BA-AE97-493F-897E-7DEBF39FA6E6}"/>
            </a:ext>
          </a:extLst>
        </xdr:cNvPr>
        <xdr:cNvSpPr/>
      </xdr:nvSpPr>
      <xdr:spPr>
        <a:xfrm>
          <a:off x="5511509" y="2377573"/>
          <a:ext cx="184731" cy="937629"/>
        </a:xfrm>
        <a:prstGeom prst="rect">
          <a:avLst/>
        </a:prstGeom>
        <a:noFill/>
      </xdr:spPr>
      <xdr:txBody>
        <a:bodyPr wrap="none" lIns="91440" tIns="45720" rIns="91440" bIns="45720">
          <a:spAutoFit/>
        </a:bodyPr>
        <a:lstStyle/>
        <a:p>
          <a:pPr algn="ctr"/>
          <a:endParaRPr lang="pt-BR"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endParaRPr>
        </a:p>
      </xdr:txBody>
    </xdr:sp>
    <xdr:clientData/>
  </xdr:oneCellAnchor>
  <xdr:twoCellAnchor>
    <xdr:from>
      <xdr:col>0</xdr:col>
      <xdr:colOff>25400</xdr:colOff>
      <xdr:row>20</xdr:row>
      <xdr:rowOff>22226</xdr:rowOff>
    </xdr:from>
    <xdr:to>
      <xdr:col>12</xdr:col>
      <xdr:colOff>53975</xdr:colOff>
      <xdr:row>26</xdr:row>
      <xdr:rowOff>169334</xdr:rowOff>
    </xdr:to>
    <xdr:sp macro="" textlink="">
      <xdr:nvSpPr>
        <xdr:cNvPr id="3" name="CaixaDeTexto 8">
          <a:extLst>
            <a:ext uri="{FF2B5EF4-FFF2-40B4-BE49-F238E27FC236}">
              <a16:creationId xmlns:a16="http://schemas.microsoft.com/office/drawing/2014/main" id="{9A1828D4-1B68-42D3-9EBC-4781C8940251}"/>
            </a:ext>
          </a:extLst>
        </xdr:cNvPr>
        <xdr:cNvSpPr txBox="1"/>
      </xdr:nvSpPr>
      <xdr:spPr>
        <a:xfrm>
          <a:off x="25400" y="4192059"/>
          <a:ext cx="8452908" cy="1226608"/>
        </a:xfrm>
        <a:prstGeom prst="rect">
          <a:avLst/>
        </a:prstGeom>
        <a:noFill/>
        <a:ln w="1270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pt-BR" sz="1000" b="0" i="0" u="none" strike="noStrike">
              <a:solidFill>
                <a:srgbClr val="002060"/>
              </a:solidFill>
              <a:effectLst/>
              <a:latin typeface="Barlow"/>
              <a:ea typeface="+mn-ea"/>
              <a:cs typeface="Arial" panose="020B0604020202020204" pitchFamily="34" charset="0"/>
            </a:rPr>
            <a:t>This spreadsheer is based on historical and public data. It is not intended to provide guidance (estimates or projections) of future events. It is noteworthy that past data are not a basis for guaranteeing future performance, as they involve risks and uncertainties.</a:t>
          </a:r>
        </a:p>
        <a:p>
          <a:pPr algn="ctr">
            <a:lnSpc>
              <a:spcPts val="1300"/>
            </a:lnSpc>
          </a:pPr>
          <a:endParaRPr lang="pt-BR" sz="1000" b="0" i="0" u="none" strike="noStrike">
            <a:solidFill>
              <a:srgbClr val="002060"/>
            </a:solidFill>
            <a:effectLst/>
            <a:latin typeface="Barlow"/>
            <a:ea typeface="+mn-ea"/>
            <a:cs typeface="Arial" panose="020B0604020202020204" pitchFamily="34" charset="0"/>
          </a:endParaRPr>
        </a:p>
        <a:p>
          <a:pPr marL="0" marR="0" lvl="0" indent="0" algn="ctr" defTabSz="914400" eaLnBrk="1" fontAlgn="auto" latinLnBrk="0" hangingPunct="1">
            <a:lnSpc>
              <a:spcPts val="1300"/>
            </a:lnSpc>
            <a:spcBef>
              <a:spcPts val="0"/>
            </a:spcBef>
            <a:spcAft>
              <a:spcPts val="0"/>
            </a:spcAft>
            <a:buClrTx/>
            <a:buSzTx/>
            <a:buFontTx/>
            <a:buNone/>
            <a:tabLst/>
            <a:defRPr/>
          </a:pPr>
          <a:r>
            <a:rPr lang="en-US" sz="1000" b="0" i="0" u="none" strike="noStrike">
              <a:solidFill>
                <a:srgbClr val="002060"/>
              </a:solidFill>
              <a:effectLst/>
              <a:latin typeface="Barlow"/>
              <a:ea typeface="+mn-ea"/>
              <a:cs typeface="Arial" panose="020B0604020202020204" pitchFamily="34" charset="0"/>
            </a:rPr>
            <a:t>São Paulo, March 4, 2026 – Companhia Brasileira de Alumínio, “CBA” or “Company” (B3: CBAV3) hereby announces its results for the fourth quarter of 2025 (4Q25). The Company's consolidated interim financial statements are presented in Reais (R$), in accordance with IFRS (International Financial Reporting Standards) – and the accounting practices adopted in Brazil. Totals may differ due to rounding of numbers</a:t>
          </a:r>
          <a:r>
            <a:rPr lang="en-US" sz="1100">
              <a:solidFill>
                <a:schemeClr val="dk1"/>
              </a:solidFill>
              <a:effectLst/>
              <a:latin typeface="+mn-lt"/>
              <a:ea typeface="+mn-ea"/>
              <a:cs typeface="+mn-cs"/>
            </a:rPr>
            <a:t>.</a:t>
          </a:r>
          <a:endParaRPr lang="pt-BR" sz="1100">
            <a:solidFill>
              <a:schemeClr val="dk1"/>
            </a:solidFill>
            <a:effectLst/>
            <a:latin typeface="+mn-lt"/>
            <a:ea typeface="+mn-ea"/>
            <a:cs typeface="+mn-cs"/>
          </a:endParaRPr>
        </a:p>
        <a:p>
          <a:pPr algn="ctr">
            <a:lnSpc>
              <a:spcPts val="1300"/>
            </a:lnSpc>
          </a:pPr>
          <a:endParaRPr lang="pt-BR" sz="1000" b="0" i="0" u="none" strike="noStrike">
            <a:solidFill>
              <a:srgbClr val="002060"/>
            </a:solidFill>
            <a:effectLst/>
            <a:latin typeface="Barlow"/>
            <a:ea typeface="+mn-ea"/>
            <a:cs typeface="Arial" panose="020B0604020202020204" pitchFamily="34" charset="0"/>
          </a:endParaRPr>
        </a:p>
      </xdr:txBody>
    </xdr:sp>
    <xdr:clientData/>
  </xdr:twoCellAnchor>
  <xdr:twoCellAnchor editAs="oneCell">
    <xdr:from>
      <xdr:col>0</xdr:col>
      <xdr:colOff>0</xdr:colOff>
      <xdr:row>0</xdr:row>
      <xdr:rowOff>0</xdr:rowOff>
    </xdr:from>
    <xdr:to>
      <xdr:col>12</xdr:col>
      <xdr:colOff>38100</xdr:colOff>
      <xdr:row>13</xdr:row>
      <xdr:rowOff>95250</xdr:rowOff>
    </xdr:to>
    <xdr:pic>
      <xdr:nvPicPr>
        <xdr:cNvPr id="279717" name="Imagem 12">
          <a:extLst>
            <a:ext uri="{FF2B5EF4-FFF2-40B4-BE49-F238E27FC236}">
              <a16:creationId xmlns:a16="http://schemas.microsoft.com/office/drawing/2014/main" id="{86B6A4C4-645C-4838-83F3-F2FD0A3DED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3511" b="22173"/>
        <a:stretch>
          <a:fillRect/>
        </a:stretch>
      </xdr:blipFill>
      <xdr:spPr bwMode="auto">
        <a:xfrm>
          <a:off x="0" y="0"/>
          <a:ext cx="8429625"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180975</xdr:rowOff>
    </xdr:from>
    <xdr:to>
      <xdr:col>9</xdr:col>
      <xdr:colOff>838200</xdr:colOff>
      <xdr:row>16</xdr:row>
      <xdr:rowOff>57150</xdr:rowOff>
    </xdr:to>
    <xdr:pic>
      <xdr:nvPicPr>
        <xdr:cNvPr id="279718" name="Imagem 13">
          <a:extLst>
            <a:ext uri="{FF2B5EF4-FFF2-40B4-BE49-F238E27FC236}">
              <a16:creationId xmlns:a16="http://schemas.microsoft.com/office/drawing/2014/main" id="{5F389AE2-2B46-46B6-B013-E12A06F42F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704975"/>
          <a:ext cx="594360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508000</xdr:colOff>
      <xdr:row>10</xdr:row>
      <xdr:rowOff>63500</xdr:rowOff>
    </xdr:from>
    <xdr:to>
      <xdr:col>5</xdr:col>
      <xdr:colOff>416024</xdr:colOff>
      <xdr:row>15</xdr:row>
      <xdr:rowOff>171623</xdr:rowOff>
    </xdr:to>
    <xdr:sp macro="" textlink="">
      <xdr:nvSpPr>
        <xdr:cNvPr id="16" name="TextBox 1">
          <a:extLst>
            <a:ext uri="{FF2B5EF4-FFF2-40B4-BE49-F238E27FC236}">
              <a16:creationId xmlns:a16="http://schemas.microsoft.com/office/drawing/2014/main" id="{69CD1995-575D-485C-84E5-C803F5EFC2D1}"/>
            </a:ext>
          </a:extLst>
        </xdr:cNvPr>
        <xdr:cNvSpPr txBox="1"/>
      </xdr:nvSpPr>
      <xdr:spPr>
        <a:xfrm>
          <a:off x="508000" y="1968500"/>
          <a:ext cx="3072441" cy="1219373"/>
        </a:xfrm>
        <a:prstGeom prst="rect">
          <a:avLst/>
        </a:prstGeom>
        <a:noFill/>
      </xdr:spPr>
      <xdr:txBody>
        <a:bodyPr wrap="square" rtlCol="0">
          <a:spAutoFit/>
        </a:bodyPr>
        <a:lstStyle>
          <a:defPPr>
            <a:defRPr lang="pt-BR"/>
          </a:defPPr>
          <a:lvl1pPr marL="0" algn="l" defTabSz="712392" rtl="0" eaLnBrk="1" latinLnBrk="0" hangingPunct="1">
            <a:defRPr sz="1406" kern="1200">
              <a:solidFill>
                <a:schemeClr val="tx1"/>
              </a:solidFill>
              <a:latin typeface="+mn-lt"/>
              <a:ea typeface="+mn-ea"/>
              <a:cs typeface="+mn-cs"/>
            </a:defRPr>
          </a:lvl1pPr>
          <a:lvl2pPr marL="356196" algn="l" defTabSz="712392" rtl="0" eaLnBrk="1" latinLnBrk="0" hangingPunct="1">
            <a:defRPr sz="1406" kern="1200">
              <a:solidFill>
                <a:schemeClr val="tx1"/>
              </a:solidFill>
              <a:latin typeface="+mn-lt"/>
              <a:ea typeface="+mn-ea"/>
              <a:cs typeface="+mn-cs"/>
            </a:defRPr>
          </a:lvl2pPr>
          <a:lvl3pPr marL="712392" algn="l" defTabSz="712392" rtl="0" eaLnBrk="1" latinLnBrk="0" hangingPunct="1">
            <a:defRPr sz="1406" kern="1200">
              <a:solidFill>
                <a:schemeClr val="tx1"/>
              </a:solidFill>
              <a:latin typeface="+mn-lt"/>
              <a:ea typeface="+mn-ea"/>
              <a:cs typeface="+mn-cs"/>
            </a:defRPr>
          </a:lvl3pPr>
          <a:lvl4pPr marL="1068589" algn="l" defTabSz="712392" rtl="0" eaLnBrk="1" latinLnBrk="0" hangingPunct="1">
            <a:defRPr sz="1406" kern="1200">
              <a:solidFill>
                <a:schemeClr val="tx1"/>
              </a:solidFill>
              <a:latin typeface="+mn-lt"/>
              <a:ea typeface="+mn-ea"/>
              <a:cs typeface="+mn-cs"/>
            </a:defRPr>
          </a:lvl4pPr>
          <a:lvl5pPr marL="1424785" algn="l" defTabSz="712392" rtl="0" eaLnBrk="1" latinLnBrk="0" hangingPunct="1">
            <a:defRPr sz="1406" kern="1200">
              <a:solidFill>
                <a:schemeClr val="tx1"/>
              </a:solidFill>
              <a:latin typeface="+mn-lt"/>
              <a:ea typeface="+mn-ea"/>
              <a:cs typeface="+mn-cs"/>
            </a:defRPr>
          </a:lvl5pPr>
          <a:lvl6pPr marL="1780980" algn="l" defTabSz="712392" rtl="0" eaLnBrk="1" latinLnBrk="0" hangingPunct="1">
            <a:defRPr sz="1406" kern="1200">
              <a:solidFill>
                <a:schemeClr val="tx1"/>
              </a:solidFill>
              <a:latin typeface="+mn-lt"/>
              <a:ea typeface="+mn-ea"/>
              <a:cs typeface="+mn-cs"/>
            </a:defRPr>
          </a:lvl6pPr>
          <a:lvl7pPr marL="2137176" algn="l" defTabSz="712392" rtl="0" eaLnBrk="1" latinLnBrk="0" hangingPunct="1">
            <a:defRPr sz="1406" kern="1200">
              <a:solidFill>
                <a:schemeClr val="tx1"/>
              </a:solidFill>
              <a:latin typeface="+mn-lt"/>
              <a:ea typeface="+mn-ea"/>
              <a:cs typeface="+mn-cs"/>
            </a:defRPr>
          </a:lvl7pPr>
          <a:lvl8pPr marL="2493374" algn="l" defTabSz="712392" rtl="0" eaLnBrk="1" latinLnBrk="0" hangingPunct="1">
            <a:defRPr sz="1406" kern="1200">
              <a:solidFill>
                <a:schemeClr val="tx1"/>
              </a:solidFill>
              <a:latin typeface="+mn-lt"/>
              <a:ea typeface="+mn-ea"/>
              <a:cs typeface="+mn-cs"/>
            </a:defRPr>
          </a:lvl8pPr>
          <a:lvl9pPr marL="2849569" algn="l" defTabSz="712392" rtl="0" eaLnBrk="1" latinLnBrk="0" hangingPunct="1">
            <a:defRPr sz="1406" kern="1200">
              <a:solidFill>
                <a:schemeClr val="tx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r>
            <a:rPr kumimoji="0" lang="pt-BR" sz="2400" b="1" i="0" u="none" strike="noStrike" kern="1200" cap="none" spc="0" normalizeH="0" baseline="0">
              <a:ln>
                <a:noFill/>
              </a:ln>
              <a:solidFill>
                <a:schemeClr val="bg1"/>
              </a:solidFill>
              <a:effectLst/>
              <a:uLnTx/>
              <a:uFillTx/>
              <a:latin typeface="Votorantim Sans Black" panose="02010A03030202050203" pitchFamily="2" charset="0"/>
              <a:ea typeface="Futura" panose="02020800000000000000" pitchFamily="18" charset="0"/>
              <a:cs typeface="Futura" panose="02020800000000000000" pitchFamily="18" charset="0"/>
            </a:rPr>
            <a:t>FUNDAMENTALS SPREADSHEET</a:t>
          </a:r>
        </a:p>
        <a:p>
          <a:pPr marL="0" marR="0" lvl="0" indent="0" defTabSz="685800" rtl="0" eaLnBrk="1" fontAlgn="auto" latinLnBrk="0" hangingPunct="1">
            <a:lnSpc>
              <a:spcPct val="100000"/>
            </a:lnSpc>
            <a:spcBef>
              <a:spcPts val="0"/>
            </a:spcBef>
            <a:spcAft>
              <a:spcPts val="0"/>
            </a:spcAft>
            <a:buClrTx/>
            <a:buSzTx/>
            <a:buFontTx/>
            <a:buNone/>
            <a:tabLst/>
            <a:defRPr/>
          </a:pPr>
          <a:endParaRPr kumimoji="0" lang="pt-BR" sz="2400" b="0" i="0" u="none" strike="noStrike" kern="1200" cap="none" spc="0" normalizeH="0" baseline="0">
            <a:ln>
              <a:noFill/>
            </a:ln>
            <a:solidFill>
              <a:schemeClr val="bg1"/>
            </a:solidFill>
            <a:effectLst/>
            <a:uLnTx/>
            <a:uFillTx/>
            <a:latin typeface="Votorantim Sans Black" panose="02010A03030202050203" pitchFamily="2" charset="0"/>
            <a:ea typeface="Futura" panose="02020800000000000000" pitchFamily="18" charset="0"/>
            <a:cs typeface="Futura" panose="02020800000000000000" pitchFamily="18" charset="0"/>
          </a:endParaRPr>
        </a:p>
      </xdr:txBody>
    </xdr:sp>
    <xdr:clientData/>
  </xdr:twoCellAnchor>
  <xdr:twoCellAnchor>
    <xdr:from>
      <xdr:col>2</xdr:col>
      <xdr:colOff>388486</xdr:colOff>
      <xdr:row>14</xdr:row>
      <xdr:rowOff>68920</xdr:rowOff>
    </xdr:from>
    <xdr:to>
      <xdr:col>4</xdr:col>
      <xdr:colOff>64508</xdr:colOff>
      <xdr:row>16</xdr:row>
      <xdr:rowOff>60683</xdr:rowOff>
    </xdr:to>
    <xdr:sp macro="" textlink="">
      <xdr:nvSpPr>
        <xdr:cNvPr id="6" name="TextBox 1">
          <a:extLst>
            <a:ext uri="{FF2B5EF4-FFF2-40B4-BE49-F238E27FC236}">
              <a16:creationId xmlns:a16="http://schemas.microsoft.com/office/drawing/2014/main" id="{C085B569-8009-4F0E-873C-BD4F2B30AB15}"/>
            </a:ext>
          </a:extLst>
        </xdr:cNvPr>
        <xdr:cNvSpPr txBox="1"/>
      </xdr:nvSpPr>
      <xdr:spPr>
        <a:xfrm>
          <a:off x="1607686" y="2831170"/>
          <a:ext cx="895222" cy="468013"/>
        </a:xfrm>
        <a:prstGeom prst="rect">
          <a:avLst/>
        </a:prstGeom>
        <a:noFill/>
      </xdr:spPr>
      <xdr:txBody>
        <a:bodyPr wrap="square" rtlCol="0">
          <a:spAutoFit/>
        </a:bodyPr>
        <a:lstStyle>
          <a:defPPr>
            <a:defRPr lang="pt-BR"/>
          </a:defPPr>
          <a:lvl1pPr marL="0" algn="l" defTabSz="712392" rtl="0" eaLnBrk="1" latinLnBrk="0" hangingPunct="1">
            <a:defRPr sz="1406" kern="1200">
              <a:solidFill>
                <a:schemeClr val="tx1"/>
              </a:solidFill>
              <a:latin typeface="+mn-lt"/>
              <a:ea typeface="+mn-ea"/>
              <a:cs typeface="+mn-cs"/>
            </a:defRPr>
          </a:lvl1pPr>
          <a:lvl2pPr marL="356196" algn="l" defTabSz="712392" rtl="0" eaLnBrk="1" latinLnBrk="0" hangingPunct="1">
            <a:defRPr sz="1406" kern="1200">
              <a:solidFill>
                <a:schemeClr val="tx1"/>
              </a:solidFill>
              <a:latin typeface="+mn-lt"/>
              <a:ea typeface="+mn-ea"/>
              <a:cs typeface="+mn-cs"/>
            </a:defRPr>
          </a:lvl2pPr>
          <a:lvl3pPr marL="712392" algn="l" defTabSz="712392" rtl="0" eaLnBrk="1" latinLnBrk="0" hangingPunct="1">
            <a:defRPr sz="1406" kern="1200">
              <a:solidFill>
                <a:schemeClr val="tx1"/>
              </a:solidFill>
              <a:latin typeface="+mn-lt"/>
              <a:ea typeface="+mn-ea"/>
              <a:cs typeface="+mn-cs"/>
            </a:defRPr>
          </a:lvl3pPr>
          <a:lvl4pPr marL="1068589" algn="l" defTabSz="712392" rtl="0" eaLnBrk="1" latinLnBrk="0" hangingPunct="1">
            <a:defRPr sz="1406" kern="1200">
              <a:solidFill>
                <a:schemeClr val="tx1"/>
              </a:solidFill>
              <a:latin typeface="+mn-lt"/>
              <a:ea typeface="+mn-ea"/>
              <a:cs typeface="+mn-cs"/>
            </a:defRPr>
          </a:lvl4pPr>
          <a:lvl5pPr marL="1424785" algn="l" defTabSz="712392" rtl="0" eaLnBrk="1" latinLnBrk="0" hangingPunct="1">
            <a:defRPr sz="1406" kern="1200">
              <a:solidFill>
                <a:schemeClr val="tx1"/>
              </a:solidFill>
              <a:latin typeface="+mn-lt"/>
              <a:ea typeface="+mn-ea"/>
              <a:cs typeface="+mn-cs"/>
            </a:defRPr>
          </a:lvl5pPr>
          <a:lvl6pPr marL="1780980" algn="l" defTabSz="712392" rtl="0" eaLnBrk="1" latinLnBrk="0" hangingPunct="1">
            <a:defRPr sz="1406" kern="1200">
              <a:solidFill>
                <a:schemeClr val="tx1"/>
              </a:solidFill>
              <a:latin typeface="+mn-lt"/>
              <a:ea typeface="+mn-ea"/>
              <a:cs typeface="+mn-cs"/>
            </a:defRPr>
          </a:lvl6pPr>
          <a:lvl7pPr marL="2137176" algn="l" defTabSz="712392" rtl="0" eaLnBrk="1" latinLnBrk="0" hangingPunct="1">
            <a:defRPr sz="1406" kern="1200">
              <a:solidFill>
                <a:schemeClr val="tx1"/>
              </a:solidFill>
              <a:latin typeface="+mn-lt"/>
              <a:ea typeface="+mn-ea"/>
              <a:cs typeface="+mn-cs"/>
            </a:defRPr>
          </a:lvl7pPr>
          <a:lvl8pPr marL="2493374" algn="l" defTabSz="712392" rtl="0" eaLnBrk="1" latinLnBrk="0" hangingPunct="1">
            <a:defRPr sz="1406" kern="1200">
              <a:solidFill>
                <a:schemeClr val="tx1"/>
              </a:solidFill>
              <a:latin typeface="+mn-lt"/>
              <a:ea typeface="+mn-ea"/>
              <a:cs typeface="+mn-cs"/>
            </a:defRPr>
          </a:lvl8pPr>
          <a:lvl9pPr marL="2849569" algn="l" defTabSz="712392" rtl="0" eaLnBrk="1" latinLnBrk="0" hangingPunct="1">
            <a:defRPr sz="1406" kern="1200">
              <a:solidFill>
                <a:schemeClr val="tx1"/>
              </a:solidFill>
              <a:latin typeface="+mn-lt"/>
              <a:ea typeface="+mn-ea"/>
              <a:cs typeface="+mn-cs"/>
            </a:defRPr>
          </a:lvl9pPr>
        </a:lstStyle>
        <a:p>
          <a:pPr marL="0" marR="0" lvl="0" indent="0" defTabSz="685800" rtl="0" eaLnBrk="1" fontAlgn="auto" latinLnBrk="0" hangingPunct="1">
            <a:lnSpc>
              <a:spcPct val="100000"/>
            </a:lnSpc>
            <a:spcBef>
              <a:spcPts val="0"/>
            </a:spcBef>
            <a:spcAft>
              <a:spcPts val="0"/>
            </a:spcAft>
            <a:buClrTx/>
            <a:buSzTx/>
            <a:buFontTx/>
            <a:buNone/>
            <a:tabLst/>
            <a:defRPr/>
          </a:pPr>
          <a:r>
            <a:rPr lang="pt-BR" sz="2400" b="1">
              <a:solidFill>
                <a:srgbClr val="0FD8ED"/>
              </a:solidFill>
              <a:latin typeface="Votorantim Sans" panose="02010503030202050203" pitchFamily="2" charset="0"/>
              <a:ea typeface="Futura" panose="02020800000000000000" pitchFamily="18" charset="0"/>
              <a:cs typeface="Futura" panose="02020800000000000000" pitchFamily="18" charset="0"/>
            </a:rPr>
            <a:t>4Q25</a:t>
          </a:r>
        </a:p>
      </xdr:txBody>
    </xdr:sp>
    <xdr:clientData/>
  </xdr:twoCellAnchor>
  <xdr:twoCellAnchor editAs="oneCell">
    <xdr:from>
      <xdr:col>10</xdr:col>
      <xdr:colOff>209550</xdr:colOff>
      <xdr:row>13</xdr:row>
      <xdr:rowOff>133350</xdr:rowOff>
    </xdr:from>
    <xdr:to>
      <xdr:col>11</xdr:col>
      <xdr:colOff>590550</xdr:colOff>
      <xdr:row>16</xdr:row>
      <xdr:rowOff>21167</xdr:rowOff>
    </xdr:to>
    <xdr:pic>
      <xdr:nvPicPr>
        <xdr:cNvPr id="279721" name="Imagem 17">
          <a:extLst>
            <a:ext uri="{FF2B5EF4-FFF2-40B4-BE49-F238E27FC236}">
              <a16:creationId xmlns:a16="http://schemas.microsoft.com/office/drawing/2014/main" id="{33E8D715-50F1-40F3-BAA8-E91B92DACEE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06217" y="2662767"/>
          <a:ext cx="994833" cy="61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xdr:rowOff>
    </xdr:from>
    <xdr:to>
      <xdr:col>34</xdr:col>
      <xdr:colOff>10583</xdr:colOff>
      <xdr:row>3</xdr:row>
      <xdr:rowOff>201083</xdr:rowOff>
    </xdr:to>
    <xdr:sp macro="" textlink="">
      <xdr:nvSpPr>
        <xdr:cNvPr id="2" name="Retângulo 6">
          <a:extLst>
            <a:ext uri="{FF2B5EF4-FFF2-40B4-BE49-F238E27FC236}">
              <a16:creationId xmlns:a16="http://schemas.microsoft.com/office/drawing/2014/main" id="{ADEE6F05-52BA-49C3-801A-63BC444E96BA}"/>
            </a:ext>
          </a:extLst>
        </xdr:cNvPr>
        <xdr:cNvSpPr>
          <a:spLocks noChangeArrowheads="1"/>
        </xdr:cNvSpPr>
      </xdr:nvSpPr>
      <xdr:spPr bwMode="auto">
        <a:xfrm>
          <a:off x="0" y="1"/>
          <a:ext cx="15017750" cy="772582"/>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106907</xdr:colOff>
      <xdr:row>2</xdr:row>
      <xdr:rowOff>79056</xdr:rowOff>
    </xdr:from>
    <xdr:ext cx="2028889" cy="296620"/>
    <xdr:sp macro="" textlink="">
      <xdr:nvSpPr>
        <xdr:cNvPr id="3" name="Text Box 5">
          <a:extLst>
            <a:ext uri="{FF2B5EF4-FFF2-40B4-BE49-F238E27FC236}">
              <a16:creationId xmlns:a16="http://schemas.microsoft.com/office/drawing/2014/main" id="{9A187A96-2571-40AB-9754-8AE73A9069B4}"/>
            </a:ext>
          </a:extLst>
        </xdr:cNvPr>
        <xdr:cNvSpPr txBox="1">
          <a:spLocks noChangeArrowheads="1"/>
        </xdr:cNvSpPr>
      </xdr:nvSpPr>
      <xdr:spPr bwMode="auto">
        <a:xfrm>
          <a:off x="106907" y="412431"/>
          <a:ext cx="2028889"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9. Financial Statements</a:t>
          </a:r>
          <a:endParaRPr lang="en-US" sz="1600" b="1" i="0" u="none" strike="noStrike" baseline="0">
            <a:solidFill>
              <a:srgbClr val="000080"/>
            </a:solidFill>
            <a:latin typeface="Votorantim Sans Black" panose="02010A03030202050203"/>
          </a:endParaRPr>
        </a:p>
      </xdr:txBody>
    </xdr:sp>
    <xdr:clientData/>
  </xdr:oneCellAnchor>
  <xdr:twoCellAnchor>
    <xdr:from>
      <xdr:col>34</xdr:col>
      <xdr:colOff>204610</xdr:colOff>
      <xdr:row>0</xdr:row>
      <xdr:rowOff>74436</xdr:rowOff>
    </xdr:from>
    <xdr:to>
      <xdr:col>35</xdr:col>
      <xdr:colOff>455082</xdr:colOff>
      <xdr:row>3</xdr:row>
      <xdr:rowOff>254000</xdr:rowOff>
    </xdr:to>
    <xdr:grpSp>
      <xdr:nvGrpSpPr>
        <xdr:cNvPr id="4" name="Agrupar 9">
          <a:hlinkClick xmlns:r="http://schemas.openxmlformats.org/officeDocument/2006/relationships" r:id="rId1"/>
          <a:extLst>
            <a:ext uri="{FF2B5EF4-FFF2-40B4-BE49-F238E27FC236}">
              <a16:creationId xmlns:a16="http://schemas.microsoft.com/office/drawing/2014/main" id="{0F507453-BDD5-4368-8154-C2EA8D469CE3}"/>
            </a:ext>
          </a:extLst>
        </xdr:cNvPr>
        <xdr:cNvGrpSpPr>
          <a:grpSpLocks/>
        </xdr:cNvGrpSpPr>
      </xdr:nvGrpSpPr>
      <xdr:grpSpPr bwMode="auto">
        <a:xfrm>
          <a:off x="14547673" y="74436"/>
          <a:ext cx="1107722" cy="759002"/>
          <a:chOff x="11133666" y="131229"/>
          <a:chExt cx="928738" cy="609603"/>
        </a:xfrm>
      </xdr:grpSpPr>
      <xdr:sp macro="" textlink="">
        <xdr:nvSpPr>
          <xdr:cNvPr id="5" name="Seta: Curva para Cima 4" descr="Menu">
            <a:extLst>
              <a:ext uri="{FF2B5EF4-FFF2-40B4-BE49-F238E27FC236}">
                <a16:creationId xmlns:a16="http://schemas.microsoft.com/office/drawing/2014/main" id="{12889F2E-FA3A-420E-BD40-3025A0E27D09}"/>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FCAE9B73-029D-4BBF-9330-50779DCDBE58}"/>
              </a:ext>
            </a:extLst>
          </xdr:cNvPr>
          <xdr:cNvSpPr txBox="1"/>
        </xdr:nvSpPr>
        <xdr:spPr>
          <a:xfrm rot="600355">
            <a:off x="11213557" y="205120"/>
            <a:ext cx="848847" cy="406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0</xdr:col>
      <xdr:colOff>114300</xdr:colOff>
      <xdr:row>0</xdr:row>
      <xdr:rowOff>0</xdr:rowOff>
    </xdr:from>
    <xdr:to>
      <xdr:col>1</xdr:col>
      <xdr:colOff>1228725</xdr:colOff>
      <xdr:row>2</xdr:row>
      <xdr:rowOff>104775</xdr:rowOff>
    </xdr:to>
    <xdr:pic>
      <xdr:nvPicPr>
        <xdr:cNvPr id="7" name="Picture 2">
          <a:extLst>
            <a:ext uri="{FF2B5EF4-FFF2-40B4-BE49-F238E27FC236}">
              <a16:creationId xmlns:a16="http://schemas.microsoft.com/office/drawing/2014/main" id="{3ECBB59A-EAB0-462E-AEB7-6E00A0ADE7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0"/>
          <a:ext cx="1266825"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10583</xdr:colOff>
      <xdr:row>4</xdr:row>
      <xdr:rowOff>28575</xdr:rowOff>
    </xdr:to>
    <xdr:sp macro="" textlink="">
      <xdr:nvSpPr>
        <xdr:cNvPr id="2" name="Retângulo 6">
          <a:extLst>
            <a:ext uri="{FF2B5EF4-FFF2-40B4-BE49-F238E27FC236}">
              <a16:creationId xmlns:a16="http://schemas.microsoft.com/office/drawing/2014/main" id="{4EDDF9E8-7642-43A7-8F1B-B919B328E027}"/>
            </a:ext>
          </a:extLst>
        </xdr:cNvPr>
        <xdr:cNvSpPr>
          <a:spLocks noChangeArrowheads="1"/>
        </xdr:cNvSpPr>
      </xdr:nvSpPr>
      <xdr:spPr bwMode="auto">
        <a:xfrm>
          <a:off x="0" y="0"/>
          <a:ext cx="13620750" cy="748242"/>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142502</xdr:colOff>
      <xdr:row>2</xdr:row>
      <xdr:rowOff>55308</xdr:rowOff>
    </xdr:from>
    <xdr:ext cx="3053674" cy="296620"/>
    <xdr:sp macro="" textlink="">
      <xdr:nvSpPr>
        <xdr:cNvPr id="3" name="Text Box 4">
          <a:extLst>
            <a:ext uri="{FF2B5EF4-FFF2-40B4-BE49-F238E27FC236}">
              <a16:creationId xmlns:a16="http://schemas.microsoft.com/office/drawing/2014/main" id="{ADA2B877-0920-4A04-99A0-E91C593B81E5}"/>
            </a:ext>
          </a:extLst>
        </xdr:cNvPr>
        <xdr:cNvSpPr txBox="1">
          <a:spLocks noChangeArrowheads="1"/>
        </xdr:cNvSpPr>
      </xdr:nvSpPr>
      <xdr:spPr bwMode="auto">
        <a:xfrm>
          <a:off x="142502" y="410908"/>
          <a:ext cx="3053674"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10. Results by Business</a:t>
          </a:r>
        </a:p>
      </xdr:txBody>
    </xdr:sp>
    <xdr:clientData/>
  </xdr:oneCellAnchor>
  <xdr:twoCellAnchor>
    <xdr:from>
      <xdr:col>34</xdr:col>
      <xdr:colOff>115358</xdr:colOff>
      <xdr:row>0</xdr:row>
      <xdr:rowOff>56797</xdr:rowOff>
    </xdr:from>
    <xdr:to>
      <xdr:col>35</xdr:col>
      <xdr:colOff>296333</xdr:colOff>
      <xdr:row>3</xdr:row>
      <xdr:rowOff>142522</xdr:rowOff>
    </xdr:to>
    <xdr:grpSp>
      <xdr:nvGrpSpPr>
        <xdr:cNvPr id="4" name="Agrupar 6">
          <a:hlinkClick xmlns:r="http://schemas.openxmlformats.org/officeDocument/2006/relationships" r:id="rId1"/>
          <a:extLst>
            <a:ext uri="{FF2B5EF4-FFF2-40B4-BE49-F238E27FC236}">
              <a16:creationId xmlns:a16="http://schemas.microsoft.com/office/drawing/2014/main" id="{936665EA-5FAC-444B-933B-CACEEB49029A}"/>
            </a:ext>
          </a:extLst>
        </xdr:cNvPr>
        <xdr:cNvGrpSpPr>
          <a:grpSpLocks/>
        </xdr:cNvGrpSpPr>
      </xdr:nvGrpSpPr>
      <xdr:grpSpPr bwMode="auto">
        <a:xfrm>
          <a:off x="11053233" y="56797"/>
          <a:ext cx="823913" cy="609600"/>
          <a:chOff x="11133666" y="131229"/>
          <a:chExt cx="928738" cy="609603"/>
        </a:xfrm>
      </xdr:grpSpPr>
      <xdr:sp macro="" textlink="">
        <xdr:nvSpPr>
          <xdr:cNvPr id="5" name="Seta: Curva para Cima 4" descr="Menu">
            <a:extLst>
              <a:ext uri="{FF2B5EF4-FFF2-40B4-BE49-F238E27FC236}">
                <a16:creationId xmlns:a16="http://schemas.microsoft.com/office/drawing/2014/main" id="{871AACFA-D77F-4391-8791-85D30F83C04D}"/>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F074B146-CA7E-48C2-97ED-894F6F7782C3}"/>
              </a:ext>
            </a:extLst>
          </xdr:cNvPr>
          <xdr:cNvSpPr txBox="1"/>
        </xdr:nvSpPr>
        <xdr:spPr>
          <a:xfrm rot="600355">
            <a:off x="11213557" y="205120"/>
            <a:ext cx="848847" cy="406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0</xdr:colOff>
      <xdr:row>0</xdr:row>
      <xdr:rowOff>0</xdr:rowOff>
    </xdr:from>
    <xdr:to>
      <xdr:col>1</xdr:col>
      <xdr:colOff>1266825</xdr:colOff>
      <xdr:row>2</xdr:row>
      <xdr:rowOff>85725</xdr:rowOff>
    </xdr:to>
    <xdr:pic>
      <xdr:nvPicPr>
        <xdr:cNvPr id="7" name="Picture 2">
          <a:extLst>
            <a:ext uri="{FF2B5EF4-FFF2-40B4-BE49-F238E27FC236}">
              <a16:creationId xmlns:a16="http://schemas.microsoft.com/office/drawing/2014/main" id="{9795C6B1-C76E-4EBA-AB8F-9D835D3E16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0"/>
          <a:ext cx="1266825"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9524</xdr:colOff>
      <xdr:row>0</xdr:row>
      <xdr:rowOff>0</xdr:rowOff>
    </xdr:from>
    <xdr:to>
      <xdr:col>26</xdr:col>
      <xdr:colOff>9525</xdr:colOff>
      <xdr:row>3</xdr:row>
      <xdr:rowOff>247650</xdr:rowOff>
    </xdr:to>
    <xdr:sp macro="" textlink="">
      <xdr:nvSpPr>
        <xdr:cNvPr id="2" name="Retângulo 6">
          <a:extLst>
            <a:ext uri="{FF2B5EF4-FFF2-40B4-BE49-F238E27FC236}">
              <a16:creationId xmlns:a16="http://schemas.microsoft.com/office/drawing/2014/main" id="{8C87F553-1F26-44AA-BC21-D7B44EF86FB5}"/>
            </a:ext>
          </a:extLst>
        </xdr:cNvPr>
        <xdr:cNvSpPr>
          <a:spLocks noChangeArrowheads="1"/>
        </xdr:cNvSpPr>
      </xdr:nvSpPr>
      <xdr:spPr bwMode="auto">
        <a:xfrm>
          <a:off x="9524" y="0"/>
          <a:ext cx="8086726" cy="73342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142450</xdr:colOff>
      <xdr:row>2</xdr:row>
      <xdr:rowOff>119226</xdr:rowOff>
    </xdr:from>
    <xdr:ext cx="1748043" cy="296620"/>
    <xdr:sp macro="" textlink="">
      <xdr:nvSpPr>
        <xdr:cNvPr id="3" name="Text Box 2">
          <a:extLst>
            <a:ext uri="{FF2B5EF4-FFF2-40B4-BE49-F238E27FC236}">
              <a16:creationId xmlns:a16="http://schemas.microsoft.com/office/drawing/2014/main" id="{2F2C1DAA-DAF5-440B-A80E-F74AC92AADCD}"/>
            </a:ext>
          </a:extLst>
        </xdr:cNvPr>
        <xdr:cNvSpPr txBox="1">
          <a:spLocks noChangeArrowheads="1"/>
        </xdr:cNvSpPr>
      </xdr:nvSpPr>
      <xdr:spPr bwMode="auto">
        <a:xfrm>
          <a:off x="142450" y="452601"/>
          <a:ext cx="1748043"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11. Cost Breakdown</a:t>
          </a:r>
        </a:p>
      </xdr:txBody>
    </xdr:sp>
    <xdr:clientData/>
  </xdr:oneCellAnchor>
  <xdr:twoCellAnchor editAs="oneCell">
    <xdr:from>
      <xdr:col>1</xdr:col>
      <xdr:colOff>9525</xdr:colOff>
      <xdr:row>0</xdr:row>
      <xdr:rowOff>0</xdr:rowOff>
    </xdr:from>
    <xdr:to>
      <xdr:col>1</xdr:col>
      <xdr:colOff>1325034</xdr:colOff>
      <xdr:row>2</xdr:row>
      <xdr:rowOff>114300</xdr:rowOff>
    </xdr:to>
    <xdr:pic>
      <xdr:nvPicPr>
        <xdr:cNvPr id="4" name="Picture 2">
          <a:extLst>
            <a:ext uri="{FF2B5EF4-FFF2-40B4-BE49-F238E27FC236}">
              <a16:creationId xmlns:a16="http://schemas.microsoft.com/office/drawing/2014/main" id="{0323A1DF-BC2C-406E-B927-39DAA1128A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131868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209550</xdr:colOff>
      <xdr:row>0</xdr:row>
      <xdr:rowOff>95250</xdr:rowOff>
    </xdr:from>
    <xdr:to>
      <xdr:col>27</xdr:col>
      <xdr:colOff>352425</xdr:colOff>
      <xdr:row>3</xdr:row>
      <xdr:rowOff>228600</xdr:rowOff>
    </xdr:to>
    <xdr:grpSp>
      <xdr:nvGrpSpPr>
        <xdr:cNvPr id="5" name="Agrupar 6">
          <a:hlinkClick xmlns:r="http://schemas.openxmlformats.org/officeDocument/2006/relationships" r:id="rId2"/>
          <a:extLst>
            <a:ext uri="{FF2B5EF4-FFF2-40B4-BE49-F238E27FC236}">
              <a16:creationId xmlns:a16="http://schemas.microsoft.com/office/drawing/2014/main" id="{369634A5-872D-45A4-9938-208F2C4275EA}"/>
            </a:ext>
          </a:extLst>
        </xdr:cNvPr>
        <xdr:cNvGrpSpPr>
          <a:grpSpLocks/>
        </xdr:cNvGrpSpPr>
      </xdr:nvGrpSpPr>
      <xdr:grpSpPr bwMode="auto">
        <a:xfrm>
          <a:off x="11774488" y="95250"/>
          <a:ext cx="785812" cy="609600"/>
          <a:chOff x="11133666" y="131229"/>
          <a:chExt cx="928738" cy="609603"/>
        </a:xfrm>
      </xdr:grpSpPr>
      <xdr:sp macro="" textlink="">
        <xdr:nvSpPr>
          <xdr:cNvPr id="6" name="Seta: Curva para Cima 5" descr="Menu">
            <a:extLst>
              <a:ext uri="{FF2B5EF4-FFF2-40B4-BE49-F238E27FC236}">
                <a16:creationId xmlns:a16="http://schemas.microsoft.com/office/drawing/2014/main" id="{37D99DAF-34A4-409B-A471-0679231296C7}"/>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7" name="CaixaDeTexto 6">
            <a:extLst>
              <a:ext uri="{FF2B5EF4-FFF2-40B4-BE49-F238E27FC236}">
                <a16:creationId xmlns:a16="http://schemas.microsoft.com/office/drawing/2014/main" id="{97B8985B-189A-47DA-A397-3F77FFE1F118}"/>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9525</xdr:colOff>
      <xdr:row>3</xdr:row>
      <xdr:rowOff>247650</xdr:rowOff>
    </xdr:to>
    <xdr:sp macro="" textlink="">
      <xdr:nvSpPr>
        <xdr:cNvPr id="2" name="Retângulo 6">
          <a:extLst>
            <a:ext uri="{FF2B5EF4-FFF2-40B4-BE49-F238E27FC236}">
              <a16:creationId xmlns:a16="http://schemas.microsoft.com/office/drawing/2014/main" id="{FAA44902-EEE9-4F6E-B0B6-4B08E6EEAD00}"/>
            </a:ext>
          </a:extLst>
        </xdr:cNvPr>
        <xdr:cNvSpPr>
          <a:spLocks noChangeArrowheads="1"/>
        </xdr:cNvSpPr>
      </xdr:nvSpPr>
      <xdr:spPr bwMode="auto">
        <a:xfrm>
          <a:off x="0" y="0"/>
          <a:ext cx="11439525" cy="7429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oneCellAnchor>
    <xdr:from>
      <xdr:col>1</xdr:col>
      <xdr:colOff>19050</xdr:colOff>
      <xdr:row>2</xdr:row>
      <xdr:rowOff>93557</xdr:rowOff>
    </xdr:from>
    <xdr:ext cx="3223077" cy="547073"/>
    <xdr:sp macro="" textlink="">
      <xdr:nvSpPr>
        <xdr:cNvPr id="3" name="Text Box 1">
          <a:extLst>
            <a:ext uri="{FF2B5EF4-FFF2-40B4-BE49-F238E27FC236}">
              <a16:creationId xmlns:a16="http://schemas.microsoft.com/office/drawing/2014/main" id="{E95B7453-9167-4020-A02A-83D37DCF038E}"/>
            </a:ext>
          </a:extLst>
        </xdr:cNvPr>
        <xdr:cNvSpPr txBox="1">
          <a:spLocks noChangeArrowheads="1"/>
        </xdr:cNvSpPr>
      </xdr:nvSpPr>
      <xdr:spPr bwMode="auto">
        <a:xfrm>
          <a:off x="161925" y="426932"/>
          <a:ext cx="3223077" cy="547073"/>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12. CAPEX</a:t>
          </a:r>
        </a:p>
        <a:p>
          <a:pPr algn="l" rtl="0">
            <a:defRPr sz="1000"/>
          </a:pPr>
          <a:r>
            <a:rPr lang="en-US" sz="1600" b="1" i="0" u="none" strike="noStrike" baseline="0">
              <a:solidFill>
                <a:schemeClr val="bg1"/>
              </a:solidFill>
              <a:latin typeface="Votorantim Sans Black" panose="02010A03030202050203"/>
            </a:rPr>
            <a:t> </a:t>
          </a:r>
        </a:p>
      </xdr:txBody>
    </xdr:sp>
    <xdr:clientData/>
  </xdr:oneCellAnchor>
  <xdr:twoCellAnchor>
    <xdr:from>
      <xdr:col>34</xdr:col>
      <xdr:colOff>123825</xdr:colOff>
      <xdr:row>0</xdr:row>
      <xdr:rowOff>38100</xdr:rowOff>
    </xdr:from>
    <xdr:to>
      <xdr:col>35</xdr:col>
      <xdr:colOff>295275</xdr:colOff>
      <xdr:row>3</xdr:row>
      <xdr:rowOff>161925</xdr:rowOff>
    </xdr:to>
    <xdr:grpSp>
      <xdr:nvGrpSpPr>
        <xdr:cNvPr id="4" name="Agrupar 6">
          <a:hlinkClick xmlns:r="http://schemas.openxmlformats.org/officeDocument/2006/relationships" r:id="rId1"/>
          <a:extLst>
            <a:ext uri="{FF2B5EF4-FFF2-40B4-BE49-F238E27FC236}">
              <a16:creationId xmlns:a16="http://schemas.microsoft.com/office/drawing/2014/main" id="{9EEB53F7-AD6B-4705-B97F-5E73B44A19B5}"/>
            </a:ext>
          </a:extLst>
        </xdr:cNvPr>
        <xdr:cNvGrpSpPr>
          <a:grpSpLocks/>
        </xdr:cNvGrpSpPr>
      </xdr:nvGrpSpPr>
      <xdr:grpSpPr bwMode="auto">
        <a:xfrm>
          <a:off x="11474450" y="38100"/>
          <a:ext cx="814388" cy="615950"/>
          <a:chOff x="11133666" y="131229"/>
          <a:chExt cx="928738" cy="609603"/>
        </a:xfrm>
      </xdr:grpSpPr>
      <xdr:sp macro="" textlink="">
        <xdr:nvSpPr>
          <xdr:cNvPr id="5" name="Seta: Curva para Cima 4" descr="Menu">
            <a:extLst>
              <a:ext uri="{FF2B5EF4-FFF2-40B4-BE49-F238E27FC236}">
                <a16:creationId xmlns:a16="http://schemas.microsoft.com/office/drawing/2014/main" id="{D35A91DA-9070-4ED2-A87A-9F060B2AEB6C}"/>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AFE4C588-05ED-4275-B6F0-9E1799224CCA}"/>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1276350</xdr:colOff>
      <xdr:row>2</xdr:row>
      <xdr:rowOff>114300</xdr:rowOff>
    </xdr:to>
    <xdr:pic>
      <xdr:nvPicPr>
        <xdr:cNvPr id="7" name="Picture 2">
          <a:extLst>
            <a:ext uri="{FF2B5EF4-FFF2-40B4-BE49-F238E27FC236}">
              <a16:creationId xmlns:a16="http://schemas.microsoft.com/office/drawing/2014/main" id="{A56BAF10-79EB-48DF-8237-3E99E519FEC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9525"/>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9525</xdr:colOff>
      <xdr:row>3</xdr:row>
      <xdr:rowOff>247650</xdr:rowOff>
    </xdr:to>
    <xdr:sp macro="" textlink="">
      <xdr:nvSpPr>
        <xdr:cNvPr id="2" name="Retângulo 6">
          <a:extLst>
            <a:ext uri="{FF2B5EF4-FFF2-40B4-BE49-F238E27FC236}">
              <a16:creationId xmlns:a16="http://schemas.microsoft.com/office/drawing/2014/main" id="{684CC2EF-7CB8-4D08-B88C-4DBA3858D5F9}"/>
            </a:ext>
          </a:extLst>
        </xdr:cNvPr>
        <xdr:cNvSpPr>
          <a:spLocks noChangeArrowheads="1"/>
        </xdr:cNvSpPr>
      </xdr:nvSpPr>
      <xdr:spPr bwMode="auto">
        <a:xfrm>
          <a:off x="0" y="0"/>
          <a:ext cx="6181725" cy="7429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19050</xdr:colOff>
      <xdr:row>2</xdr:row>
      <xdr:rowOff>93557</xdr:rowOff>
    </xdr:from>
    <xdr:ext cx="3223077" cy="296620"/>
    <xdr:sp macro="" textlink="">
      <xdr:nvSpPr>
        <xdr:cNvPr id="3" name="Text Box 1">
          <a:extLst>
            <a:ext uri="{FF2B5EF4-FFF2-40B4-BE49-F238E27FC236}">
              <a16:creationId xmlns:a16="http://schemas.microsoft.com/office/drawing/2014/main" id="{EE85C609-DCE6-43C0-A54C-7F885402611D}"/>
            </a:ext>
          </a:extLst>
        </xdr:cNvPr>
        <xdr:cNvSpPr txBox="1">
          <a:spLocks noChangeArrowheads="1"/>
        </xdr:cNvSpPr>
      </xdr:nvSpPr>
      <xdr:spPr bwMode="auto">
        <a:xfrm>
          <a:off x="628650" y="426932"/>
          <a:ext cx="3223077"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13.  Financial Cycle</a:t>
          </a:r>
        </a:p>
      </xdr:txBody>
    </xdr:sp>
    <xdr:clientData/>
  </xdr:oneCellAnchor>
  <xdr:twoCellAnchor>
    <xdr:from>
      <xdr:col>34</xdr:col>
      <xdr:colOff>123825</xdr:colOff>
      <xdr:row>0</xdr:row>
      <xdr:rowOff>38100</xdr:rowOff>
    </xdr:from>
    <xdr:to>
      <xdr:col>35</xdr:col>
      <xdr:colOff>295275</xdr:colOff>
      <xdr:row>4</xdr:row>
      <xdr:rowOff>0</xdr:rowOff>
    </xdr:to>
    <xdr:grpSp>
      <xdr:nvGrpSpPr>
        <xdr:cNvPr id="4" name="Agrupar 6">
          <a:hlinkClick xmlns:r="http://schemas.openxmlformats.org/officeDocument/2006/relationships" r:id="rId1"/>
          <a:extLst>
            <a:ext uri="{FF2B5EF4-FFF2-40B4-BE49-F238E27FC236}">
              <a16:creationId xmlns:a16="http://schemas.microsoft.com/office/drawing/2014/main" id="{A00E2339-FB26-4969-B858-900392E0B557}"/>
            </a:ext>
          </a:extLst>
        </xdr:cNvPr>
        <xdr:cNvGrpSpPr>
          <a:grpSpLocks/>
        </xdr:cNvGrpSpPr>
      </xdr:nvGrpSpPr>
      <xdr:grpSpPr bwMode="auto">
        <a:xfrm>
          <a:off x="10029825" y="38100"/>
          <a:ext cx="782638" cy="708025"/>
          <a:chOff x="11133666" y="131229"/>
          <a:chExt cx="928738" cy="609603"/>
        </a:xfrm>
      </xdr:grpSpPr>
      <xdr:sp macro="" textlink="">
        <xdr:nvSpPr>
          <xdr:cNvPr id="5" name="Seta: Curva para Cima 4" descr="Menu">
            <a:extLst>
              <a:ext uri="{FF2B5EF4-FFF2-40B4-BE49-F238E27FC236}">
                <a16:creationId xmlns:a16="http://schemas.microsoft.com/office/drawing/2014/main" id="{D283B550-B5CC-1312-5104-37F557C6AE3A}"/>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7F695AF3-AA40-BBEF-C80E-B00A8CE468BF}"/>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1276350</xdr:colOff>
      <xdr:row>2</xdr:row>
      <xdr:rowOff>120650</xdr:rowOff>
    </xdr:to>
    <xdr:pic>
      <xdr:nvPicPr>
        <xdr:cNvPr id="7" name="Picture 2">
          <a:extLst>
            <a:ext uri="{FF2B5EF4-FFF2-40B4-BE49-F238E27FC236}">
              <a16:creationId xmlns:a16="http://schemas.microsoft.com/office/drawing/2014/main" id="{510083BC-3440-4F26-BF4E-017D4781F3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9525"/>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9525</xdr:colOff>
      <xdr:row>3</xdr:row>
      <xdr:rowOff>247650</xdr:rowOff>
    </xdr:to>
    <xdr:sp macro="" textlink="">
      <xdr:nvSpPr>
        <xdr:cNvPr id="2" name="Retângulo 6">
          <a:extLst>
            <a:ext uri="{FF2B5EF4-FFF2-40B4-BE49-F238E27FC236}">
              <a16:creationId xmlns:a16="http://schemas.microsoft.com/office/drawing/2014/main" id="{2A81DF41-942E-4106-A5DA-6D25E8C69BFE}"/>
            </a:ext>
          </a:extLst>
        </xdr:cNvPr>
        <xdr:cNvSpPr>
          <a:spLocks noChangeArrowheads="1"/>
        </xdr:cNvSpPr>
      </xdr:nvSpPr>
      <xdr:spPr bwMode="auto">
        <a:xfrm>
          <a:off x="0" y="0"/>
          <a:ext cx="6429375" cy="7429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19050</xdr:colOff>
      <xdr:row>2</xdr:row>
      <xdr:rowOff>93557</xdr:rowOff>
    </xdr:from>
    <xdr:ext cx="3223077" cy="296620"/>
    <xdr:sp macro="" textlink="">
      <xdr:nvSpPr>
        <xdr:cNvPr id="3" name="Text Box 1">
          <a:extLst>
            <a:ext uri="{FF2B5EF4-FFF2-40B4-BE49-F238E27FC236}">
              <a16:creationId xmlns:a16="http://schemas.microsoft.com/office/drawing/2014/main" id="{256AF374-5B56-4620-B576-2C3D2DB54B8A}"/>
            </a:ext>
          </a:extLst>
        </xdr:cNvPr>
        <xdr:cNvSpPr txBox="1">
          <a:spLocks noChangeArrowheads="1"/>
        </xdr:cNvSpPr>
      </xdr:nvSpPr>
      <xdr:spPr bwMode="auto">
        <a:xfrm>
          <a:off x="628650" y="426932"/>
          <a:ext cx="3223077"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14.  FCF</a:t>
          </a:r>
        </a:p>
      </xdr:txBody>
    </xdr:sp>
    <xdr:clientData/>
  </xdr:oneCellAnchor>
  <xdr:twoCellAnchor>
    <xdr:from>
      <xdr:col>22</xdr:col>
      <xdr:colOff>123825</xdr:colOff>
      <xdr:row>0</xdr:row>
      <xdr:rowOff>38100</xdr:rowOff>
    </xdr:from>
    <xdr:to>
      <xdr:col>23</xdr:col>
      <xdr:colOff>295275</xdr:colOff>
      <xdr:row>4</xdr:row>
      <xdr:rowOff>0</xdr:rowOff>
    </xdr:to>
    <xdr:grpSp>
      <xdr:nvGrpSpPr>
        <xdr:cNvPr id="4" name="Agrupar 6">
          <a:hlinkClick xmlns:r="http://schemas.openxmlformats.org/officeDocument/2006/relationships" r:id="rId1"/>
          <a:extLst>
            <a:ext uri="{FF2B5EF4-FFF2-40B4-BE49-F238E27FC236}">
              <a16:creationId xmlns:a16="http://schemas.microsoft.com/office/drawing/2014/main" id="{6E21B5E2-036C-4E0E-AF9B-3E97116D251D}"/>
            </a:ext>
          </a:extLst>
        </xdr:cNvPr>
        <xdr:cNvGrpSpPr>
          <a:grpSpLocks/>
        </xdr:cNvGrpSpPr>
      </xdr:nvGrpSpPr>
      <xdr:grpSpPr bwMode="auto">
        <a:xfrm>
          <a:off x="9442450" y="38100"/>
          <a:ext cx="782638" cy="708025"/>
          <a:chOff x="11133666" y="131229"/>
          <a:chExt cx="928738" cy="609603"/>
        </a:xfrm>
      </xdr:grpSpPr>
      <xdr:sp macro="" textlink="">
        <xdr:nvSpPr>
          <xdr:cNvPr id="5" name="Seta: Curva para Cima 4" descr="Menu">
            <a:extLst>
              <a:ext uri="{FF2B5EF4-FFF2-40B4-BE49-F238E27FC236}">
                <a16:creationId xmlns:a16="http://schemas.microsoft.com/office/drawing/2014/main" id="{5E9EE87C-4611-62C7-3404-C58A218B1C1C}"/>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820298A9-1301-A044-B2F3-8CBA24514A83}"/>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1275291</xdr:colOff>
      <xdr:row>2</xdr:row>
      <xdr:rowOff>133350</xdr:rowOff>
    </xdr:to>
    <xdr:pic>
      <xdr:nvPicPr>
        <xdr:cNvPr id="7" name="Picture 2">
          <a:extLst>
            <a:ext uri="{FF2B5EF4-FFF2-40B4-BE49-F238E27FC236}">
              <a16:creationId xmlns:a16="http://schemas.microsoft.com/office/drawing/2014/main" id="{FE6F7820-0FCE-48CA-9279-DEEC3959CD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125" y="9525"/>
          <a:ext cx="12668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34</xdr:col>
      <xdr:colOff>9525</xdr:colOff>
      <xdr:row>3</xdr:row>
      <xdr:rowOff>247650</xdr:rowOff>
    </xdr:to>
    <xdr:sp macro="" textlink="">
      <xdr:nvSpPr>
        <xdr:cNvPr id="2" name="Retângulo 6">
          <a:extLst>
            <a:ext uri="{FF2B5EF4-FFF2-40B4-BE49-F238E27FC236}">
              <a16:creationId xmlns:a16="http://schemas.microsoft.com/office/drawing/2014/main" id="{D9756A70-0484-457C-A505-ADEDE7BCBF50}"/>
            </a:ext>
          </a:extLst>
        </xdr:cNvPr>
        <xdr:cNvSpPr>
          <a:spLocks noChangeArrowheads="1"/>
        </xdr:cNvSpPr>
      </xdr:nvSpPr>
      <xdr:spPr bwMode="auto">
        <a:xfrm>
          <a:off x="0" y="0"/>
          <a:ext cx="19126200" cy="7810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19050</xdr:colOff>
      <xdr:row>2</xdr:row>
      <xdr:rowOff>93557</xdr:rowOff>
    </xdr:from>
    <xdr:ext cx="3223077" cy="296620"/>
    <xdr:sp macro="" textlink="">
      <xdr:nvSpPr>
        <xdr:cNvPr id="3" name="Text Box 1">
          <a:extLst>
            <a:ext uri="{FF2B5EF4-FFF2-40B4-BE49-F238E27FC236}">
              <a16:creationId xmlns:a16="http://schemas.microsoft.com/office/drawing/2014/main" id="{4327E325-51BD-4024-82A9-84C78D15DB72}"/>
            </a:ext>
          </a:extLst>
        </xdr:cNvPr>
        <xdr:cNvSpPr txBox="1">
          <a:spLocks noChangeArrowheads="1"/>
        </xdr:cNvSpPr>
      </xdr:nvSpPr>
      <xdr:spPr bwMode="auto">
        <a:xfrm>
          <a:off x="269081" y="438838"/>
          <a:ext cx="3223077"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15. Cash Flow</a:t>
          </a:r>
        </a:p>
      </xdr:txBody>
    </xdr:sp>
    <xdr:clientData/>
  </xdr:oneCellAnchor>
  <xdr:twoCellAnchor>
    <xdr:from>
      <xdr:col>34</xdr:col>
      <xdr:colOff>123825</xdr:colOff>
      <xdr:row>0</xdr:row>
      <xdr:rowOff>38100</xdr:rowOff>
    </xdr:from>
    <xdr:to>
      <xdr:col>35</xdr:col>
      <xdr:colOff>349250</xdr:colOff>
      <xdr:row>4</xdr:row>
      <xdr:rowOff>0</xdr:rowOff>
    </xdr:to>
    <xdr:grpSp>
      <xdr:nvGrpSpPr>
        <xdr:cNvPr id="4" name="Agrupar 6">
          <a:hlinkClick xmlns:r="http://schemas.openxmlformats.org/officeDocument/2006/relationships" r:id="rId1"/>
          <a:extLst>
            <a:ext uri="{FF2B5EF4-FFF2-40B4-BE49-F238E27FC236}">
              <a16:creationId xmlns:a16="http://schemas.microsoft.com/office/drawing/2014/main" id="{18C97D8E-F236-4E60-8312-5BECA3127778}"/>
            </a:ext>
          </a:extLst>
        </xdr:cNvPr>
        <xdr:cNvGrpSpPr>
          <a:grpSpLocks/>
        </xdr:cNvGrpSpPr>
      </xdr:nvGrpSpPr>
      <xdr:grpSpPr bwMode="auto">
        <a:xfrm>
          <a:off x="14824075" y="38100"/>
          <a:ext cx="868363" cy="739775"/>
          <a:chOff x="11133666" y="131229"/>
          <a:chExt cx="928738" cy="609603"/>
        </a:xfrm>
      </xdr:grpSpPr>
      <xdr:sp macro="" textlink="">
        <xdr:nvSpPr>
          <xdr:cNvPr id="5" name="Seta: Curva para Cima 4" descr="Menu">
            <a:extLst>
              <a:ext uri="{FF2B5EF4-FFF2-40B4-BE49-F238E27FC236}">
                <a16:creationId xmlns:a16="http://schemas.microsoft.com/office/drawing/2014/main" id="{C771C6F4-97AA-2159-9736-CBA5B1F6C1B1}"/>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13096EF3-D3AC-0996-9AE5-9E4B9ADC160E}"/>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1275291</xdr:colOff>
      <xdr:row>2</xdr:row>
      <xdr:rowOff>104589</xdr:rowOff>
    </xdr:to>
    <xdr:pic>
      <xdr:nvPicPr>
        <xdr:cNvPr id="7" name="Picture 2">
          <a:extLst>
            <a:ext uri="{FF2B5EF4-FFF2-40B4-BE49-F238E27FC236}">
              <a16:creationId xmlns:a16="http://schemas.microsoft.com/office/drawing/2014/main" id="{A0789B15-8B30-4F18-9968-EC6A22869F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9525"/>
          <a:ext cx="1265766" cy="45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600075</xdr:colOff>
      <xdr:row>3</xdr:row>
      <xdr:rowOff>228600</xdr:rowOff>
    </xdr:to>
    <xdr:sp macro="" textlink="">
      <xdr:nvSpPr>
        <xdr:cNvPr id="2" name="Retângulo 6">
          <a:extLst>
            <a:ext uri="{FF2B5EF4-FFF2-40B4-BE49-F238E27FC236}">
              <a16:creationId xmlns:a16="http://schemas.microsoft.com/office/drawing/2014/main" id="{911C2318-16E4-49F4-AB50-A102CD9E52EA}"/>
            </a:ext>
          </a:extLst>
        </xdr:cNvPr>
        <xdr:cNvSpPr>
          <a:spLocks noChangeArrowheads="1"/>
        </xdr:cNvSpPr>
      </xdr:nvSpPr>
      <xdr:spPr bwMode="auto">
        <a:xfrm>
          <a:off x="0" y="0"/>
          <a:ext cx="7915275" cy="7143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1674</xdr:colOff>
      <xdr:row>14</xdr:row>
      <xdr:rowOff>44768</xdr:rowOff>
    </xdr:from>
    <xdr:to>
      <xdr:col>2</xdr:col>
      <xdr:colOff>236585</xdr:colOff>
      <xdr:row>17</xdr:row>
      <xdr:rowOff>54622</xdr:rowOff>
    </xdr:to>
    <xdr:sp macro="" textlink="">
      <xdr:nvSpPr>
        <xdr:cNvPr id="3" name="CaixaDeTexto 2">
          <a:extLst>
            <a:ext uri="{FF2B5EF4-FFF2-40B4-BE49-F238E27FC236}">
              <a16:creationId xmlns:a16="http://schemas.microsoft.com/office/drawing/2014/main" id="{BD8456DD-D9C2-4BBE-B352-0B7EAD624768}"/>
            </a:ext>
          </a:extLst>
        </xdr:cNvPr>
        <xdr:cNvSpPr txBox="1"/>
      </xdr:nvSpPr>
      <xdr:spPr>
        <a:xfrm>
          <a:off x="144549" y="3168968"/>
          <a:ext cx="1768436" cy="505154"/>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Primary</a:t>
          </a:r>
        </a:p>
        <a:p>
          <a:pPr algn="ctr">
            <a:lnSpc>
              <a:spcPts val="1800"/>
            </a:lnSpc>
          </a:pPr>
          <a:endParaRPr lang="pt-BR" sz="1600" b="1">
            <a:solidFill>
              <a:schemeClr val="bg1"/>
            </a:solidFill>
            <a:latin typeface="Barlow"/>
            <a:cs typeface="Arial" panose="020B0604020202020204" pitchFamily="34" charset="0"/>
          </a:endParaRPr>
        </a:p>
      </xdr:txBody>
    </xdr:sp>
    <xdr:clientData/>
  </xdr:twoCellAnchor>
  <xdr:twoCellAnchor>
    <xdr:from>
      <xdr:col>2</xdr:col>
      <xdr:colOff>323849</xdr:colOff>
      <xdr:row>14</xdr:row>
      <xdr:rowOff>35244</xdr:rowOff>
    </xdr:from>
    <xdr:to>
      <xdr:col>11</xdr:col>
      <xdr:colOff>546677</xdr:colOff>
      <xdr:row>17</xdr:row>
      <xdr:rowOff>35235</xdr:rowOff>
    </xdr:to>
    <xdr:sp macro="" textlink="">
      <xdr:nvSpPr>
        <xdr:cNvPr id="4" name="CaixaDeTexto 3">
          <a:extLst>
            <a:ext uri="{FF2B5EF4-FFF2-40B4-BE49-F238E27FC236}">
              <a16:creationId xmlns:a16="http://schemas.microsoft.com/office/drawing/2014/main" id="{8D153B4F-E0E9-4F0C-ABE0-7DD651FD1DD3}"/>
            </a:ext>
          </a:extLst>
        </xdr:cNvPr>
        <xdr:cNvSpPr txBox="1"/>
      </xdr:nvSpPr>
      <xdr:spPr>
        <a:xfrm>
          <a:off x="2000249" y="3159444"/>
          <a:ext cx="5861628" cy="495291"/>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ingots and VAP</a:t>
          </a:r>
          <a:endParaRPr lang="en-US">
            <a:effectLst/>
          </a:endParaRPr>
        </a:p>
      </xdr:txBody>
    </xdr:sp>
    <xdr:clientData/>
  </xdr:twoCellAnchor>
  <xdr:twoCellAnchor>
    <xdr:from>
      <xdr:col>1</xdr:col>
      <xdr:colOff>1673</xdr:colOff>
      <xdr:row>17</xdr:row>
      <xdr:rowOff>107632</xdr:rowOff>
    </xdr:from>
    <xdr:to>
      <xdr:col>2</xdr:col>
      <xdr:colOff>236584</xdr:colOff>
      <xdr:row>20</xdr:row>
      <xdr:rowOff>78749</xdr:rowOff>
    </xdr:to>
    <xdr:sp macro="" textlink="">
      <xdr:nvSpPr>
        <xdr:cNvPr id="5" name="CaixaDeTexto 4">
          <a:extLst>
            <a:ext uri="{FF2B5EF4-FFF2-40B4-BE49-F238E27FC236}">
              <a16:creationId xmlns:a16="http://schemas.microsoft.com/office/drawing/2014/main" id="{D1ED4856-1FAC-4E22-8C36-C74C7E7A19B3}"/>
            </a:ext>
          </a:extLst>
        </xdr:cNvPr>
        <xdr:cNvSpPr txBox="1"/>
      </xdr:nvSpPr>
      <xdr:spPr>
        <a:xfrm>
          <a:off x="144548" y="3727132"/>
          <a:ext cx="1768436" cy="485467"/>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Downstream</a:t>
          </a:r>
        </a:p>
      </xdr:txBody>
    </xdr:sp>
    <xdr:clientData/>
  </xdr:twoCellAnchor>
  <xdr:twoCellAnchor>
    <xdr:from>
      <xdr:col>2</xdr:col>
      <xdr:colOff>323849</xdr:colOff>
      <xdr:row>17</xdr:row>
      <xdr:rowOff>87630</xdr:rowOff>
    </xdr:from>
    <xdr:to>
      <xdr:col>11</xdr:col>
      <xdr:colOff>546677</xdr:colOff>
      <xdr:row>20</xdr:row>
      <xdr:rowOff>79206</xdr:rowOff>
    </xdr:to>
    <xdr:sp macro="" textlink="">
      <xdr:nvSpPr>
        <xdr:cNvPr id="6" name="CaixaDeTexto 5">
          <a:extLst>
            <a:ext uri="{FF2B5EF4-FFF2-40B4-BE49-F238E27FC236}">
              <a16:creationId xmlns:a16="http://schemas.microsoft.com/office/drawing/2014/main" id="{9A216D76-54FF-48A9-BD37-26B09F6D4C69}"/>
            </a:ext>
          </a:extLst>
        </xdr:cNvPr>
        <xdr:cNvSpPr txBox="1"/>
      </xdr:nvSpPr>
      <xdr:spPr>
        <a:xfrm>
          <a:off x="2000249" y="3707130"/>
          <a:ext cx="5861628" cy="505926"/>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foils, sheets and extruded profiles (all VAP)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pt-BR">
            <a:effectLst/>
          </a:endParaRPr>
        </a:p>
        <a:p>
          <a:endParaRPr lang="pt-BR" sz="1100">
            <a:solidFill>
              <a:srgbClr val="002060"/>
            </a:solidFill>
            <a:latin typeface="Barlow"/>
          </a:endParaRPr>
        </a:p>
      </xdr:txBody>
    </xdr:sp>
    <xdr:clientData/>
  </xdr:twoCellAnchor>
  <xdr:twoCellAnchor>
    <xdr:from>
      <xdr:col>1</xdr:col>
      <xdr:colOff>1673</xdr:colOff>
      <xdr:row>21</xdr:row>
      <xdr:rowOff>19685</xdr:rowOff>
    </xdr:from>
    <xdr:to>
      <xdr:col>2</xdr:col>
      <xdr:colOff>236584</xdr:colOff>
      <xdr:row>23</xdr:row>
      <xdr:rowOff>95345</xdr:rowOff>
    </xdr:to>
    <xdr:sp macro="" textlink="">
      <xdr:nvSpPr>
        <xdr:cNvPr id="7" name="CaixaDeTexto 6">
          <a:extLst>
            <a:ext uri="{FF2B5EF4-FFF2-40B4-BE49-F238E27FC236}">
              <a16:creationId xmlns:a16="http://schemas.microsoft.com/office/drawing/2014/main" id="{BC439C61-7D91-40FE-8714-01D511133650}"/>
            </a:ext>
          </a:extLst>
        </xdr:cNvPr>
        <xdr:cNvSpPr txBox="1"/>
      </xdr:nvSpPr>
      <xdr:spPr>
        <a:xfrm>
          <a:off x="144548" y="4315460"/>
          <a:ext cx="1768436" cy="466185"/>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Recycling</a:t>
          </a:r>
        </a:p>
      </xdr:txBody>
    </xdr:sp>
    <xdr:clientData/>
  </xdr:twoCellAnchor>
  <xdr:twoCellAnchor>
    <xdr:from>
      <xdr:col>2</xdr:col>
      <xdr:colOff>323849</xdr:colOff>
      <xdr:row>20</xdr:row>
      <xdr:rowOff>149540</xdr:rowOff>
    </xdr:from>
    <xdr:to>
      <xdr:col>11</xdr:col>
      <xdr:colOff>546677</xdr:colOff>
      <xdr:row>23</xdr:row>
      <xdr:rowOff>84109</xdr:rowOff>
    </xdr:to>
    <xdr:sp macro="" textlink="">
      <xdr:nvSpPr>
        <xdr:cNvPr id="8" name="CaixaDeTexto 7">
          <a:extLst>
            <a:ext uri="{FF2B5EF4-FFF2-40B4-BE49-F238E27FC236}">
              <a16:creationId xmlns:a16="http://schemas.microsoft.com/office/drawing/2014/main" id="{9EDEFF30-FD3B-441C-8A56-D1C051AA1309}"/>
            </a:ext>
          </a:extLst>
        </xdr:cNvPr>
        <xdr:cNvSpPr txBox="1"/>
      </xdr:nvSpPr>
      <xdr:spPr>
        <a:xfrm>
          <a:off x="2000249" y="4283390"/>
          <a:ext cx="5861628" cy="487019"/>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products and services</a:t>
          </a:r>
          <a:endParaRPr lang="en-US">
            <a:effectLst/>
          </a:endParaRPr>
        </a:p>
        <a:p>
          <a:endParaRPr lang="pt-BR" sz="1100">
            <a:solidFill>
              <a:srgbClr val="002060"/>
            </a:solidFill>
            <a:latin typeface="Barlow"/>
            <a:ea typeface="+mn-ea"/>
            <a:cs typeface="+mn-cs"/>
          </a:endParaRPr>
        </a:p>
      </xdr:txBody>
    </xdr:sp>
    <xdr:clientData/>
  </xdr:twoCellAnchor>
  <xdr:twoCellAnchor>
    <xdr:from>
      <xdr:col>1</xdr:col>
      <xdr:colOff>1674</xdr:colOff>
      <xdr:row>24</xdr:row>
      <xdr:rowOff>17144</xdr:rowOff>
    </xdr:from>
    <xdr:to>
      <xdr:col>2</xdr:col>
      <xdr:colOff>236585</xdr:colOff>
      <xdr:row>26</xdr:row>
      <xdr:rowOff>152824</xdr:rowOff>
    </xdr:to>
    <xdr:sp macro="" textlink="">
      <xdr:nvSpPr>
        <xdr:cNvPr id="9" name="CaixaDeTexto 8">
          <a:extLst>
            <a:ext uri="{FF2B5EF4-FFF2-40B4-BE49-F238E27FC236}">
              <a16:creationId xmlns:a16="http://schemas.microsoft.com/office/drawing/2014/main" id="{29386EFB-E5C2-45DA-A1F6-866D7BA2BF8C}"/>
            </a:ext>
          </a:extLst>
        </xdr:cNvPr>
        <xdr:cNvSpPr txBox="1"/>
      </xdr:nvSpPr>
      <xdr:spPr>
        <a:xfrm>
          <a:off x="144549" y="4865369"/>
          <a:ext cx="1768436" cy="459530"/>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Others</a:t>
          </a:r>
          <a:endParaRPr lang="pt-BR" sz="1200" b="1">
            <a:solidFill>
              <a:schemeClr val="bg1"/>
            </a:solidFill>
            <a:latin typeface="Votorantim Sans Black" panose="02010A03030202050203"/>
            <a:cs typeface="Arial" panose="020B0604020202020204" pitchFamily="34" charset="0"/>
          </a:endParaRPr>
        </a:p>
      </xdr:txBody>
    </xdr:sp>
    <xdr:clientData/>
  </xdr:twoCellAnchor>
  <xdr:twoCellAnchor>
    <xdr:from>
      <xdr:col>2</xdr:col>
      <xdr:colOff>323849</xdr:colOff>
      <xdr:row>24</xdr:row>
      <xdr:rowOff>0</xdr:rowOff>
    </xdr:from>
    <xdr:to>
      <xdr:col>11</xdr:col>
      <xdr:colOff>535132</xdr:colOff>
      <xdr:row>26</xdr:row>
      <xdr:rowOff>186637</xdr:rowOff>
    </xdr:to>
    <xdr:sp macro="" textlink="">
      <xdr:nvSpPr>
        <xdr:cNvPr id="10" name="CaixaDeTexto 9">
          <a:extLst>
            <a:ext uri="{FF2B5EF4-FFF2-40B4-BE49-F238E27FC236}">
              <a16:creationId xmlns:a16="http://schemas.microsoft.com/office/drawing/2014/main" id="{71301A99-A4B4-454E-9D82-2B1096CD7C4B}"/>
            </a:ext>
          </a:extLst>
        </xdr:cNvPr>
        <xdr:cNvSpPr txBox="1"/>
      </xdr:nvSpPr>
      <xdr:spPr>
        <a:xfrm>
          <a:off x="2000249" y="4848225"/>
          <a:ext cx="5850083" cy="510487"/>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ingots (trading), alumina and others </a:t>
          </a:r>
          <a:endParaRPr lang="en-US">
            <a:effectLst/>
          </a:endParaRPr>
        </a:p>
        <a:p>
          <a:endParaRPr lang="pt-BR" sz="1100">
            <a:solidFill>
              <a:srgbClr val="002060"/>
            </a:solidFill>
            <a:latin typeface="Barlow"/>
          </a:endParaRPr>
        </a:p>
      </xdr:txBody>
    </xdr:sp>
    <xdr:clientData/>
  </xdr:twoCellAnchor>
  <xdr:oneCellAnchor>
    <xdr:from>
      <xdr:col>1</xdr:col>
      <xdr:colOff>23091</xdr:colOff>
      <xdr:row>2</xdr:row>
      <xdr:rowOff>75148</xdr:rowOff>
    </xdr:from>
    <xdr:ext cx="2591784" cy="329858"/>
    <xdr:sp macro="" textlink="">
      <xdr:nvSpPr>
        <xdr:cNvPr id="11" name="Text Box 2">
          <a:extLst>
            <a:ext uri="{FF2B5EF4-FFF2-40B4-BE49-F238E27FC236}">
              <a16:creationId xmlns:a16="http://schemas.microsoft.com/office/drawing/2014/main" id="{B9EC97B0-FADA-4E90-9E3A-632A7BDED022}"/>
            </a:ext>
          </a:extLst>
        </xdr:cNvPr>
        <xdr:cNvSpPr txBox="1">
          <a:spLocks noChangeArrowheads="1"/>
        </xdr:cNvSpPr>
      </xdr:nvSpPr>
      <xdr:spPr bwMode="auto">
        <a:xfrm>
          <a:off x="165966" y="398998"/>
          <a:ext cx="2591784" cy="329858"/>
        </a:xfrm>
        <a:prstGeom prst="rect">
          <a:avLst/>
        </a:prstGeom>
        <a:noFill/>
        <a:ln w="9525">
          <a:noFill/>
          <a:miter lim="800000"/>
          <a:headEnd/>
          <a:tailEnd/>
        </a:ln>
      </xdr:spPr>
      <xdr:txBody>
        <a:bodyPr wrap="square" lIns="45720" tIns="45720" rIns="0" bIns="0" anchor="t" upright="1">
          <a:noAutofit/>
        </a:bodyPr>
        <a:lstStyle/>
        <a:p>
          <a:pPr algn="l" rtl="0">
            <a:defRPr sz="1000"/>
          </a:pPr>
          <a:r>
            <a:rPr lang="en-US" sz="1600" b="1" i="0" u="none" strike="noStrike" baseline="0">
              <a:solidFill>
                <a:schemeClr val="bg1"/>
              </a:solidFill>
              <a:latin typeface="Votorantim Sans Black" panose="02010A03030202050203"/>
            </a:rPr>
            <a:t>1. Assumptions</a:t>
          </a:r>
        </a:p>
      </xdr:txBody>
    </xdr:sp>
    <xdr:clientData/>
  </xdr:oneCellAnchor>
  <xdr:twoCellAnchor editAs="oneCell">
    <xdr:from>
      <xdr:col>1</xdr:col>
      <xdr:colOff>9525</xdr:colOff>
      <xdr:row>0</xdr:row>
      <xdr:rowOff>38100</xdr:rowOff>
    </xdr:from>
    <xdr:to>
      <xdr:col>1</xdr:col>
      <xdr:colOff>1276350</xdr:colOff>
      <xdr:row>2</xdr:row>
      <xdr:rowOff>152400</xdr:rowOff>
    </xdr:to>
    <xdr:pic>
      <xdr:nvPicPr>
        <xdr:cNvPr id="12" name="Picture 2">
          <a:extLst>
            <a:ext uri="{FF2B5EF4-FFF2-40B4-BE49-F238E27FC236}">
              <a16:creationId xmlns:a16="http://schemas.microsoft.com/office/drawing/2014/main" id="{53CBFBC7-7985-4DFF-9A4E-6A4E06263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8100"/>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733425</xdr:colOff>
      <xdr:row>0</xdr:row>
      <xdr:rowOff>57150</xdr:rowOff>
    </xdr:from>
    <xdr:to>
      <xdr:col>13</xdr:col>
      <xdr:colOff>161925</xdr:colOff>
      <xdr:row>3</xdr:row>
      <xdr:rowOff>180975</xdr:rowOff>
    </xdr:to>
    <xdr:grpSp>
      <xdr:nvGrpSpPr>
        <xdr:cNvPr id="13" name="Agrupar 11">
          <a:hlinkClick xmlns:r="http://schemas.openxmlformats.org/officeDocument/2006/relationships" r:id="rId2"/>
          <a:extLst>
            <a:ext uri="{FF2B5EF4-FFF2-40B4-BE49-F238E27FC236}">
              <a16:creationId xmlns:a16="http://schemas.microsoft.com/office/drawing/2014/main" id="{EB295C53-76D9-4507-BEB1-C35D690264FB}"/>
            </a:ext>
          </a:extLst>
        </xdr:cNvPr>
        <xdr:cNvGrpSpPr>
          <a:grpSpLocks/>
        </xdr:cNvGrpSpPr>
      </xdr:nvGrpSpPr>
      <xdr:grpSpPr bwMode="auto">
        <a:xfrm>
          <a:off x="8423275" y="57150"/>
          <a:ext cx="946150" cy="600075"/>
          <a:chOff x="11133666" y="131229"/>
          <a:chExt cx="928738" cy="609603"/>
        </a:xfrm>
      </xdr:grpSpPr>
      <xdr:sp macro="" textlink="">
        <xdr:nvSpPr>
          <xdr:cNvPr id="14" name="Seta: Curva para Cima 13" descr="Menu">
            <a:extLst>
              <a:ext uri="{FF2B5EF4-FFF2-40B4-BE49-F238E27FC236}">
                <a16:creationId xmlns:a16="http://schemas.microsoft.com/office/drawing/2014/main" id="{01E45811-1DE9-4A85-50A8-D0DBC4D18912}"/>
              </a:ext>
            </a:extLst>
          </xdr:cNvPr>
          <xdr:cNvSpPr/>
        </xdr:nvSpPr>
        <xdr:spPr bwMode="auto">
          <a:xfrm rot="16200000">
            <a:off x="11182189" y="82706"/>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15" name="CaixaDeTexto 14">
            <a:extLst>
              <a:ext uri="{FF2B5EF4-FFF2-40B4-BE49-F238E27FC236}">
                <a16:creationId xmlns:a16="http://schemas.microsoft.com/office/drawing/2014/main" id="{AF155E26-1018-7E27-5BA2-84C5C02C8BBF}"/>
              </a:ext>
            </a:extLst>
          </xdr:cNvPr>
          <xdr:cNvSpPr txBox="1"/>
        </xdr:nvSpPr>
        <xdr:spPr>
          <a:xfrm rot="600355">
            <a:off x="11214426" y="207429"/>
            <a:ext cx="847978"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3</xdr:row>
      <xdr:rowOff>114300</xdr:rowOff>
    </xdr:from>
    <xdr:to>
      <xdr:col>12</xdr:col>
      <xdr:colOff>171450</xdr:colOff>
      <xdr:row>28</xdr:row>
      <xdr:rowOff>57151</xdr:rowOff>
    </xdr:to>
    <xdr:sp macro="" textlink="">
      <xdr:nvSpPr>
        <xdr:cNvPr id="2" name="Retângulo 2">
          <a:extLst>
            <a:ext uri="{FF2B5EF4-FFF2-40B4-BE49-F238E27FC236}">
              <a16:creationId xmlns:a16="http://schemas.microsoft.com/office/drawing/2014/main" id="{6C45AFE6-32E8-4A73-857D-9504E9E953BE}"/>
            </a:ext>
          </a:extLst>
        </xdr:cNvPr>
        <xdr:cNvSpPr>
          <a:spLocks noChangeArrowheads="1"/>
        </xdr:cNvSpPr>
      </xdr:nvSpPr>
      <xdr:spPr bwMode="auto">
        <a:xfrm>
          <a:off x="752475" y="1181100"/>
          <a:ext cx="8543925" cy="3981451"/>
        </a:xfrm>
        <a:prstGeom prst="rect">
          <a:avLst/>
        </a:prstGeom>
        <a:solidFill>
          <a:srgbClr val="FFFFFF"/>
        </a:solidFill>
        <a:ln w="19050" algn="ctr">
          <a:solidFill>
            <a:srgbClr val="00599C"/>
          </a:solidFill>
          <a:prstDash val="sysDot"/>
          <a:round/>
          <a:headEnd/>
          <a:tailEnd/>
        </a:ln>
      </xdr:spPr>
    </xdr:sp>
    <xdr:clientData/>
  </xdr:twoCellAnchor>
  <xdr:oneCellAnchor>
    <xdr:from>
      <xdr:col>2</xdr:col>
      <xdr:colOff>113030</xdr:colOff>
      <xdr:row>16</xdr:row>
      <xdr:rowOff>0</xdr:rowOff>
    </xdr:from>
    <xdr:ext cx="211945" cy="448955"/>
    <xdr:sp macro="" textlink="">
      <xdr:nvSpPr>
        <xdr:cNvPr id="3" name="Rectangle 12">
          <a:extLst>
            <a:ext uri="{FF2B5EF4-FFF2-40B4-BE49-F238E27FC236}">
              <a16:creationId xmlns:a16="http://schemas.microsoft.com/office/drawing/2014/main" id="{D08061DE-D362-4175-A103-44D8E7BB0166}"/>
            </a:ext>
          </a:extLst>
        </xdr:cNvPr>
        <xdr:cNvSpPr>
          <a:spLocks noChangeArrowheads="1"/>
        </xdr:cNvSpPr>
      </xdr:nvSpPr>
      <xdr:spPr bwMode="auto">
        <a:xfrm>
          <a:off x="2332355" y="3162300"/>
          <a:ext cx="211945" cy="448955"/>
        </a:xfrm>
        <a:prstGeom prst="rect">
          <a:avLst/>
        </a:prstGeom>
        <a:noFill/>
        <a:ln w="12700">
          <a:noFill/>
          <a:miter lim="800000"/>
          <a:headEnd/>
          <a:tailEnd/>
        </a:ln>
      </xdr:spPr>
      <xdr:txBody>
        <a:bodyPr wrap="none" lIns="100145" tIns="50073" rIns="100145" bIns="50073" anchor="t" upright="1">
          <a:spAutoFit/>
        </a:bodyPr>
        <a:lstStyle/>
        <a:p>
          <a:pPr algn="l" rtl="0">
            <a:defRPr sz="1000"/>
          </a:pPr>
          <a:endParaRPr lang="en-US" sz="1100" b="0" i="0" u="none" strike="noStrike" baseline="0">
            <a:solidFill>
              <a:srgbClr val="333333"/>
            </a:solidFill>
            <a:latin typeface="Swis721 Hv BT"/>
          </a:endParaRPr>
        </a:p>
        <a:p>
          <a:pPr algn="l" rtl="0">
            <a:defRPr sz="1000"/>
          </a:pPr>
          <a:endParaRPr lang="en-US" sz="1100" b="0" i="0" u="none" strike="noStrike" baseline="0">
            <a:solidFill>
              <a:srgbClr val="333333"/>
            </a:solidFill>
            <a:latin typeface="Swis721 Hv BT"/>
          </a:endParaRPr>
        </a:p>
      </xdr:txBody>
    </xdr:sp>
    <xdr:clientData/>
  </xdr:oneCellAnchor>
  <xdr:oneCellAnchor>
    <xdr:from>
      <xdr:col>2</xdr:col>
      <xdr:colOff>113030</xdr:colOff>
      <xdr:row>16</xdr:row>
      <xdr:rowOff>0</xdr:rowOff>
    </xdr:from>
    <xdr:ext cx="211945" cy="448955"/>
    <xdr:sp macro="" textlink="">
      <xdr:nvSpPr>
        <xdr:cNvPr id="4" name="Rectangle 13">
          <a:extLst>
            <a:ext uri="{FF2B5EF4-FFF2-40B4-BE49-F238E27FC236}">
              <a16:creationId xmlns:a16="http://schemas.microsoft.com/office/drawing/2014/main" id="{83D97C44-D4CF-4C72-9FCB-CB0E64B0E892}"/>
            </a:ext>
          </a:extLst>
        </xdr:cNvPr>
        <xdr:cNvSpPr>
          <a:spLocks noChangeArrowheads="1"/>
        </xdr:cNvSpPr>
      </xdr:nvSpPr>
      <xdr:spPr bwMode="auto">
        <a:xfrm>
          <a:off x="2332355" y="3162300"/>
          <a:ext cx="211945" cy="448955"/>
        </a:xfrm>
        <a:prstGeom prst="rect">
          <a:avLst/>
        </a:prstGeom>
        <a:noFill/>
        <a:ln w="12700">
          <a:noFill/>
          <a:miter lim="800000"/>
          <a:headEnd/>
          <a:tailEnd/>
        </a:ln>
      </xdr:spPr>
      <xdr:txBody>
        <a:bodyPr wrap="none" lIns="100145" tIns="50073" rIns="100145" bIns="50073" anchor="t" upright="1">
          <a:spAutoFit/>
        </a:bodyPr>
        <a:lstStyle/>
        <a:p>
          <a:pPr algn="l" rtl="0">
            <a:defRPr sz="1000"/>
          </a:pPr>
          <a:endParaRPr lang="en-US" sz="1100" b="0" i="0" u="none" strike="noStrike" baseline="0">
            <a:solidFill>
              <a:srgbClr val="333333"/>
            </a:solidFill>
            <a:latin typeface="Swis721 Hv BT"/>
          </a:endParaRPr>
        </a:p>
        <a:p>
          <a:pPr algn="l" rtl="0">
            <a:defRPr sz="1000"/>
          </a:pPr>
          <a:endParaRPr lang="en-US" sz="1100" b="0" i="0" u="none" strike="noStrike" baseline="0">
            <a:solidFill>
              <a:srgbClr val="333333"/>
            </a:solidFill>
            <a:latin typeface="Swis721 Hv BT"/>
          </a:endParaRPr>
        </a:p>
      </xdr:txBody>
    </xdr:sp>
    <xdr:clientData/>
  </xdr:oneCellAnchor>
  <xdr:twoCellAnchor>
    <xdr:from>
      <xdr:col>0</xdr:col>
      <xdr:colOff>0</xdr:colOff>
      <xdr:row>0</xdr:row>
      <xdr:rowOff>0</xdr:rowOff>
    </xdr:from>
    <xdr:to>
      <xdr:col>10</xdr:col>
      <xdr:colOff>9525</xdr:colOff>
      <xdr:row>2</xdr:row>
      <xdr:rowOff>390525</xdr:rowOff>
    </xdr:to>
    <xdr:sp macro="" textlink="">
      <xdr:nvSpPr>
        <xdr:cNvPr id="5" name="Retângulo 6">
          <a:extLst>
            <a:ext uri="{FF2B5EF4-FFF2-40B4-BE49-F238E27FC236}">
              <a16:creationId xmlns:a16="http://schemas.microsoft.com/office/drawing/2014/main" id="{77589B0F-50E1-4DB8-9270-EF7389C98D59}"/>
            </a:ext>
          </a:extLst>
        </xdr:cNvPr>
        <xdr:cNvSpPr>
          <a:spLocks noChangeArrowheads="1"/>
        </xdr:cNvSpPr>
      </xdr:nvSpPr>
      <xdr:spPr bwMode="auto">
        <a:xfrm>
          <a:off x="0" y="0"/>
          <a:ext cx="7915275" cy="7143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13426</xdr:colOff>
      <xdr:row>2</xdr:row>
      <xdr:rowOff>55880</xdr:rowOff>
    </xdr:from>
    <xdr:ext cx="1264642" cy="296620"/>
    <xdr:sp macro="" textlink="">
      <xdr:nvSpPr>
        <xdr:cNvPr id="6" name="Text Box 49">
          <a:extLst>
            <a:ext uri="{FF2B5EF4-FFF2-40B4-BE49-F238E27FC236}">
              <a16:creationId xmlns:a16="http://schemas.microsoft.com/office/drawing/2014/main" id="{374B714D-6AD1-4D9B-A0D2-CAD555F6A25E}"/>
            </a:ext>
          </a:extLst>
        </xdr:cNvPr>
        <xdr:cNvSpPr txBox="1">
          <a:spLocks noChangeArrowheads="1"/>
        </xdr:cNvSpPr>
      </xdr:nvSpPr>
      <xdr:spPr bwMode="auto">
        <a:xfrm>
          <a:off x="13426" y="379730"/>
          <a:ext cx="1264642"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2. Value Chain</a:t>
          </a:r>
        </a:p>
      </xdr:txBody>
    </xdr:sp>
    <xdr:clientData/>
  </xdr:oneCellAnchor>
  <xdr:twoCellAnchor>
    <xdr:from>
      <xdr:col>10</xdr:col>
      <xdr:colOff>142875</xdr:colOff>
      <xdr:row>0</xdr:row>
      <xdr:rowOff>19050</xdr:rowOff>
    </xdr:from>
    <xdr:to>
      <xdr:col>11</xdr:col>
      <xdr:colOff>409575</xdr:colOff>
      <xdr:row>2</xdr:row>
      <xdr:rowOff>314325</xdr:rowOff>
    </xdr:to>
    <xdr:grpSp>
      <xdr:nvGrpSpPr>
        <xdr:cNvPr id="7" name="Agrupar 11">
          <a:hlinkClick xmlns:r="http://schemas.openxmlformats.org/officeDocument/2006/relationships" r:id="rId1"/>
          <a:extLst>
            <a:ext uri="{FF2B5EF4-FFF2-40B4-BE49-F238E27FC236}">
              <a16:creationId xmlns:a16="http://schemas.microsoft.com/office/drawing/2014/main" id="{AEA21534-CEF6-422F-BCCD-1743B4FB79A7}"/>
            </a:ext>
          </a:extLst>
        </xdr:cNvPr>
        <xdr:cNvGrpSpPr>
          <a:grpSpLocks/>
        </xdr:cNvGrpSpPr>
      </xdr:nvGrpSpPr>
      <xdr:grpSpPr bwMode="auto">
        <a:xfrm>
          <a:off x="8435975" y="19050"/>
          <a:ext cx="908050" cy="612775"/>
          <a:chOff x="11133666" y="131229"/>
          <a:chExt cx="928738" cy="609603"/>
        </a:xfrm>
      </xdr:grpSpPr>
      <xdr:sp macro="" textlink="">
        <xdr:nvSpPr>
          <xdr:cNvPr id="8" name="Seta: Curva para Cima 7" descr="Menu">
            <a:extLst>
              <a:ext uri="{FF2B5EF4-FFF2-40B4-BE49-F238E27FC236}">
                <a16:creationId xmlns:a16="http://schemas.microsoft.com/office/drawing/2014/main" id="{F2194832-E27A-4D8C-1436-730A661E6772}"/>
              </a:ext>
            </a:extLst>
          </xdr:cNvPr>
          <xdr:cNvSpPr/>
        </xdr:nvSpPr>
        <xdr:spPr bwMode="auto">
          <a:xfrm rot="16200000">
            <a:off x="11182188" y="82707"/>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9" name="CaixaDeTexto 8">
            <a:extLst>
              <a:ext uri="{FF2B5EF4-FFF2-40B4-BE49-F238E27FC236}">
                <a16:creationId xmlns:a16="http://schemas.microsoft.com/office/drawing/2014/main" id="{EF4131FD-B507-305D-ACD4-9B90D46BDF62}"/>
              </a:ext>
            </a:extLst>
          </xdr:cNvPr>
          <xdr:cNvSpPr txBox="1"/>
        </xdr:nvSpPr>
        <xdr:spPr>
          <a:xfrm rot="600355">
            <a:off x="11214426" y="206257"/>
            <a:ext cx="847978"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0</xdr:col>
      <xdr:colOff>0</xdr:colOff>
      <xdr:row>0</xdr:row>
      <xdr:rowOff>0</xdr:rowOff>
    </xdr:from>
    <xdr:to>
      <xdr:col>1</xdr:col>
      <xdr:colOff>590550</xdr:colOff>
      <xdr:row>2</xdr:row>
      <xdr:rowOff>114300</xdr:rowOff>
    </xdr:to>
    <xdr:pic>
      <xdr:nvPicPr>
        <xdr:cNvPr id="10" name="Picture 2">
          <a:extLst>
            <a:ext uri="{FF2B5EF4-FFF2-40B4-BE49-F238E27FC236}">
              <a16:creationId xmlns:a16="http://schemas.microsoft.com/office/drawing/2014/main" id="{D90CEA48-1A49-4BFF-BC0C-64DBFB87A6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4</xdr:row>
      <xdr:rowOff>28575</xdr:rowOff>
    </xdr:from>
    <xdr:to>
      <xdr:col>12</xdr:col>
      <xdr:colOff>113998</xdr:colOff>
      <xdr:row>28</xdr:row>
      <xdr:rowOff>38100</xdr:rowOff>
    </xdr:to>
    <xdr:pic>
      <xdr:nvPicPr>
        <xdr:cNvPr id="11" name="Imagem 10">
          <a:extLst>
            <a:ext uri="{FF2B5EF4-FFF2-40B4-BE49-F238E27FC236}">
              <a16:creationId xmlns:a16="http://schemas.microsoft.com/office/drawing/2014/main" id="{D565B80B-44D3-41C0-8135-85C6921D4DEF}"/>
            </a:ext>
          </a:extLst>
        </xdr:cNvPr>
        <xdr:cNvPicPr>
          <a:picLocks noChangeAspect="1"/>
        </xdr:cNvPicPr>
      </xdr:nvPicPr>
      <xdr:blipFill>
        <a:blip xmlns:r="http://schemas.openxmlformats.org/officeDocument/2006/relationships" r:embed="rId3"/>
        <a:stretch>
          <a:fillRect/>
        </a:stretch>
      </xdr:blipFill>
      <xdr:spPr>
        <a:xfrm>
          <a:off x="771525" y="1257300"/>
          <a:ext cx="8467423" cy="3886200"/>
        </a:xfrm>
        <a:prstGeom prst="rect">
          <a:avLst/>
        </a:prstGeom>
      </xdr:spPr>
    </xdr:pic>
    <xdr:clientData/>
  </xdr:twoCellAnchor>
  <xdr:twoCellAnchor editAs="oneCell">
    <xdr:from>
      <xdr:col>1</xdr:col>
      <xdr:colOff>0</xdr:colOff>
      <xdr:row>30</xdr:row>
      <xdr:rowOff>0</xdr:rowOff>
    </xdr:from>
    <xdr:to>
      <xdr:col>17</xdr:col>
      <xdr:colOff>274753</xdr:colOff>
      <xdr:row>47</xdr:row>
      <xdr:rowOff>66364</xdr:rowOff>
    </xdr:to>
    <xdr:pic>
      <xdr:nvPicPr>
        <xdr:cNvPr id="12" name="Imagem 11">
          <a:extLst>
            <a:ext uri="{FF2B5EF4-FFF2-40B4-BE49-F238E27FC236}">
              <a16:creationId xmlns:a16="http://schemas.microsoft.com/office/drawing/2014/main" id="{73E01965-5317-4829-8F4D-074313B6D63E}"/>
            </a:ext>
          </a:extLst>
        </xdr:cNvPr>
        <xdr:cNvPicPr>
          <a:picLocks noChangeAspect="1"/>
        </xdr:cNvPicPr>
      </xdr:nvPicPr>
      <xdr:blipFill>
        <a:blip xmlns:r="http://schemas.openxmlformats.org/officeDocument/2006/relationships" r:embed="rId4"/>
        <a:stretch>
          <a:fillRect/>
        </a:stretch>
      </xdr:blipFill>
      <xdr:spPr>
        <a:xfrm>
          <a:off x="676275" y="5429250"/>
          <a:ext cx="11771428" cy="2485714"/>
        </a:xfrm>
        <a:prstGeom prst="rect">
          <a:avLst/>
        </a:prstGeom>
      </xdr:spPr>
    </xdr:pic>
    <xdr:clientData/>
  </xdr:twoCellAnchor>
  <xdr:twoCellAnchor editAs="oneCell">
    <xdr:from>
      <xdr:col>0</xdr:col>
      <xdr:colOff>666750</xdr:colOff>
      <xdr:row>47</xdr:row>
      <xdr:rowOff>152400</xdr:rowOff>
    </xdr:from>
    <xdr:to>
      <xdr:col>9</xdr:col>
      <xdr:colOff>75333</xdr:colOff>
      <xdr:row>70</xdr:row>
      <xdr:rowOff>123363</xdr:rowOff>
    </xdr:to>
    <xdr:pic>
      <xdr:nvPicPr>
        <xdr:cNvPr id="13" name="Imagem 12">
          <a:extLst>
            <a:ext uri="{FF2B5EF4-FFF2-40B4-BE49-F238E27FC236}">
              <a16:creationId xmlns:a16="http://schemas.microsoft.com/office/drawing/2014/main" id="{A238543A-05AD-987D-0A5C-10748ACA65EC}"/>
            </a:ext>
          </a:extLst>
        </xdr:cNvPr>
        <xdr:cNvPicPr>
          <a:picLocks noChangeAspect="1"/>
        </xdr:cNvPicPr>
      </xdr:nvPicPr>
      <xdr:blipFill>
        <a:blip xmlns:r="http://schemas.openxmlformats.org/officeDocument/2006/relationships" r:embed="rId5"/>
        <a:stretch>
          <a:fillRect/>
        </a:stretch>
      </xdr:blipFill>
      <xdr:spPr>
        <a:xfrm>
          <a:off x="666750" y="8001000"/>
          <a:ext cx="6933333" cy="3695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178593</xdr:colOff>
      <xdr:row>0</xdr:row>
      <xdr:rowOff>11906</xdr:rowOff>
    </xdr:from>
    <xdr:to>
      <xdr:col>28</xdr:col>
      <xdr:colOff>-1</xdr:colOff>
      <xdr:row>2</xdr:row>
      <xdr:rowOff>148431</xdr:rowOff>
    </xdr:to>
    <xdr:sp macro="" textlink="">
      <xdr:nvSpPr>
        <xdr:cNvPr id="12" name="Retângulo 6">
          <a:extLst>
            <a:ext uri="{FF2B5EF4-FFF2-40B4-BE49-F238E27FC236}">
              <a16:creationId xmlns:a16="http://schemas.microsoft.com/office/drawing/2014/main" id="{65AADFAF-C56F-46D4-830F-22FCCA891C34}"/>
            </a:ext>
          </a:extLst>
        </xdr:cNvPr>
        <xdr:cNvSpPr>
          <a:spLocks noChangeArrowheads="1"/>
        </xdr:cNvSpPr>
      </xdr:nvSpPr>
      <xdr:spPr bwMode="auto">
        <a:xfrm>
          <a:off x="178593" y="11906"/>
          <a:ext cx="21085969" cy="70802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161593</xdr:colOff>
      <xdr:row>1</xdr:row>
      <xdr:rowOff>218598</xdr:rowOff>
    </xdr:from>
    <xdr:ext cx="579198" cy="296620"/>
    <xdr:sp macro="" textlink="">
      <xdr:nvSpPr>
        <xdr:cNvPr id="3" name="Text Box 49">
          <a:extLst>
            <a:ext uri="{FF2B5EF4-FFF2-40B4-BE49-F238E27FC236}">
              <a16:creationId xmlns:a16="http://schemas.microsoft.com/office/drawing/2014/main" id="{CED89BFE-CBD5-478E-8583-AC45905AC71C}"/>
            </a:ext>
          </a:extLst>
        </xdr:cNvPr>
        <xdr:cNvSpPr txBox="1">
          <a:spLocks noChangeArrowheads="1"/>
        </xdr:cNvSpPr>
      </xdr:nvSpPr>
      <xdr:spPr bwMode="auto">
        <a:xfrm>
          <a:off x="340187" y="385286"/>
          <a:ext cx="579198"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3. ESG</a:t>
          </a:r>
        </a:p>
      </xdr:txBody>
    </xdr:sp>
    <xdr:clientData/>
  </xdr:oneCellAnchor>
  <xdr:twoCellAnchor editAs="oneCell">
    <xdr:from>
      <xdr:col>1</xdr:col>
      <xdr:colOff>148167</xdr:colOff>
      <xdr:row>0</xdr:row>
      <xdr:rowOff>11906</xdr:rowOff>
    </xdr:from>
    <xdr:to>
      <xdr:col>2</xdr:col>
      <xdr:colOff>380206</xdr:colOff>
      <xdr:row>1</xdr:row>
      <xdr:rowOff>273843</xdr:rowOff>
    </xdr:to>
    <xdr:pic>
      <xdr:nvPicPr>
        <xdr:cNvPr id="4" name="Picture 2">
          <a:extLst>
            <a:ext uri="{FF2B5EF4-FFF2-40B4-BE49-F238E27FC236}">
              <a16:creationId xmlns:a16="http://schemas.microsoft.com/office/drawing/2014/main" id="{42C6B52C-6A1D-4CDE-A981-B0FFEDE28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42" y="11906"/>
          <a:ext cx="1270264" cy="427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59530</xdr:colOff>
      <xdr:row>0</xdr:row>
      <xdr:rowOff>35719</xdr:rowOff>
    </xdr:from>
    <xdr:to>
      <xdr:col>29</xdr:col>
      <xdr:colOff>434633</xdr:colOff>
      <xdr:row>2</xdr:row>
      <xdr:rowOff>166006</xdr:rowOff>
    </xdr:to>
    <xdr:grpSp>
      <xdr:nvGrpSpPr>
        <xdr:cNvPr id="9" name="Agrupar 6">
          <a:hlinkClick xmlns:r="http://schemas.openxmlformats.org/officeDocument/2006/relationships" r:id="rId2"/>
          <a:extLst>
            <a:ext uri="{FF2B5EF4-FFF2-40B4-BE49-F238E27FC236}">
              <a16:creationId xmlns:a16="http://schemas.microsoft.com/office/drawing/2014/main" id="{61001548-A1FD-42A2-9F9C-F0EA03AE95DC}"/>
            </a:ext>
          </a:extLst>
        </xdr:cNvPr>
        <xdr:cNvGrpSpPr>
          <a:grpSpLocks/>
        </xdr:cNvGrpSpPr>
      </xdr:nvGrpSpPr>
      <xdr:grpSpPr bwMode="auto">
        <a:xfrm>
          <a:off x="22130316" y="35719"/>
          <a:ext cx="982888" cy="719930"/>
          <a:chOff x="11133666" y="131229"/>
          <a:chExt cx="928738" cy="609603"/>
        </a:xfrm>
      </xdr:grpSpPr>
      <xdr:sp macro="" textlink="">
        <xdr:nvSpPr>
          <xdr:cNvPr id="10" name="Seta: Curva para Cima 5" descr="Menu">
            <a:extLst>
              <a:ext uri="{FF2B5EF4-FFF2-40B4-BE49-F238E27FC236}">
                <a16:creationId xmlns:a16="http://schemas.microsoft.com/office/drawing/2014/main" id="{392C281B-30EA-BE4E-A6DC-123B410F3700}"/>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11" name="CaixaDeTexto 6">
            <a:hlinkClick xmlns:r="http://schemas.openxmlformats.org/officeDocument/2006/relationships" r:id="rId3"/>
            <a:extLst>
              <a:ext uri="{FF2B5EF4-FFF2-40B4-BE49-F238E27FC236}">
                <a16:creationId xmlns:a16="http://schemas.microsoft.com/office/drawing/2014/main" id="{82D391AC-785D-C204-F08B-B7E1BDE7B65A}"/>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30163</xdr:rowOff>
    </xdr:from>
    <xdr:to>
      <xdr:col>28</xdr:col>
      <xdr:colOff>23812</xdr:colOff>
      <xdr:row>5</xdr:row>
      <xdr:rowOff>8731</xdr:rowOff>
    </xdr:to>
    <xdr:sp macro="" textlink="">
      <xdr:nvSpPr>
        <xdr:cNvPr id="8" name="Retângulo 6">
          <a:extLst>
            <a:ext uri="{FF2B5EF4-FFF2-40B4-BE49-F238E27FC236}">
              <a16:creationId xmlns:a16="http://schemas.microsoft.com/office/drawing/2014/main" id="{413662B5-4C0C-4AB2-9E26-1B166604B77B}"/>
            </a:ext>
          </a:extLst>
        </xdr:cNvPr>
        <xdr:cNvSpPr>
          <a:spLocks noChangeArrowheads="1"/>
        </xdr:cNvSpPr>
      </xdr:nvSpPr>
      <xdr:spPr bwMode="auto">
        <a:xfrm>
          <a:off x="0" y="30163"/>
          <a:ext cx="13215937" cy="812006"/>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117051</xdr:colOff>
      <xdr:row>2</xdr:row>
      <xdr:rowOff>131926</xdr:rowOff>
    </xdr:from>
    <xdr:ext cx="2710101" cy="296620"/>
    <xdr:sp macro="" textlink="">
      <xdr:nvSpPr>
        <xdr:cNvPr id="39" name="Text Box 2">
          <a:extLst>
            <a:ext uri="{FF2B5EF4-FFF2-40B4-BE49-F238E27FC236}">
              <a16:creationId xmlns:a16="http://schemas.microsoft.com/office/drawing/2014/main" id="{294767D0-81AD-4331-B4EA-601995F93B00}"/>
            </a:ext>
          </a:extLst>
        </xdr:cNvPr>
        <xdr:cNvSpPr txBox="1">
          <a:spLocks noChangeArrowheads="1"/>
        </xdr:cNvSpPr>
      </xdr:nvSpPr>
      <xdr:spPr bwMode="auto">
        <a:xfrm>
          <a:off x="117051" y="465301"/>
          <a:ext cx="2710101"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4. Capacity and Utilization Rate</a:t>
          </a:r>
        </a:p>
      </xdr:txBody>
    </xdr:sp>
    <xdr:clientData/>
  </xdr:oneCellAnchor>
  <xdr:oneCellAnchor>
    <xdr:from>
      <xdr:col>0</xdr:col>
      <xdr:colOff>144463</xdr:colOff>
      <xdr:row>0</xdr:row>
      <xdr:rowOff>39688</xdr:rowOff>
    </xdr:from>
    <xdr:ext cx="1312334" cy="440871"/>
    <xdr:pic>
      <xdr:nvPicPr>
        <xdr:cNvPr id="10" name="Picture 2">
          <a:extLst>
            <a:ext uri="{FF2B5EF4-FFF2-40B4-BE49-F238E27FC236}">
              <a16:creationId xmlns:a16="http://schemas.microsoft.com/office/drawing/2014/main" id="{2A11DF06-F0DC-4D27-86BC-1BE3FAAC09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463" y="39688"/>
          <a:ext cx="1312334" cy="440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28</xdr:col>
      <xdr:colOff>358889</xdr:colOff>
      <xdr:row>0</xdr:row>
      <xdr:rowOff>0</xdr:rowOff>
    </xdr:from>
    <xdr:to>
      <xdr:col>29</xdr:col>
      <xdr:colOff>583180</xdr:colOff>
      <xdr:row>4</xdr:row>
      <xdr:rowOff>86632</xdr:rowOff>
    </xdr:to>
    <xdr:grpSp>
      <xdr:nvGrpSpPr>
        <xdr:cNvPr id="43" name="Agrupar 6">
          <a:hlinkClick xmlns:r="http://schemas.openxmlformats.org/officeDocument/2006/relationships" r:id="rId2"/>
          <a:extLst>
            <a:ext uri="{FF2B5EF4-FFF2-40B4-BE49-F238E27FC236}">
              <a16:creationId xmlns:a16="http://schemas.microsoft.com/office/drawing/2014/main" id="{A7A6DEBE-A04B-4ADC-8FCE-198B2707D5C5}"/>
            </a:ext>
          </a:extLst>
        </xdr:cNvPr>
        <xdr:cNvGrpSpPr>
          <a:grpSpLocks/>
        </xdr:cNvGrpSpPr>
      </xdr:nvGrpSpPr>
      <xdr:grpSpPr bwMode="auto">
        <a:xfrm>
          <a:off x="11812702" y="0"/>
          <a:ext cx="867228" cy="721632"/>
          <a:chOff x="11133666" y="131229"/>
          <a:chExt cx="928738" cy="609603"/>
        </a:xfrm>
      </xdr:grpSpPr>
      <xdr:sp macro="" textlink="">
        <xdr:nvSpPr>
          <xdr:cNvPr id="44" name="Seta: Curva para Cima 5" descr="Menu">
            <a:extLst>
              <a:ext uri="{FF2B5EF4-FFF2-40B4-BE49-F238E27FC236}">
                <a16:creationId xmlns:a16="http://schemas.microsoft.com/office/drawing/2014/main" id="{7648FE3A-A905-6C25-07C5-C016A237C9B1}"/>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45" name="CaixaDeTexto 6">
            <a:extLst>
              <a:ext uri="{FF2B5EF4-FFF2-40B4-BE49-F238E27FC236}">
                <a16:creationId xmlns:a16="http://schemas.microsoft.com/office/drawing/2014/main" id="{F9CE95F0-75CF-EBE6-A459-5C865BBA37A8}"/>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465138</xdr:colOff>
      <xdr:row>61</xdr:row>
      <xdr:rowOff>153988</xdr:rowOff>
    </xdr:from>
    <xdr:to>
      <xdr:col>2</xdr:col>
      <xdr:colOff>471488</xdr:colOff>
      <xdr:row>61</xdr:row>
      <xdr:rowOff>153988</xdr:rowOff>
    </xdr:to>
    <xdr:sp macro="" textlink="">
      <xdr:nvSpPr>
        <xdr:cNvPr id="2" name="Rectangle 81">
          <a:extLst>
            <a:ext uri="{FF2B5EF4-FFF2-40B4-BE49-F238E27FC236}">
              <a16:creationId xmlns:a16="http://schemas.microsoft.com/office/drawing/2014/main" id="{28775AA7-EE4F-4264-8937-CC55BEF6865F}"/>
            </a:ext>
          </a:extLst>
        </xdr:cNvPr>
        <xdr:cNvSpPr>
          <a:spLocks noChangeAspect="1" noChangeArrowheads="1"/>
        </xdr:cNvSpPr>
      </xdr:nvSpPr>
      <xdr:spPr bwMode="gray">
        <a:xfrm>
          <a:off x="2274888" y="10679113"/>
          <a:ext cx="6350" cy="0"/>
        </a:xfrm>
        <a:prstGeom prst="rect">
          <a:avLst/>
        </a:prstGeom>
        <a:solidFill>
          <a:srgbClr val="C0C0C0"/>
        </a:solidFill>
        <a:ln w="9525">
          <a:solidFill>
            <a:srgbClr val="F8F8F8"/>
          </a:solidFill>
          <a:miter lim="800000"/>
          <a:headEnd/>
          <a:tailEnd/>
        </a:ln>
      </xdr:spPr>
      <xdr:txBody>
        <a:bodyPr wrap="square"/>
        <a:lstStyle>
          <a:defPPr>
            <a:defRPr lang="pt-BR"/>
          </a:defPPr>
          <a:lvl1pPr algn="l" defTabSz="711200" rtl="0" eaLnBrk="0" fontAlgn="base" hangingPunct="0">
            <a:spcBef>
              <a:spcPct val="0"/>
            </a:spcBef>
            <a:spcAft>
              <a:spcPct val="0"/>
            </a:spcAft>
            <a:defRPr sz="1400" kern="1200">
              <a:solidFill>
                <a:schemeClr val="tx1"/>
              </a:solidFill>
              <a:latin typeface="Zona pro light"/>
              <a:ea typeface="+mn-ea"/>
              <a:cs typeface="+mn-cs"/>
            </a:defRPr>
          </a:lvl1pPr>
          <a:lvl2pPr marL="355600" indent="101600" algn="l" defTabSz="711200" rtl="0" eaLnBrk="0" fontAlgn="base" hangingPunct="0">
            <a:spcBef>
              <a:spcPct val="0"/>
            </a:spcBef>
            <a:spcAft>
              <a:spcPct val="0"/>
            </a:spcAft>
            <a:defRPr sz="1400" kern="1200">
              <a:solidFill>
                <a:schemeClr val="tx1"/>
              </a:solidFill>
              <a:latin typeface="Zona pro light"/>
              <a:ea typeface="+mn-ea"/>
              <a:cs typeface="+mn-cs"/>
            </a:defRPr>
          </a:lvl2pPr>
          <a:lvl3pPr marL="711200" indent="203200" algn="l" defTabSz="711200" rtl="0" eaLnBrk="0" fontAlgn="base" hangingPunct="0">
            <a:spcBef>
              <a:spcPct val="0"/>
            </a:spcBef>
            <a:spcAft>
              <a:spcPct val="0"/>
            </a:spcAft>
            <a:defRPr sz="1400" kern="1200">
              <a:solidFill>
                <a:schemeClr val="tx1"/>
              </a:solidFill>
              <a:latin typeface="Zona pro light"/>
              <a:ea typeface="+mn-ea"/>
              <a:cs typeface="+mn-cs"/>
            </a:defRPr>
          </a:lvl3pPr>
          <a:lvl4pPr marL="1068388" indent="303213" algn="l" defTabSz="711200" rtl="0" eaLnBrk="0" fontAlgn="base" hangingPunct="0">
            <a:spcBef>
              <a:spcPct val="0"/>
            </a:spcBef>
            <a:spcAft>
              <a:spcPct val="0"/>
            </a:spcAft>
            <a:defRPr sz="1400" kern="1200">
              <a:solidFill>
                <a:schemeClr val="tx1"/>
              </a:solidFill>
              <a:latin typeface="Zona pro light"/>
              <a:ea typeface="+mn-ea"/>
              <a:cs typeface="+mn-cs"/>
            </a:defRPr>
          </a:lvl4pPr>
          <a:lvl5pPr marL="1423988" indent="404813" algn="l" defTabSz="711200" rtl="0" eaLnBrk="0" fontAlgn="base" hangingPunct="0">
            <a:spcBef>
              <a:spcPct val="0"/>
            </a:spcBef>
            <a:spcAft>
              <a:spcPct val="0"/>
            </a:spcAft>
            <a:defRPr sz="1400" kern="1200">
              <a:solidFill>
                <a:schemeClr val="tx1"/>
              </a:solidFill>
              <a:latin typeface="Zona pro light"/>
              <a:ea typeface="+mn-ea"/>
              <a:cs typeface="+mn-cs"/>
            </a:defRPr>
          </a:lvl5pPr>
          <a:lvl6pPr marL="2286000" algn="l" defTabSz="914400" rtl="0" eaLnBrk="1" latinLnBrk="0" hangingPunct="1">
            <a:defRPr sz="1400" kern="1200">
              <a:solidFill>
                <a:schemeClr val="tx1"/>
              </a:solidFill>
              <a:latin typeface="Zona pro light"/>
              <a:ea typeface="+mn-ea"/>
              <a:cs typeface="+mn-cs"/>
            </a:defRPr>
          </a:lvl6pPr>
          <a:lvl7pPr marL="2743200" algn="l" defTabSz="914400" rtl="0" eaLnBrk="1" latinLnBrk="0" hangingPunct="1">
            <a:defRPr sz="1400" kern="1200">
              <a:solidFill>
                <a:schemeClr val="tx1"/>
              </a:solidFill>
              <a:latin typeface="Zona pro light"/>
              <a:ea typeface="+mn-ea"/>
              <a:cs typeface="+mn-cs"/>
            </a:defRPr>
          </a:lvl7pPr>
          <a:lvl8pPr marL="3200400" algn="l" defTabSz="914400" rtl="0" eaLnBrk="1" latinLnBrk="0" hangingPunct="1">
            <a:defRPr sz="1400" kern="1200">
              <a:solidFill>
                <a:schemeClr val="tx1"/>
              </a:solidFill>
              <a:latin typeface="Zona pro light"/>
              <a:ea typeface="+mn-ea"/>
              <a:cs typeface="+mn-cs"/>
            </a:defRPr>
          </a:lvl8pPr>
          <a:lvl9pPr marL="3657600" algn="l" defTabSz="914400" rtl="0" eaLnBrk="1" latinLnBrk="0" hangingPunct="1">
            <a:defRPr sz="1400" kern="1200">
              <a:solidFill>
                <a:schemeClr val="tx1"/>
              </a:solidFill>
              <a:latin typeface="Zona pro light"/>
              <a:ea typeface="+mn-ea"/>
              <a:cs typeface="+mn-cs"/>
            </a:defRPr>
          </a:lvl9pPr>
        </a:lstStyle>
        <a:p>
          <a:pPr defTabSz="914355" fontAlgn="auto">
            <a:spcBef>
              <a:spcPts val="0"/>
            </a:spcBef>
            <a:spcAft>
              <a:spcPts val="0"/>
            </a:spcAft>
            <a:defRPr/>
          </a:pPr>
          <a:endParaRPr lang="en-US" sz="1350">
            <a:solidFill>
              <a:prstClr val="black"/>
            </a:solidFill>
          </a:endParaRPr>
        </a:p>
      </xdr:txBody>
    </xdr:sp>
    <xdr:clientData/>
  </xdr:twoCellAnchor>
  <xdr:twoCellAnchor>
    <xdr:from>
      <xdr:col>3</xdr:col>
      <xdr:colOff>64270</xdr:colOff>
      <xdr:row>62</xdr:row>
      <xdr:rowOff>32930</xdr:rowOff>
    </xdr:from>
    <xdr:to>
      <xdr:col>3</xdr:col>
      <xdr:colOff>73257</xdr:colOff>
      <xdr:row>62</xdr:row>
      <xdr:rowOff>34331</xdr:rowOff>
    </xdr:to>
    <xdr:sp macro="" textlink="">
      <xdr:nvSpPr>
        <xdr:cNvPr id="9" name="Rectangle 81">
          <a:extLst>
            <a:ext uri="{FF2B5EF4-FFF2-40B4-BE49-F238E27FC236}">
              <a16:creationId xmlns:a16="http://schemas.microsoft.com/office/drawing/2014/main" id="{88153BE2-2E19-4E46-8724-8A67D217204B}"/>
            </a:ext>
          </a:extLst>
        </xdr:cNvPr>
        <xdr:cNvSpPr>
          <a:spLocks noChangeAspect="1" noChangeArrowheads="1"/>
        </xdr:cNvSpPr>
      </xdr:nvSpPr>
      <xdr:spPr bwMode="gray">
        <a:xfrm>
          <a:off x="2512195" y="10719980"/>
          <a:ext cx="898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73288</xdr:colOff>
      <xdr:row>67</xdr:row>
      <xdr:rowOff>118322</xdr:rowOff>
    </xdr:from>
    <xdr:to>
      <xdr:col>3</xdr:col>
      <xdr:colOff>82275</xdr:colOff>
      <xdr:row>67</xdr:row>
      <xdr:rowOff>119723</xdr:rowOff>
    </xdr:to>
    <xdr:sp macro="" textlink="">
      <xdr:nvSpPr>
        <xdr:cNvPr id="81" name="Rectangle 81">
          <a:extLst>
            <a:ext uri="{FF2B5EF4-FFF2-40B4-BE49-F238E27FC236}">
              <a16:creationId xmlns:a16="http://schemas.microsoft.com/office/drawing/2014/main" id="{C6C6803D-49AD-4908-A85B-1E466F28EEAD}"/>
            </a:ext>
          </a:extLst>
        </xdr:cNvPr>
        <xdr:cNvSpPr>
          <a:spLocks noChangeAspect="1" noChangeArrowheads="1"/>
        </xdr:cNvSpPr>
      </xdr:nvSpPr>
      <xdr:spPr bwMode="gray">
        <a:xfrm>
          <a:off x="2521213" y="11614997"/>
          <a:ext cx="898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7</xdr:col>
      <xdr:colOff>176797</xdr:colOff>
      <xdr:row>74</xdr:row>
      <xdr:rowOff>19459</xdr:rowOff>
    </xdr:from>
    <xdr:to>
      <xdr:col>7</xdr:col>
      <xdr:colOff>185784</xdr:colOff>
      <xdr:row>74</xdr:row>
      <xdr:rowOff>20860</xdr:rowOff>
    </xdr:to>
    <xdr:sp macro="" textlink="">
      <xdr:nvSpPr>
        <xdr:cNvPr id="93" name="Rectangle 81">
          <a:extLst>
            <a:ext uri="{FF2B5EF4-FFF2-40B4-BE49-F238E27FC236}">
              <a16:creationId xmlns:a16="http://schemas.microsoft.com/office/drawing/2014/main" id="{DCAD96AC-0FD2-433D-8EB9-B6E97F2310B2}"/>
            </a:ext>
          </a:extLst>
        </xdr:cNvPr>
        <xdr:cNvSpPr>
          <a:spLocks noChangeAspect="1" noChangeArrowheads="1"/>
        </xdr:cNvSpPr>
      </xdr:nvSpPr>
      <xdr:spPr bwMode="gray">
        <a:xfrm>
          <a:off x="5967997" y="12649609"/>
          <a:ext cx="898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2</xdr:col>
      <xdr:colOff>457201</xdr:colOff>
      <xdr:row>57</xdr:row>
      <xdr:rowOff>87313</xdr:rowOff>
    </xdr:from>
    <xdr:to>
      <xdr:col>2</xdr:col>
      <xdr:colOff>465138</xdr:colOff>
      <xdr:row>57</xdr:row>
      <xdr:rowOff>87313</xdr:rowOff>
    </xdr:to>
    <xdr:sp macro="" textlink="">
      <xdr:nvSpPr>
        <xdr:cNvPr id="125" name="Rectangle 81">
          <a:extLst>
            <a:ext uri="{FF2B5EF4-FFF2-40B4-BE49-F238E27FC236}">
              <a16:creationId xmlns:a16="http://schemas.microsoft.com/office/drawing/2014/main" id="{9AAF8845-653D-4C04-AB77-9B06980D4897}"/>
            </a:ext>
          </a:extLst>
        </xdr:cNvPr>
        <xdr:cNvSpPr>
          <a:spLocks noChangeAspect="1" noChangeArrowheads="1"/>
        </xdr:cNvSpPr>
      </xdr:nvSpPr>
      <xdr:spPr bwMode="gray">
        <a:xfrm>
          <a:off x="2266951" y="9964738"/>
          <a:ext cx="7937" cy="0"/>
        </a:xfrm>
        <a:prstGeom prst="rect">
          <a:avLst/>
        </a:prstGeom>
        <a:solidFill>
          <a:srgbClr val="C0C0C0"/>
        </a:solidFill>
        <a:ln w="9525">
          <a:solidFill>
            <a:srgbClr val="F8F8F8"/>
          </a:solidFill>
          <a:miter lim="800000"/>
          <a:headEnd/>
          <a:tailEnd/>
        </a:ln>
      </xdr:spPr>
      <xdr:txBody>
        <a:bodyPr wrap="square"/>
        <a:lstStyle>
          <a:defPPr>
            <a:defRPr lang="pt-BR"/>
          </a:defPPr>
          <a:lvl1pPr algn="l" defTabSz="711200" rtl="0" eaLnBrk="0" fontAlgn="base" hangingPunct="0">
            <a:spcBef>
              <a:spcPct val="0"/>
            </a:spcBef>
            <a:spcAft>
              <a:spcPct val="0"/>
            </a:spcAft>
            <a:defRPr sz="1400" kern="1200">
              <a:solidFill>
                <a:schemeClr val="tx1"/>
              </a:solidFill>
              <a:latin typeface="Zona pro light"/>
              <a:ea typeface="+mn-ea"/>
              <a:cs typeface="+mn-cs"/>
            </a:defRPr>
          </a:lvl1pPr>
          <a:lvl2pPr marL="355600" indent="101600" algn="l" defTabSz="711200" rtl="0" eaLnBrk="0" fontAlgn="base" hangingPunct="0">
            <a:spcBef>
              <a:spcPct val="0"/>
            </a:spcBef>
            <a:spcAft>
              <a:spcPct val="0"/>
            </a:spcAft>
            <a:defRPr sz="1400" kern="1200">
              <a:solidFill>
                <a:schemeClr val="tx1"/>
              </a:solidFill>
              <a:latin typeface="Zona pro light"/>
              <a:ea typeface="+mn-ea"/>
              <a:cs typeface="+mn-cs"/>
            </a:defRPr>
          </a:lvl2pPr>
          <a:lvl3pPr marL="711200" indent="203200" algn="l" defTabSz="711200" rtl="0" eaLnBrk="0" fontAlgn="base" hangingPunct="0">
            <a:spcBef>
              <a:spcPct val="0"/>
            </a:spcBef>
            <a:spcAft>
              <a:spcPct val="0"/>
            </a:spcAft>
            <a:defRPr sz="1400" kern="1200">
              <a:solidFill>
                <a:schemeClr val="tx1"/>
              </a:solidFill>
              <a:latin typeface="Zona pro light"/>
              <a:ea typeface="+mn-ea"/>
              <a:cs typeface="+mn-cs"/>
            </a:defRPr>
          </a:lvl3pPr>
          <a:lvl4pPr marL="1068388" indent="303213" algn="l" defTabSz="711200" rtl="0" eaLnBrk="0" fontAlgn="base" hangingPunct="0">
            <a:spcBef>
              <a:spcPct val="0"/>
            </a:spcBef>
            <a:spcAft>
              <a:spcPct val="0"/>
            </a:spcAft>
            <a:defRPr sz="1400" kern="1200">
              <a:solidFill>
                <a:schemeClr val="tx1"/>
              </a:solidFill>
              <a:latin typeface="Zona pro light"/>
              <a:ea typeface="+mn-ea"/>
              <a:cs typeface="+mn-cs"/>
            </a:defRPr>
          </a:lvl4pPr>
          <a:lvl5pPr marL="1423988" indent="404813" algn="l" defTabSz="711200" rtl="0" eaLnBrk="0" fontAlgn="base" hangingPunct="0">
            <a:spcBef>
              <a:spcPct val="0"/>
            </a:spcBef>
            <a:spcAft>
              <a:spcPct val="0"/>
            </a:spcAft>
            <a:defRPr sz="1400" kern="1200">
              <a:solidFill>
                <a:schemeClr val="tx1"/>
              </a:solidFill>
              <a:latin typeface="Zona pro light"/>
              <a:ea typeface="+mn-ea"/>
              <a:cs typeface="+mn-cs"/>
            </a:defRPr>
          </a:lvl5pPr>
          <a:lvl6pPr marL="2286000" algn="l" defTabSz="914400" rtl="0" eaLnBrk="1" latinLnBrk="0" hangingPunct="1">
            <a:defRPr sz="1400" kern="1200">
              <a:solidFill>
                <a:schemeClr val="tx1"/>
              </a:solidFill>
              <a:latin typeface="Zona pro light"/>
              <a:ea typeface="+mn-ea"/>
              <a:cs typeface="+mn-cs"/>
            </a:defRPr>
          </a:lvl6pPr>
          <a:lvl7pPr marL="2743200" algn="l" defTabSz="914400" rtl="0" eaLnBrk="1" latinLnBrk="0" hangingPunct="1">
            <a:defRPr sz="1400" kern="1200">
              <a:solidFill>
                <a:schemeClr val="tx1"/>
              </a:solidFill>
              <a:latin typeface="Zona pro light"/>
              <a:ea typeface="+mn-ea"/>
              <a:cs typeface="+mn-cs"/>
            </a:defRPr>
          </a:lvl7pPr>
          <a:lvl8pPr marL="3200400" algn="l" defTabSz="914400" rtl="0" eaLnBrk="1" latinLnBrk="0" hangingPunct="1">
            <a:defRPr sz="1400" kern="1200">
              <a:solidFill>
                <a:schemeClr val="tx1"/>
              </a:solidFill>
              <a:latin typeface="Zona pro light"/>
              <a:ea typeface="+mn-ea"/>
              <a:cs typeface="+mn-cs"/>
            </a:defRPr>
          </a:lvl8pPr>
          <a:lvl9pPr marL="3657600" algn="l" defTabSz="914400" rtl="0" eaLnBrk="1" latinLnBrk="0" hangingPunct="1">
            <a:defRPr sz="1400" kern="1200">
              <a:solidFill>
                <a:schemeClr val="tx1"/>
              </a:solidFill>
              <a:latin typeface="Zona pro light"/>
              <a:ea typeface="+mn-ea"/>
              <a:cs typeface="+mn-cs"/>
            </a:defRPr>
          </a:lvl9pPr>
        </a:lstStyle>
        <a:p>
          <a:pPr defTabSz="914355" fontAlgn="auto">
            <a:spcBef>
              <a:spcPts val="0"/>
            </a:spcBef>
            <a:spcAft>
              <a:spcPts val="0"/>
            </a:spcAft>
            <a:defRPr/>
          </a:pPr>
          <a:endParaRPr lang="en-US" sz="1350">
            <a:solidFill>
              <a:prstClr val="black"/>
            </a:solidFill>
          </a:endParaRPr>
        </a:p>
      </xdr:txBody>
    </xdr:sp>
    <xdr:clientData/>
  </xdr:twoCellAnchor>
  <xdr:twoCellAnchor>
    <xdr:from>
      <xdr:col>0</xdr:col>
      <xdr:colOff>0</xdr:colOff>
      <xdr:row>0</xdr:row>
      <xdr:rowOff>8467</xdr:rowOff>
    </xdr:from>
    <xdr:to>
      <xdr:col>11</xdr:col>
      <xdr:colOff>85725</xdr:colOff>
      <xdr:row>3</xdr:row>
      <xdr:rowOff>142875</xdr:rowOff>
    </xdr:to>
    <xdr:sp macro="" textlink="">
      <xdr:nvSpPr>
        <xdr:cNvPr id="126" name="Retângulo 6">
          <a:extLst>
            <a:ext uri="{FF2B5EF4-FFF2-40B4-BE49-F238E27FC236}">
              <a16:creationId xmlns:a16="http://schemas.microsoft.com/office/drawing/2014/main" id="{58C619A7-C372-424F-AD3D-9F1B6B09588F}"/>
            </a:ext>
          </a:extLst>
        </xdr:cNvPr>
        <xdr:cNvSpPr>
          <a:spLocks noChangeArrowheads="1"/>
        </xdr:cNvSpPr>
      </xdr:nvSpPr>
      <xdr:spPr bwMode="auto">
        <a:xfrm>
          <a:off x="0" y="8467"/>
          <a:ext cx="12527756" cy="670189"/>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13426</xdr:colOff>
      <xdr:row>2</xdr:row>
      <xdr:rowOff>55880</xdr:rowOff>
    </xdr:from>
    <xdr:ext cx="832279" cy="296620"/>
    <xdr:sp macro="" textlink="">
      <xdr:nvSpPr>
        <xdr:cNvPr id="144" name="Text Box 49">
          <a:extLst>
            <a:ext uri="{FF2B5EF4-FFF2-40B4-BE49-F238E27FC236}">
              <a16:creationId xmlns:a16="http://schemas.microsoft.com/office/drawing/2014/main" id="{A3407F96-9FC5-450B-964F-F4CCC322C6D0}"/>
            </a:ext>
          </a:extLst>
        </xdr:cNvPr>
        <xdr:cNvSpPr txBox="1">
          <a:spLocks noChangeArrowheads="1"/>
        </xdr:cNvSpPr>
      </xdr:nvSpPr>
      <xdr:spPr bwMode="auto">
        <a:xfrm>
          <a:off x="156301" y="389255"/>
          <a:ext cx="832279"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5. Energy</a:t>
          </a:r>
        </a:p>
      </xdr:txBody>
    </xdr:sp>
    <xdr:clientData/>
  </xdr:oneCellAnchor>
  <xdr:twoCellAnchor>
    <xdr:from>
      <xdr:col>11</xdr:col>
      <xdr:colOff>95249</xdr:colOff>
      <xdr:row>0</xdr:row>
      <xdr:rowOff>19050</xdr:rowOff>
    </xdr:from>
    <xdr:to>
      <xdr:col>12</xdr:col>
      <xdr:colOff>412750</xdr:colOff>
      <xdr:row>2</xdr:row>
      <xdr:rowOff>314325</xdr:rowOff>
    </xdr:to>
    <xdr:grpSp>
      <xdr:nvGrpSpPr>
        <xdr:cNvPr id="229" name="Agrupar 11">
          <a:hlinkClick xmlns:r="http://schemas.openxmlformats.org/officeDocument/2006/relationships" r:id="rId1"/>
          <a:extLst>
            <a:ext uri="{FF2B5EF4-FFF2-40B4-BE49-F238E27FC236}">
              <a16:creationId xmlns:a16="http://schemas.microsoft.com/office/drawing/2014/main" id="{EEC5E525-DA41-4238-8233-79A8242C7654}"/>
            </a:ext>
          </a:extLst>
        </xdr:cNvPr>
        <xdr:cNvGrpSpPr>
          <a:grpSpLocks/>
        </xdr:cNvGrpSpPr>
      </xdr:nvGrpSpPr>
      <xdr:grpSpPr bwMode="auto">
        <a:xfrm>
          <a:off x="15243527" y="19050"/>
          <a:ext cx="924279" cy="499181"/>
          <a:chOff x="11133666" y="131229"/>
          <a:chExt cx="928736" cy="609603"/>
        </a:xfrm>
      </xdr:grpSpPr>
      <xdr:sp macro="" textlink="">
        <xdr:nvSpPr>
          <xdr:cNvPr id="230" name="Seta: Curva para Cima 4" descr="Menu">
            <a:extLst>
              <a:ext uri="{FF2B5EF4-FFF2-40B4-BE49-F238E27FC236}">
                <a16:creationId xmlns:a16="http://schemas.microsoft.com/office/drawing/2014/main" id="{4CDB495A-912D-11C0-47C9-782DD81D8F1C}"/>
              </a:ext>
            </a:extLst>
          </xdr:cNvPr>
          <xdr:cNvSpPr/>
        </xdr:nvSpPr>
        <xdr:spPr bwMode="auto">
          <a:xfrm rot="16200000">
            <a:off x="11182188" y="82707"/>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231" name="CaixaDeTexto 5">
            <a:hlinkClick xmlns:r="http://schemas.openxmlformats.org/officeDocument/2006/relationships" r:id="rId2"/>
            <a:extLst>
              <a:ext uri="{FF2B5EF4-FFF2-40B4-BE49-F238E27FC236}">
                <a16:creationId xmlns:a16="http://schemas.microsoft.com/office/drawing/2014/main" id="{5AF9A58C-697E-4540-609F-CD6119375316}"/>
              </a:ext>
            </a:extLst>
          </xdr:cNvPr>
          <xdr:cNvSpPr txBox="1"/>
        </xdr:nvSpPr>
        <xdr:spPr>
          <a:xfrm rot="600355">
            <a:off x="11214424" y="206257"/>
            <a:ext cx="847978"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MENU</a:t>
            </a:r>
          </a:p>
        </xdr:txBody>
      </xdr:sp>
    </xdr:grpSp>
    <xdr:clientData/>
  </xdr:twoCellAnchor>
  <xdr:twoCellAnchor editAs="oneCell">
    <xdr:from>
      <xdr:col>0</xdr:col>
      <xdr:colOff>0</xdr:colOff>
      <xdr:row>0</xdr:row>
      <xdr:rowOff>8467</xdr:rowOff>
    </xdr:from>
    <xdr:to>
      <xdr:col>1</xdr:col>
      <xdr:colOff>1122891</xdr:colOff>
      <xdr:row>2</xdr:row>
      <xdr:rowOff>132292</xdr:rowOff>
    </xdr:to>
    <xdr:pic>
      <xdr:nvPicPr>
        <xdr:cNvPr id="226" name="Picture 2">
          <a:extLst>
            <a:ext uri="{FF2B5EF4-FFF2-40B4-BE49-F238E27FC236}">
              <a16:creationId xmlns:a16="http://schemas.microsoft.com/office/drawing/2014/main" id="{E3924220-CA63-4347-98B7-D23B0E615A3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467"/>
          <a:ext cx="1265766"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465138</xdr:colOff>
      <xdr:row>63</xdr:row>
      <xdr:rowOff>153988</xdr:rowOff>
    </xdr:from>
    <xdr:to>
      <xdr:col>2</xdr:col>
      <xdr:colOff>471488</xdr:colOff>
      <xdr:row>63</xdr:row>
      <xdr:rowOff>153988</xdr:rowOff>
    </xdr:to>
    <xdr:sp macro="" textlink="">
      <xdr:nvSpPr>
        <xdr:cNvPr id="3" name="Rectangle 81">
          <a:extLst>
            <a:ext uri="{FF2B5EF4-FFF2-40B4-BE49-F238E27FC236}">
              <a16:creationId xmlns:a16="http://schemas.microsoft.com/office/drawing/2014/main" id="{5101B495-D5B6-4439-8A33-8350EE2B56BF}"/>
            </a:ext>
          </a:extLst>
        </xdr:cNvPr>
        <xdr:cNvSpPr>
          <a:spLocks noChangeAspect="1" noChangeArrowheads="1"/>
        </xdr:cNvSpPr>
      </xdr:nvSpPr>
      <xdr:spPr bwMode="gray">
        <a:xfrm>
          <a:off x="2363788" y="11298238"/>
          <a:ext cx="0" cy="0"/>
        </a:xfrm>
        <a:prstGeom prst="rect">
          <a:avLst/>
        </a:prstGeom>
        <a:solidFill>
          <a:srgbClr val="C0C0C0"/>
        </a:solidFill>
        <a:ln w="9525">
          <a:solidFill>
            <a:srgbClr val="F8F8F8"/>
          </a:solidFill>
          <a:miter lim="800000"/>
          <a:headEnd/>
          <a:tailEnd/>
        </a:ln>
      </xdr:spPr>
      <xdr:txBody>
        <a:bodyPr wrap="square"/>
        <a:lstStyle>
          <a:defPPr>
            <a:defRPr lang="pt-BR"/>
          </a:defPPr>
          <a:lvl1pPr algn="l" defTabSz="711200" rtl="0" eaLnBrk="0" fontAlgn="base" hangingPunct="0">
            <a:spcBef>
              <a:spcPct val="0"/>
            </a:spcBef>
            <a:spcAft>
              <a:spcPct val="0"/>
            </a:spcAft>
            <a:defRPr sz="1400" kern="1200">
              <a:solidFill>
                <a:schemeClr val="tx1"/>
              </a:solidFill>
              <a:latin typeface="Zona pro light"/>
              <a:ea typeface="+mn-ea"/>
              <a:cs typeface="+mn-cs"/>
            </a:defRPr>
          </a:lvl1pPr>
          <a:lvl2pPr marL="355600" indent="101600" algn="l" defTabSz="711200" rtl="0" eaLnBrk="0" fontAlgn="base" hangingPunct="0">
            <a:spcBef>
              <a:spcPct val="0"/>
            </a:spcBef>
            <a:spcAft>
              <a:spcPct val="0"/>
            </a:spcAft>
            <a:defRPr sz="1400" kern="1200">
              <a:solidFill>
                <a:schemeClr val="tx1"/>
              </a:solidFill>
              <a:latin typeface="Zona pro light"/>
              <a:ea typeface="+mn-ea"/>
              <a:cs typeface="+mn-cs"/>
            </a:defRPr>
          </a:lvl2pPr>
          <a:lvl3pPr marL="711200" indent="203200" algn="l" defTabSz="711200" rtl="0" eaLnBrk="0" fontAlgn="base" hangingPunct="0">
            <a:spcBef>
              <a:spcPct val="0"/>
            </a:spcBef>
            <a:spcAft>
              <a:spcPct val="0"/>
            </a:spcAft>
            <a:defRPr sz="1400" kern="1200">
              <a:solidFill>
                <a:schemeClr val="tx1"/>
              </a:solidFill>
              <a:latin typeface="Zona pro light"/>
              <a:ea typeface="+mn-ea"/>
              <a:cs typeface="+mn-cs"/>
            </a:defRPr>
          </a:lvl3pPr>
          <a:lvl4pPr marL="1068388" indent="303213" algn="l" defTabSz="711200" rtl="0" eaLnBrk="0" fontAlgn="base" hangingPunct="0">
            <a:spcBef>
              <a:spcPct val="0"/>
            </a:spcBef>
            <a:spcAft>
              <a:spcPct val="0"/>
            </a:spcAft>
            <a:defRPr sz="1400" kern="1200">
              <a:solidFill>
                <a:schemeClr val="tx1"/>
              </a:solidFill>
              <a:latin typeface="Zona pro light"/>
              <a:ea typeface="+mn-ea"/>
              <a:cs typeface="+mn-cs"/>
            </a:defRPr>
          </a:lvl4pPr>
          <a:lvl5pPr marL="1423988" indent="404813" algn="l" defTabSz="711200" rtl="0" eaLnBrk="0" fontAlgn="base" hangingPunct="0">
            <a:spcBef>
              <a:spcPct val="0"/>
            </a:spcBef>
            <a:spcAft>
              <a:spcPct val="0"/>
            </a:spcAft>
            <a:defRPr sz="1400" kern="1200">
              <a:solidFill>
                <a:schemeClr val="tx1"/>
              </a:solidFill>
              <a:latin typeface="Zona pro light"/>
              <a:ea typeface="+mn-ea"/>
              <a:cs typeface="+mn-cs"/>
            </a:defRPr>
          </a:lvl5pPr>
          <a:lvl6pPr marL="2286000" algn="l" defTabSz="914400" rtl="0" eaLnBrk="1" latinLnBrk="0" hangingPunct="1">
            <a:defRPr sz="1400" kern="1200">
              <a:solidFill>
                <a:schemeClr val="tx1"/>
              </a:solidFill>
              <a:latin typeface="Zona pro light"/>
              <a:ea typeface="+mn-ea"/>
              <a:cs typeface="+mn-cs"/>
            </a:defRPr>
          </a:lvl6pPr>
          <a:lvl7pPr marL="2743200" algn="l" defTabSz="914400" rtl="0" eaLnBrk="1" latinLnBrk="0" hangingPunct="1">
            <a:defRPr sz="1400" kern="1200">
              <a:solidFill>
                <a:schemeClr val="tx1"/>
              </a:solidFill>
              <a:latin typeface="Zona pro light"/>
              <a:ea typeface="+mn-ea"/>
              <a:cs typeface="+mn-cs"/>
            </a:defRPr>
          </a:lvl7pPr>
          <a:lvl8pPr marL="3200400" algn="l" defTabSz="914400" rtl="0" eaLnBrk="1" latinLnBrk="0" hangingPunct="1">
            <a:defRPr sz="1400" kern="1200">
              <a:solidFill>
                <a:schemeClr val="tx1"/>
              </a:solidFill>
              <a:latin typeface="Zona pro light"/>
              <a:ea typeface="+mn-ea"/>
              <a:cs typeface="+mn-cs"/>
            </a:defRPr>
          </a:lvl8pPr>
          <a:lvl9pPr marL="3657600" algn="l" defTabSz="914400" rtl="0" eaLnBrk="1" latinLnBrk="0" hangingPunct="1">
            <a:defRPr sz="1400" kern="1200">
              <a:solidFill>
                <a:schemeClr val="tx1"/>
              </a:solidFill>
              <a:latin typeface="Zona pro light"/>
              <a:ea typeface="+mn-ea"/>
              <a:cs typeface="+mn-cs"/>
            </a:defRPr>
          </a:lvl9pPr>
        </a:lstStyle>
        <a:p>
          <a:pPr defTabSz="914355" fontAlgn="auto">
            <a:spcBef>
              <a:spcPts val="0"/>
            </a:spcBef>
            <a:spcAft>
              <a:spcPts val="0"/>
            </a:spcAft>
            <a:defRPr/>
          </a:pPr>
          <a:endParaRPr lang="en-US" sz="1350">
            <a:solidFill>
              <a:prstClr val="black"/>
            </a:solidFill>
          </a:endParaRPr>
        </a:p>
      </xdr:txBody>
    </xdr:sp>
    <xdr:clientData/>
  </xdr:twoCellAnchor>
  <xdr:twoCellAnchor>
    <xdr:from>
      <xdr:col>3</xdr:col>
      <xdr:colOff>1160974</xdr:colOff>
      <xdr:row>71</xdr:row>
      <xdr:rowOff>67159</xdr:rowOff>
    </xdr:from>
    <xdr:to>
      <xdr:col>9</xdr:col>
      <xdr:colOff>917222</xdr:colOff>
      <xdr:row>77</xdr:row>
      <xdr:rowOff>136880</xdr:rowOff>
    </xdr:to>
    <xdr:sp macro="" textlink="">
      <xdr:nvSpPr>
        <xdr:cNvPr id="4" name="Retângulo 82">
          <a:extLst>
            <a:ext uri="{FF2B5EF4-FFF2-40B4-BE49-F238E27FC236}">
              <a16:creationId xmlns:a16="http://schemas.microsoft.com/office/drawing/2014/main" id="{0053399D-93C9-4D8A-9BBB-0B8812CD4102}"/>
            </a:ext>
          </a:extLst>
        </xdr:cNvPr>
        <xdr:cNvSpPr/>
      </xdr:nvSpPr>
      <xdr:spPr>
        <a:xfrm>
          <a:off x="3723199" y="12503634"/>
          <a:ext cx="8881198" cy="1047621"/>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a:p>
      </xdr:txBody>
    </xdr:sp>
    <xdr:clientData/>
  </xdr:twoCellAnchor>
  <xdr:twoCellAnchor>
    <xdr:from>
      <xdr:col>2</xdr:col>
      <xdr:colOff>353208</xdr:colOff>
      <xdr:row>70</xdr:row>
      <xdr:rowOff>109477</xdr:rowOff>
    </xdr:from>
    <xdr:to>
      <xdr:col>3</xdr:col>
      <xdr:colOff>643841</xdr:colOff>
      <xdr:row>76</xdr:row>
      <xdr:rowOff>2556</xdr:rowOff>
    </xdr:to>
    <xdr:sp macro="" textlink="">
      <xdr:nvSpPr>
        <xdr:cNvPr id="6" name="Freeform 101">
          <a:extLst>
            <a:ext uri="{FF2B5EF4-FFF2-40B4-BE49-F238E27FC236}">
              <a16:creationId xmlns:a16="http://schemas.microsoft.com/office/drawing/2014/main" id="{9D4BF50C-9FB6-404A-BBCD-35F2C1010F94}"/>
            </a:ext>
          </a:extLst>
        </xdr:cNvPr>
        <xdr:cNvSpPr>
          <a:spLocks noChangeAspect="1"/>
        </xdr:cNvSpPr>
      </xdr:nvSpPr>
      <xdr:spPr bwMode="gray">
        <a:xfrm>
          <a:off x="2245508" y="12384027"/>
          <a:ext cx="957383" cy="867804"/>
        </a:xfrm>
        <a:custGeom>
          <a:avLst/>
          <a:gdLst>
            <a:gd name="T0" fmla="*/ 580 w 107"/>
            <a:gd name="T1" fmla="*/ 210 h 104"/>
            <a:gd name="T2" fmla="*/ 545 w 107"/>
            <a:gd name="T3" fmla="*/ 199 h 104"/>
            <a:gd name="T4" fmla="*/ 580 w 107"/>
            <a:gd name="T5" fmla="*/ 165 h 104"/>
            <a:gd name="T6" fmla="*/ 574 w 107"/>
            <a:gd name="T7" fmla="*/ 125 h 104"/>
            <a:gd name="T8" fmla="*/ 540 w 107"/>
            <a:gd name="T9" fmla="*/ 125 h 104"/>
            <a:gd name="T10" fmla="*/ 506 w 107"/>
            <a:gd name="T11" fmla="*/ 91 h 104"/>
            <a:gd name="T12" fmla="*/ 466 w 107"/>
            <a:gd name="T13" fmla="*/ 68 h 104"/>
            <a:gd name="T14" fmla="*/ 426 w 107"/>
            <a:gd name="T15" fmla="*/ 57 h 104"/>
            <a:gd name="T16" fmla="*/ 386 w 107"/>
            <a:gd name="T17" fmla="*/ 34 h 104"/>
            <a:gd name="T18" fmla="*/ 347 w 107"/>
            <a:gd name="T19" fmla="*/ 23 h 104"/>
            <a:gd name="T20" fmla="*/ 313 w 107"/>
            <a:gd name="T21" fmla="*/ 23 h 104"/>
            <a:gd name="T22" fmla="*/ 273 w 107"/>
            <a:gd name="T23" fmla="*/ 0 h 104"/>
            <a:gd name="T24" fmla="*/ 244 w 107"/>
            <a:gd name="T25" fmla="*/ 23 h 104"/>
            <a:gd name="T26" fmla="*/ 210 w 107"/>
            <a:gd name="T27" fmla="*/ 34 h 104"/>
            <a:gd name="T28" fmla="*/ 176 w 107"/>
            <a:gd name="T29" fmla="*/ 68 h 104"/>
            <a:gd name="T30" fmla="*/ 142 w 107"/>
            <a:gd name="T31" fmla="*/ 102 h 104"/>
            <a:gd name="T32" fmla="*/ 108 w 107"/>
            <a:gd name="T33" fmla="*/ 153 h 104"/>
            <a:gd name="T34" fmla="*/ 68 w 107"/>
            <a:gd name="T35" fmla="*/ 199 h 104"/>
            <a:gd name="T36" fmla="*/ 28 w 107"/>
            <a:gd name="T37" fmla="*/ 255 h 104"/>
            <a:gd name="T38" fmla="*/ 0 w 107"/>
            <a:gd name="T39" fmla="*/ 306 h 104"/>
            <a:gd name="T40" fmla="*/ 34 w 107"/>
            <a:gd name="T41" fmla="*/ 289 h 104"/>
            <a:gd name="T42" fmla="*/ 80 w 107"/>
            <a:gd name="T43" fmla="*/ 289 h 104"/>
            <a:gd name="T44" fmla="*/ 114 w 107"/>
            <a:gd name="T45" fmla="*/ 340 h 104"/>
            <a:gd name="T46" fmla="*/ 148 w 107"/>
            <a:gd name="T47" fmla="*/ 352 h 104"/>
            <a:gd name="T48" fmla="*/ 188 w 107"/>
            <a:gd name="T49" fmla="*/ 374 h 104"/>
            <a:gd name="T50" fmla="*/ 222 w 107"/>
            <a:gd name="T51" fmla="*/ 397 h 104"/>
            <a:gd name="T52" fmla="*/ 256 w 107"/>
            <a:gd name="T53" fmla="*/ 425 h 104"/>
            <a:gd name="T54" fmla="*/ 290 w 107"/>
            <a:gd name="T55" fmla="*/ 471 h 104"/>
            <a:gd name="T56" fmla="*/ 324 w 107"/>
            <a:gd name="T57" fmla="*/ 505 h 104"/>
            <a:gd name="T58" fmla="*/ 318 w 107"/>
            <a:gd name="T59" fmla="*/ 545 h 104"/>
            <a:gd name="T60" fmla="*/ 313 w 107"/>
            <a:gd name="T61" fmla="*/ 590 h 104"/>
            <a:gd name="T62" fmla="*/ 347 w 107"/>
            <a:gd name="T63" fmla="*/ 573 h 104"/>
            <a:gd name="T64" fmla="*/ 375 w 107"/>
            <a:gd name="T65" fmla="*/ 545 h 104"/>
            <a:gd name="T66" fmla="*/ 398 w 107"/>
            <a:gd name="T67" fmla="*/ 494 h 104"/>
            <a:gd name="T68" fmla="*/ 426 w 107"/>
            <a:gd name="T69" fmla="*/ 460 h 104"/>
            <a:gd name="T70" fmla="*/ 460 w 107"/>
            <a:gd name="T71" fmla="*/ 425 h 104"/>
            <a:gd name="T72" fmla="*/ 494 w 107"/>
            <a:gd name="T73" fmla="*/ 386 h 104"/>
            <a:gd name="T74" fmla="*/ 528 w 107"/>
            <a:gd name="T75" fmla="*/ 352 h 104"/>
            <a:gd name="T76" fmla="*/ 545 w 107"/>
            <a:gd name="T77" fmla="*/ 289 h 104"/>
            <a:gd name="T78" fmla="*/ 580 w 107"/>
            <a:gd name="T79" fmla="*/ 233 h 104"/>
            <a:gd name="T80" fmla="*/ 608 w 107"/>
            <a:gd name="T81" fmla="*/ 187 h 104"/>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0" t="0" r="r" b="b"/>
          <a:pathLst>
            <a:path w="107" h="104">
              <a:moveTo>
                <a:pt x="107" y="33"/>
              </a:moveTo>
              <a:lnTo>
                <a:pt x="102" y="37"/>
              </a:lnTo>
              <a:lnTo>
                <a:pt x="99" y="37"/>
              </a:lnTo>
              <a:lnTo>
                <a:pt x="96" y="35"/>
              </a:lnTo>
              <a:lnTo>
                <a:pt x="99" y="33"/>
              </a:lnTo>
              <a:lnTo>
                <a:pt x="102" y="29"/>
              </a:lnTo>
              <a:lnTo>
                <a:pt x="104" y="25"/>
              </a:lnTo>
              <a:lnTo>
                <a:pt x="101" y="22"/>
              </a:lnTo>
              <a:lnTo>
                <a:pt x="98" y="25"/>
              </a:lnTo>
              <a:lnTo>
                <a:pt x="95" y="22"/>
              </a:lnTo>
              <a:lnTo>
                <a:pt x="91" y="18"/>
              </a:lnTo>
              <a:lnTo>
                <a:pt x="89" y="16"/>
              </a:lnTo>
              <a:lnTo>
                <a:pt x="85" y="14"/>
              </a:lnTo>
              <a:lnTo>
                <a:pt x="82" y="12"/>
              </a:lnTo>
              <a:lnTo>
                <a:pt x="77" y="10"/>
              </a:lnTo>
              <a:lnTo>
                <a:pt x="75" y="10"/>
              </a:lnTo>
              <a:lnTo>
                <a:pt x="71" y="8"/>
              </a:lnTo>
              <a:lnTo>
                <a:pt x="68" y="6"/>
              </a:lnTo>
              <a:lnTo>
                <a:pt x="65" y="4"/>
              </a:lnTo>
              <a:lnTo>
                <a:pt x="61" y="4"/>
              </a:lnTo>
              <a:lnTo>
                <a:pt x="57" y="4"/>
              </a:lnTo>
              <a:lnTo>
                <a:pt x="55" y="4"/>
              </a:lnTo>
              <a:lnTo>
                <a:pt x="51" y="1"/>
              </a:lnTo>
              <a:lnTo>
                <a:pt x="48" y="0"/>
              </a:lnTo>
              <a:lnTo>
                <a:pt x="47" y="1"/>
              </a:lnTo>
              <a:lnTo>
                <a:pt x="43" y="4"/>
              </a:lnTo>
              <a:lnTo>
                <a:pt x="41" y="4"/>
              </a:lnTo>
              <a:lnTo>
                <a:pt x="37" y="6"/>
              </a:lnTo>
              <a:lnTo>
                <a:pt x="34" y="10"/>
              </a:lnTo>
              <a:lnTo>
                <a:pt x="31" y="12"/>
              </a:lnTo>
              <a:lnTo>
                <a:pt x="28" y="16"/>
              </a:lnTo>
              <a:lnTo>
                <a:pt x="25" y="18"/>
              </a:lnTo>
              <a:lnTo>
                <a:pt x="22" y="22"/>
              </a:lnTo>
              <a:lnTo>
                <a:pt x="19" y="27"/>
              </a:lnTo>
              <a:lnTo>
                <a:pt x="15" y="30"/>
              </a:lnTo>
              <a:lnTo>
                <a:pt x="12" y="35"/>
              </a:lnTo>
              <a:lnTo>
                <a:pt x="9" y="39"/>
              </a:lnTo>
              <a:lnTo>
                <a:pt x="5" y="45"/>
              </a:lnTo>
              <a:lnTo>
                <a:pt x="1" y="50"/>
              </a:lnTo>
              <a:lnTo>
                <a:pt x="0" y="54"/>
              </a:lnTo>
              <a:lnTo>
                <a:pt x="3" y="54"/>
              </a:lnTo>
              <a:lnTo>
                <a:pt x="6" y="51"/>
              </a:lnTo>
              <a:lnTo>
                <a:pt x="9" y="50"/>
              </a:lnTo>
              <a:lnTo>
                <a:pt x="14" y="51"/>
              </a:lnTo>
              <a:lnTo>
                <a:pt x="17" y="54"/>
              </a:lnTo>
              <a:lnTo>
                <a:pt x="20" y="60"/>
              </a:lnTo>
              <a:lnTo>
                <a:pt x="23" y="62"/>
              </a:lnTo>
              <a:lnTo>
                <a:pt x="26" y="62"/>
              </a:lnTo>
              <a:lnTo>
                <a:pt x="29" y="64"/>
              </a:lnTo>
              <a:lnTo>
                <a:pt x="33" y="66"/>
              </a:lnTo>
              <a:lnTo>
                <a:pt x="35" y="68"/>
              </a:lnTo>
              <a:lnTo>
                <a:pt x="39" y="70"/>
              </a:lnTo>
              <a:lnTo>
                <a:pt x="42" y="72"/>
              </a:lnTo>
              <a:lnTo>
                <a:pt x="45" y="75"/>
              </a:lnTo>
              <a:lnTo>
                <a:pt x="48" y="79"/>
              </a:lnTo>
              <a:lnTo>
                <a:pt x="51" y="83"/>
              </a:lnTo>
              <a:lnTo>
                <a:pt x="55" y="84"/>
              </a:lnTo>
              <a:lnTo>
                <a:pt x="57" y="89"/>
              </a:lnTo>
              <a:lnTo>
                <a:pt x="59" y="93"/>
              </a:lnTo>
              <a:lnTo>
                <a:pt x="56" y="96"/>
              </a:lnTo>
              <a:lnTo>
                <a:pt x="55" y="100"/>
              </a:lnTo>
              <a:lnTo>
                <a:pt x="55" y="104"/>
              </a:lnTo>
              <a:lnTo>
                <a:pt x="57" y="104"/>
              </a:lnTo>
              <a:lnTo>
                <a:pt x="61" y="101"/>
              </a:lnTo>
              <a:lnTo>
                <a:pt x="63" y="100"/>
              </a:lnTo>
              <a:lnTo>
                <a:pt x="66" y="96"/>
              </a:lnTo>
              <a:lnTo>
                <a:pt x="68" y="91"/>
              </a:lnTo>
              <a:lnTo>
                <a:pt x="70" y="87"/>
              </a:lnTo>
              <a:lnTo>
                <a:pt x="71" y="83"/>
              </a:lnTo>
              <a:lnTo>
                <a:pt x="75" y="81"/>
              </a:lnTo>
              <a:lnTo>
                <a:pt x="77" y="77"/>
              </a:lnTo>
              <a:lnTo>
                <a:pt x="81" y="75"/>
              </a:lnTo>
              <a:lnTo>
                <a:pt x="84" y="72"/>
              </a:lnTo>
              <a:lnTo>
                <a:pt x="87" y="68"/>
              </a:lnTo>
              <a:lnTo>
                <a:pt x="90" y="66"/>
              </a:lnTo>
              <a:lnTo>
                <a:pt x="93" y="62"/>
              </a:lnTo>
              <a:lnTo>
                <a:pt x="95" y="58"/>
              </a:lnTo>
              <a:lnTo>
                <a:pt x="96" y="51"/>
              </a:lnTo>
              <a:lnTo>
                <a:pt x="98" y="47"/>
              </a:lnTo>
              <a:lnTo>
                <a:pt x="102" y="41"/>
              </a:lnTo>
              <a:lnTo>
                <a:pt x="105" y="37"/>
              </a:lnTo>
              <a:lnTo>
                <a:pt x="107" y="33"/>
              </a:lnTo>
              <a:close/>
            </a:path>
          </a:pathLst>
        </a:custGeom>
        <a:solidFill>
          <a:schemeClr val="bg1">
            <a:lumMod val="85000"/>
          </a:schemeClr>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solidFill>
              <a:srgbClr val="0000BF"/>
            </a:solidFill>
            <a:latin typeface="Calibri" panose="020F0502020204030204"/>
          </a:endParaRPr>
        </a:p>
      </xdr:txBody>
    </xdr:sp>
    <xdr:clientData/>
  </xdr:twoCellAnchor>
  <xdr:twoCellAnchor>
    <xdr:from>
      <xdr:col>0</xdr:col>
      <xdr:colOff>0</xdr:colOff>
      <xdr:row>48</xdr:row>
      <xdr:rowOff>34071</xdr:rowOff>
    </xdr:from>
    <xdr:to>
      <xdr:col>2</xdr:col>
      <xdr:colOff>509498</xdr:colOff>
      <xdr:row>58</xdr:row>
      <xdr:rowOff>102943</xdr:rowOff>
    </xdr:to>
    <xdr:sp macro="" textlink="">
      <xdr:nvSpPr>
        <xdr:cNvPr id="7" name="Freeform 82">
          <a:extLst>
            <a:ext uri="{FF2B5EF4-FFF2-40B4-BE49-F238E27FC236}">
              <a16:creationId xmlns:a16="http://schemas.microsoft.com/office/drawing/2014/main" id="{9D45A0C4-A542-4F81-93AA-DF5CD5431F9A}"/>
            </a:ext>
          </a:extLst>
        </xdr:cNvPr>
        <xdr:cNvSpPr>
          <a:spLocks noChangeAspect="1"/>
        </xdr:cNvSpPr>
      </xdr:nvSpPr>
      <xdr:spPr bwMode="gray">
        <a:xfrm>
          <a:off x="0" y="8746271"/>
          <a:ext cx="2401798" cy="1694472"/>
        </a:xfrm>
        <a:custGeom>
          <a:avLst/>
          <a:gdLst>
            <a:gd name="T0" fmla="*/ 1186 w 267"/>
            <a:gd name="T1" fmla="*/ 210 h 214"/>
            <a:gd name="T2" fmla="*/ 1152 w 267"/>
            <a:gd name="T3" fmla="*/ 278 h 214"/>
            <a:gd name="T4" fmla="*/ 1078 w 267"/>
            <a:gd name="T5" fmla="*/ 255 h 214"/>
            <a:gd name="T6" fmla="*/ 1038 w 267"/>
            <a:gd name="T7" fmla="*/ 318 h 214"/>
            <a:gd name="T8" fmla="*/ 987 w 267"/>
            <a:gd name="T9" fmla="*/ 244 h 214"/>
            <a:gd name="T10" fmla="*/ 976 w 267"/>
            <a:gd name="T11" fmla="*/ 125 h 214"/>
            <a:gd name="T12" fmla="*/ 931 w 267"/>
            <a:gd name="T13" fmla="*/ 45 h 214"/>
            <a:gd name="T14" fmla="*/ 868 w 267"/>
            <a:gd name="T15" fmla="*/ 23 h 214"/>
            <a:gd name="T16" fmla="*/ 789 w 267"/>
            <a:gd name="T17" fmla="*/ 91 h 214"/>
            <a:gd name="T18" fmla="*/ 709 w 267"/>
            <a:gd name="T19" fmla="*/ 153 h 214"/>
            <a:gd name="T20" fmla="*/ 601 w 267"/>
            <a:gd name="T21" fmla="*/ 114 h 214"/>
            <a:gd name="T22" fmla="*/ 562 w 267"/>
            <a:gd name="T23" fmla="*/ 68 h 214"/>
            <a:gd name="T24" fmla="*/ 511 w 267"/>
            <a:gd name="T25" fmla="*/ 57 h 214"/>
            <a:gd name="T26" fmla="*/ 443 w 267"/>
            <a:gd name="T27" fmla="*/ 68 h 214"/>
            <a:gd name="T28" fmla="*/ 386 w 267"/>
            <a:gd name="T29" fmla="*/ 57 h 214"/>
            <a:gd name="T30" fmla="*/ 323 w 267"/>
            <a:gd name="T31" fmla="*/ 108 h 214"/>
            <a:gd name="T32" fmla="*/ 386 w 267"/>
            <a:gd name="T33" fmla="*/ 136 h 214"/>
            <a:gd name="T34" fmla="*/ 312 w 267"/>
            <a:gd name="T35" fmla="*/ 199 h 214"/>
            <a:gd name="T36" fmla="*/ 357 w 267"/>
            <a:gd name="T37" fmla="*/ 318 h 214"/>
            <a:gd name="T38" fmla="*/ 340 w 267"/>
            <a:gd name="T39" fmla="*/ 539 h 214"/>
            <a:gd name="T40" fmla="*/ 278 w 267"/>
            <a:gd name="T41" fmla="*/ 608 h 214"/>
            <a:gd name="T42" fmla="*/ 159 w 267"/>
            <a:gd name="T43" fmla="*/ 636 h 214"/>
            <a:gd name="T44" fmla="*/ 91 w 267"/>
            <a:gd name="T45" fmla="*/ 704 h 214"/>
            <a:gd name="T46" fmla="*/ 51 w 267"/>
            <a:gd name="T47" fmla="*/ 835 h 214"/>
            <a:gd name="T48" fmla="*/ 0 w 267"/>
            <a:gd name="T49" fmla="*/ 897 h 214"/>
            <a:gd name="T50" fmla="*/ 57 w 267"/>
            <a:gd name="T51" fmla="*/ 999 h 214"/>
            <a:gd name="T52" fmla="*/ 91 w 267"/>
            <a:gd name="T53" fmla="*/ 1096 h 214"/>
            <a:gd name="T54" fmla="*/ 159 w 267"/>
            <a:gd name="T55" fmla="*/ 1118 h 214"/>
            <a:gd name="T56" fmla="*/ 284 w 267"/>
            <a:gd name="T57" fmla="*/ 1084 h 214"/>
            <a:gd name="T58" fmla="*/ 306 w 267"/>
            <a:gd name="T59" fmla="*/ 1164 h 214"/>
            <a:gd name="T60" fmla="*/ 431 w 267"/>
            <a:gd name="T61" fmla="*/ 1204 h 214"/>
            <a:gd name="T62" fmla="*/ 522 w 267"/>
            <a:gd name="T63" fmla="*/ 1181 h 214"/>
            <a:gd name="T64" fmla="*/ 590 w 267"/>
            <a:gd name="T65" fmla="*/ 1158 h 214"/>
            <a:gd name="T66" fmla="*/ 658 w 267"/>
            <a:gd name="T67" fmla="*/ 1062 h 214"/>
            <a:gd name="T68" fmla="*/ 732 w 267"/>
            <a:gd name="T69" fmla="*/ 1073 h 214"/>
            <a:gd name="T70" fmla="*/ 783 w 267"/>
            <a:gd name="T71" fmla="*/ 1045 h 214"/>
            <a:gd name="T72" fmla="*/ 834 w 267"/>
            <a:gd name="T73" fmla="*/ 1016 h 214"/>
            <a:gd name="T74" fmla="*/ 885 w 267"/>
            <a:gd name="T75" fmla="*/ 942 h 214"/>
            <a:gd name="T76" fmla="*/ 959 w 267"/>
            <a:gd name="T77" fmla="*/ 942 h 214"/>
            <a:gd name="T78" fmla="*/ 1027 w 267"/>
            <a:gd name="T79" fmla="*/ 977 h 214"/>
            <a:gd name="T80" fmla="*/ 1197 w 267"/>
            <a:gd name="T81" fmla="*/ 977 h 214"/>
            <a:gd name="T82" fmla="*/ 1294 w 267"/>
            <a:gd name="T83" fmla="*/ 988 h 214"/>
            <a:gd name="T84" fmla="*/ 1345 w 267"/>
            <a:gd name="T85" fmla="*/ 942 h 214"/>
            <a:gd name="T86" fmla="*/ 1356 w 267"/>
            <a:gd name="T87" fmla="*/ 789 h 214"/>
            <a:gd name="T88" fmla="*/ 1458 w 267"/>
            <a:gd name="T89" fmla="*/ 375 h 214"/>
            <a:gd name="T90" fmla="*/ 1407 w 267"/>
            <a:gd name="T91" fmla="*/ 329 h 214"/>
            <a:gd name="T92" fmla="*/ 1328 w 267"/>
            <a:gd name="T93" fmla="*/ 301 h 214"/>
            <a:gd name="T94" fmla="*/ 1294 w 267"/>
            <a:gd name="T95" fmla="*/ 210 h 2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0" t="0" r="r" b="b"/>
          <a:pathLst>
            <a:path w="267" h="214">
              <a:moveTo>
                <a:pt x="227" y="31"/>
              </a:moveTo>
              <a:lnTo>
                <a:pt x="214" y="31"/>
              </a:lnTo>
              <a:lnTo>
                <a:pt x="211" y="32"/>
              </a:lnTo>
              <a:lnTo>
                <a:pt x="209" y="37"/>
              </a:lnTo>
              <a:lnTo>
                <a:pt x="208" y="41"/>
              </a:lnTo>
              <a:lnTo>
                <a:pt x="205" y="43"/>
              </a:lnTo>
              <a:lnTo>
                <a:pt x="206" y="48"/>
              </a:lnTo>
              <a:lnTo>
                <a:pt x="203" y="49"/>
              </a:lnTo>
              <a:lnTo>
                <a:pt x="200" y="49"/>
              </a:lnTo>
              <a:lnTo>
                <a:pt x="197" y="45"/>
              </a:lnTo>
              <a:lnTo>
                <a:pt x="193" y="45"/>
              </a:lnTo>
              <a:lnTo>
                <a:pt x="190" y="45"/>
              </a:lnTo>
              <a:lnTo>
                <a:pt x="187" y="48"/>
              </a:lnTo>
              <a:lnTo>
                <a:pt x="186" y="51"/>
              </a:lnTo>
              <a:lnTo>
                <a:pt x="184" y="56"/>
              </a:lnTo>
              <a:lnTo>
                <a:pt x="183" y="56"/>
              </a:lnTo>
              <a:lnTo>
                <a:pt x="180" y="53"/>
              </a:lnTo>
              <a:lnTo>
                <a:pt x="177" y="51"/>
              </a:lnTo>
              <a:lnTo>
                <a:pt x="174" y="48"/>
              </a:lnTo>
              <a:lnTo>
                <a:pt x="174" y="43"/>
              </a:lnTo>
              <a:lnTo>
                <a:pt x="175" y="39"/>
              </a:lnTo>
              <a:lnTo>
                <a:pt x="174" y="35"/>
              </a:lnTo>
              <a:lnTo>
                <a:pt x="174" y="27"/>
              </a:lnTo>
              <a:lnTo>
                <a:pt x="172" y="22"/>
              </a:lnTo>
              <a:lnTo>
                <a:pt x="169" y="20"/>
              </a:lnTo>
              <a:lnTo>
                <a:pt x="165" y="16"/>
              </a:lnTo>
              <a:lnTo>
                <a:pt x="165" y="12"/>
              </a:lnTo>
              <a:lnTo>
                <a:pt x="164" y="8"/>
              </a:lnTo>
              <a:lnTo>
                <a:pt x="162" y="4"/>
              </a:lnTo>
              <a:lnTo>
                <a:pt x="162" y="0"/>
              </a:lnTo>
              <a:lnTo>
                <a:pt x="159" y="0"/>
              </a:lnTo>
              <a:lnTo>
                <a:pt x="153" y="4"/>
              </a:lnTo>
              <a:lnTo>
                <a:pt x="147" y="4"/>
              </a:lnTo>
              <a:lnTo>
                <a:pt x="144" y="12"/>
              </a:lnTo>
              <a:lnTo>
                <a:pt x="142" y="16"/>
              </a:lnTo>
              <a:lnTo>
                <a:pt x="139" y="16"/>
              </a:lnTo>
              <a:lnTo>
                <a:pt x="136" y="19"/>
              </a:lnTo>
              <a:lnTo>
                <a:pt x="133" y="19"/>
              </a:lnTo>
              <a:lnTo>
                <a:pt x="131" y="22"/>
              </a:lnTo>
              <a:lnTo>
                <a:pt x="125" y="27"/>
              </a:lnTo>
              <a:lnTo>
                <a:pt x="122" y="24"/>
              </a:lnTo>
              <a:lnTo>
                <a:pt x="112" y="24"/>
              </a:lnTo>
              <a:lnTo>
                <a:pt x="110" y="22"/>
              </a:lnTo>
              <a:lnTo>
                <a:pt x="106" y="20"/>
              </a:lnTo>
              <a:lnTo>
                <a:pt x="104" y="20"/>
              </a:lnTo>
              <a:lnTo>
                <a:pt x="100" y="20"/>
              </a:lnTo>
              <a:lnTo>
                <a:pt x="99" y="16"/>
              </a:lnTo>
              <a:lnTo>
                <a:pt x="99" y="12"/>
              </a:lnTo>
              <a:lnTo>
                <a:pt x="99" y="8"/>
              </a:lnTo>
              <a:lnTo>
                <a:pt x="96" y="4"/>
              </a:lnTo>
              <a:lnTo>
                <a:pt x="92" y="8"/>
              </a:lnTo>
              <a:lnTo>
                <a:pt x="90" y="10"/>
              </a:lnTo>
              <a:lnTo>
                <a:pt x="86" y="10"/>
              </a:lnTo>
              <a:lnTo>
                <a:pt x="83" y="8"/>
              </a:lnTo>
              <a:lnTo>
                <a:pt x="80" y="8"/>
              </a:lnTo>
              <a:lnTo>
                <a:pt x="78" y="12"/>
              </a:lnTo>
              <a:lnTo>
                <a:pt x="77" y="12"/>
              </a:lnTo>
              <a:lnTo>
                <a:pt x="74" y="12"/>
              </a:lnTo>
              <a:lnTo>
                <a:pt x="71" y="12"/>
              </a:lnTo>
              <a:lnTo>
                <a:pt x="68" y="10"/>
              </a:lnTo>
              <a:lnTo>
                <a:pt x="64" y="10"/>
              </a:lnTo>
              <a:lnTo>
                <a:pt x="61" y="10"/>
              </a:lnTo>
              <a:lnTo>
                <a:pt x="58" y="14"/>
              </a:lnTo>
              <a:lnTo>
                <a:pt x="57" y="19"/>
              </a:lnTo>
              <a:lnTo>
                <a:pt x="58" y="22"/>
              </a:lnTo>
              <a:lnTo>
                <a:pt x="61" y="22"/>
              </a:lnTo>
              <a:lnTo>
                <a:pt x="64" y="24"/>
              </a:lnTo>
              <a:lnTo>
                <a:pt x="68" y="24"/>
              </a:lnTo>
              <a:lnTo>
                <a:pt x="68" y="29"/>
              </a:lnTo>
              <a:lnTo>
                <a:pt x="64" y="31"/>
              </a:lnTo>
              <a:lnTo>
                <a:pt x="61" y="29"/>
              </a:lnTo>
              <a:lnTo>
                <a:pt x="55" y="35"/>
              </a:lnTo>
              <a:lnTo>
                <a:pt x="57" y="39"/>
              </a:lnTo>
              <a:lnTo>
                <a:pt x="57" y="43"/>
              </a:lnTo>
              <a:lnTo>
                <a:pt x="58" y="48"/>
              </a:lnTo>
              <a:lnTo>
                <a:pt x="63" y="56"/>
              </a:lnTo>
              <a:lnTo>
                <a:pt x="63" y="75"/>
              </a:lnTo>
              <a:lnTo>
                <a:pt x="61" y="81"/>
              </a:lnTo>
              <a:lnTo>
                <a:pt x="61" y="91"/>
              </a:lnTo>
              <a:lnTo>
                <a:pt x="60" y="95"/>
              </a:lnTo>
              <a:lnTo>
                <a:pt x="60" y="99"/>
              </a:lnTo>
              <a:lnTo>
                <a:pt x="58" y="104"/>
              </a:lnTo>
              <a:lnTo>
                <a:pt x="52" y="107"/>
              </a:lnTo>
              <a:lnTo>
                <a:pt x="49" y="107"/>
              </a:lnTo>
              <a:lnTo>
                <a:pt x="44" y="107"/>
              </a:lnTo>
              <a:lnTo>
                <a:pt x="41" y="110"/>
              </a:lnTo>
              <a:lnTo>
                <a:pt x="38" y="112"/>
              </a:lnTo>
              <a:lnTo>
                <a:pt x="28" y="112"/>
              </a:lnTo>
              <a:lnTo>
                <a:pt x="26" y="114"/>
              </a:lnTo>
              <a:lnTo>
                <a:pt x="23" y="118"/>
              </a:lnTo>
              <a:lnTo>
                <a:pt x="20" y="120"/>
              </a:lnTo>
              <a:lnTo>
                <a:pt x="16" y="124"/>
              </a:lnTo>
              <a:lnTo>
                <a:pt x="12" y="133"/>
              </a:lnTo>
              <a:lnTo>
                <a:pt x="10" y="137"/>
              </a:lnTo>
              <a:lnTo>
                <a:pt x="10" y="141"/>
              </a:lnTo>
              <a:lnTo>
                <a:pt x="9" y="147"/>
              </a:lnTo>
              <a:lnTo>
                <a:pt x="5" y="147"/>
              </a:lnTo>
              <a:lnTo>
                <a:pt x="2" y="149"/>
              </a:lnTo>
              <a:lnTo>
                <a:pt x="1" y="153"/>
              </a:lnTo>
              <a:lnTo>
                <a:pt x="0" y="158"/>
              </a:lnTo>
              <a:lnTo>
                <a:pt x="0" y="162"/>
              </a:lnTo>
              <a:lnTo>
                <a:pt x="5" y="170"/>
              </a:lnTo>
              <a:lnTo>
                <a:pt x="7" y="174"/>
              </a:lnTo>
              <a:lnTo>
                <a:pt x="10" y="176"/>
              </a:lnTo>
              <a:lnTo>
                <a:pt x="12" y="180"/>
              </a:lnTo>
              <a:lnTo>
                <a:pt x="15" y="187"/>
              </a:lnTo>
              <a:lnTo>
                <a:pt x="14" y="191"/>
              </a:lnTo>
              <a:lnTo>
                <a:pt x="16" y="193"/>
              </a:lnTo>
              <a:lnTo>
                <a:pt x="20" y="193"/>
              </a:lnTo>
              <a:lnTo>
                <a:pt x="23" y="193"/>
              </a:lnTo>
              <a:lnTo>
                <a:pt x="26" y="195"/>
              </a:lnTo>
              <a:lnTo>
                <a:pt x="28" y="197"/>
              </a:lnTo>
              <a:lnTo>
                <a:pt x="32" y="199"/>
              </a:lnTo>
              <a:lnTo>
                <a:pt x="38" y="199"/>
              </a:lnTo>
              <a:lnTo>
                <a:pt x="41" y="197"/>
              </a:lnTo>
              <a:lnTo>
                <a:pt x="50" y="191"/>
              </a:lnTo>
              <a:lnTo>
                <a:pt x="54" y="193"/>
              </a:lnTo>
              <a:lnTo>
                <a:pt x="52" y="197"/>
              </a:lnTo>
              <a:lnTo>
                <a:pt x="52" y="201"/>
              </a:lnTo>
              <a:lnTo>
                <a:pt x="54" y="205"/>
              </a:lnTo>
              <a:lnTo>
                <a:pt x="54" y="214"/>
              </a:lnTo>
              <a:lnTo>
                <a:pt x="63" y="214"/>
              </a:lnTo>
              <a:lnTo>
                <a:pt x="66" y="212"/>
              </a:lnTo>
              <a:lnTo>
                <a:pt x="76" y="212"/>
              </a:lnTo>
              <a:lnTo>
                <a:pt x="78" y="214"/>
              </a:lnTo>
              <a:lnTo>
                <a:pt x="85" y="214"/>
              </a:lnTo>
              <a:lnTo>
                <a:pt x="88" y="209"/>
              </a:lnTo>
              <a:lnTo>
                <a:pt x="92" y="208"/>
              </a:lnTo>
              <a:lnTo>
                <a:pt x="96" y="208"/>
              </a:lnTo>
              <a:lnTo>
                <a:pt x="99" y="205"/>
              </a:lnTo>
              <a:lnTo>
                <a:pt x="100" y="201"/>
              </a:lnTo>
              <a:lnTo>
                <a:pt x="104" y="204"/>
              </a:lnTo>
              <a:lnTo>
                <a:pt x="110" y="199"/>
              </a:lnTo>
              <a:lnTo>
                <a:pt x="113" y="193"/>
              </a:lnTo>
              <a:lnTo>
                <a:pt x="112" y="191"/>
              </a:lnTo>
              <a:lnTo>
                <a:pt x="116" y="187"/>
              </a:lnTo>
              <a:lnTo>
                <a:pt x="119" y="187"/>
              </a:lnTo>
              <a:lnTo>
                <a:pt x="122" y="187"/>
              </a:lnTo>
              <a:lnTo>
                <a:pt x="125" y="187"/>
              </a:lnTo>
              <a:lnTo>
                <a:pt x="129" y="189"/>
              </a:lnTo>
              <a:lnTo>
                <a:pt x="131" y="187"/>
              </a:lnTo>
              <a:lnTo>
                <a:pt x="134" y="187"/>
              </a:lnTo>
              <a:lnTo>
                <a:pt x="135" y="189"/>
              </a:lnTo>
              <a:lnTo>
                <a:pt x="138" y="184"/>
              </a:lnTo>
              <a:lnTo>
                <a:pt x="139" y="180"/>
              </a:lnTo>
              <a:lnTo>
                <a:pt x="140" y="176"/>
              </a:lnTo>
              <a:lnTo>
                <a:pt x="144" y="179"/>
              </a:lnTo>
              <a:lnTo>
                <a:pt x="147" y="179"/>
              </a:lnTo>
              <a:lnTo>
                <a:pt x="150" y="176"/>
              </a:lnTo>
              <a:lnTo>
                <a:pt x="152" y="172"/>
              </a:lnTo>
              <a:lnTo>
                <a:pt x="153" y="168"/>
              </a:lnTo>
              <a:lnTo>
                <a:pt x="156" y="166"/>
              </a:lnTo>
              <a:lnTo>
                <a:pt x="159" y="168"/>
              </a:lnTo>
              <a:lnTo>
                <a:pt x="162" y="164"/>
              </a:lnTo>
              <a:lnTo>
                <a:pt x="165" y="166"/>
              </a:lnTo>
              <a:lnTo>
                <a:pt x="169" y="166"/>
              </a:lnTo>
              <a:lnTo>
                <a:pt x="172" y="168"/>
              </a:lnTo>
              <a:lnTo>
                <a:pt x="175" y="170"/>
              </a:lnTo>
              <a:lnTo>
                <a:pt x="178" y="172"/>
              </a:lnTo>
              <a:lnTo>
                <a:pt x="181" y="172"/>
              </a:lnTo>
              <a:lnTo>
                <a:pt x="184" y="172"/>
              </a:lnTo>
              <a:lnTo>
                <a:pt x="187" y="174"/>
              </a:lnTo>
              <a:lnTo>
                <a:pt x="206" y="174"/>
              </a:lnTo>
              <a:lnTo>
                <a:pt x="211" y="172"/>
              </a:lnTo>
              <a:lnTo>
                <a:pt x="215" y="172"/>
              </a:lnTo>
              <a:lnTo>
                <a:pt x="220" y="174"/>
              </a:lnTo>
              <a:lnTo>
                <a:pt x="223" y="174"/>
              </a:lnTo>
              <a:lnTo>
                <a:pt x="228" y="174"/>
              </a:lnTo>
              <a:lnTo>
                <a:pt x="233" y="172"/>
              </a:lnTo>
              <a:lnTo>
                <a:pt x="235" y="172"/>
              </a:lnTo>
              <a:lnTo>
                <a:pt x="237" y="170"/>
              </a:lnTo>
              <a:lnTo>
                <a:pt x="237" y="166"/>
              </a:lnTo>
              <a:lnTo>
                <a:pt x="242" y="153"/>
              </a:lnTo>
              <a:lnTo>
                <a:pt x="243" y="151"/>
              </a:lnTo>
              <a:lnTo>
                <a:pt x="239" y="143"/>
              </a:lnTo>
              <a:lnTo>
                <a:pt x="239" y="139"/>
              </a:lnTo>
              <a:lnTo>
                <a:pt x="267" y="68"/>
              </a:lnTo>
              <a:lnTo>
                <a:pt x="267" y="64"/>
              </a:lnTo>
              <a:lnTo>
                <a:pt x="262" y="66"/>
              </a:lnTo>
              <a:lnTo>
                <a:pt x="257" y="66"/>
              </a:lnTo>
              <a:lnTo>
                <a:pt x="255" y="64"/>
              </a:lnTo>
              <a:lnTo>
                <a:pt x="253" y="60"/>
              </a:lnTo>
              <a:lnTo>
                <a:pt x="251" y="58"/>
              </a:lnTo>
              <a:lnTo>
                <a:pt x="248" y="58"/>
              </a:lnTo>
              <a:lnTo>
                <a:pt x="245" y="58"/>
              </a:lnTo>
              <a:lnTo>
                <a:pt x="241" y="58"/>
              </a:lnTo>
              <a:lnTo>
                <a:pt x="237" y="56"/>
              </a:lnTo>
              <a:lnTo>
                <a:pt x="234" y="53"/>
              </a:lnTo>
              <a:lnTo>
                <a:pt x="234" y="49"/>
              </a:lnTo>
              <a:lnTo>
                <a:pt x="231" y="45"/>
              </a:lnTo>
              <a:lnTo>
                <a:pt x="229" y="41"/>
              </a:lnTo>
              <a:lnTo>
                <a:pt x="228" y="37"/>
              </a:lnTo>
              <a:lnTo>
                <a:pt x="227" y="32"/>
              </a:lnTo>
              <a:lnTo>
                <a:pt x="227" y="31"/>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editAs="oneCell">
    <xdr:from>
      <xdr:col>8</xdr:col>
      <xdr:colOff>1209468</xdr:colOff>
      <xdr:row>60</xdr:row>
      <xdr:rowOff>96202</xdr:rowOff>
    </xdr:from>
    <xdr:to>
      <xdr:col>8</xdr:col>
      <xdr:colOff>2257243</xdr:colOff>
      <xdr:row>65</xdr:row>
      <xdr:rowOff>15894</xdr:rowOff>
    </xdr:to>
    <xdr:pic>
      <xdr:nvPicPr>
        <xdr:cNvPr id="8" name="Imagem 85">
          <a:extLst>
            <a:ext uri="{FF2B5EF4-FFF2-40B4-BE49-F238E27FC236}">
              <a16:creationId xmlns:a16="http://schemas.microsoft.com/office/drawing/2014/main" id="{FF94B490-F4A4-44D9-8CC2-E19D9EE33056}"/>
            </a:ext>
          </a:extLst>
        </xdr:cNvPr>
        <xdr:cNvPicPr>
          <a:picLocks/>
        </xdr:cNvPicPr>
      </xdr:nvPicPr>
      <xdr:blipFill>
        <a:blip xmlns:r="http://schemas.openxmlformats.org/officeDocument/2006/relationships" r:embed="rId4"/>
        <a:stretch>
          <a:fillRect/>
        </a:stretch>
      </xdr:blipFill>
      <xdr:spPr>
        <a:xfrm>
          <a:off x="9632743" y="10754677"/>
          <a:ext cx="1044600" cy="729316"/>
        </a:xfrm>
        <a:prstGeom prst="rect">
          <a:avLst/>
        </a:prstGeom>
      </xdr:spPr>
    </xdr:pic>
    <xdr:clientData/>
  </xdr:twoCellAnchor>
  <xdr:twoCellAnchor editAs="oneCell">
    <xdr:from>
      <xdr:col>7</xdr:col>
      <xdr:colOff>263407</xdr:colOff>
      <xdr:row>60</xdr:row>
      <xdr:rowOff>86066</xdr:rowOff>
    </xdr:from>
    <xdr:to>
      <xdr:col>7</xdr:col>
      <xdr:colOff>1343093</xdr:colOff>
      <xdr:row>65</xdr:row>
      <xdr:rowOff>15894</xdr:rowOff>
    </xdr:to>
    <xdr:pic>
      <xdr:nvPicPr>
        <xdr:cNvPr id="10" name="Imagem 86">
          <a:extLst>
            <a:ext uri="{FF2B5EF4-FFF2-40B4-BE49-F238E27FC236}">
              <a16:creationId xmlns:a16="http://schemas.microsoft.com/office/drawing/2014/main" id="{63EED018-75BF-4BD3-BBD5-7EB4AE692675}"/>
            </a:ext>
          </a:extLst>
        </xdr:cNvPr>
        <xdr:cNvPicPr>
          <a:picLocks/>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7508757" y="10741366"/>
          <a:ext cx="1082861" cy="742627"/>
        </a:xfrm>
        <a:prstGeom prst="rect">
          <a:avLst/>
        </a:prstGeom>
      </xdr:spPr>
    </xdr:pic>
    <xdr:clientData/>
  </xdr:twoCellAnchor>
  <xdr:twoCellAnchor editAs="oneCell">
    <xdr:from>
      <xdr:col>6</xdr:col>
      <xdr:colOff>849154</xdr:colOff>
      <xdr:row>66</xdr:row>
      <xdr:rowOff>15519</xdr:rowOff>
    </xdr:from>
    <xdr:to>
      <xdr:col>7</xdr:col>
      <xdr:colOff>750916</xdr:colOff>
      <xdr:row>70</xdr:row>
      <xdr:rowOff>59036</xdr:rowOff>
    </xdr:to>
    <xdr:pic>
      <xdr:nvPicPr>
        <xdr:cNvPr id="11" name="Imagem 87">
          <a:extLst>
            <a:ext uri="{FF2B5EF4-FFF2-40B4-BE49-F238E27FC236}">
              <a16:creationId xmlns:a16="http://schemas.microsoft.com/office/drawing/2014/main" id="{9ACEEBE1-064A-4D12-B996-194875C15ED3}"/>
            </a:ext>
          </a:extLst>
        </xdr:cNvPr>
        <xdr:cNvPicPr preferRelativeResize="0">
          <a:picLocks/>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922929" y="11642369"/>
          <a:ext cx="1076511" cy="694391"/>
        </a:xfrm>
        <a:prstGeom prst="rect">
          <a:avLst/>
        </a:prstGeom>
      </xdr:spPr>
    </xdr:pic>
    <xdr:clientData/>
  </xdr:twoCellAnchor>
  <xdr:twoCellAnchor>
    <xdr:from>
      <xdr:col>3</xdr:col>
      <xdr:colOff>64270</xdr:colOff>
      <xdr:row>64</xdr:row>
      <xdr:rowOff>32930</xdr:rowOff>
    </xdr:from>
    <xdr:to>
      <xdr:col>3</xdr:col>
      <xdr:colOff>73257</xdr:colOff>
      <xdr:row>64</xdr:row>
      <xdr:rowOff>34331</xdr:rowOff>
    </xdr:to>
    <xdr:sp macro="" textlink="">
      <xdr:nvSpPr>
        <xdr:cNvPr id="12" name="Rectangle 81">
          <a:extLst>
            <a:ext uri="{FF2B5EF4-FFF2-40B4-BE49-F238E27FC236}">
              <a16:creationId xmlns:a16="http://schemas.microsoft.com/office/drawing/2014/main" id="{0DA2E52F-49FB-498F-BD88-07F702CE0882}"/>
            </a:ext>
          </a:extLst>
        </xdr:cNvPr>
        <xdr:cNvSpPr>
          <a:spLocks noChangeAspect="1" noChangeArrowheads="1"/>
        </xdr:cNvSpPr>
      </xdr:nvSpPr>
      <xdr:spPr bwMode="gray">
        <a:xfrm>
          <a:off x="2629670" y="11335930"/>
          <a:ext cx="5812"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1</xdr:col>
      <xdr:colOff>374414</xdr:colOff>
      <xdr:row>46</xdr:row>
      <xdr:rowOff>0</xdr:rowOff>
    </xdr:from>
    <xdr:to>
      <xdr:col>1</xdr:col>
      <xdr:colOff>1147343</xdr:colOff>
      <xdr:row>51</xdr:row>
      <xdr:rowOff>18329</xdr:rowOff>
    </xdr:to>
    <xdr:sp macro="" textlink="">
      <xdr:nvSpPr>
        <xdr:cNvPr id="13" name="Freeform 83">
          <a:extLst>
            <a:ext uri="{FF2B5EF4-FFF2-40B4-BE49-F238E27FC236}">
              <a16:creationId xmlns:a16="http://schemas.microsoft.com/office/drawing/2014/main" id="{9824573B-6470-49A4-ACB9-BDDC5C3117A3}"/>
            </a:ext>
          </a:extLst>
        </xdr:cNvPr>
        <xdr:cNvSpPr>
          <a:spLocks noChangeAspect="1"/>
        </xdr:cNvSpPr>
      </xdr:nvSpPr>
      <xdr:spPr bwMode="gray">
        <a:xfrm>
          <a:off x="523639" y="8391525"/>
          <a:ext cx="779279" cy="827954"/>
        </a:xfrm>
        <a:custGeom>
          <a:avLst/>
          <a:gdLst>
            <a:gd name="T0" fmla="*/ 505 w 91"/>
            <a:gd name="T1" fmla="*/ 454 h 105"/>
            <a:gd name="T2" fmla="*/ 471 w 91"/>
            <a:gd name="T3" fmla="*/ 454 h 105"/>
            <a:gd name="T4" fmla="*/ 431 w 91"/>
            <a:gd name="T5" fmla="*/ 454 h 105"/>
            <a:gd name="T6" fmla="*/ 408 w 91"/>
            <a:gd name="T7" fmla="*/ 488 h 105"/>
            <a:gd name="T8" fmla="*/ 386 w 91"/>
            <a:gd name="T9" fmla="*/ 522 h 105"/>
            <a:gd name="T10" fmla="*/ 374 w 91"/>
            <a:gd name="T11" fmla="*/ 562 h 105"/>
            <a:gd name="T12" fmla="*/ 340 w 91"/>
            <a:gd name="T13" fmla="*/ 534 h 105"/>
            <a:gd name="T14" fmla="*/ 306 w 91"/>
            <a:gd name="T15" fmla="*/ 534 h 105"/>
            <a:gd name="T16" fmla="*/ 278 w 91"/>
            <a:gd name="T17" fmla="*/ 573 h 105"/>
            <a:gd name="T18" fmla="*/ 261 w 91"/>
            <a:gd name="T19" fmla="*/ 596 h 105"/>
            <a:gd name="T20" fmla="*/ 227 w 91"/>
            <a:gd name="T21" fmla="*/ 573 h 105"/>
            <a:gd name="T22" fmla="*/ 210 w 91"/>
            <a:gd name="T23" fmla="*/ 522 h 105"/>
            <a:gd name="T24" fmla="*/ 210 w 91"/>
            <a:gd name="T25" fmla="*/ 477 h 105"/>
            <a:gd name="T26" fmla="*/ 210 w 91"/>
            <a:gd name="T27" fmla="*/ 431 h 105"/>
            <a:gd name="T28" fmla="*/ 181 w 91"/>
            <a:gd name="T29" fmla="*/ 392 h 105"/>
            <a:gd name="T30" fmla="*/ 164 w 91"/>
            <a:gd name="T31" fmla="*/ 346 h 105"/>
            <a:gd name="T32" fmla="*/ 147 w 91"/>
            <a:gd name="T33" fmla="*/ 301 h 105"/>
            <a:gd name="T34" fmla="*/ 130 w 91"/>
            <a:gd name="T35" fmla="*/ 278 h 105"/>
            <a:gd name="T36" fmla="*/ 125 w 91"/>
            <a:gd name="T37" fmla="*/ 267 h 105"/>
            <a:gd name="T38" fmla="*/ 68 w 91"/>
            <a:gd name="T39" fmla="*/ 267 h 105"/>
            <a:gd name="T40" fmla="*/ 34 w 91"/>
            <a:gd name="T41" fmla="*/ 244 h 105"/>
            <a:gd name="T42" fmla="*/ 45 w 91"/>
            <a:gd name="T43" fmla="*/ 199 h 105"/>
            <a:gd name="T44" fmla="*/ 45 w 91"/>
            <a:gd name="T45" fmla="*/ 153 h 105"/>
            <a:gd name="T46" fmla="*/ 0 w 91"/>
            <a:gd name="T47" fmla="*/ 131 h 105"/>
            <a:gd name="T48" fmla="*/ 28 w 91"/>
            <a:gd name="T49" fmla="*/ 108 h 105"/>
            <a:gd name="T50" fmla="*/ 68 w 91"/>
            <a:gd name="T51" fmla="*/ 131 h 105"/>
            <a:gd name="T52" fmla="*/ 102 w 91"/>
            <a:gd name="T53" fmla="*/ 136 h 105"/>
            <a:gd name="T54" fmla="*/ 142 w 91"/>
            <a:gd name="T55" fmla="*/ 136 h 105"/>
            <a:gd name="T56" fmla="*/ 170 w 91"/>
            <a:gd name="T57" fmla="*/ 153 h 105"/>
            <a:gd name="T58" fmla="*/ 210 w 91"/>
            <a:gd name="T59" fmla="*/ 119 h 105"/>
            <a:gd name="T60" fmla="*/ 232 w 91"/>
            <a:gd name="T61" fmla="*/ 119 h 105"/>
            <a:gd name="T62" fmla="*/ 272 w 91"/>
            <a:gd name="T63" fmla="*/ 102 h 105"/>
            <a:gd name="T64" fmla="*/ 306 w 91"/>
            <a:gd name="T65" fmla="*/ 79 h 105"/>
            <a:gd name="T66" fmla="*/ 340 w 91"/>
            <a:gd name="T67" fmla="*/ 45 h 105"/>
            <a:gd name="T68" fmla="*/ 363 w 91"/>
            <a:gd name="T69" fmla="*/ 11 h 105"/>
            <a:gd name="T70" fmla="*/ 397 w 91"/>
            <a:gd name="T71" fmla="*/ 11 h 105"/>
            <a:gd name="T72" fmla="*/ 408 w 91"/>
            <a:gd name="T73" fmla="*/ 57 h 105"/>
            <a:gd name="T74" fmla="*/ 442 w 91"/>
            <a:gd name="T75" fmla="*/ 79 h 105"/>
            <a:gd name="T76" fmla="*/ 431 w 91"/>
            <a:gd name="T77" fmla="*/ 131 h 105"/>
            <a:gd name="T78" fmla="*/ 420 w 91"/>
            <a:gd name="T79" fmla="*/ 159 h 105"/>
            <a:gd name="T80" fmla="*/ 420 w 91"/>
            <a:gd name="T81" fmla="*/ 204 h 105"/>
            <a:gd name="T82" fmla="*/ 408 w 91"/>
            <a:gd name="T83" fmla="*/ 255 h 105"/>
            <a:gd name="T84" fmla="*/ 442 w 91"/>
            <a:gd name="T85" fmla="*/ 278 h 105"/>
            <a:gd name="T86" fmla="*/ 442 w 91"/>
            <a:gd name="T87" fmla="*/ 324 h 105"/>
            <a:gd name="T88" fmla="*/ 476 w 91"/>
            <a:gd name="T89" fmla="*/ 346 h 105"/>
            <a:gd name="T90" fmla="*/ 505 w 91"/>
            <a:gd name="T91" fmla="*/ 369 h 105"/>
            <a:gd name="T92" fmla="*/ 505 w 91"/>
            <a:gd name="T93" fmla="*/ 409 h 105"/>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0" t="0" r="r" b="b"/>
          <a:pathLst>
            <a:path w="91" h="105">
              <a:moveTo>
                <a:pt x="91" y="76"/>
              </a:moveTo>
              <a:lnTo>
                <a:pt x="89" y="80"/>
              </a:lnTo>
              <a:lnTo>
                <a:pt x="86" y="80"/>
              </a:lnTo>
              <a:lnTo>
                <a:pt x="83" y="80"/>
              </a:lnTo>
              <a:lnTo>
                <a:pt x="80" y="80"/>
              </a:lnTo>
              <a:lnTo>
                <a:pt x="76" y="80"/>
              </a:lnTo>
              <a:lnTo>
                <a:pt x="74" y="82"/>
              </a:lnTo>
              <a:lnTo>
                <a:pt x="72" y="86"/>
              </a:lnTo>
              <a:lnTo>
                <a:pt x="70" y="91"/>
              </a:lnTo>
              <a:lnTo>
                <a:pt x="68" y="92"/>
              </a:lnTo>
              <a:lnTo>
                <a:pt x="69" y="96"/>
              </a:lnTo>
              <a:lnTo>
                <a:pt x="66" y="99"/>
              </a:lnTo>
              <a:lnTo>
                <a:pt x="63" y="99"/>
              </a:lnTo>
              <a:lnTo>
                <a:pt x="60" y="94"/>
              </a:lnTo>
              <a:lnTo>
                <a:pt x="57" y="94"/>
              </a:lnTo>
              <a:lnTo>
                <a:pt x="54" y="94"/>
              </a:lnTo>
              <a:lnTo>
                <a:pt x="50" y="96"/>
              </a:lnTo>
              <a:lnTo>
                <a:pt x="49" y="101"/>
              </a:lnTo>
              <a:lnTo>
                <a:pt x="48" y="105"/>
              </a:lnTo>
              <a:lnTo>
                <a:pt x="46" y="105"/>
              </a:lnTo>
              <a:lnTo>
                <a:pt x="43" y="103"/>
              </a:lnTo>
              <a:lnTo>
                <a:pt x="40" y="101"/>
              </a:lnTo>
              <a:lnTo>
                <a:pt x="37" y="96"/>
              </a:lnTo>
              <a:lnTo>
                <a:pt x="37" y="92"/>
              </a:lnTo>
              <a:lnTo>
                <a:pt x="38" y="88"/>
              </a:lnTo>
              <a:lnTo>
                <a:pt x="37" y="84"/>
              </a:lnTo>
              <a:lnTo>
                <a:pt x="37" y="80"/>
              </a:lnTo>
              <a:lnTo>
                <a:pt x="37" y="76"/>
              </a:lnTo>
              <a:lnTo>
                <a:pt x="35" y="72"/>
              </a:lnTo>
              <a:lnTo>
                <a:pt x="32" y="69"/>
              </a:lnTo>
              <a:lnTo>
                <a:pt x="29" y="65"/>
              </a:lnTo>
              <a:lnTo>
                <a:pt x="29" y="61"/>
              </a:lnTo>
              <a:lnTo>
                <a:pt x="28" y="57"/>
              </a:lnTo>
              <a:lnTo>
                <a:pt x="26" y="53"/>
              </a:lnTo>
              <a:lnTo>
                <a:pt x="26" y="49"/>
              </a:lnTo>
              <a:lnTo>
                <a:pt x="23" y="49"/>
              </a:lnTo>
              <a:lnTo>
                <a:pt x="22" y="47"/>
              </a:lnTo>
              <a:lnTo>
                <a:pt x="15" y="47"/>
              </a:lnTo>
              <a:lnTo>
                <a:pt x="12" y="47"/>
              </a:lnTo>
              <a:lnTo>
                <a:pt x="8" y="46"/>
              </a:lnTo>
              <a:lnTo>
                <a:pt x="6" y="43"/>
              </a:lnTo>
              <a:lnTo>
                <a:pt x="6" y="39"/>
              </a:lnTo>
              <a:lnTo>
                <a:pt x="8" y="35"/>
              </a:lnTo>
              <a:lnTo>
                <a:pt x="9" y="31"/>
              </a:lnTo>
              <a:lnTo>
                <a:pt x="8" y="27"/>
              </a:lnTo>
              <a:lnTo>
                <a:pt x="4" y="24"/>
              </a:lnTo>
              <a:lnTo>
                <a:pt x="0" y="23"/>
              </a:lnTo>
              <a:lnTo>
                <a:pt x="0" y="20"/>
              </a:lnTo>
              <a:lnTo>
                <a:pt x="5" y="19"/>
              </a:lnTo>
              <a:lnTo>
                <a:pt x="9" y="21"/>
              </a:lnTo>
              <a:lnTo>
                <a:pt x="12" y="23"/>
              </a:lnTo>
              <a:lnTo>
                <a:pt x="15" y="23"/>
              </a:lnTo>
              <a:lnTo>
                <a:pt x="18" y="24"/>
              </a:lnTo>
              <a:lnTo>
                <a:pt x="22" y="24"/>
              </a:lnTo>
              <a:lnTo>
                <a:pt x="25" y="24"/>
              </a:lnTo>
              <a:lnTo>
                <a:pt x="28" y="27"/>
              </a:lnTo>
              <a:lnTo>
                <a:pt x="30" y="27"/>
              </a:lnTo>
              <a:lnTo>
                <a:pt x="34" y="23"/>
              </a:lnTo>
              <a:lnTo>
                <a:pt x="37" y="21"/>
              </a:lnTo>
              <a:lnTo>
                <a:pt x="38" y="21"/>
              </a:lnTo>
              <a:lnTo>
                <a:pt x="41" y="21"/>
              </a:lnTo>
              <a:lnTo>
                <a:pt x="44" y="18"/>
              </a:lnTo>
              <a:lnTo>
                <a:pt x="48" y="18"/>
              </a:lnTo>
              <a:lnTo>
                <a:pt x="50" y="16"/>
              </a:lnTo>
              <a:lnTo>
                <a:pt x="54" y="14"/>
              </a:lnTo>
              <a:lnTo>
                <a:pt x="57" y="10"/>
              </a:lnTo>
              <a:lnTo>
                <a:pt x="60" y="8"/>
              </a:lnTo>
              <a:lnTo>
                <a:pt x="63" y="6"/>
              </a:lnTo>
              <a:lnTo>
                <a:pt x="64" y="2"/>
              </a:lnTo>
              <a:lnTo>
                <a:pt x="68" y="0"/>
              </a:lnTo>
              <a:lnTo>
                <a:pt x="70" y="2"/>
              </a:lnTo>
              <a:lnTo>
                <a:pt x="70" y="6"/>
              </a:lnTo>
              <a:lnTo>
                <a:pt x="72" y="10"/>
              </a:lnTo>
              <a:lnTo>
                <a:pt x="75" y="10"/>
              </a:lnTo>
              <a:lnTo>
                <a:pt x="78" y="14"/>
              </a:lnTo>
              <a:lnTo>
                <a:pt x="78" y="18"/>
              </a:lnTo>
              <a:lnTo>
                <a:pt x="76" y="23"/>
              </a:lnTo>
              <a:lnTo>
                <a:pt x="76" y="27"/>
              </a:lnTo>
              <a:lnTo>
                <a:pt x="74" y="28"/>
              </a:lnTo>
              <a:lnTo>
                <a:pt x="72" y="33"/>
              </a:lnTo>
              <a:lnTo>
                <a:pt x="74" y="36"/>
              </a:lnTo>
              <a:lnTo>
                <a:pt x="72" y="41"/>
              </a:lnTo>
              <a:lnTo>
                <a:pt x="72" y="45"/>
              </a:lnTo>
              <a:lnTo>
                <a:pt x="75" y="49"/>
              </a:lnTo>
              <a:lnTo>
                <a:pt x="78" y="49"/>
              </a:lnTo>
              <a:lnTo>
                <a:pt x="78" y="53"/>
              </a:lnTo>
              <a:lnTo>
                <a:pt x="78" y="57"/>
              </a:lnTo>
              <a:lnTo>
                <a:pt x="81" y="61"/>
              </a:lnTo>
              <a:lnTo>
                <a:pt x="84" y="61"/>
              </a:lnTo>
              <a:lnTo>
                <a:pt x="88" y="64"/>
              </a:lnTo>
              <a:lnTo>
                <a:pt x="89" y="65"/>
              </a:lnTo>
              <a:lnTo>
                <a:pt x="91" y="69"/>
              </a:lnTo>
              <a:lnTo>
                <a:pt x="89" y="72"/>
              </a:lnTo>
              <a:lnTo>
                <a:pt x="91" y="76"/>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2856</xdr:colOff>
      <xdr:row>46</xdr:row>
      <xdr:rowOff>128461</xdr:rowOff>
    </xdr:from>
    <xdr:to>
      <xdr:col>3</xdr:col>
      <xdr:colOff>649959</xdr:colOff>
      <xdr:row>50</xdr:row>
      <xdr:rowOff>151809</xdr:rowOff>
    </xdr:to>
    <xdr:sp macro="" textlink="">
      <xdr:nvSpPr>
        <xdr:cNvPr id="14" name="Freeform 85">
          <a:extLst>
            <a:ext uri="{FF2B5EF4-FFF2-40B4-BE49-F238E27FC236}">
              <a16:creationId xmlns:a16="http://schemas.microsoft.com/office/drawing/2014/main" id="{2EA3BE1D-721A-4306-A057-F3C4B41160C0}"/>
            </a:ext>
          </a:extLst>
        </xdr:cNvPr>
        <xdr:cNvSpPr>
          <a:spLocks noChangeAspect="1"/>
        </xdr:cNvSpPr>
      </xdr:nvSpPr>
      <xdr:spPr bwMode="gray">
        <a:xfrm>
          <a:off x="2565081" y="8516811"/>
          <a:ext cx="647103" cy="674223"/>
        </a:xfrm>
        <a:custGeom>
          <a:avLst/>
          <a:gdLst>
            <a:gd name="T0" fmla="*/ 6 w 76"/>
            <a:gd name="T1" fmla="*/ 170 h 85"/>
            <a:gd name="T2" fmla="*/ 45 w 76"/>
            <a:gd name="T3" fmla="*/ 188 h 85"/>
            <a:gd name="T4" fmla="*/ 85 w 76"/>
            <a:gd name="T5" fmla="*/ 188 h 85"/>
            <a:gd name="T6" fmla="*/ 119 w 76"/>
            <a:gd name="T7" fmla="*/ 170 h 85"/>
            <a:gd name="T8" fmla="*/ 153 w 76"/>
            <a:gd name="T9" fmla="*/ 188 h 85"/>
            <a:gd name="T10" fmla="*/ 188 w 76"/>
            <a:gd name="T11" fmla="*/ 170 h 85"/>
            <a:gd name="T12" fmla="*/ 216 w 76"/>
            <a:gd name="T13" fmla="*/ 148 h 85"/>
            <a:gd name="T14" fmla="*/ 233 w 76"/>
            <a:gd name="T15" fmla="*/ 102 h 85"/>
            <a:gd name="T16" fmla="*/ 244 w 76"/>
            <a:gd name="T17" fmla="*/ 51 h 85"/>
            <a:gd name="T18" fmla="*/ 279 w 76"/>
            <a:gd name="T19" fmla="*/ 28 h 85"/>
            <a:gd name="T20" fmla="*/ 290 w 76"/>
            <a:gd name="T21" fmla="*/ 0 h 85"/>
            <a:gd name="T22" fmla="*/ 324 w 76"/>
            <a:gd name="T23" fmla="*/ 28 h 85"/>
            <a:gd name="T24" fmla="*/ 341 w 76"/>
            <a:gd name="T25" fmla="*/ 80 h 85"/>
            <a:gd name="T26" fmla="*/ 341 w 76"/>
            <a:gd name="T27" fmla="*/ 125 h 85"/>
            <a:gd name="T28" fmla="*/ 358 w 76"/>
            <a:gd name="T29" fmla="*/ 170 h 85"/>
            <a:gd name="T30" fmla="*/ 387 w 76"/>
            <a:gd name="T31" fmla="*/ 216 h 85"/>
            <a:gd name="T32" fmla="*/ 421 w 76"/>
            <a:gd name="T33" fmla="*/ 233 h 85"/>
            <a:gd name="T34" fmla="*/ 421 w 76"/>
            <a:gd name="T35" fmla="*/ 278 h 85"/>
            <a:gd name="T36" fmla="*/ 404 w 76"/>
            <a:gd name="T37" fmla="*/ 313 h 85"/>
            <a:gd name="T38" fmla="*/ 369 w 76"/>
            <a:gd name="T39" fmla="*/ 352 h 85"/>
            <a:gd name="T40" fmla="*/ 335 w 76"/>
            <a:gd name="T41" fmla="*/ 386 h 85"/>
            <a:gd name="T42" fmla="*/ 301 w 76"/>
            <a:gd name="T43" fmla="*/ 426 h 85"/>
            <a:gd name="T44" fmla="*/ 290 w 76"/>
            <a:gd name="T45" fmla="*/ 460 h 85"/>
            <a:gd name="T46" fmla="*/ 256 w 76"/>
            <a:gd name="T47" fmla="*/ 483 h 85"/>
            <a:gd name="T48" fmla="*/ 216 w 76"/>
            <a:gd name="T49" fmla="*/ 460 h 85"/>
            <a:gd name="T50" fmla="*/ 199 w 76"/>
            <a:gd name="T51" fmla="*/ 409 h 85"/>
            <a:gd name="T52" fmla="*/ 165 w 76"/>
            <a:gd name="T53" fmla="*/ 375 h 85"/>
            <a:gd name="T54" fmla="*/ 165 w 76"/>
            <a:gd name="T55" fmla="*/ 330 h 85"/>
            <a:gd name="T56" fmla="*/ 125 w 76"/>
            <a:gd name="T57" fmla="*/ 290 h 85"/>
            <a:gd name="T58" fmla="*/ 102 w 76"/>
            <a:gd name="T59" fmla="*/ 267 h 85"/>
            <a:gd name="T60" fmla="*/ 74 w 76"/>
            <a:gd name="T61" fmla="*/ 244 h 85"/>
            <a:gd name="T62" fmla="*/ 40 w 76"/>
            <a:gd name="T63" fmla="*/ 216 h 85"/>
            <a:gd name="T64" fmla="*/ 17 w 76"/>
            <a:gd name="T65" fmla="*/ 199 h 85"/>
            <a:gd name="T66" fmla="*/ 0 w 76"/>
            <a:gd name="T67" fmla="*/ 170 h 85"/>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0" t="0" r="r" b="b"/>
          <a:pathLst>
            <a:path w="76" h="85">
              <a:moveTo>
                <a:pt x="0" y="30"/>
              </a:moveTo>
              <a:lnTo>
                <a:pt x="1" y="30"/>
              </a:lnTo>
              <a:lnTo>
                <a:pt x="5" y="30"/>
              </a:lnTo>
              <a:lnTo>
                <a:pt x="8" y="33"/>
              </a:lnTo>
              <a:lnTo>
                <a:pt x="11" y="33"/>
              </a:lnTo>
              <a:lnTo>
                <a:pt x="15" y="33"/>
              </a:lnTo>
              <a:lnTo>
                <a:pt x="18" y="30"/>
              </a:lnTo>
              <a:lnTo>
                <a:pt x="21" y="30"/>
              </a:lnTo>
              <a:lnTo>
                <a:pt x="24" y="30"/>
              </a:lnTo>
              <a:lnTo>
                <a:pt x="27" y="33"/>
              </a:lnTo>
              <a:lnTo>
                <a:pt x="30" y="33"/>
              </a:lnTo>
              <a:lnTo>
                <a:pt x="33" y="30"/>
              </a:lnTo>
              <a:lnTo>
                <a:pt x="36" y="30"/>
              </a:lnTo>
              <a:lnTo>
                <a:pt x="38" y="26"/>
              </a:lnTo>
              <a:lnTo>
                <a:pt x="39" y="22"/>
              </a:lnTo>
              <a:lnTo>
                <a:pt x="41" y="18"/>
              </a:lnTo>
              <a:lnTo>
                <a:pt x="43" y="14"/>
              </a:lnTo>
              <a:lnTo>
                <a:pt x="43" y="9"/>
              </a:lnTo>
              <a:lnTo>
                <a:pt x="46" y="5"/>
              </a:lnTo>
              <a:lnTo>
                <a:pt x="49" y="5"/>
              </a:lnTo>
              <a:lnTo>
                <a:pt x="49" y="1"/>
              </a:lnTo>
              <a:lnTo>
                <a:pt x="51" y="0"/>
              </a:lnTo>
              <a:lnTo>
                <a:pt x="56" y="1"/>
              </a:lnTo>
              <a:lnTo>
                <a:pt x="57" y="5"/>
              </a:lnTo>
              <a:lnTo>
                <a:pt x="59" y="9"/>
              </a:lnTo>
              <a:lnTo>
                <a:pt x="60" y="14"/>
              </a:lnTo>
              <a:lnTo>
                <a:pt x="60" y="18"/>
              </a:lnTo>
              <a:lnTo>
                <a:pt x="60" y="22"/>
              </a:lnTo>
              <a:lnTo>
                <a:pt x="62" y="26"/>
              </a:lnTo>
              <a:lnTo>
                <a:pt x="63" y="30"/>
              </a:lnTo>
              <a:lnTo>
                <a:pt x="65" y="35"/>
              </a:lnTo>
              <a:lnTo>
                <a:pt x="68" y="38"/>
              </a:lnTo>
              <a:lnTo>
                <a:pt x="71" y="38"/>
              </a:lnTo>
              <a:lnTo>
                <a:pt x="74" y="41"/>
              </a:lnTo>
              <a:lnTo>
                <a:pt x="76" y="45"/>
              </a:lnTo>
              <a:lnTo>
                <a:pt x="74" y="49"/>
              </a:lnTo>
              <a:lnTo>
                <a:pt x="74" y="54"/>
              </a:lnTo>
              <a:lnTo>
                <a:pt x="71" y="55"/>
              </a:lnTo>
              <a:lnTo>
                <a:pt x="68" y="58"/>
              </a:lnTo>
              <a:lnTo>
                <a:pt x="65" y="62"/>
              </a:lnTo>
              <a:lnTo>
                <a:pt x="62" y="66"/>
              </a:lnTo>
              <a:lnTo>
                <a:pt x="59" y="68"/>
              </a:lnTo>
              <a:lnTo>
                <a:pt x="57" y="72"/>
              </a:lnTo>
              <a:lnTo>
                <a:pt x="53" y="75"/>
              </a:lnTo>
              <a:lnTo>
                <a:pt x="51" y="76"/>
              </a:lnTo>
              <a:lnTo>
                <a:pt x="51" y="81"/>
              </a:lnTo>
              <a:lnTo>
                <a:pt x="48" y="83"/>
              </a:lnTo>
              <a:lnTo>
                <a:pt x="45" y="85"/>
              </a:lnTo>
              <a:lnTo>
                <a:pt x="41" y="85"/>
              </a:lnTo>
              <a:lnTo>
                <a:pt x="38" y="81"/>
              </a:lnTo>
              <a:lnTo>
                <a:pt x="36" y="76"/>
              </a:lnTo>
              <a:lnTo>
                <a:pt x="35" y="72"/>
              </a:lnTo>
              <a:lnTo>
                <a:pt x="32" y="70"/>
              </a:lnTo>
              <a:lnTo>
                <a:pt x="29" y="66"/>
              </a:lnTo>
              <a:lnTo>
                <a:pt x="29" y="62"/>
              </a:lnTo>
              <a:lnTo>
                <a:pt x="29" y="58"/>
              </a:lnTo>
              <a:lnTo>
                <a:pt x="25" y="55"/>
              </a:lnTo>
              <a:lnTo>
                <a:pt x="22" y="51"/>
              </a:lnTo>
              <a:lnTo>
                <a:pt x="21" y="47"/>
              </a:lnTo>
              <a:lnTo>
                <a:pt x="18" y="47"/>
              </a:lnTo>
              <a:lnTo>
                <a:pt x="16" y="43"/>
              </a:lnTo>
              <a:lnTo>
                <a:pt x="13" y="43"/>
              </a:lnTo>
              <a:lnTo>
                <a:pt x="10" y="41"/>
              </a:lnTo>
              <a:lnTo>
                <a:pt x="7" y="38"/>
              </a:lnTo>
              <a:lnTo>
                <a:pt x="3" y="38"/>
              </a:lnTo>
              <a:lnTo>
                <a:pt x="3" y="35"/>
              </a:lnTo>
              <a:lnTo>
                <a:pt x="1" y="30"/>
              </a:lnTo>
              <a:lnTo>
                <a:pt x="0" y="30"/>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1</xdr:col>
      <xdr:colOff>1446939</xdr:colOff>
      <xdr:row>55</xdr:row>
      <xdr:rowOff>143919</xdr:rowOff>
    </xdr:from>
    <xdr:to>
      <xdr:col>3</xdr:col>
      <xdr:colOff>624494</xdr:colOff>
      <xdr:row>63</xdr:row>
      <xdr:rowOff>149996</xdr:rowOff>
    </xdr:to>
    <xdr:sp macro="" textlink="">
      <xdr:nvSpPr>
        <xdr:cNvPr id="15" name="Freeform 86">
          <a:extLst>
            <a:ext uri="{FF2B5EF4-FFF2-40B4-BE49-F238E27FC236}">
              <a16:creationId xmlns:a16="http://schemas.microsoft.com/office/drawing/2014/main" id="{45263D5B-25CB-4A23-B210-86D4051CC37B}"/>
            </a:ext>
          </a:extLst>
        </xdr:cNvPr>
        <xdr:cNvSpPr>
          <a:spLocks noChangeAspect="1"/>
        </xdr:cNvSpPr>
      </xdr:nvSpPr>
      <xdr:spPr bwMode="gray">
        <a:xfrm>
          <a:off x="1599339" y="9989594"/>
          <a:ext cx="1584205" cy="1304652"/>
        </a:xfrm>
        <a:custGeom>
          <a:avLst/>
          <a:gdLst>
            <a:gd name="T0" fmla="*/ 273 w 171"/>
            <a:gd name="T1" fmla="*/ 45 h 165"/>
            <a:gd name="T2" fmla="*/ 250 w 171"/>
            <a:gd name="T3" fmla="*/ 102 h 165"/>
            <a:gd name="T4" fmla="*/ 182 w 171"/>
            <a:gd name="T5" fmla="*/ 114 h 165"/>
            <a:gd name="T6" fmla="*/ 114 w 171"/>
            <a:gd name="T7" fmla="*/ 102 h 165"/>
            <a:gd name="T8" fmla="*/ 40 w 171"/>
            <a:gd name="T9" fmla="*/ 114 h 165"/>
            <a:gd name="T10" fmla="*/ 0 w 171"/>
            <a:gd name="T11" fmla="*/ 114 h 165"/>
            <a:gd name="T12" fmla="*/ 0 w 171"/>
            <a:gd name="T13" fmla="*/ 148 h 165"/>
            <a:gd name="T14" fmla="*/ 6 w 171"/>
            <a:gd name="T15" fmla="*/ 221 h 165"/>
            <a:gd name="T16" fmla="*/ 28 w 171"/>
            <a:gd name="T17" fmla="*/ 295 h 165"/>
            <a:gd name="T18" fmla="*/ 79 w 171"/>
            <a:gd name="T19" fmla="*/ 329 h 165"/>
            <a:gd name="T20" fmla="*/ 125 w 171"/>
            <a:gd name="T21" fmla="*/ 341 h 165"/>
            <a:gd name="T22" fmla="*/ 131 w 171"/>
            <a:gd name="T23" fmla="*/ 386 h 165"/>
            <a:gd name="T24" fmla="*/ 148 w 171"/>
            <a:gd name="T25" fmla="*/ 460 h 165"/>
            <a:gd name="T26" fmla="*/ 114 w 171"/>
            <a:gd name="T27" fmla="*/ 505 h 165"/>
            <a:gd name="T28" fmla="*/ 79 w 171"/>
            <a:gd name="T29" fmla="*/ 568 h 165"/>
            <a:gd name="T30" fmla="*/ 102 w 171"/>
            <a:gd name="T31" fmla="*/ 625 h 165"/>
            <a:gd name="T32" fmla="*/ 85 w 171"/>
            <a:gd name="T33" fmla="*/ 710 h 165"/>
            <a:gd name="T34" fmla="*/ 131 w 171"/>
            <a:gd name="T35" fmla="*/ 767 h 165"/>
            <a:gd name="T36" fmla="*/ 193 w 171"/>
            <a:gd name="T37" fmla="*/ 784 h 165"/>
            <a:gd name="T38" fmla="*/ 244 w 171"/>
            <a:gd name="T39" fmla="*/ 784 h 165"/>
            <a:gd name="T40" fmla="*/ 273 w 171"/>
            <a:gd name="T41" fmla="*/ 840 h 165"/>
            <a:gd name="T42" fmla="*/ 318 w 171"/>
            <a:gd name="T43" fmla="*/ 880 h 165"/>
            <a:gd name="T44" fmla="*/ 335 w 171"/>
            <a:gd name="T45" fmla="*/ 926 h 165"/>
            <a:gd name="T46" fmla="*/ 386 w 171"/>
            <a:gd name="T47" fmla="*/ 903 h 165"/>
            <a:gd name="T48" fmla="*/ 443 w 171"/>
            <a:gd name="T49" fmla="*/ 863 h 165"/>
            <a:gd name="T50" fmla="*/ 505 w 171"/>
            <a:gd name="T51" fmla="*/ 880 h 165"/>
            <a:gd name="T52" fmla="*/ 574 w 171"/>
            <a:gd name="T53" fmla="*/ 886 h 165"/>
            <a:gd name="T54" fmla="*/ 636 w 171"/>
            <a:gd name="T55" fmla="*/ 880 h 165"/>
            <a:gd name="T56" fmla="*/ 676 w 171"/>
            <a:gd name="T57" fmla="*/ 886 h 165"/>
            <a:gd name="T58" fmla="*/ 687 w 171"/>
            <a:gd name="T59" fmla="*/ 937 h 165"/>
            <a:gd name="T60" fmla="*/ 710 w 171"/>
            <a:gd name="T61" fmla="*/ 886 h 165"/>
            <a:gd name="T62" fmla="*/ 744 w 171"/>
            <a:gd name="T63" fmla="*/ 818 h 165"/>
            <a:gd name="T64" fmla="*/ 778 w 171"/>
            <a:gd name="T65" fmla="*/ 744 h 165"/>
            <a:gd name="T66" fmla="*/ 829 w 171"/>
            <a:gd name="T67" fmla="*/ 721 h 165"/>
            <a:gd name="T68" fmla="*/ 869 w 171"/>
            <a:gd name="T69" fmla="*/ 664 h 165"/>
            <a:gd name="T70" fmla="*/ 897 w 171"/>
            <a:gd name="T71" fmla="*/ 613 h 165"/>
            <a:gd name="T72" fmla="*/ 920 w 171"/>
            <a:gd name="T73" fmla="*/ 545 h 165"/>
            <a:gd name="T74" fmla="*/ 931 w 171"/>
            <a:gd name="T75" fmla="*/ 471 h 165"/>
            <a:gd name="T76" fmla="*/ 920 w 171"/>
            <a:gd name="T77" fmla="*/ 403 h 165"/>
            <a:gd name="T78" fmla="*/ 920 w 171"/>
            <a:gd name="T79" fmla="*/ 329 h 165"/>
            <a:gd name="T80" fmla="*/ 931 w 171"/>
            <a:gd name="T81" fmla="*/ 273 h 165"/>
            <a:gd name="T82" fmla="*/ 965 w 171"/>
            <a:gd name="T83" fmla="*/ 199 h 165"/>
            <a:gd name="T84" fmla="*/ 920 w 171"/>
            <a:gd name="T85" fmla="*/ 199 h 165"/>
            <a:gd name="T86" fmla="*/ 840 w 171"/>
            <a:gd name="T87" fmla="*/ 210 h 165"/>
            <a:gd name="T88" fmla="*/ 761 w 171"/>
            <a:gd name="T89" fmla="*/ 199 h 165"/>
            <a:gd name="T90" fmla="*/ 676 w 171"/>
            <a:gd name="T91" fmla="*/ 199 h 165"/>
            <a:gd name="T92" fmla="*/ 602 w 171"/>
            <a:gd name="T93" fmla="*/ 199 h 165"/>
            <a:gd name="T94" fmla="*/ 517 w 171"/>
            <a:gd name="T95" fmla="*/ 199 h 165"/>
            <a:gd name="T96" fmla="*/ 443 w 171"/>
            <a:gd name="T97" fmla="*/ 187 h 165"/>
            <a:gd name="T98" fmla="*/ 397 w 171"/>
            <a:gd name="T99" fmla="*/ 165 h 165"/>
            <a:gd name="T100" fmla="*/ 352 w 171"/>
            <a:gd name="T101" fmla="*/ 114 h 165"/>
            <a:gd name="T102" fmla="*/ 324 w 171"/>
            <a:gd name="T103" fmla="*/ 68 h 165"/>
            <a:gd name="T104" fmla="*/ 301 w 171"/>
            <a:gd name="T105" fmla="*/ 6 h 165"/>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0" t="0" r="r" b="b"/>
          <a:pathLst>
            <a:path w="171" h="165">
              <a:moveTo>
                <a:pt x="52" y="0"/>
              </a:moveTo>
              <a:lnTo>
                <a:pt x="49" y="4"/>
              </a:lnTo>
              <a:lnTo>
                <a:pt x="48" y="8"/>
              </a:lnTo>
              <a:lnTo>
                <a:pt x="46" y="12"/>
              </a:lnTo>
              <a:lnTo>
                <a:pt x="46" y="16"/>
              </a:lnTo>
              <a:lnTo>
                <a:pt x="44" y="18"/>
              </a:lnTo>
              <a:lnTo>
                <a:pt x="42" y="18"/>
              </a:lnTo>
              <a:lnTo>
                <a:pt x="37" y="20"/>
              </a:lnTo>
              <a:lnTo>
                <a:pt x="32" y="20"/>
              </a:lnTo>
              <a:lnTo>
                <a:pt x="29" y="20"/>
              </a:lnTo>
              <a:lnTo>
                <a:pt x="24" y="18"/>
              </a:lnTo>
              <a:lnTo>
                <a:pt x="20" y="18"/>
              </a:lnTo>
              <a:lnTo>
                <a:pt x="15" y="20"/>
              </a:lnTo>
              <a:lnTo>
                <a:pt x="12" y="20"/>
              </a:lnTo>
              <a:lnTo>
                <a:pt x="7" y="20"/>
              </a:lnTo>
              <a:lnTo>
                <a:pt x="4" y="20"/>
              </a:lnTo>
              <a:lnTo>
                <a:pt x="1" y="20"/>
              </a:lnTo>
              <a:lnTo>
                <a:pt x="0" y="20"/>
              </a:lnTo>
              <a:lnTo>
                <a:pt x="0" y="21"/>
              </a:lnTo>
              <a:lnTo>
                <a:pt x="0" y="23"/>
              </a:lnTo>
              <a:lnTo>
                <a:pt x="0" y="26"/>
              </a:lnTo>
              <a:lnTo>
                <a:pt x="1" y="31"/>
              </a:lnTo>
              <a:lnTo>
                <a:pt x="3" y="35"/>
              </a:lnTo>
              <a:lnTo>
                <a:pt x="1" y="39"/>
              </a:lnTo>
              <a:lnTo>
                <a:pt x="0" y="43"/>
              </a:lnTo>
              <a:lnTo>
                <a:pt x="1" y="48"/>
              </a:lnTo>
              <a:lnTo>
                <a:pt x="5" y="52"/>
              </a:lnTo>
              <a:lnTo>
                <a:pt x="8" y="54"/>
              </a:lnTo>
              <a:lnTo>
                <a:pt x="11" y="56"/>
              </a:lnTo>
              <a:lnTo>
                <a:pt x="14" y="58"/>
              </a:lnTo>
              <a:lnTo>
                <a:pt x="17" y="56"/>
              </a:lnTo>
              <a:lnTo>
                <a:pt x="18" y="60"/>
              </a:lnTo>
              <a:lnTo>
                <a:pt x="22" y="60"/>
              </a:lnTo>
              <a:lnTo>
                <a:pt x="24" y="60"/>
              </a:lnTo>
              <a:lnTo>
                <a:pt x="23" y="64"/>
              </a:lnTo>
              <a:lnTo>
                <a:pt x="23" y="68"/>
              </a:lnTo>
              <a:lnTo>
                <a:pt x="24" y="73"/>
              </a:lnTo>
              <a:lnTo>
                <a:pt x="26" y="77"/>
              </a:lnTo>
              <a:lnTo>
                <a:pt x="26" y="81"/>
              </a:lnTo>
              <a:lnTo>
                <a:pt x="24" y="85"/>
              </a:lnTo>
              <a:lnTo>
                <a:pt x="22" y="87"/>
              </a:lnTo>
              <a:lnTo>
                <a:pt x="20" y="89"/>
              </a:lnTo>
              <a:lnTo>
                <a:pt x="18" y="92"/>
              </a:lnTo>
              <a:lnTo>
                <a:pt x="17" y="96"/>
              </a:lnTo>
              <a:lnTo>
                <a:pt x="14" y="100"/>
              </a:lnTo>
              <a:lnTo>
                <a:pt x="15" y="102"/>
              </a:lnTo>
              <a:lnTo>
                <a:pt x="18" y="106"/>
              </a:lnTo>
              <a:lnTo>
                <a:pt x="18" y="110"/>
              </a:lnTo>
              <a:lnTo>
                <a:pt x="17" y="114"/>
              </a:lnTo>
              <a:lnTo>
                <a:pt x="17" y="121"/>
              </a:lnTo>
              <a:lnTo>
                <a:pt x="15" y="125"/>
              </a:lnTo>
              <a:lnTo>
                <a:pt x="17" y="129"/>
              </a:lnTo>
              <a:lnTo>
                <a:pt x="18" y="133"/>
              </a:lnTo>
              <a:lnTo>
                <a:pt x="23" y="135"/>
              </a:lnTo>
              <a:lnTo>
                <a:pt x="28" y="135"/>
              </a:lnTo>
              <a:lnTo>
                <a:pt x="30" y="135"/>
              </a:lnTo>
              <a:lnTo>
                <a:pt x="34" y="138"/>
              </a:lnTo>
              <a:lnTo>
                <a:pt x="37" y="138"/>
              </a:lnTo>
              <a:lnTo>
                <a:pt x="40" y="138"/>
              </a:lnTo>
              <a:lnTo>
                <a:pt x="43" y="138"/>
              </a:lnTo>
              <a:lnTo>
                <a:pt x="48" y="139"/>
              </a:lnTo>
              <a:lnTo>
                <a:pt x="48" y="144"/>
              </a:lnTo>
              <a:lnTo>
                <a:pt x="48" y="148"/>
              </a:lnTo>
              <a:lnTo>
                <a:pt x="50" y="152"/>
              </a:lnTo>
              <a:lnTo>
                <a:pt x="53" y="155"/>
              </a:lnTo>
              <a:lnTo>
                <a:pt x="56" y="155"/>
              </a:lnTo>
              <a:lnTo>
                <a:pt x="57" y="159"/>
              </a:lnTo>
              <a:lnTo>
                <a:pt x="57" y="163"/>
              </a:lnTo>
              <a:lnTo>
                <a:pt x="59" y="163"/>
              </a:lnTo>
              <a:lnTo>
                <a:pt x="62" y="163"/>
              </a:lnTo>
              <a:lnTo>
                <a:pt x="65" y="161"/>
              </a:lnTo>
              <a:lnTo>
                <a:pt x="68" y="159"/>
              </a:lnTo>
              <a:lnTo>
                <a:pt x="71" y="155"/>
              </a:lnTo>
              <a:lnTo>
                <a:pt x="75" y="152"/>
              </a:lnTo>
              <a:lnTo>
                <a:pt x="78" y="152"/>
              </a:lnTo>
              <a:lnTo>
                <a:pt x="83" y="152"/>
              </a:lnTo>
              <a:lnTo>
                <a:pt x="85" y="152"/>
              </a:lnTo>
              <a:lnTo>
                <a:pt x="89" y="155"/>
              </a:lnTo>
              <a:lnTo>
                <a:pt x="93" y="156"/>
              </a:lnTo>
              <a:lnTo>
                <a:pt x="97" y="156"/>
              </a:lnTo>
              <a:lnTo>
                <a:pt x="101" y="156"/>
              </a:lnTo>
              <a:lnTo>
                <a:pt x="104" y="156"/>
              </a:lnTo>
              <a:lnTo>
                <a:pt x="107" y="156"/>
              </a:lnTo>
              <a:lnTo>
                <a:pt x="112" y="155"/>
              </a:lnTo>
              <a:lnTo>
                <a:pt x="115" y="155"/>
              </a:lnTo>
              <a:lnTo>
                <a:pt x="119" y="152"/>
              </a:lnTo>
              <a:lnTo>
                <a:pt x="119" y="156"/>
              </a:lnTo>
              <a:lnTo>
                <a:pt x="119" y="161"/>
              </a:lnTo>
              <a:lnTo>
                <a:pt x="119" y="165"/>
              </a:lnTo>
              <a:lnTo>
                <a:pt x="121" y="165"/>
              </a:lnTo>
              <a:lnTo>
                <a:pt x="125" y="165"/>
              </a:lnTo>
              <a:lnTo>
                <a:pt x="126" y="161"/>
              </a:lnTo>
              <a:lnTo>
                <a:pt x="125" y="156"/>
              </a:lnTo>
              <a:lnTo>
                <a:pt x="126" y="152"/>
              </a:lnTo>
              <a:lnTo>
                <a:pt x="129" y="148"/>
              </a:lnTo>
              <a:lnTo>
                <a:pt x="131" y="144"/>
              </a:lnTo>
              <a:lnTo>
                <a:pt x="134" y="139"/>
              </a:lnTo>
              <a:lnTo>
                <a:pt x="135" y="135"/>
              </a:lnTo>
              <a:lnTo>
                <a:pt x="137" y="131"/>
              </a:lnTo>
              <a:lnTo>
                <a:pt x="140" y="131"/>
              </a:lnTo>
              <a:lnTo>
                <a:pt x="144" y="129"/>
              </a:lnTo>
              <a:lnTo>
                <a:pt x="146" y="127"/>
              </a:lnTo>
              <a:lnTo>
                <a:pt x="146" y="123"/>
              </a:lnTo>
              <a:lnTo>
                <a:pt x="150" y="119"/>
              </a:lnTo>
              <a:lnTo>
                <a:pt x="153" y="117"/>
              </a:lnTo>
              <a:lnTo>
                <a:pt x="156" y="117"/>
              </a:lnTo>
              <a:lnTo>
                <a:pt x="158" y="113"/>
              </a:lnTo>
              <a:lnTo>
                <a:pt x="158" y="108"/>
              </a:lnTo>
              <a:lnTo>
                <a:pt x="159" y="104"/>
              </a:lnTo>
              <a:lnTo>
                <a:pt x="162" y="100"/>
              </a:lnTo>
              <a:lnTo>
                <a:pt x="162" y="96"/>
              </a:lnTo>
              <a:lnTo>
                <a:pt x="162" y="92"/>
              </a:lnTo>
              <a:lnTo>
                <a:pt x="164" y="87"/>
              </a:lnTo>
              <a:lnTo>
                <a:pt x="164" y="83"/>
              </a:lnTo>
              <a:lnTo>
                <a:pt x="162" y="79"/>
              </a:lnTo>
              <a:lnTo>
                <a:pt x="162" y="75"/>
              </a:lnTo>
              <a:lnTo>
                <a:pt x="162" y="71"/>
              </a:lnTo>
              <a:lnTo>
                <a:pt x="162" y="67"/>
              </a:lnTo>
              <a:lnTo>
                <a:pt x="164" y="62"/>
              </a:lnTo>
              <a:lnTo>
                <a:pt x="162" y="58"/>
              </a:lnTo>
              <a:lnTo>
                <a:pt x="162" y="54"/>
              </a:lnTo>
              <a:lnTo>
                <a:pt x="162" y="50"/>
              </a:lnTo>
              <a:lnTo>
                <a:pt x="164" y="48"/>
              </a:lnTo>
              <a:lnTo>
                <a:pt x="165" y="43"/>
              </a:lnTo>
              <a:lnTo>
                <a:pt x="167" y="39"/>
              </a:lnTo>
              <a:lnTo>
                <a:pt x="170" y="35"/>
              </a:lnTo>
              <a:lnTo>
                <a:pt x="171" y="35"/>
              </a:lnTo>
              <a:lnTo>
                <a:pt x="167" y="35"/>
              </a:lnTo>
              <a:lnTo>
                <a:pt x="162" y="35"/>
              </a:lnTo>
              <a:lnTo>
                <a:pt x="158" y="37"/>
              </a:lnTo>
              <a:lnTo>
                <a:pt x="153" y="37"/>
              </a:lnTo>
              <a:lnTo>
                <a:pt x="148" y="37"/>
              </a:lnTo>
              <a:lnTo>
                <a:pt x="144" y="37"/>
              </a:lnTo>
              <a:lnTo>
                <a:pt x="139" y="35"/>
              </a:lnTo>
              <a:lnTo>
                <a:pt x="134" y="35"/>
              </a:lnTo>
              <a:lnTo>
                <a:pt x="128" y="35"/>
              </a:lnTo>
              <a:lnTo>
                <a:pt x="123" y="35"/>
              </a:lnTo>
              <a:lnTo>
                <a:pt x="119" y="35"/>
              </a:lnTo>
              <a:lnTo>
                <a:pt x="115" y="35"/>
              </a:lnTo>
              <a:lnTo>
                <a:pt x="111" y="35"/>
              </a:lnTo>
              <a:lnTo>
                <a:pt x="106" y="35"/>
              </a:lnTo>
              <a:lnTo>
                <a:pt x="100" y="35"/>
              </a:lnTo>
              <a:lnTo>
                <a:pt x="95" y="35"/>
              </a:lnTo>
              <a:lnTo>
                <a:pt x="91" y="35"/>
              </a:lnTo>
              <a:lnTo>
                <a:pt x="85" y="35"/>
              </a:lnTo>
              <a:lnTo>
                <a:pt x="81" y="33"/>
              </a:lnTo>
              <a:lnTo>
                <a:pt x="78" y="33"/>
              </a:lnTo>
              <a:lnTo>
                <a:pt x="75" y="35"/>
              </a:lnTo>
              <a:lnTo>
                <a:pt x="72" y="33"/>
              </a:lnTo>
              <a:lnTo>
                <a:pt x="70" y="29"/>
              </a:lnTo>
              <a:lnTo>
                <a:pt x="67" y="29"/>
              </a:lnTo>
              <a:lnTo>
                <a:pt x="65" y="25"/>
              </a:lnTo>
              <a:lnTo>
                <a:pt x="62" y="20"/>
              </a:lnTo>
              <a:lnTo>
                <a:pt x="59" y="20"/>
              </a:lnTo>
              <a:lnTo>
                <a:pt x="57" y="16"/>
              </a:lnTo>
              <a:lnTo>
                <a:pt x="57" y="12"/>
              </a:lnTo>
              <a:lnTo>
                <a:pt x="56" y="8"/>
              </a:lnTo>
              <a:lnTo>
                <a:pt x="55" y="4"/>
              </a:lnTo>
              <a:lnTo>
                <a:pt x="53" y="1"/>
              </a:lnTo>
              <a:lnTo>
                <a:pt x="52" y="0"/>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853675</xdr:colOff>
      <xdr:row>50</xdr:row>
      <xdr:rowOff>157803</xdr:rowOff>
    </xdr:from>
    <xdr:to>
      <xdr:col>4</xdr:col>
      <xdr:colOff>525296</xdr:colOff>
      <xdr:row>58</xdr:row>
      <xdr:rowOff>12617</xdr:rowOff>
    </xdr:to>
    <xdr:sp macro="" textlink="">
      <xdr:nvSpPr>
        <xdr:cNvPr id="16" name="Freeform 87">
          <a:extLst>
            <a:ext uri="{FF2B5EF4-FFF2-40B4-BE49-F238E27FC236}">
              <a16:creationId xmlns:a16="http://schemas.microsoft.com/office/drawing/2014/main" id="{E9ACFEF3-7510-4DBE-A7E5-223A5C11CA65}"/>
            </a:ext>
          </a:extLst>
        </xdr:cNvPr>
        <xdr:cNvSpPr>
          <a:spLocks noChangeAspect="1"/>
        </xdr:cNvSpPr>
      </xdr:nvSpPr>
      <xdr:spPr bwMode="gray">
        <a:xfrm>
          <a:off x="3412725" y="9200203"/>
          <a:ext cx="843196" cy="1143864"/>
        </a:xfrm>
        <a:custGeom>
          <a:avLst/>
          <a:gdLst>
            <a:gd name="T0" fmla="*/ 187 w 99"/>
            <a:gd name="T1" fmla="*/ 34 h 146"/>
            <a:gd name="T2" fmla="*/ 182 w 99"/>
            <a:gd name="T3" fmla="*/ 97 h 146"/>
            <a:gd name="T4" fmla="*/ 159 w 99"/>
            <a:gd name="T5" fmla="*/ 131 h 146"/>
            <a:gd name="T6" fmla="*/ 148 w 99"/>
            <a:gd name="T7" fmla="*/ 176 h 146"/>
            <a:gd name="T8" fmla="*/ 131 w 99"/>
            <a:gd name="T9" fmla="*/ 221 h 146"/>
            <a:gd name="T10" fmla="*/ 97 w 99"/>
            <a:gd name="T11" fmla="*/ 256 h 146"/>
            <a:gd name="T12" fmla="*/ 74 w 99"/>
            <a:gd name="T13" fmla="*/ 301 h 146"/>
            <a:gd name="T14" fmla="*/ 40 w 99"/>
            <a:gd name="T15" fmla="*/ 312 h 146"/>
            <a:gd name="T16" fmla="*/ 6 w 99"/>
            <a:gd name="T17" fmla="*/ 335 h 146"/>
            <a:gd name="T18" fmla="*/ 6 w 99"/>
            <a:gd name="T19" fmla="*/ 352 h 146"/>
            <a:gd name="T20" fmla="*/ 34 w 99"/>
            <a:gd name="T21" fmla="*/ 352 h 146"/>
            <a:gd name="T22" fmla="*/ 62 w 99"/>
            <a:gd name="T23" fmla="*/ 375 h 146"/>
            <a:gd name="T24" fmla="*/ 85 w 99"/>
            <a:gd name="T25" fmla="*/ 409 h 146"/>
            <a:gd name="T26" fmla="*/ 85 w 99"/>
            <a:gd name="T27" fmla="*/ 454 h 146"/>
            <a:gd name="T28" fmla="*/ 74 w 99"/>
            <a:gd name="T29" fmla="*/ 500 h 146"/>
            <a:gd name="T30" fmla="*/ 62 w 99"/>
            <a:gd name="T31" fmla="*/ 551 h 146"/>
            <a:gd name="T32" fmla="*/ 97 w 99"/>
            <a:gd name="T33" fmla="*/ 568 h 146"/>
            <a:gd name="T34" fmla="*/ 119 w 99"/>
            <a:gd name="T35" fmla="*/ 608 h 146"/>
            <a:gd name="T36" fmla="*/ 159 w 99"/>
            <a:gd name="T37" fmla="*/ 608 h 146"/>
            <a:gd name="T38" fmla="*/ 148 w 99"/>
            <a:gd name="T39" fmla="*/ 647 h 146"/>
            <a:gd name="T40" fmla="*/ 131 w 99"/>
            <a:gd name="T41" fmla="*/ 687 h 146"/>
            <a:gd name="T42" fmla="*/ 131 w 99"/>
            <a:gd name="T43" fmla="*/ 732 h 146"/>
            <a:gd name="T44" fmla="*/ 159 w 99"/>
            <a:gd name="T45" fmla="*/ 767 h 146"/>
            <a:gd name="T46" fmla="*/ 176 w 99"/>
            <a:gd name="T47" fmla="*/ 801 h 146"/>
            <a:gd name="T48" fmla="*/ 199 w 99"/>
            <a:gd name="T49" fmla="*/ 829 h 146"/>
            <a:gd name="T50" fmla="*/ 227 w 99"/>
            <a:gd name="T51" fmla="*/ 778 h 146"/>
            <a:gd name="T52" fmla="*/ 216 w 99"/>
            <a:gd name="T53" fmla="*/ 732 h 146"/>
            <a:gd name="T54" fmla="*/ 227 w 99"/>
            <a:gd name="T55" fmla="*/ 687 h 146"/>
            <a:gd name="T56" fmla="*/ 238 w 99"/>
            <a:gd name="T57" fmla="*/ 642 h 146"/>
            <a:gd name="T58" fmla="*/ 261 w 99"/>
            <a:gd name="T59" fmla="*/ 579 h 146"/>
            <a:gd name="T60" fmla="*/ 295 w 99"/>
            <a:gd name="T61" fmla="*/ 568 h 146"/>
            <a:gd name="T62" fmla="*/ 329 w 99"/>
            <a:gd name="T63" fmla="*/ 556 h 146"/>
            <a:gd name="T64" fmla="*/ 363 w 99"/>
            <a:gd name="T65" fmla="*/ 522 h 146"/>
            <a:gd name="T66" fmla="*/ 403 w 99"/>
            <a:gd name="T67" fmla="*/ 511 h 146"/>
            <a:gd name="T68" fmla="*/ 443 w 99"/>
            <a:gd name="T69" fmla="*/ 511 h 146"/>
            <a:gd name="T70" fmla="*/ 477 w 99"/>
            <a:gd name="T71" fmla="*/ 500 h 146"/>
            <a:gd name="T72" fmla="*/ 471 w 99"/>
            <a:gd name="T73" fmla="*/ 454 h 146"/>
            <a:gd name="T74" fmla="*/ 460 w 99"/>
            <a:gd name="T75" fmla="*/ 420 h 146"/>
            <a:gd name="T76" fmla="*/ 477 w 99"/>
            <a:gd name="T77" fmla="*/ 375 h 146"/>
            <a:gd name="T78" fmla="*/ 477 w 99"/>
            <a:gd name="T79" fmla="*/ 329 h 146"/>
            <a:gd name="T80" fmla="*/ 460 w 99"/>
            <a:gd name="T81" fmla="*/ 290 h 146"/>
            <a:gd name="T82" fmla="*/ 488 w 99"/>
            <a:gd name="T83" fmla="*/ 244 h 146"/>
            <a:gd name="T84" fmla="*/ 528 w 99"/>
            <a:gd name="T85" fmla="*/ 210 h 146"/>
            <a:gd name="T86" fmla="*/ 562 w 99"/>
            <a:gd name="T87" fmla="*/ 199 h 146"/>
            <a:gd name="T88" fmla="*/ 562 w 99"/>
            <a:gd name="T89" fmla="*/ 165 h 146"/>
            <a:gd name="T90" fmla="*/ 534 w 99"/>
            <a:gd name="T91" fmla="*/ 165 h 146"/>
            <a:gd name="T92" fmla="*/ 500 w 99"/>
            <a:gd name="T93" fmla="*/ 142 h 146"/>
            <a:gd name="T94" fmla="*/ 460 w 99"/>
            <a:gd name="T95" fmla="*/ 131 h 146"/>
            <a:gd name="T96" fmla="*/ 426 w 99"/>
            <a:gd name="T97" fmla="*/ 131 h 146"/>
            <a:gd name="T98" fmla="*/ 392 w 99"/>
            <a:gd name="T99" fmla="*/ 131 h 146"/>
            <a:gd name="T100" fmla="*/ 358 w 99"/>
            <a:gd name="T101" fmla="*/ 153 h 146"/>
            <a:gd name="T102" fmla="*/ 324 w 99"/>
            <a:gd name="T103" fmla="*/ 153 h 146"/>
            <a:gd name="T104" fmla="*/ 324 w 99"/>
            <a:gd name="T105" fmla="*/ 108 h 146"/>
            <a:gd name="T106" fmla="*/ 324 w 99"/>
            <a:gd name="T107" fmla="*/ 57 h 146"/>
            <a:gd name="T108" fmla="*/ 290 w 99"/>
            <a:gd name="T109" fmla="*/ 34 h 146"/>
            <a:gd name="T110" fmla="*/ 250 w 99"/>
            <a:gd name="T111" fmla="*/ 34 h 146"/>
            <a:gd name="T112" fmla="*/ 216 w 99"/>
            <a:gd name="T113" fmla="*/ 6 h 14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0" t="0" r="r" b="b"/>
          <a:pathLst>
            <a:path w="99" h="146">
              <a:moveTo>
                <a:pt x="35" y="0"/>
              </a:moveTo>
              <a:lnTo>
                <a:pt x="33" y="6"/>
              </a:lnTo>
              <a:lnTo>
                <a:pt x="33" y="13"/>
              </a:lnTo>
              <a:lnTo>
                <a:pt x="32" y="17"/>
              </a:lnTo>
              <a:lnTo>
                <a:pt x="31" y="21"/>
              </a:lnTo>
              <a:lnTo>
                <a:pt x="28" y="23"/>
              </a:lnTo>
              <a:lnTo>
                <a:pt x="26" y="27"/>
              </a:lnTo>
              <a:lnTo>
                <a:pt x="26" y="31"/>
              </a:lnTo>
              <a:lnTo>
                <a:pt x="25" y="35"/>
              </a:lnTo>
              <a:lnTo>
                <a:pt x="23" y="39"/>
              </a:lnTo>
              <a:lnTo>
                <a:pt x="20" y="43"/>
              </a:lnTo>
              <a:lnTo>
                <a:pt x="17" y="45"/>
              </a:lnTo>
              <a:lnTo>
                <a:pt x="15" y="49"/>
              </a:lnTo>
              <a:lnTo>
                <a:pt x="13" y="53"/>
              </a:lnTo>
              <a:lnTo>
                <a:pt x="11" y="53"/>
              </a:lnTo>
              <a:lnTo>
                <a:pt x="7" y="55"/>
              </a:lnTo>
              <a:lnTo>
                <a:pt x="5" y="55"/>
              </a:lnTo>
              <a:lnTo>
                <a:pt x="1" y="59"/>
              </a:lnTo>
              <a:lnTo>
                <a:pt x="0" y="62"/>
              </a:lnTo>
              <a:lnTo>
                <a:pt x="1" y="62"/>
              </a:lnTo>
              <a:lnTo>
                <a:pt x="3" y="62"/>
              </a:lnTo>
              <a:lnTo>
                <a:pt x="6" y="62"/>
              </a:lnTo>
              <a:lnTo>
                <a:pt x="7" y="66"/>
              </a:lnTo>
              <a:lnTo>
                <a:pt x="11" y="66"/>
              </a:lnTo>
              <a:lnTo>
                <a:pt x="13" y="67"/>
              </a:lnTo>
              <a:lnTo>
                <a:pt x="15" y="72"/>
              </a:lnTo>
              <a:lnTo>
                <a:pt x="15" y="76"/>
              </a:lnTo>
              <a:lnTo>
                <a:pt x="15" y="80"/>
              </a:lnTo>
              <a:lnTo>
                <a:pt x="15" y="84"/>
              </a:lnTo>
              <a:lnTo>
                <a:pt x="13" y="88"/>
              </a:lnTo>
              <a:lnTo>
                <a:pt x="12" y="92"/>
              </a:lnTo>
              <a:lnTo>
                <a:pt x="11" y="97"/>
              </a:lnTo>
              <a:lnTo>
                <a:pt x="13" y="98"/>
              </a:lnTo>
              <a:lnTo>
                <a:pt x="17" y="100"/>
              </a:lnTo>
              <a:lnTo>
                <a:pt x="18" y="105"/>
              </a:lnTo>
              <a:lnTo>
                <a:pt x="21" y="107"/>
              </a:lnTo>
              <a:lnTo>
                <a:pt x="25" y="107"/>
              </a:lnTo>
              <a:lnTo>
                <a:pt x="28" y="107"/>
              </a:lnTo>
              <a:lnTo>
                <a:pt x="29" y="111"/>
              </a:lnTo>
              <a:lnTo>
                <a:pt x="26" y="114"/>
              </a:lnTo>
              <a:lnTo>
                <a:pt x="23" y="117"/>
              </a:lnTo>
              <a:lnTo>
                <a:pt x="23" y="121"/>
              </a:lnTo>
              <a:lnTo>
                <a:pt x="21" y="125"/>
              </a:lnTo>
              <a:lnTo>
                <a:pt x="23" y="129"/>
              </a:lnTo>
              <a:lnTo>
                <a:pt x="26" y="131"/>
              </a:lnTo>
              <a:lnTo>
                <a:pt x="28" y="135"/>
              </a:lnTo>
              <a:lnTo>
                <a:pt x="28" y="139"/>
              </a:lnTo>
              <a:lnTo>
                <a:pt x="31" y="141"/>
              </a:lnTo>
              <a:lnTo>
                <a:pt x="32" y="146"/>
              </a:lnTo>
              <a:lnTo>
                <a:pt x="35" y="146"/>
              </a:lnTo>
              <a:lnTo>
                <a:pt x="38" y="141"/>
              </a:lnTo>
              <a:lnTo>
                <a:pt x="40" y="137"/>
              </a:lnTo>
              <a:lnTo>
                <a:pt x="38" y="133"/>
              </a:lnTo>
              <a:lnTo>
                <a:pt x="38" y="129"/>
              </a:lnTo>
              <a:lnTo>
                <a:pt x="36" y="125"/>
              </a:lnTo>
              <a:lnTo>
                <a:pt x="40" y="121"/>
              </a:lnTo>
              <a:lnTo>
                <a:pt x="41" y="117"/>
              </a:lnTo>
              <a:lnTo>
                <a:pt x="42" y="113"/>
              </a:lnTo>
              <a:lnTo>
                <a:pt x="42" y="107"/>
              </a:lnTo>
              <a:lnTo>
                <a:pt x="46" y="102"/>
              </a:lnTo>
              <a:lnTo>
                <a:pt x="49" y="100"/>
              </a:lnTo>
              <a:lnTo>
                <a:pt x="52" y="100"/>
              </a:lnTo>
              <a:lnTo>
                <a:pt x="55" y="98"/>
              </a:lnTo>
              <a:lnTo>
                <a:pt x="58" y="98"/>
              </a:lnTo>
              <a:lnTo>
                <a:pt x="62" y="94"/>
              </a:lnTo>
              <a:lnTo>
                <a:pt x="64" y="92"/>
              </a:lnTo>
              <a:lnTo>
                <a:pt x="68" y="90"/>
              </a:lnTo>
              <a:lnTo>
                <a:pt x="71" y="90"/>
              </a:lnTo>
              <a:lnTo>
                <a:pt x="75" y="92"/>
              </a:lnTo>
              <a:lnTo>
                <a:pt x="78" y="90"/>
              </a:lnTo>
              <a:lnTo>
                <a:pt x="81" y="90"/>
              </a:lnTo>
              <a:lnTo>
                <a:pt x="84" y="88"/>
              </a:lnTo>
              <a:lnTo>
                <a:pt x="84" y="84"/>
              </a:lnTo>
              <a:lnTo>
                <a:pt x="83" y="80"/>
              </a:lnTo>
              <a:lnTo>
                <a:pt x="80" y="78"/>
              </a:lnTo>
              <a:lnTo>
                <a:pt x="81" y="74"/>
              </a:lnTo>
              <a:lnTo>
                <a:pt x="84" y="69"/>
              </a:lnTo>
              <a:lnTo>
                <a:pt x="84" y="66"/>
              </a:lnTo>
              <a:lnTo>
                <a:pt x="84" y="62"/>
              </a:lnTo>
              <a:lnTo>
                <a:pt x="84" y="58"/>
              </a:lnTo>
              <a:lnTo>
                <a:pt x="84" y="53"/>
              </a:lnTo>
              <a:lnTo>
                <a:pt x="81" y="51"/>
              </a:lnTo>
              <a:lnTo>
                <a:pt x="84" y="47"/>
              </a:lnTo>
              <a:lnTo>
                <a:pt x="86" y="43"/>
              </a:lnTo>
              <a:lnTo>
                <a:pt x="89" y="39"/>
              </a:lnTo>
              <a:lnTo>
                <a:pt x="93" y="37"/>
              </a:lnTo>
              <a:lnTo>
                <a:pt x="95" y="37"/>
              </a:lnTo>
              <a:lnTo>
                <a:pt x="99" y="35"/>
              </a:lnTo>
              <a:lnTo>
                <a:pt x="99" y="31"/>
              </a:lnTo>
              <a:lnTo>
                <a:pt x="99" y="29"/>
              </a:lnTo>
              <a:lnTo>
                <a:pt x="97" y="29"/>
              </a:lnTo>
              <a:lnTo>
                <a:pt x="94" y="29"/>
              </a:lnTo>
              <a:lnTo>
                <a:pt x="91" y="27"/>
              </a:lnTo>
              <a:lnTo>
                <a:pt x="88" y="25"/>
              </a:lnTo>
              <a:lnTo>
                <a:pt x="84" y="25"/>
              </a:lnTo>
              <a:lnTo>
                <a:pt x="81" y="23"/>
              </a:lnTo>
              <a:lnTo>
                <a:pt x="78" y="23"/>
              </a:lnTo>
              <a:lnTo>
                <a:pt x="75" y="23"/>
              </a:lnTo>
              <a:lnTo>
                <a:pt x="72" y="23"/>
              </a:lnTo>
              <a:lnTo>
                <a:pt x="69" y="23"/>
              </a:lnTo>
              <a:lnTo>
                <a:pt x="66" y="27"/>
              </a:lnTo>
              <a:lnTo>
                <a:pt x="63" y="27"/>
              </a:lnTo>
              <a:lnTo>
                <a:pt x="60" y="29"/>
              </a:lnTo>
              <a:lnTo>
                <a:pt x="57" y="27"/>
              </a:lnTo>
              <a:lnTo>
                <a:pt x="57" y="23"/>
              </a:lnTo>
              <a:lnTo>
                <a:pt x="57" y="19"/>
              </a:lnTo>
              <a:lnTo>
                <a:pt x="58" y="14"/>
              </a:lnTo>
              <a:lnTo>
                <a:pt x="57" y="10"/>
              </a:lnTo>
              <a:lnTo>
                <a:pt x="53" y="9"/>
              </a:lnTo>
              <a:lnTo>
                <a:pt x="51" y="6"/>
              </a:lnTo>
              <a:lnTo>
                <a:pt x="47" y="6"/>
              </a:lnTo>
              <a:lnTo>
                <a:pt x="44" y="6"/>
              </a:lnTo>
              <a:lnTo>
                <a:pt x="41" y="2"/>
              </a:lnTo>
              <a:lnTo>
                <a:pt x="38" y="1"/>
              </a:lnTo>
              <a:lnTo>
                <a:pt x="35" y="0"/>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1142774</xdr:colOff>
      <xdr:row>52</xdr:row>
      <xdr:rowOff>53927</xdr:rowOff>
    </xdr:from>
    <xdr:to>
      <xdr:col>4</xdr:col>
      <xdr:colOff>712535</xdr:colOff>
      <xdr:row>58</xdr:row>
      <xdr:rowOff>84045</xdr:rowOff>
    </xdr:to>
    <xdr:sp macro="" textlink="">
      <xdr:nvSpPr>
        <xdr:cNvPr id="17" name="Freeform 88">
          <a:extLst>
            <a:ext uri="{FF2B5EF4-FFF2-40B4-BE49-F238E27FC236}">
              <a16:creationId xmlns:a16="http://schemas.microsoft.com/office/drawing/2014/main" id="{AD5327E7-6DB2-4C2B-982B-C1C047A42FFC}"/>
            </a:ext>
          </a:extLst>
        </xdr:cNvPr>
        <xdr:cNvSpPr>
          <a:spLocks noChangeAspect="1"/>
        </xdr:cNvSpPr>
      </xdr:nvSpPr>
      <xdr:spPr bwMode="gray">
        <a:xfrm>
          <a:off x="3704999" y="9413827"/>
          <a:ext cx="744511" cy="1008018"/>
        </a:xfrm>
        <a:custGeom>
          <a:avLst/>
          <a:gdLst>
            <a:gd name="T0" fmla="*/ 432 w 87"/>
            <a:gd name="T1" fmla="*/ 505 h 127"/>
            <a:gd name="T2" fmla="*/ 471 w 87"/>
            <a:gd name="T3" fmla="*/ 483 h 127"/>
            <a:gd name="T4" fmla="*/ 471 w 87"/>
            <a:gd name="T5" fmla="*/ 431 h 127"/>
            <a:gd name="T6" fmla="*/ 494 w 87"/>
            <a:gd name="T7" fmla="*/ 409 h 127"/>
            <a:gd name="T8" fmla="*/ 483 w 87"/>
            <a:gd name="T9" fmla="*/ 363 h 127"/>
            <a:gd name="T10" fmla="*/ 466 w 87"/>
            <a:gd name="T11" fmla="*/ 329 h 127"/>
            <a:gd name="T12" fmla="*/ 443 w 87"/>
            <a:gd name="T13" fmla="*/ 284 h 127"/>
            <a:gd name="T14" fmla="*/ 443 w 87"/>
            <a:gd name="T15" fmla="*/ 233 h 127"/>
            <a:gd name="T16" fmla="*/ 454 w 87"/>
            <a:gd name="T17" fmla="*/ 182 h 127"/>
            <a:gd name="T18" fmla="*/ 432 w 87"/>
            <a:gd name="T19" fmla="*/ 136 h 127"/>
            <a:gd name="T20" fmla="*/ 432 w 87"/>
            <a:gd name="T21" fmla="*/ 91 h 127"/>
            <a:gd name="T22" fmla="*/ 426 w 87"/>
            <a:gd name="T23" fmla="*/ 45 h 127"/>
            <a:gd name="T24" fmla="*/ 443 w 87"/>
            <a:gd name="T25" fmla="*/ 6 h 127"/>
            <a:gd name="T26" fmla="*/ 426 w 87"/>
            <a:gd name="T27" fmla="*/ 6 h 127"/>
            <a:gd name="T28" fmla="*/ 392 w 87"/>
            <a:gd name="T29" fmla="*/ 0 h 127"/>
            <a:gd name="T30" fmla="*/ 369 w 87"/>
            <a:gd name="T31" fmla="*/ 6 h 127"/>
            <a:gd name="T32" fmla="*/ 358 w 87"/>
            <a:gd name="T33" fmla="*/ 45 h 127"/>
            <a:gd name="T34" fmla="*/ 318 w 87"/>
            <a:gd name="T35" fmla="*/ 57 h 127"/>
            <a:gd name="T36" fmla="*/ 290 w 87"/>
            <a:gd name="T37" fmla="*/ 102 h 127"/>
            <a:gd name="T38" fmla="*/ 290 w 87"/>
            <a:gd name="T39" fmla="*/ 136 h 127"/>
            <a:gd name="T40" fmla="*/ 290 w 87"/>
            <a:gd name="T41" fmla="*/ 182 h 127"/>
            <a:gd name="T42" fmla="*/ 290 w 87"/>
            <a:gd name="T43" fmla="*/ 233 h 127"/>
            <a:gd name="T44" fmla="*/ 261 w 87"/>
            <a:gd name="T45" fmla="*/ 284 h 127"/>
            <a:gd name="T46" fmla="*/ 290 w 87"/>
            <a:gd name="T47" fmla="*/ 318 h 127"/>
            <a:gd name="T48" fmla="*/ 273 w 87"/>
            <a:gd name="T49" fmla="*/ 352 h 127"/>
            <a:gd name="T50" fmla="*/ 238 w 87"/>
            <a:gd name="T51" fmla="*/ 363 h 127"/>
            <a:gd name="T52" fmla="*/ 187 w 87"/>
            <a:gd name="T53" fmla="*/ 352 h 127"/>
            <a:gd name="T54" fmla="*/ 153 w 87"/>
            <a:gd name="T55" fmla="*/ 375 h 127"/>
            <a:gd name="T56" fmla="*/ 119 w 87"/>
            <a:gd name="T57" fmla="*/ 403 h 127"/>
            <a:gd name="T58" fmla="*/ 79 w 87"/>
            <a:gd name="T59" fmla="*/ 409 h 127"/>
            <a:gd name="T60" fmla="*/ 45 w 87"/>
            <a:gd name="T61" fmla="*/ 448 h 127"/>
            <a:gd name="T62" fmla="*/ 40 w 87"/>
            <a:gd name="T63" fmla="*/ 505 h 127"/>
            <a:gd name="T64" fmla="*/ 6 w 87"/>
            <a:gd name="T65" fmla="*/ 556 h 127"/>
            <a:gd name="T66" fmla="*/ 17 w 87"/>
            <a:gd name="T67" fmla="*/ 602 h 127"/>
            <a:gd name="T68" fmla="*/ 17 w 87"/>
            <a:gd name="T69" fmla="*/ 653 h 127"/>
            <a:gd name="T70" fmla="*/ 6 w 87"/>
            <a:gd name="T71" fmla="*/ 670 h 127"/>
            <a:gd name="T72" fmla="*/ 45 w 87"/>
            <a:gd name="T73" fmla="*/ 698 h 127"/>
            <a:gd name="T74" fmla="*/ 79 w 87"/>
            <a:gd name="T75" fmla="*/ 721 h 127"/>
            <a:gd name="T76" fmla="*/ 119 w 87"/>
            <a:gd name="T77" fmla="*/ 710 h 127"/>
            <a:gd name="T78" fmla="*/ 153 w 87"/>
            <a:gd name="T79" fmla="*/ 681 h 127"/>
            <a:gd name="T80" fmla="*/ 187 w 87"/>
            <a:gd name="T81" fmla="*/ 659 h 127"/>
            <a:gd name="T82" fmla="*/ 182 w 87"/>
            <a:gd name="T83" fmla="*/ 613 h 127"/>
            <a:gd name="T84" fmla="*/ 210 w 87"/>
            <a:gd name="T85" fmla="*/ 590 h 127"/>
            <a:gd name="T86" fmla="*/ 244 w 87"/>
            <a:gd name="T87" fmla="*/ 590 h 127"/>
            <a:gd name="T88" fmla="*/ 284 w 87"/>
            <a:gd name="T89" fmla="*/ 602 h 127"/>
            <a:gd name="T90" fmla="*/ 318 w 87"/>
            <a:gd name="T91" fmla="*/ 590 h 127"/>
            <a:gd name="T92" fmla="*/ 363 w 87"/>
            <a:gd name="T93" fmla="*/ 562 h 127"/>
            <a:gd name="T94" fmla="*/ 397 w 87"/>
            <a:gd name="T95" fmla="*/ 539 h 127"/>
            <a:gd name="T96" fmla="*/ 409 w 87"/>
            <a:gd name="T97" fmla="*/ 528 h 127"/>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87" h="127">
              <a:moveTo>
                <a:pt x="73" y="93"/>
              </a:moveTo>
              <a:lnTo>
                <a:pt x="76" y="89"/>
              </a:lnTo>
              <a:lnTo>
                <a:pt x="80" y="89"/>
              </a:lnTo>
              <a:lnTo>
                <a:pt x="83" y="85"/>
              </a:lnTo>
              <a:lnTo>
                <a:pt x="83" y="81"/>
              </a:lnTo>
              <a:lnTo>
                <a:pt x="83" y="76"/>
              </a:lnTo>
              <a:lnTo>
                <a:pt x="86" y="72"/>
              </a:lnTo>
              <a:lnTo>
                <a:pt x="87" y="72"/>
              </a:lnTo>
              <a:lnTo>
                <a:pt x="85" y="68"/>
              </a:lnTo>
              <a:lnTo>
                <a:pt x="85" y="64"/>
              </a:lnTo>
              <a:lnTo>
                <a:pt x="85" y="60"/>
              </a:lnTo>
              <a:lnTo>
                <a:pt x="82" y="58"/>
              </a:lnTo>
              <a:lnTo>
                <a:pt x="80" y="53"/>
              </a:lnTo>
              <a:lnTo>
                <a:pt x="78" y="50"/>
              </a:lnTo>
              <a:lnTo>
                <a:pt x="76" y="45"/>
              </a:lnTo>
              <a:lnTo>
                <a:pt x="78" y="41"/>
              </a:lnTo>
              <a:lnTo>
                <a:pt x="78" y="37"/>
              </a:lnTo>
              <a:lnTo>
                <a:pt x="80" y="32"/>
              </a:lnTo>
              <a:lnTo>
                <a:pt x="76" y="28"/>
              </a:lnTo>
              <a:lnTo>
                <a:pt x="76" y="24"/>
              </a:lnTo>
              <a:lnTo>
                <a:pt x="76" y="20"/>
              </a:lnTo>
              <a:lnTo>
                <a:pt x="76" y="16"/>
              </a:lnTo>
              <a:lnTo>
                <a:pt x="75" y="12"/>
              </a:lnTo>
              <a:lnTo>
                <a:pt x="75" y="8"/>
              </a:lnTo>
              <a:lnTo>
                <a:pt x="76" y="4"/>
              </a:lnTo>
              <a:lnTo>
                <a:pt x="78" y="1"/>
              </a:lnTo>
              <a:lnTo>
                <a:pt x="77" y="1"/>
              </a:lnTo>
              <a:lnTo>
                <a:pt x="75" y="1"/>
              </a:lnTo>
              <a:lnTo>
                <a:pt x="72" y="0"/>
              </a:lnTo>
              <a:lnTo>
                <a:pt x="69" y="0"/>
              </a:lnTo>
              <a:lnTo>
                <a:pt x="65" y="0"/>
              </a:lnTo>
              <a:lnTo>
                <a:pt x="65" y="1"/>
              </a:lnTo>
              <a:lnTo>
                <a:pt x="65" y="5"/>
              </a:lnTo>
              <a:lnTo>
                <a:pt x="63" y="8"/>
              </a:lnTo>
              <a:lnTo>
                <a:pt x="59" y="8"/>
              </a:lnTo>
              <a:lnTo>
                <a:pt x="56" y="10"/>
              </a:lnTo>
              <a:lnTo>
                <a:pt x="53" y="14"/>
              </a:lnTo>
              <a:lnTo>
                <a:pt x="51" y="18"/>
              </a:lnTo>
              <a:lnTo>
                <a:pt x="48" y="22"/>
              </a:lnTo>
              <a:lnTo>
                <a:pt x="51" y="24"/>
              </a:lnTo>
              <a:lnTo>
                <a:pt x="51" y="28"/>
              </a:lnTo>
              <a:lnTo>
                <a:pt x="51" y="32"/>
              </a:lnTo>
              <a:lnTo>
                <a:pt x="51" y="37"/>
              </a:lnTo>
              <a:lnTo>
                <a:pt x="51" y="41"/>
              </a:lnTo>
              <a:lnTo>
                <a:pt x="48" y="45"/>
              </a:lnTo>
              <a:lnTo>
                <a:pt x="46" y="50"/>
              </a:lnTo>
              <a:lnTo>
                <a:pt x="50" y="52"/>
              </a:lnTo>
              <a:lnTo>
                <a:pt x="51" y="56"/>
              </a:lnTo>
              <a:lnTo>
                <a:pt x="51" y="60"/>
              </a:lnTo>
              <a:lnTo>
                <a:pt x="48" y="62"/>
              </a:lnTo>
              <a:lnTo>
                <a:pt x="45" y="62"/>
              </a:lnTo>
              <a:lnTo>
                <a:pt x="42" y="64"/>
              </a:lnTo>
              <a:lnTo>
                <a:pt x="37" y="62"/>
              </a:lnTo>
              <a:lnTo>
                <a:pt x="33" y="62"/>
              </a:lnTo>
              <a:lnTo>
                <a:pt x="30" y="64"/>
              </a:lnTo>
              <a:lnTo>
                <a:pt x="27" y="66"/>
              </a:lnTo>
              <a:lnTo>
                <a:pt x="24" y="71"/>
              </a:lnTo>
              <a:lnTo>
                <a:pt x="21" y="71"/>
              </a:lnTo>
              <a:lnTo>
                <a:pt x="18" y="72"/>
              </a:lnTo>
              <a:lnTo>
                <a:pt x="14" y="72"/>
              </a:lnTo>
              <a:lnTo>
                <a:pt x="11" y="75"/>
              </a:lnTo>
              <a:lnTo>
                <a:pt x="8" y="79"/>
              </a:lnTo>
              <a:lnTo>
                <a:pt x="8" y="85"/>
              </a:lnTo>
              <a:lnTo>
                <a:pt x="7" y="89"/>
              </a:lnTo>
              <a:lnTo>
                <a:pt x="5" y="93"/>
              </a:lnTo>
              <a:lnTo>
                <a:pt x="1" y="98"/>
              </a:lnTo>
              <a:lnTo>
                <a:pt x="3" y="102"/>
              </a:lnTo>
              <a:lnTo>
                <a:pt x="3" y="106"/>
              </a:lnTo>
              <a:lnTo>
                <a:pt x="5" y="110"/>
              </a:lnTo>
              <a:lnTo>
                <a:pt x="3" y="115"/>
              </a:lnTo>
              <a:lnTo>
                <a:pt x="0" y="118"/>
              </a:lnTo>
              <a:lnTo>
                <a:pt x="1" y="118"/>
              </a:lnTo>
              <a:lnTo>
                <a:pt x="5" y="120"/>
              </a:lnTo>
              <a:lnTo>
                <a:pt x="8" y="123"/>
              </a:lnTo>
              <a:lnTo>
                <a:pt x="11" y="125"/>
              </a:lnTo>
              <a:lnTo>
                <a:pt x="14" y="127"/>
              </a:lnTo>
              <a:lnTo>
                <a:pt x="18" y="127"/>
              </a:lnTo>
              <a:lnTo>
                <a:pt x="21" y="125"/>
              </a:lnTo>
              <a:lnTo>
                <a:pt x="24" y="120"/>
              </a:lnTo>
              <a:lnTo>
                <a:pt x="27" y="120"/>
              </a:lnTo>
              <a:lnTo>
                <a:pt x="32" y="120"/>
              </a:lnTo>
              <a:lnTo>
                <a:pt x="33" y="116"/>
              </a:lnTo>
              <a:lnTo>
                <a:pt x="33" y="112"/>
              </a:lnTo>
              <a:lnTo>
                <a:pt x="32" y="108"/>
              </a:lnTo>
              <a:lnTo>
                <a:pt x="33" y="104"/>
              </a:lnTo>
              <a:lnTo>
                <a:pt x="37" y="104"/>
              </a:lnTo>
              <a:lnTo>
                <a:pt x="40" y="104"/>
              </a:lnTo>
              <a:lnTo>
                <a:pt x="43" y="104"/>
              </a:lnTo>
              <a:lnTo>
                <a:pt x="46" y="104"/>
              </a:lnTo>
              <a:lnTo>
                <a:pt x="50" y="106"/>
              </a:lnTo>
              <a:lnTo>
                <a:pt x="53" y="106"/>
              </a:lnTo>
              <a:lnTo>
                <a:pt x="56" y="104"/>
              </a:lnTo>
              <a:lnTo>
                <a:pt x="59" y="99"/>
              </a:lnTo>
              <a:lnTo>
                <a:pt x="64" y="99"/>
              </a:lnTo>
              <a:lnTo>
                <a:pt x="67" y="98"/>
              </a:lnTo>
              <a:lnTo>
                <a:pt x="70" y="95"/>
              </a:lnTo>
              <a:lnTo>
                <a:pt x="72" y="94"/>
              </a:lnTo>
              <a:lnTo>
                <a:pt x="72" y="93"/>
              </a:lnTo>
              <a:lnTo>
                <a:pt x="73" y="93"/>
              </a:lnTo>
              <a:close/>
            </a:path>
          </a:pathLst>
        </a:custGeom>
        <a:solidFill>
          <a:srgbClr val="0000BF"/>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highlight>
              <a:srgbClr val="FFFF00"/>
            </a:highlight>
            <a:latin typeface="Calibri" panose="020F0502020204030204"/>
          </a:endParaRPr>
        </a:p>
      </xdr:txBody>
    </xdr:sp>
    <xdr:clientData/>
  </xdr:twoCellAnchor>
  <xdr:twoCellAnchor>
    <xdr:from>
      <xdr:col>4</xdr:col>
      <xdr:colOff>932730</xdr:colOff>
      <xdr:row>53</xdr:row>
      <xdr:rowOff>137147</xdr:rowOff>
    </xdr:from>
    <xdr:to>
      <xdr:col>6</xdr:col>
      <xdr:colOff>213391</xdr:colOff>
      <xdr:row>55</xdr:row>
      <xdr:rowOff>104703</xdr:rowOff>
    </xdr:to>
    <xdr:sp macro="" textlink="">
      <xdr:nvSpPr>
        <xdr:cNvPr id="18" name="Freeform 89">
          <a:extLst>
            <a:ext uri="{FF2B5EF4-FFF2-40B4-BE49-F238E27FC236}">
              <a16:creationId xmlns:a16="http://schemas.microsoft.com/office/drawing/2014/main" id="{C8BD4616-3538-4358-9236-B206E02490EA}"/>
            </a:ext>
          </a:extLst>
        </xdr:cNvPr>
        <xdr:cNvSpPr>
          <a:spLocks noChangeAspect="1"/>
        </xdr:cNvSpPr>
      </xdr:nvSpPr>
      <xdr:spPr bwMode="gray">
        <a:xfrm>
          <a:off x="4666530" y="9665322"/>
          <a:ext cx="1626986" cy="291406"/>
        </a:xfrm>
        <a:custGeom>
          <a:avLst/>
          <a:gdLst>
            <a:gd name="T0" fmla="*/ 301 w 53"/>
            <a:gd name="T1" fmla="*/ 170 h 37"/>
            <a:gd name="T2" fmla="*/ 301 w 53"/>
            <a:gd name="T3" fmla="*/ 165 h 37"/>
            <a:gd name="T4" fmla="*/ 301 w 53"/>
            <a:gd name="T5" fmla="*/ 142 h 37"/>
            <a:gd name="T6" fmla="*/ 301 w 53"/>
            <a:gd name="T7" fmla="*/ 114 h 37"/>
            <a:gd name="T8" fmla="*/ 295 w 53"/>
            <a:gd name="T9" fmla="*/ 91 h 37"/>
            <a:gd name="T10" fmla="*/ 284 w 53"/>
            <a:gd name="T11" fmla="*/ 74 h 37"/>
            <a:gd name="T12" fmla="*/ 267 w 53"/>
            <a:gd name="T13" fmla="*/ 57 h 37"/>
            <a:gd name="T14" fmla="*/ 244 w 53"/>
            <a:gd name="T15" fmla="*/ 45 h 37"/>
            <a:gd name="T16" fmla="*/ 233 w 53"/>
            <a:gd name="T17" fmla="*/ 45 h 37"/>
            <a:gd name="T18" fmla="*/ 210 w 53"/>
            <a:gd name="T19" fmla="*/ 34 h 37"/>
            <a:gd name="T20" fmla="*/ 193 w 53"/>
            <a:gd name="T21" fmla="*/ 34 h 37"/>
            <a:gd name="T22" fmla="*/ 176 w 53"/>
            <a:gd name="T23" fmla="*/ 34 h 37"/>
            <a:gd name="T24" fmla="*/ 159 w 53"/>
            <a:gd name="T25" fmla="*/ 34 h 37"/>
            <a:gd name="T26" fmla="*/ 136 w 53"/>
            <a:gd name="T27" fmla="*/ 34 h 37"/>
            <a:gd name="T28" fmla="*/ 119 w 53"/>
            <a:gd name="T29" fmla="*/ 11 h 37"/>
            <a:gd name="T30" fmla="*/ 114 w 53"/>
            <a:gd name="T31" fmla="*/ 0 h 37"/>
            <a:gd name="T32" fmla="*/ 97 w 53"/>
            <a:gd name="T33" fmla="*/ 11 h 37"/>
            <a:gd name="T34" fmla="*/ 74 w 53"/>
            <a:gd name="T35" fmla="*/ 23 h 37"/>
            <a:gd name="T36" fmla="*/ 68 w 53"/>
            <a:gd name="T37" fmla="*/ 45 h 37"/>
            <a:gd name="T38" fmla="*/ 57 w 53"/>
            <a:gd name="T39" fmla="*/ 74 h 37"/>
            <a:gd name="T40" fmla="*/ 51 w 53"/>
            <a:gd name="T41" fmla="*/ 91 h 37"/>
            <a:gd name="T42" fmla="*/ 34 w 53"/>
            <a:gd name="T43" fmla="*/ 91 h 37"/>
            <a:gd name="T44" fmla="*/ 11 w 53"/>
            <a:gd name="T45" fmla="*/ 108 h 37"/>
            <a:gd name="T46" fmla="*/ 0 w 53"/>
            <a:gd name="T47" fmla="*/ 125 h 37"/>
            <a:gd name="T48" fmla="*/ 11 w 53"/>
            <a:gd name="T49" fmla="*/ 153 h 37"/>
            <a:gd name="T50" fmla="*/ 34 w 53"/>
            <a:gd name="T51" fmla="*/ 165 h 37"/>
            <a:gd name="T52" fmla="*/ 51 w 53"/>
            <a:gd name="T53" fmla="*/ 153 h 37"/>
            <a:gd name="T54" fmla="*/ 68 w 53"/>
            <a:gd name="T55" fmla="*/ 153 h 37"/>
            <a:gd name="T56" fmla="*/ 85 w 53"/>
            <a:gd name="T57" fmla="*/ 142 h 37"/>
            <a:gd name="T58" fmla="*/ 102 w 53"/>
            <a:gd name="T59" fmla="*/ 125 h 37"/>
            <a:gd name="T60" fmla="*/ 114 w 53"/>
            <a:gd name="T61" fmla="*/ 153 h 37"/>
            <a:gd name="T62" fmla="*/ 97 w 53"/>
            <a:gd name="T63" fmla="*/ 165 h 37"/>
            <a:gd name="T64" fmla="*/ 97 w 53"/>
            <a:gd name="T65" fmla="*/ 187 h 37"/>
            <a:gd name="T66" fmla="*/ 114 w 53"/>
            <a:gd name="T67" fmla="*/ 199 h 37"/>
            <a:gd name="T68" fmla="*/ 131 w 53"/>
            <a:gd name="T69" fmla="*/ 187 h 37"/>
            <a:gd name="T70" fmla="*/ 148 w 53"/>
            <a:gd name="T71" fmla="*/ 199 h 37"/>
            <a:gd name="T72" fmla="*/ 165 w 53"/>
            <a:gd name="T73" fmla="*/ 210 h 37"/>
            <a:gd name="T74" fmla="*/ 176 w 53"/>
            <a:gd name="T75" fmla="*/ 199 h 37"/>
            <a:gd name="T76" fmla="*/ 176 w 53"/>
            <a:gd name="T77" fmla="*/ 176 h 37"/>
            <a:gd name="T78" fmla="*/ 193 w 53"/>
            <a:gd name="T79" fmla="*/ 165 h 37"/>
            <a:gd name="T80" fmla="*/ 210 w 53"/>
            <a:gd name="T81" fmla="*/ 176 h 37"/>
            <a:gd name="T82" fmla="*/ 233 w 53"/>
            <a:gd name="T83" fmla="*/ 176 h 37"/>
            <a:gd name="T84" fmla="*/ 244 w 53"/>
            <a:gd name="T85" fmla="*/ 165 h 37"/>
            <a:gd name="T86" fmla="*/ 267 w 53"/>
            <a:gd name="T87" fmla="*/ 187 h 37"/>
            <a:gd name="T88" fmla="*/ 284 w 53"/>
            <a:gd name="T89" fmla="*/ 187 h 37"/>
            <a:gd name="T90" fmla="*/ 301 w 53"/>
            <a:gd name="T91" fmla="*/ 176 h 37"/>
            <a:gd name="T92" fmla="*/ 301 w 53"/>
            <a:gd name="T93" fmla="*/ 170 h 37"/>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0" t="0" r="r" b="b"/>
          <a:pathLst>
            <a:path w="53" h="37">
              <a:moveTo>
                <a:pt x="53" y="30"/>
              </a:moveTo>
              <a:lnTo>
                <a:pt x="53" y="29"/>
              </a:lnTo>
              <a:lnTo>
                <a:pt x="53" y="25"/>
              </a:lnTo>
              <a:lnTo>
                <a:pt x="53" y="20"/>
              </a:lnTo>
              <a:lnTo>
                <a:pt x="52" y="16"/>
              </a:lnTo>
              <a:lnTo>
                <a:pt x="50" y="13"/>
              </a:lnTo>
              <a:lnTo>
                <a:pt x="47" y="10"/>
              </a:lnTo>
              <a:lnTo>
                <a:pt x="43" y="8"/>
              </a:lnTo>
              <a:lnTo>
                <a:pt x="41" y="8"/>
              </a:lnTo>
              <a:lnTo>
                <a:pt x="37" y="6"/>
              </a:lnTo>
              <a:lnTo>
                <a:pt x="34" y="6"/>
              </a:lnTo>
              <a:lnTo>
                <a:pt x="31" y="6"/>
              </a:lnTo>
              <a:lnTo>
                <a:pt x="28" y="6"/>
              </a:lnTo>
              <a:lnTo>
                <a:pt x="24" y="6"/>
              </a:lnTo>
              <a:lnTo>
                <a:pt x="21" y="2"/>
              </a:lnTo>
              <a:lnTo>
                <a:pt x="20" y="0"/>
              </a:lnTo>
              <a:lnTo>
                <a:pt x="17" y="2"/>
              </a:lnTo>
              <a:lnTo>
                <a:pt x="13" y="4"/>
              </a:lnTo>
              <a:lnTo>
                <a:pt x="12" y="8"/>
              </a:lnTo>
              <a:lnTo>
                <a:pt x="10" y="13"/>
              </a:lnTo>
              <a:lnTo>
                <a:pt x="9" y="16"/>
              </a:lnTo>
              <a:lnTo>
                <a:pt x="6" y="16"/>
              </a:lnTo>
              <a:lnTo>
                <a:pt x="2" y="19"/>
              </a:lnTo>
              <a:lnTo>
                <a:pt x="0" y="22"/>
              </a:lnTo>
              <a:lnTo>
                <a:pt x="2" y="27"/>
              </a:lnTo>
              <a:lnTo>
                <a:pt x="6" y="29"/>
              </a:lnTo>
              <a:lnTo>
                <a:pt x="9" y="27"/>
              </a:lnTo>
              <a:lnTo>
                <a:pt x="12" y="27"/>
              </a:lnTo>
              <a:lnTo>
                <a:pt x="15" y="25"/>
              </a:lnTo>
              <a:lnTo>
                <a:pt x="18" y="22"/>
              </a:lnTo>
              <a:lnTo>
                <a:pt x="20" y="27"/>
              </a:lnTo>
              <a:lnTo>
                <a:pt x="17" y="29"/>
              </a:lnTo>
              <a:lnTo>
                <a:pt x="17" y="33"/>
              </a:lnTo>
              <a:lnTo>
                <a:pt x="20" y="35"/>
              </a:lnTo>
              <a:lnTo>
                <a:pt x="23" y="33"/>
              </a:lnTo>
              <a:lnTo>
                <a:pt x="26" y="35"/>
              </a:lnTo>
              <a:lnTo>
                <a:pt x="29" y="37"/>
              </a:lnTo>
              <a:lnTo>
                <a:pt x="31" y="35"/>
              </a:lnTo>
              <a:lnTo>
                <a:pt x="31" y="31"/>
              </a:lnTo>
              <a:lnTo>
                <a:pt x="34" y="29"/>
              </a:lnTo>
              <a:lnTo>
                <a:pt x="37" y="31"/>
              </a:lnTo>
              <a:lnTo>
                <a:pt x="41" y="31"/>
              </a:lnTo>
              <a:lnTo>
                <a:pt x="43" y="29"/>
              </a:lnTo>
              <a:lnTo>
                <a:pt x="47" y="33"/>
              </a:lnTo>
              <a:lnTo>
                <a:pt x="50" y="33"/>
              </a:lnTo>
              <a:lnTo>
                <a:pt x="53" y="31"/>
              </a:lnTo>
              <a:lnTo>
                <a:pt x="53" y="30"/>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4</xdr:col>
      <xdr:colOff>609177</xdr:colOff>
      <xdr:row>52</xdr:row>
      <xdr:rowOff>53927</xdr:rowOff>
    </xdr:from>
    <xdr:to>
      <xdr:col>4</xdr:col>
      <xdr:colOff>1110982</xdr:colOff>
      <xdr:row>56</xdr:row>
      <xdr:rowOff>53464</xdr:rowOff>
    </xdr:to>
    <xdr:sp macro="" textlink="">
      <xdr:nvSpPr>
        <xdr:cNvPr id="19" name="Freeform 90">
          <a:extLst>
            <a:ext uri="{FF2B5EF4-FFF2-40B4-BE49-F238E27FC236}">
              <a16:creationId xmlns:a16="http://schemas.microsoft.com/office/drawing/2014/main" id="{AA67910F-0808-44C0-A5F2-472B49846D15}"/>
            </a:ext>
          </a:extLst>
        </xdr:cNvPr>
        <xdr:cNvSpPr>
          <a:spLocks noChangeAspect="1"/>
        </xdr:cNvSpPr>
      </xdr:nvSpPr>
      <xdr:spPr bwMode="gray">
        <a:xfrm>
          <a:off x="4342977" y="9413827"/>
          <a:ext cx="504980" cy="647237"/>
        </a:xfrm>
        <a:custGeom>
          <a:avLst/>
          <a:gdLst>
            <a:gd name="T0" fmla="*/ 216 w 59"/>
            <a:gd name="T1" fmla="*/ 307 h 82"/>
            <a:gd name="T2" fmla="*/ 256 w 59"/>
            <a:gd name="T3" fmla="*/ 267 h 82"/>
            <a:gd name="T4" fmla="*/ 278 w 59"/>
            <a:gd name="T5" fmla="*/ 244 h 82"/>
            <a:gd name="T6" fmla="*/ 301 w 59"/>
            <a:gd name="T7" fmla="*/ 199 h 82"/>
            <a:gd name="T8" fmla="*/ 335 w 59"/>
            <a:gd name="T9" fmla="*/ 176 h 82"/>
            <a:gd name="T10" fmla="*/ 307 w 59"/>
            <a:gd name="T11" fmla="*/ 165 h 82"/>
            <a:gd name="T12" fmla="*/ 273 w 59"/>
            <a:gd name="T13" fmla="*/ 136 h 82"/>
            <a:gd name="T14" fmla="*/ 244 w 59"/>
            <a:gd name="T15" fmla="*/ 102 h 82"/>
            <a:gd name="T16" fmla="*/ 210 w 59"/>
            <a:gd name="T17" fmla="*/ 68 h 82"/>
            <a:gd name="T18" fmla="*/ 170 w 59"/>
            <a:gd name="T19" fmla="*/ 28 h 82"/>
            <a:gd name="T20" fmla="*/ 119 w 59"/>
            <a:gd name="T21" fmla="*/ 6 h 82"/>
            <a:gd name="T22" fmla="*/ 85 w 59"/>
            <a:gd name="T23" fmla="*/ 0 h 82"/>
            <a:gd name="T24" fmla="*/ 51 w 59"/>
            <a:gd name="T25" fmla="*/ 6 h 82"/>
            <a:gd name="T26" fmla="*/ 17 w 59"/>
            <a:gd name="T27" fmla="*/ 6 h 82"/>
            <a:gd name="T28" fmla="*/ 11 w 59"/>
            <a:gd name="T29" fmla="*/ 6 h 82"/>
            <a:gd name="T30" fmla="*/ 0 w 59"/>
            <a:gd name="T31" fmla="*/ 45 h 82"/>
            <a:gd name="T32" fmla="*/ 6 w 59"/>
            <a:gd name="T33" fmla="*/ 91 h 82"/>
            <a:gd name="T34" fmla="*/ 6 w 59"/>
            <a:gd name="T35" fmla="*/ 136 h 82"/>
            <a:gd name="T36" fmla="*/ 23 w 59"/>
            <a:gd name="T37" fmla="*/ 188 h 82"/>
            <a:gd name="T38" fmla="*/ 17 w 59"/>
            <a:gd name="T39" fmla="*/ 233 h 82"/>
            <a:gd name="T40" fmla="*/ 17 w 59"/>
            <a:gd name="T41" fmla="*/ 284 h 82"/>
            <a:gd name="T42" fmla="*/ 34 w 59"/>
            <a:gd name="T43" fmla="*/ 330 h 82"/>
            <a:gd name="T44" fmla="*/ 51 w 59"/>
            <a:gd name="T45" fmla="*/ 364 h 82"/>
            <a:gd name="T46" fmla="*/ 57 w 59"/>
            <a:gd name="T47" fmla="*/ 415 h 82"/>
            <a:gd name="T48" fmla="*/ 57 w 59"/>
            <a:gd name="T49" fmla="*/ 409 h 82"/>
            <a:gd name="T50" fmla="*/ 85 w 59"/>
            <a:gd name="T51" fmla="*/ 426 h 82"/>
            <a:gd name="T52" fmla="*/ 119 w 59"/>
            <a:gd name="T53" fmla="*/ 415 h 82"/>
            <a:gd name="T54" fmla="*/ 159 w 59"/>
            <a:gd name="T55" fmla="*/ 449 h 82"/>
            <a:gd name="T56" fmla="*/ 182 w 59"/>
            <a:gd name="T57" fmla="*/ 460 h 82"/>
            <a:gd name="T58" fmla="*/ 216 w 59"/>
            <a:gd name="T59" fmla="*/ 432 h 82"/>
            <a:gd name="T60" fmla="*/ 216 w 59"/>
            <a:gd name="T61" fmla="*/ 386 h 82"/>
            <a:gd name="T62" fmla="*/ 227 w 59"/>
            <a:gd name="T63" fmla="*/ 341 h 82"/>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0" t="0" r="r" b="b"/>
          <a:pathLst>
            <a:path w="59" h="82">
              <a:moveTo>
                <a:pt x="41" y="58"/>
              </a:moveTo>
              <a:lnTo>
                <a:pt x="38" y="54"/>
              </a:lnTo>
              <a:lnTo>
                <a:pt x="41" y="50"/>
              </a:lnTo>
              <a:lnTo>
                <a:pt x="45" y="47"/>
              </a:lnTo>
              <a:lnTo>
                <a:pt x="48" y="47"/>
              </a:lnTo>
              <a:lnTo>
                <a:pt x="49" y="43"/>
              </a:lnTo>
              <a:lnTo>
                <a:pt x="50" y="39"/>
              </a:lnTo>
              <a:lnTo>
                <a:pt x="53" y="35"/>
              </a:lnTo>
              <a:lnTo>
                <a:pt x="56" y="33"/>
              </a:lnTo>
              <a:lnTo>
                <a:pt x="59" y="31"/>
              </a:lnTo>
              <a:lnTo>
                <a:pt x="57" y="29"/>
              </a:lnTo>
              <a:lnTo>
                <a:pt x="54" y="29"/>
              </a:lnTo>
              <a:lnTo>
                <a:pt x="50" y="26"/>
              </a:lnTo>
              <a:lnTo>
                <a:pt x="48" y="24"/>
              </a:lnTo>
              <a:lnTo>
                <a:pt x="46" y="20"/>
              </a:lnTo>
              <a:lnTo>
                <a:pt x="43" y="18"/>
              </a:lnTo>
              <a:lnTo>
                <a:pt x="40" y="14"/>
              </a:lnTo>
              <a:lnTo>
                <a:pt x="37" y="12"/>
              </a:lnTo>
              <a:lnTo>
                <a:pt x="34" y="9"/>
              </a:lnTo>
              <a:lnTo>
                <a:pt x="30" y="5"/>
              </a:lnTo>
              <a:lnTo>
                <a:pt x="24" y="4"/>
              </a:lnTo>
              <a:lnTo>
                <a:pt x="21" y="1"/>
              </a:lnTo>
              <a:lnTo>
                <a:pt x="18" y="0"/>
              </a:lnTo>
              <a:lnTo>
                <a:pt x="15" y="0"/>
              </a:lnTo>
              <a:lnTo>
                <a:pt x="12" y="1"/>
              </a:lnTo>
              <a:lnTo>
                <a:pt x="9" y="1"/>
              </a:lnTo>
              <a:lnTo>
                <a:pt x="6" y="1"/>
              </a:lnTo>
              <a:lnTo>
                <a:pt x="3" y="1"/>
              </a:lnTo>
              <a:lnTo>
                <a:pt x="2" y="1"/>
              </a:lnTo>
              <a:lnTo>
                <a:pt x="1" y="4"/>
              </a:lnTo>
              <a:lnTo>
                <a:pt x="0" y="8"/>
              </a:lnTo>
              <a:lnTo>
                <a:pt x="0" y="12"/>
              </a:lnTo>
              <a:lnTo>
                <a:pt x="1" y="16"/>
              </a:lnTo>
              <a:lnTo>
                <a:pt x="1" y="20"/>
              </a:lnTo>
              <a:lnTo>
                <a:pt x="1" y="24"/>
              </a:lnTo>
              <a:lnTo>
                <a:pt x="1" y="29"/>
              </a:lnTo>
              <a:lnTo>
                <a:pt x="4" y="33"/>
              </a:lnTo>
              <a:lnTo>
                <a:pt x="3" y="37"/>
              </a:lnTo>
              <a:lnTo>
                <a:pt x="3" y="41"/>
              </a:lnTo>
              <a:lnTo>
                <a:pt x="1" y="45"/>
              </a:lnTo>
              <a:lnTo>
                <a:pt x="3" y="50"/>
              </a:lnTo>
              <a:lnTo>
                <a:pt x="4" y="54"/>
              </a:lnTo>
              <a:lnTo>
                <a:pt x="6" y="58"/>
              </a:lnTo>
              <a:lnTo>
                <a:pt x="9" y="60"/>
              </a:lnTo>
              <a:lnTo>
                <a:pt x="9" y="64"/>
              </a:lnTo>
              <a:lnTo>
                <a:pt x="9" y="68"/>
              </a:lnTo>
              <a:lnTo>
                <a:pt x="10" y="73"/>
              </a:lnTo>
              <a:lnTo>
                <a:pt x="9" y="73"/>
              </a:lnTo>
              <a:lnTo>
                <a:pt x="10" y="72"/>
              </a:lnTo>
              <a:lnTo>
                <a:pt x="12" y="75"/>
              </a:lnTo>
              <a:lnTo>
                <a:pt x="15" y="75"/>
              </a:lnTo>
              <a:lnTo>
                <a:pt x="18" y="73"/>
              </a:lnTo>
              <a:lnTo>
                <a:pt x="21" y="73"/>
              </a:lnTo>
              <a:lnTo>
                <a:pt x="24" y="75"/>
              </a:lnTo>
              <a:lnTo>
                <a:pt x="28" y="79"/>
              </a:lnTo>
              <a:lnTo>
                <a:pt x="31" y="82"/>
              </a:lnTo>
              <a:lnTo>
                <a:pt x="32" y="81"/>
              </a:lnTo>
              <a:lnTo>
                <a:pt x="35" y="76"/>
              </a:lnTo>
              <a:lnTo>
                <a:pt x="38" y="76"/>
              </a:lnTo>
              <a:lnTo>
                <a:pt x="38" y="73"/>
              </a:lnTo>
              <a:lnTo>
                <a:pt x="38" y="68"/>
              </a:lnTo>
              <a:lnTo>
                <a:pt x="40" y="64"/>
              </a:lnTo>
              <a:lnTo>
                <a:pt x="40" y="60"/>
              </a:lnTo>
              <a:lnTo>
                <a:pt x="41" y="58"/>
              </a:lnTo>
              <a:close/>
            </a:path>
          </a:pathLst>
        </a:custGeom>
        <a:solidFill>
          <a:srgbClr val="140FD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4</xdr:col>
      <xdr:colOff>976171</xdr:colOff>
      <xdr:row>57</xdr:row>
      <xdr:rowOff>40043</xdr:rowOff>
    </xdr:from>
    <xdr:to>
      <xdr:col>6</xdr:col>
      <xdr:colOff>204404</xdr:colOff>
      <xdr:row>59</xdr:row>
      <xdr:rowOff>31409</xdr:rowOff>
    </xdr:to>
    <xdr:sp macro="" textlink="">
      <xdr:nvSpPr>
        <xdr:cNvPr id="20" name="Freeform 91">
          <a:extLst>
            <a:ext uri="{FF2B5EF4-FFF2-40B4-BE49-F238E27FC236}">
              <a16:creationId xmlns:a16="http://schemas.microsoft.com/office/drawing/2014/main" id="{D8C42578-3799-4EC8-88C8-A808084053F4}"/>
            </a:ext>
          </a:extLst>
        </xdr:cNvPr>
        <xdr:cNvSpPr>
          <a:spLocks noChangeAspect="1"/>
        </xdr:cNvSpPr>
      </xdr:nvSpPr>
      <xdr:spPr bwMode="gray">
        <a:xfrm>
          <a:off x="4713146" y="10212743"/>
          <a:ext cx="1565033" cy="312041"/>
        </a:xfrm>
        <a:custGeom>
          <a:avLst/>
          <a:gdLst>
            <a:gd name="T0" fmla="*/ 0 w 47"/>
            <a:gd name="T1" fmla="*/ 34 h 40"/>
            <a:gd name="T2" fmla="*/ 17 w 47"/>
            <a:gd name="T3" fmla="*/ 11 h 40"/>
            <a:gd name="T4" fmla="*/ 34 w 47"/>
            <a:gd name="T5" fmla="*/ 11 h 40"/>
            <a:gd name="T6" fmla="*/ 51 w 47"/>
            <a:gd name="T7" fmla="*/ 11 h 40"/>
            <a:gd name="T8" fmla="*/ 68 w 47"/>
            <a:gd name="T9" fmla="*/ 34 h 40"/>
            <a:gd name="T10" fmla="*/ 91 w 47"/>
            <a:gd name="T11" fmla="*/ 45 h 40"/>
            <a:gd name="T12" fmla="*/ 102 w 47"/>
            <a:gd name="T13" fmla="*/ 45 h 40"/>
            <a:gd name="T14" fmla="*/ 125 w 47"/>
            <a:gd name="T15" fmla="*/ 45 h 40"/>
            <a:gd name="T16" fmla="*/ 141 w 47"/>
            <a:gd name="T17" fmla="*/ 45 h 40"/>
            <a:gd name="T18" fmla="*/ 158 w 47"/>
            <a:gd name="T19" fmla="*/ 34 h 40"/>
            <a:gd name="T20" fmla="*/ 175 w 47"/>
            <a:gd name="T21" fmla="*/ 23 h 40"/>
            <a:gd name="T22" fmla="*/ 192 w 47"/>
            <a:gd name="T23" fmla="*/ 0 h 40"/>
            <a:gd name="T24" fmla="*/ 209 w 47"/>
            <a:gd name="T25" fmla="*/ 0 h 40"/>
            <a:gd name="T26" fmla="*/ 232 w 47"/>
            <a:gd name="T27" fmla="*/ 0 h 40"/>
            <a:gd name="T28" fmla="*/ 243 w 47"/>
            <a:gd name="T29" fmla="*/ 0 h 40"/>
            <a:gd name="T30" fmla="*/ 266 w 47"/>
            <a:gd name="T31" fmla="*/ 11 h 40"/>
            <a:gd name="T32" fmla="*/ 260 w 47"/>
            <a:gd name="T33" fmla="*/ 17 h 40"/>
            <a:gd name="T34" fmla="*/ 255 w 47"/>
            <a:gd name="T35" fmla="*/ 23 h 40"/>
            <a:gd name="T36" fmla="*/ 238 w 47"/>
            <a:gd name="T37" fmla="*/ 45 h 40"/>
            <a:gd name="T38" fmla="*/ 215 w 47"/>
            <a:gd name="T39" fmla="*/ 68 h 40"/>
            <a:gd name="T40" fmla="*/ 198 w 47"/>
            <a:gd name="T41" fmla="*/ 79 h 40"/>
            <a:gd name="T42" fmla="*/ 187 w 47"/>
            <a:gd name="T43" fmla="*/ 102 h 40"/>
            <a:gd name="T44" fmla="*/ 164 w 47"/>
            <a:gd name="T45" fmla="*/ 114 h 40"/>
            <a:gd name="T46" fmla="*/ 158 w 47"/>
            <a:gd name="T47" fmla="*/ 136 h 40"/>
            <a:gd name="T48" fmla="*/ 141 w 47"/>
            <a:gd name="T49" fmla="*/ 148 h 40"/>
            <a:gd name="T50" fmla="*/ 141 w 47"/>
            <a:gd name="T51" fmla="*/ 148 h 40"/>
            <a:gd name="T52" fmla="*/ 130 w 47"/>
            <a:gd name="T53" fmla="*/ 159 h 40"/>
            <a:gd name="T54" fmla="*/ 113 w 47"/>
            <a:gd name="T55" fmla="*/ 159 h 40"/>
            <a:gd name="T56" fmla="*/ 96 w 47"/>
            <a:gd name="T57" fmla="*/ 182 h 40"/>
            <a:gd name="T58" fmla="*/ 79 w 47"/>
            <a:gd name="T59" fmla="*/ 204 h 40"/>
            <a:gd name="T60" fmla="*/ 68 w 47"/>
            <a:gd name="T61" fmla="*/ 227 h 40"/>
            <a:gd name="T62" fmla="*/ 62 w 47"/>
            <a:gd name="T63" fmla="*/ 227 h 40"/>
            <a:gd name="T64" fmla="*/ 45 w 47"/>
            <a:gd name="T65" fmla="*/ 227 h 40"/>
            <a:gd name="T66" fmla="*/ 23 w 47"/>
            <a:gd name="T67" fmla="*/ 216 h 40"/>
            <a:gd name="T68" fmla="*/ 6 w 47"/>
            <a:gd name="T69" fmla="*/ 204 h 40"/>
            <a:gd name="T70" fmla="*/ 0 w 47"/>
            <a:gd name="T71" fmla="*/ 182 h 40"/>
            <a:gd name="T72" fmla="*/ 0 w 47"/>
            <a:gd name="T73" fmla="*/ 159 h 40"/>
            <a:gd name="T74" fmla="*/ 17 w 47"/>
            <a:gd name="T75" fmla="*/ 159 h 40"/>
            <a:gd name="T76" fmla="*/ 23 w 47"/>
            <a:gd name="T77" fmla="*/ 136 h 40"/>
            <a:gd name="T78" fmla="*/ 34 w 47"/>
            <a:gd name="T79" fmla="*/ 114 h 40"/>
            <a:gd name="T80" fmla="*/ 34 w 47"/>
            <a:gd name="T81" fmla="*/ 91 h 40"/>
            <a:gd name="T82" fmla="*/ 17 w 47"/>
            <a:gd name="T83" fmla="*/ 79 h 40"/>
            <a:gd name="T84" fmla="*/ 0 w 47"/>
            <a:gd name="T85" fmla="*/ 40 h 40"/>
            <a:gd name="T86" fmla="*/ 0 w 47"/>
            <a:gd name="T87" fmla="*/ 34 h 40"/>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47" h="40">
              <a:moveTo>
                <a:pt x="0" y="6"/>
              </a:moveTo>
              <a:lnTo>
                <a:pt x="3" y="2"/>
              </a:lnTo>
              <a:lnTo>
                <a:pt x="6" y="2"/>
              </a:lnTo>
              <a:lnTo>
                <a:pt x="9" y="2"/>
              </a:lnTo>
              <a:lnTo>
                <a:pt x="12" y="6"/>
              </a:lnTo>
              <a:lnTo>
                <a:pt x="16" y="8"/>
              </a:lnTo>
              <a:lnTo>
                <a:pt x="18" y="8"/>
              </a:lnTo>
              <a:lnTo>
                <a:pt x="22" y="8"/>
              </a:lnTo>
              <a:lnTo>
                <a:pt x="25" y="8"/>
              </a:lnTo>
              <a:lnTo>
                <a:pt x="28" y="6"/>
              </a:lnTo>
              <a:lnTo>
                <a:pt x="31" y="4"/>
              </a:lnTo>
              <a:lnTo>
                <a:pt x="34" y="0"/>
              </a:lnTo>
              <a:lnTo>
                <a:pt x="37" y="0"/>
              </a:lnTo>
              <a:lnTo>
                <a:pt x="41" y="0"/>
              </a:lnTo>
              <a:lnTo>
                <a:pt x="43" y="0"/>
              </a:lnTo>
              <a:lnTo>
                <a:pt x="47" y="2"/>
              </a:lnTo>
              <a:lnTo>
                <a:pt x="46" y="3"/>
              </a:lnTo>
              <a:lnTo>
                <a:pt x="45" y="4"/>
              </a:lnTo>
              <a:lnTo>
                <a:pt x="42" y="8"/>
              </a:lnTo>
              <a:lnTo>
                <a:pt x="38" y="12"/>
              </a:lnTo>
              <a:lnTo>
                <a:pt x="35" y="14"/>
              </a:lnTo>
              <a:lnTo>
                <a:pt x="33" y="18"/>
              </a:lnTo>
              <a:lnTo>
                <a:pt x="29" y="20"/>
              </a:lnTo>
              <a:lnTo>
                <a:pt x="28" y="24"/>
              </a:lnTo>
              <a:lnTo>
                <a:pt x="25" y="26"/>
              </a:lnTo>
              <a:lnTo>
                <a:pt x="23" y="28"/>
              </a:lnTo>
              <a:lnTo>
                <a:pt x="20" y="28"/>
              </a:lnTo>
              <a:lnTo>
                <a:pt x="17" y="32"/>
              </a:lnTo>
              <a:lnTo>
                <a:pt x="14" y="36"/>
              </a:lnTo>
              <a:lnTo>
                <a:pt x="12" y="40"/>
              </a:lnTo>
              <a:lnTo>
                <a:pt x="11" y="40"/>
              </a:lnTo>
              <a:lnTo>
                <a:pt x="8" y="40"/>
              </a:lnTo>
              <a:lnTo>
                <a:pt x="4" y="38"/>
              </a:lnTo>
              <a:lnTo>
                <a:pt x="1" y="36"/>
              </a:lnTo>
              <a:lnTo>
                <a:pt x="0" y="32"/>
              </a:lnTo>
              <a:lnTo>
                <a:pt x="0" y="28"/>
              </a:lnTo>
              <a:lnTo>
                <a:pt x="3" y="28"/>
              </a:lnTo>
              <a:lnTo>
                <a:pt x="4" y="24"/>
              </a:lnTo>
              <a:lnTo>
                <a:pt x="6" y="20"/>
              </a:lnTo>
              <a:lnTo>
                <a:pt x="6" y="16"/>
              </a:lnTo>
              <a:lnTo>
                <a:pt x="3" y="14"/>
              </a:lnTo>
              <a:lnTo>
                <a:pt x="0" y="7"/>
              </a:lnTo>
              <a:lnTo>
                <a:pt x="0" y="6"/>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1091845</xdr:colOff>
      <xdr:row>56</xdr:row>
      <xdr:rowOff>140301</xdr:rowOff>
    </xdr:from>
    <xdr:to>
      <xdr:col>4</xdr:col>
      <xdr:colOff>1078028</xdr:colOff>
      <xdr:row>64</xdr:row>
      <xdr:rowOff>74946</xdr:rowOff>
    </xdr:to>
    <xdr:sp macro="" textlink="">
      <xdr:nvSpPr>
        <xdr:cNvPr id="21" name="Freeform 92">
          <a:extLst>
            <a:ext uri="{FF2B5EF4-FFF2-40B4-BE49-F238E27FC236}">
              <a16:creationId xmlns:a16="http://schemas.microsoft.com/office/drawing/2014/main" id="{75FD8C0B-30C8-45EC-9BCA-91F1AE3F6E1D}"/>
            </a:ext>
          </a:extLst>
        </xdr:cNvPr>
        <xdr:cNvSpPr>
          <a:spLocks noChangeAspect="1"/>
        </xdr:cNvSpPr>
      </xdr:nvSpPr>
      <xdr:spPr bwMode="gray">
        <a:xfrm>
          <a:off x="3657245" y="10154251"/>
          <a:ext cx="1151408" cy="1226870"/>
        </a:xfrm>
        <a:custGeom>
          <a:avLst/>
          <a:gdLst>
            <a:gd name="T0" fmla="*/ 460 w 136"/>
            <a:gd name="T1" fmla="*/ 778 h 156"/>
            <a:gd name="T2" fmla="*/ 488 w 136"/>
            <a:gd name="T3" fmla="*/ 733 h 156"/>
            <a:gd name="T4" fmla="*/ 517 w 136"/>
            <a:gd name="T5" fmla="*/ 659 h 156"/>
            <a:gd name="T6" fmla="*/ 460 w 136"/>
            <a:gd name="T7" fmla="*/ 636 h 156"/>
            <a:gd name="T8" fmla="*/ 392 w 136"/>
            <a:gd name="T9" fmla="*/ 625 h 156"/>
            <a:gd name="T10" fmla="*/ 335 w 136"/>
            <a:gd name="T11" fmla="*/ 579 h 156"/>
            <a:gd name="T12" fmla="*/ 278 w 136"/>
            <a:gd name="T13" fmla="*/ 528 h 156"/>
            <a:gd name="T14" fmla="*/ 227 w 136"/>
            <a:gd name="T15" fmla="*/ 540 h 156"/>
            <a:gd name="T16" fmla="*/ 170 w 136"/>
            <a:gd name="T17" fmla="*/ 494 h 156"/>
            <a:gd name="T18" fmla="*/ 108 w 136"/>
            <a:gd name="T19" fmla="*/ 517 h 156"/>
            <a:gd name="T20" fmla="*/ 51 w 136"/>
            <a:gd name="T21" fmla="*/ 579 h 156"/>
            <a:gd name="T22" fmla="*/ 11 w 136"/>
            <a:gd name="T23" fmla="*/ 568 h 156"/>
            <a:gd name="T24" fmla="*/ 40 w 136"/>
            <a:gd name="T25" fmla="*/ 517 h 156"/>
            <a:gd name="T26" fmla="*/ 6 w 136"/>
            <a:gd name="T27" fmla="*/ 471 h 156"/>
            <a:gd name="T28" fmla="*/ 23 w 136"/>
            <a:gd name="T29" fmla="*/ 415 h 156"/>
            <a:gd name="T30" fmla="*/ 11 w 136"/>
            <a:gd name="T31" fmla="*/ 341 h 156"/>
            <a:gd name="T32" fmla="*/ 6 w 136"/>
            <a:gd name="T33" fmla="*/ 284 h 156"/>
            <a:gd name="T34" fmla="*/ 11 w 136"/>
            <a:gd name="T35" fmla="*/ 244 h 156"/>
            <a:gd name="T36" fmla="*/ 6 w 136"/>
            <a:gd name="T37" fmla="*/ 199 h 156"/>
            <a:gd name="T38" fmla="*/ 40 w 136"/>
            <a:gd name="T39" fmla="*/ 142 h 156"/>
            <a:gd name="T40" fmla="*/ 85 w 136"/>
            <a:gd name="T41" fmla="*/ 165 h 156"/>
            <a:gd name="T42" fmla="*/ 136 w 136"/>
            <a:gd name="T43" fmla="*/ 187 h 156"/>
            <a:gd name="T44" fmla="*/ 187 w 136"/>
            <a:gd name="T45" fmla="*/ 153 h 156"/>
            <a:gd name="T46" fmla="*/ 227 w 136"/>
            <a:gd name="T47" fmla="*/ 108 h 156"/>
            <a:gd name="T48" fmla="*/ 244 w 136"/>
            <a:gd name="T49" fmla="*/ 62 h 156"/>
            <a:gd name="T50" fmla="*/ 295 w 136"/>
            <a:gd name="T51" fmla="*/ 62 h 156"/>
            <a:gd name="T52" fmla="*/ 346 w 136"/>
            <a:gd name="T53" fmla="*/ 62 h 156"/>
            <a:gd name="T54" fmla="*/ 409 w 136"/>
            <a:gd name="T55" fmla="*/ 23 h 156"/>
            <a:gd name="T56" fmla="*/ 437 w 136"/>
            <a:gd name="T57" fmla="*/ 0 h 156"/>
            <a:gd name="T58" fmla="*/ 483 w 136"/>
            <a:gd name="T59" fmla="*/ 40 h 156"/>
            <a:gd name="T60" fmla="*/ 517 w 136"/>
            <a:gd name="T61" fmla="*/ 85 h 156"/>
            <a:gd name="T62" fmla="*/ 568 w 136"/>
            <a:gd name="T63" fmla="*/ 23 h 156"/>
            <a:gd name="T64" fmla="*/ 630 w 136"/>
            <a:gd name="T65" fmla="*/ 11 h 156"/>
            <a:gd name="T66" fmla="*/ 681 w 136"/>
            <a:gd name="T67" fmla="*/ 40 h 156"/>
            <a:gd name="T68" fmla="*/ 698 w 136"/>
            <a:gd name="T69" fmla="*/ 74 h 156"/>
            <a:gd name="T70" fmla="*/ 738 w 136"/>
            <a:gd name="T71" fmla="*/ 153 h 156"/>
            <a:gd name="T72" fmla="*/ 698 w 136"/>
            <a:gd name="T73" fmla="*/ 199 h 156"/>
            <a:gd name="T74" fmla="*/ 727 w 136"/>
            <a:gd name="T75" fmla="*/ 261 h 156"/>
            <a:gd name="T76" fmla="*/ 772 w 136"/>
            <a:gd name="T77" fmla="*/ 273 h 156"/>
            <a:gd name="T78" fmla="*/ 744 w 136"/>
            <a:gd name="T79" fmla="*/ 307 h 156"/>
            <a:gd name="T80" fmla="*/ 710 w 136"/>
            <a:gd name="T81" fmla="*/ 363 h 156"/>
            <a:gd name="T82" fmla="*/ 676 w 136"/>
            <a:gd name="T83" fmla="*/ 363 h 156"/>
            <a:gd name="T84" fmla="*/ 647 w 136"/>
            <a:gd name="T85" fmla="*/ 403 h 156"/>
            <a:gd name="T86" fmla="*/ 619 w 136"/>
            <a:gd name="T87" fmla="*/ 471 h 156"/>
            <a:gd name="T88" fmla="*/ 613 w 136"/>
            <a:gd name="T89" fmla="*/ 557 h 156"/>
            <a:gd name="T90" fmla="*/ 613 w 136"/>
            <a:gd name="T91" fmla="*/ 636 h 156"/>
            <a:gd name="T92" fmla="*/ 602 w 136"/>
            <a:gd name="T93" fmla="*/ 710 h 156"/>
            <a:gd name="T94" fmla="*/ 585 w 136"/>
            <a:gd name="T95" fmla="*/ 767 h 156"/>
            <a:gd name="T96" fmla="*/ 568 w 136"/>
            <a:gd name="T97" fmla="*/ 841 h 156"/>
            <a:gd name="T98" fmla="*/ 539 w 136"/>
            <a:gd name="T99" fmla="*/ 886 h 156"/>
            <a:gd name="T100" fmla="*/ 505 w 136"/>
            <a:gd name="T101" fmla="*/ 841 h 15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136" h="156">
              <a:moveTo>
                <a:pt x="86" y="145"/>
              </a:moveTo>
              <a:lnTo>
                <a:pt x="85" y="142"/>
              </a:lnTo>
              <a:lnTo>
                <a:pt x="81" y="137"/>
              </a:lnTo>
              <a:lnTo>
                <a:pt x="81" y="133"/>
              </a:lnTo>
              <a:lnTo>
                <a:pt x="83" y="129"/>
              </a:lnTo>
              <a:lnTo>
                <a:pt x="86" y="129"/>
              </a:lnTo>
              <a:lnTo>
                <a:pt x="89" y="125"/>
              </a:lnTo>
              <a:lnTo>
                <a:pt x="92" y="120"/>
              </a:lnTo>
              <a:lnTo>
                <a:pt x="91" y="116"/>
              </a:lnTo>
              <a:lnTo>
                <a:pt x="87" y="114"/>
              </a:lnTo>
              <a:lnTo>
                <a:pt x="83" y="116"/>
              </a:lnTo>
              <a:lnTo>
                <a:pt x="81" y="112"/>
              </a:lnTo>
              <a:lnTo>
                <a:pt x="77" y="114"/>
              </a:lnTo>
              <a:lnTo>
                <a:pt x="74" y="112"/>
              </a:lnTo>
              <a:lnTo>
                <a:pt x="69" y="110"/>
              </a:lnTo>
              <a:lnTo>
                <a:pt x="67" y="106"/>
              </a:lnTo>
              <a:lnTo>
                <a:pt x="63" y="104"/>
              </a:lnTo>
              <a:lnTo>
                <a:pt x="59" y="102"/>
              </a:lnTo>
              <a:lnTo>
                <a:pt x="57" y="102"/>
              </a:lnTo>
              <a:lnTo>
                <a:pt x="52" y="98"/>
              </a:lnTo>
              <a:lnTo>
                <a:pt x="49" y="93"/>
              </a:lnTo>
              <a:lnTo>
                <a:pt x="46" y="93"/>
              </a:lnTo>
              <a:lnTo>
                <a:pt x="43" y="95"/>
              </a:lnTo>
              <a:lnTo>
                <a:pt x="40" y="95"/>
              </a:lnTo>
              <a:lnTo>
                <a:pt x="33" y="93"/>
              </a:lnTo>
              <a:lnTo>
                <a:pt x="33" y="89"/>
              </a:lnTo>
              <a:lnTo>
                <a:pt x="30" y="87"/>
              </a:lnTo>
              <a:lnTo>
                <a:pt x="25" y="87"/>
              </a:lnTo>
              <a:lnTo>
                <a:pt x="23" y="89"/>
              </a:lnTo>
              <a:lnTo>
                <a:pt x="19" y="91"/>
              </a:lnTo>
              <a:lnTo>
                <a:pt x="16" y="95"/>
              </a:lnTo>
              <a:lnTo>
                <a:pt x="13" y="98"/>
              </a:lnTo>
              <a:lnTo>
                <a:pt x="9" y="102"/>
              </a:lnTo>
              <a:lnTo>
                <a:pt x="7" y="102"/>
              </a:lnTo>
              <a:lnTo>
                <a:pt x="4" y="104"/>
              </a:lnTo>
              <a:lnTo>
                <a:pt x="2" y="100"/>
              </a:lnTo>
              <a:lnTo>
                <a:pt x="2" y="98"/>
              </a:lnTo>
              <a:lnTo>
                <a:pt x="5" y="95"/>
              </a:lnTo>
              <a:lnTo>
                <a:pt x="7" y="91"/>
              </a:lnTo>
              <a:lnTo>
                <a:pt x="7" y="87"/>
              </a:lnTo>
              <a:lnTo>
                <a:pt x="4" y="85"/>
              </a:lnTo>
              <a:lnTo>
                <a:pt x="1" y="83"/>
              </a:lnTo>
              <a:lnTo>
                <a:pt x="1" y="79"/>
              </a:lnTo>
              <a:lnTo>
                <a:pt x="1" y="74"/>
              </a:lnTo>
              <a:lnTo>
                <a:pt x="4" y="73"/>
              </a:lnTo>
              <a:lnTo>
                <a:pt x="4" y="69"/>
              </a:lnTo>
              <a:lnTo>
                <a:pt x="4" y="64"/>
              </a:lnTo>
              <a:lnTo>
                <a:pt x="2" y="60"/>
              </a:lnTo>
              <a:lnTo>
                <a:pt x="0" y="58"/>
              </a:lnTo>
              <a:lnTo>
                <a:pt x="2" y="54"/>
              </a:lnTo>
              <a:lnTo>
                <a:pt x="1" y="50"/>
              </a:lnTo>
              <a:lnTo>
                <a:pt x="4" y="48"/>
              </a:lnTo>
              <a:lnTo>
                <a:pt x="5" y="43"/>
              </a:lnTo>
              <a:lnTo>
                <a:pt x="2" y="43"/>
              </a:lnTo>
              <a:lnTo>
                <a:pt x="0" y="43"/>
              </a:lnTo>
              <a:lnTo>
                <a:pt x="0" y="40"/>
              </a:lnTo>
              <a:lnTo>
                <a:pt x="1" y="35"/>
              </a:lnTo>
              <a:lnTo>
                <a:pt x="2" y="31"/>
              </a:lnTo>
              <a:lnTo>
                <a:pt x="5" y="29"/>
              </a:lnTo>
              <a:lnTo>
                <a:pt x="7" y="25"/>
              </a:lnTo>
              <a:lnTo>
                <a:pt x="9" y="25"/>
              </a:lnTo>
              <a:lnTo>
                <a:pt x="12" y="27"/>
              </a:lnTo>
              <a:lnTo>
                <a:pt x="15" y="29"/>
              </a:lnTo>
              <a:lnTo>
                <a:pt x="18" y="31"/>
              </a:lnTo>
              <a:lnTo>
                <a:pt x="21" y="33"/>
              </a:lnTo>
              <a:lnTo>
                <a:pt x="24" y="33"/>
              </a:lnTo>
              <a:lnTo>
                <a:pt x="27" y="31"/>
              </a:lnTo>
              <a:lnTo>
                <a:pt x="30" y="27"/>
              </a:lnTo>
              <a:lnTo>
                <a:pt x="33" y="27"/>
              </a:lnTo>
              <a:lnTo>
                <a:pt x="38" y="27"/>
              </a:lnTo>
              <a:lnTo>
                <a:pt x="40" y="23"/>
              </a:lnTo>
              <a:lnTo>
                <a:pt x="40" y="19"/>
              </a:lnTo>
              <a:lnTo>
                <a:pt x="38" y="15"/>
              </a:lnTo>
              <a:lnTo>
                <a:pt x="40" y="11"/>
              </a:lnTo>
              <a:lnTo>
                <a:pt x="43" y="11"/>
              </a:lnTo>
              <a:lnTo>
                <a:pt x="46" y="11"/>
              </a:lnTo>
              <a:lnTo>
                <a:pt x="49" y="11"/>
              </a:lnTo>
              <a:lnTo>
                <a:pt x="52" y="11"/>
              </a:lnTo>
              <a:lnTo>
                <a:pt x="55" y="12"/>
              </a:lnTo>
              <a:lnTo>
                <a:pt x="58" y="12"/>
              </a:lnTo>
              <a:lnTo>
                <a:pt x="61" y="11"/>
              </a:lnTo>
              <a:lnTo>
                <a:pt x="65" y="7"/>
              </a:lnTo>
              <a:lnTo>
                <a:pt x="69" y="7"/>
              </a:lnTo>
              <a:lnTo>
                <a:pt x="72" y="4"/>
              </a:lnTo>
              <a:lnTo>
                <a:pt x="75" y="2"/>
              </a:lnTo>
              <a:lnTo>
                <a:pt x="77" y="0"/>
              </a:lnTo>
              <a:lnTo>
                <a:pt x="80" y="0"/>
              </a:lnTo>
              <a:lnTo>
                <a:pt x="81" y="4"/>
              </a:lnTo>
              <a:lnTo>
                <a:pt x="85" y="7"/>
              </a:lnTo>
              <a:lnTo>
                <a:pt x="85" y="11"/>
              </a:lnTo>
              <a:lnTo>
                <a:pt x="86" y="15"/>
              </a:lnTo>
              <a:lnTo>
                <a:pt x="91" y="15"/>
              </a:lnTo>
              <a:lnTo>
                <a:pt x="94" y="11"/>
              </a:lnTo>
              <a:lnTo>
                <a:pt x="98" y="8"/>
              </a:lnTo>
              <a:lnTo>
                <a:pt x="100" y="4"/>
              </a:lnTo>
              <a:lnTo>
                <a:pt x="103" y="2"/>
              </a:lnTo>
              <a:lnTo>
                <a:pt x="108" y="0"/>
              </a:lnTo>
              <a:lnTo>
                <a:pt x="111" y="2"/>
              </a:lnTo>
              <a:lnTo>
                <a:pt x="114" y="4"/>
              </a:lnTo>
              <a:lnTo>
                <a:pt x="117" y="4"/>
              </a:lnTo>
              <a:lnTo>
                <a:pt x="120" y="7"/>
              </a:lnTo>
              <a:lnTo>
                <a:pt x="122" y="11"/>
              </a:lnTo>
              <a:lnTo>
                <a:pt x="124" y="12"/>
              </a:lnTo>
              <a:lnTo>
                <a:pt x="123" y="13"/>
              </a:lnTo>
              <a:lnTo>
                <a:pt x="126" y="21"/>
              </a:lnTo>
              <a:lnTo>
                <a:pt x="130" y="23"/>
              </a:lnTo>
              <a:lnTo>
                <a:pt x="130" y="27"/>
              </a:lnTo>
              <a:lnTo>
                <a:pt x="128" y="31"/>
              </a:lnTo>
              <a:lnTo>
                <a:pt x="126" y="35"/>
              </a:lnTo>
              <a:lnTo>
                <a:pt x="123" y="35"/>
              </a:lnTo>
              <a:lnTo>
                <a:pt x="123" y="40"/>
              </a:lnTo>
              <a:lnTo>
                <a:pt x="125" y="44"/>
              </a:lnTo>
              <a:lnTo>
                <a:pt x="128" y="46"/>
              </a:lnTo>
              <a:lnTo>
                <a:pt x="131" y="48"/>
              </a:lnTo>
              <a:lnTo>
                <a:pt x="134" y="48"/>
              </a:lnTo>
              <a:lnTo>
                <a:pt x="136" y="48"/>
              </a:lnTo>
              <a:lnTo>
                <a:pt x="134" y="52"/>
              </a:lnTo>
              <a:lnTo>
                <a:pt x="131" y="54"/>
              </a:lnTo>
              <a:lnTo>
                <a:pt x="128" y="56"/>
              </a:lnTo>
              <a:lnTo>
                <a:pt x="126" y="60"/>
              </a:lnTo>
              <a:lnTo>
                <a:pt x="125" y="64"/>
              </a:lnTo>
              <a:lnTo>
                <a:pt x="123" y="69"/>
              </a:lnTo>
              <a:lnTo>
                <a:pt x="120" y="69"/>
              </a:lnTo>
              <a:lnTo>
                <a:pt x="119" y="64"/>
              </a:lnTo>
              <a:lnTo>
                <a:pt x="115" y="64"/>
              </a:lnTo>
              <a:lnTo>
                <a:pt x="114" y="69"/>
              </a:lnTo>
              <a:lnTo>
                <a:pt x="114" y="71"/>
              </a:lnTo>
              <a:lnTo>
                <a:pt x="113" y="75"/>
              </a:lnTo>
              <a:lnTo>
                <a:pt x="109" y="79"/>
              </a:lnTo>
              <a:lnTo>
                <a:pt x="109" y="83"/>
              </a:lnTo>
              <a:lnTo>
                <a:pt x="109" y="87"/>
              </a:lnTo>
              <a:lnTo>
                <a:pt x="108" y="93"/>
              </a:lnTo>
              <a:lnTo>
                <a:pt x="108" y="98"/>
              </a:lnTo>
              <a:lnTo>
                <a:pt x="106" y="104"/>
              </a:lnTo>
              <a:lnTo>
                <a:pt x="106" y="108"/>
              </a:lnTo>
              <a:lnTo>
                <a:pt x="108" y="112"/>
              </a:lnTo>
              <a:lnTo>
                <a:pt x="108" y="116"/>
              </a:lnTo>
              <a:lnTo>
                <a:pt x="106" y="120"/>
              </a:lnTo>
              <a:lnTo>
                <a:pt x="106" y="125"/>
              </a:lnTo>
              <a:lnTo>
                <a:pt x="105" y="127"/>
              </a:lnTo>
              <a:lnTo>
                <a:pt x="103" y="131"/>
              </a:lnTo>
              <a:lnTo>
                <a:pt x="103" y="135"/>
              </a:lnTo>
              <a:lnTo>
                <a:pt x="103" y="139"/>
              </a:lnTo>
              <a:lnTo>
                <a:pt x="102" y="143"/>
              </a:lnTo>
              <a:lnTo>
                <a:pt x="100" y="148"/>
              </a:lnTo>
              <a:lnTo>
                <a:pt x="99" y="152"/>
              </a:lnTo>
              <a:lnTo>
                <a:pt x="95" y="154"/>
              </a:lnTo>
              <a:lnTo>
                <a:pt x="95" y="156"/>
              </a:lnTo>
              <a:lnTo>
                <a:pt x="94" y="156"/>
              </a:lnTo>
              <a:lnTo>
                <a:pt x="91" y="152"/>
              </a:lnTo>
              <a:lnTo>
                <a:pt x="89" y="148"/>
              </a:lnTo>
              <a:lnTo>
                <a:pt x="87" y="148"/>
              </a:lnTo>
              <a:lnTo>
                <a:pt x="86" y="145"/>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solidFill>
              <a:srgbClr val="0000BF"/>
            </a:solidFill>
            <a:latin typeface="Calibri" panose="020F0502020204030204"/>
          </a:endParaRPr>
        </a:p>
      </xdr:txBody>
    </xdr:sp>
    <xdr:clientData/>
  </xdr:twoCellAnchor>
  <xdr:twoCellAnchor>
    <xdr:from>
      <xdr:col>4</xdr:col>
      <xdr:colOff>439912</xdr:colOff>
      <xdr:row>64</xdr:row>
      <xdr:rowOff>10519</xdr:rowOff>
    </xdr:from>
    <xdr:to>
      <xdr:col>4</xdr:col>
      <xdr:colOff>729011</xdr:colOff>
      <xdr:row>66</xdr:row>
      <xdr:rowOff>97125</xdr:rowOff>
    </xdr:to>
    <xdr:sp macro="" textlink="">
      <xdr:nvSpPr>
        <xdr:cNvPr id="22" name="Freeform 93">
          <a:extLst>
            <a:ext uri="{FF2B5EF4-FFF2-40B4-BE49-F238E27FC236}">
              <a16:creationId xmlns:a16="http://schemas.microsoft.com/office/drawing/2014/main" id="{2A6097D9-F607-4834-A9F9-E83FAAF712D2}"/>
            </a:ext>
          </a:extLst>
        </xdr:cNvPr>
        <xdr:cNvSpPr>
          <a:spLocks noChangeAspect="1"/>
        </xdr:cNvSpPr>
      </xdr:nvSpPr>
      <xdr:spPr bwMode="gray">
        <a:xfrm>
          <a:off x="4173712" y="11313519"/>
          <a:ext cx="292274" cy="413631"/>
        </a:xfrm>
        <a:custGeom>
          <a:avLst/>
          <a:gdLst>
            <a:gd name="T0" fmla="*/ 85 w 34"/>
            <a:gd name="T1" fmla="*/ 284 h 52"/>
            <a:gd name="T2" fmla="*/ 114 w 34"/>
            <a:gd name="T3" fmla="*/ 267 h 52"/>
            <a:gd name="T4" fmla="*/ 125 w 34"/>
            <a:gd name="T5" fmla="*/ 244 h 52"/>
            <a:gd name="T6" fmla="*/ 125 w 34"/>
            <a:gd name="T7" fmla="*/ 221 h 52"/>
            <a:gd name="T8" fmla="*/ 136 w 34"/>
            <a:gd name="T9" fmla="*/ 199 h 52"/>
            <a:gd name="T10" fmla="*/ 159 w 34"/>
            <a:gd name="T11" fmla="*/ 176 h 52"/>
            <a:gd name="T12" fmla="*/ 176 w 34"/>
            <a:gd name="T13" fmla="*/ 165 h 52"/>
            <a:gd name="T14" fmla="*/ 193 w 34"/>
            <a:gd name="T15" fmla="*/ 142 h 52"/>
            <a:gd name="T16" fmla="*/ 182 w 34"/>
            <a:gd name="T17" fmla="*/ 113 h 52"/>
            <a:gd name="T18" fmla="*/ 182 w 34"/>
            <a:gd name="T19" fmla="*/ 96 h 52"/>
            <a:gd name="T20" fmla="*/ 182 w 34"/>
            <a:gd name="T21" fmla="*/ 68 h 52"/>
            <a:gd name="T22" fmla="*/ 193 w 34"/>
            <a:gd name="T23" fmla="*/ 45 h 52"/>
            <a:gd name="T24" fmla="*/ 193 w 34"/>
            <a:gd name="T25" fmla="*/ 45 h 52"/>
            <a:gd name="T26" fmla="*/ 176 w 34"/>
            <a:gd name="T27" fmla="*/ 23 h 52"/>
            <a:gd name="T28" fmla="*/ 165 w 34"/>
            <a:gd name="T29" fmla="*/ 0 h 52"/>
            <a:gd name="T30" fmla="*/ 153 w 34"/>
            <a:gd name="T31" fmla="*/ 0 h 52"/>
            <a:gd name="T32" fmla="*/ 159 w 34"/>
            <a:gd name="T33" fmla="*/ 0 h 52"/>
            <a:gd name="T34" fmla="*/ 136 w 34"/>
            <a:gd name="T35" fmla="*/ 0 h 52"/>
            <a:gd name="T36" fmla="*/ 119 w 34"/>
            <a:gd name="T37" fmla="*/ 0 h 52"/>
            <a:gd name="T38" fmla="*/ 102 w 34"/>
            <a:gd name="T39" fmla="*/ 6 h 52"/>
            <a:gd name="T40" fmla="*/ 91 w 34"/>
            <a:gd name="T41" fmla="*/ 34 h 52"/>
            <a:gd name="T42" fmla="*/ 91 w 34"/>
            <a:gd name="T43" fmla="*/ 51 h 52"/>
            <a:gd name="T44" fmla="*/ 91 w 34"/>
            <a:gd name="T45" fmla="*/ 79 h 52"/>
            <a:gd name="T46" fmla="*/ 91 w 34"/>
            <a:gd name="T47" fmla="*/ 102 h 52"/>
            <a:gd name="T48" fmla="*/ 91 w 34"/>
            <a:gd name="T49" fmla="*/ 130 h 52"/>
            <a:gd name="T50" fmla="*/ 85 w 34"/>
            <a:gd name="T51" fmla="*/ 148 h 52"/>
            <a:gd name="T52" fmla="*/ 68 w 34"/>
            <a:gd name="T53" fmla="*/ 165 h 52"/>
            <a:gd name="T54" fmla="*/ 57 w 34"/>
            <a:gd name="T55" fmla="*/ 187 h 52"/>
            <a:gd name="T56" fmla="*/ 40 w 34"/>
            <a:gd name="T57" fmla="*/ 210 h 52"/>
            <a:gd name="T58" fmla="*/ 17 w 34"/>
            <a:gd name="T59" fmla="*/ 199 h 52"/>
            <a:gd name="T60" fmla="*/ 0 w 34"/>
            <a:gd name="T61" fmla="*/ 221 h 52"/>
            <a:gd name="T62" fmla="*/ 0 w 34"/>
            <a:gd name="T63" fmla="*/ 244 h 52"/>
            <a:gd name="T64" fmla="*/ 0 w 34"/>
            <a:gd name="T65" fmla="*/ 261 h 52"/>
            <a:gd name="T66" fmla="*/ 11 w 34"/>
            <a:gd name="T67" fmla="*/ 284 h 52"/>
            <a:gd name="T68" fmla="*/ 40 w 34"/>
            <a:gd name="T69" fmla="*/ 295 h 52"/>
            <a:gd name="T70" fmla="*/ 57 w 34"/>
            <a:gd name="T71" fmla="*/ 295 h 52"/>
            <a:gd name="T72" fmla="*/ 68 w 34"/>
            <a:gd name="T73" fmla="*/ 295 h 52"/>
            <a:gd name="T74" fmla="*/ 74 w 34"/>
            <a:gd name="T75" fmla="*/ 295 h 52"/>
            <a:gd name="T76" fmla="*/ 85 w 34"/>
            <a:gd name="T77" fmla="*/ 284 h 52"/>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0" t="0" r="r" b="b"/>
          <a:pathLst>
            <a:path w="34" h="52">
              <a:moveTo>
                <a:pt x="15" y="50"/>
              </a:moveTo>
              <a:lnTo>
                <a:pt x="20" y="47"/>
              </a:lnTo>
              <a:lnTo>
                <a:pt x="22" y="43"/>
              </a:lnTo>
              <a:lnTo>
                <a:pt x="22" y="39"/>
              </a:lnTo>
              <a:lnTo>
                <a:pt x="24" y="35"/>
              </a:lnTo>
              <a:lnTo>
                <a:pt x="28" y="31"/>
              </a:lnTo>
              <a:lnTo>
                <a:pt x="31" y="29"/>
              </a:lnTo>
              <a:lnTo>
                <a:pt x="34" y="25"/>
              </a:lnTo>
              <a:lnTo>
                <a:pt x="32" y="20"/>
              </a:lnTo>
              <a:lnTo>
                <a:pt x="32" y="17"/>
              </a:lnTo>
              <a:lnTo>
                <a:pt x="32" y="12"/>
              </a:lnTo>
              <a:lnTo>
                <a:pt x="34" y="8"/>
              </a:lnTo>
              <a:lnTo>
                <a:pt x="31" y="4"/>
              </a:lnTo>
              <a:lnTo>
                <a:pt x="29" y="0"/>
              </a:lnTo>
              <a:lnTo>
                <a:pt x="27" y="0"/>
              </a:lnTo>
              <a:lnTo>
                <a:pt x="28" y="0"/>
              </a:lnTo>
              <a:lnTo>
                <a:pt x="24" y="0"/>
              </a:lnTo>
              <a:lnTo>
                <a:pt x="21" y="0"/>
              </a:lnTo>
              <a:lnTo>
                <a:pt x="18" y="1"/>
              </a:lnTo>
              <a:lnTo>
                <a:pt x="16" y="6"/>
              </a:lnTo>
              <a:lnTo>
                <a:pt x="16" y="9"/>
              </a:lnTo>
              <a:lnTo>
                <a:pt x="16" y="14"/>
              </a:lnTo>
              <a:lnTo>
                <a:pt x="16" y="18"/>
              </a:lnTo>
              <a:lnTo>
                <a:pt x="16" y="23"/>
              </a:lnTo>
              <a:lnTo>
                <a:pt x="15" y="26"/>
              </a:lnTo>
              <a:lnTo>
                <a:pt x="12" y="29"/>
              </a:lnTo>
              <a:lnTo>
                <a:pt x="10" y="33"/>
              </a:lnTo>
              <a:lnTo>
                <a:pt x="7" y="37"/>
              </a:lnTo>
              <a:lnTo>
                <a:pt x="3" y="35"/>
              </a:lnTo>
              <a:lnTo>
                <a:pt x="0" y="39"/>
              </a:lnTo>
              <a:lnTo>
                <a:pt x="0" y="43"/>
              </a:lnTo>
              <a:lnTo>
                <a:pt x="0" y="46"/>
              </a:lnTo>
              <a:lnTo>
                <a:pt x="2" y="50"/>
              </a:lnTo>
              <a:lnTo>
                <a:pt x="7" y="52"/>
              </a:lnTo>
              <a:lnTo>
                <a:pt x="10" y="52"/>
              </a:lnTo>
              <a:lnTo>
                <a:pt x="12" y="52"/>
              </a:lnTo>
              <a:lnTo>
                <a:pt x="13" y="52"/>
              </a:lnTo>
              <a:lnTo>
                <a:pt x="15" y="50"/>
              </a:lnTo>
              <a:close/>
            </a:path>
          </a:pathLst>
        </a:custGeom>
        <a:solidFill>
          <a:srgbClr val="C0C0C0"/>
        </a:solidFill>
        <a:ln w="9525">
          <a:solidFill>
            <a:srgbClr val="969696"/>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4</xdr:col>
      <xdr:colOff>74419</xdr:colOff>
      <xdr:row>66</xdr:row>
      <xdr:rowOff>42502</xdr:rowOff>
    </xdr:from>
    <xdr:to>
      <xdr:col>4</xdr:col>
      <xdr:colOff>550759</xdr:colOff>
      <xdr:row>67</xdr:row>
      <xdr:rowOff>141128</xdr:rowOff>
    </xdr:to>
    <xdr:sp macro="" textlink="">
      <xdr:nvSpPr>
        <xdr:cNvPr id="23" name="Freeform 94">
          <a:extLst>
            <a:ext uri="{FF2B5EF4-FFF2-40B4-BE49-F238E27FC236}">
              <a16:creationId xmlns:a16="http://schemas.microsoft.com/office/drawing/2014/main" id="{9281C1FD-8249-4596-B8F5-AAEE387E2203}"/>
            </a:ext>
          </a:extLst>
        </xdr:cNvPr>
        <xdr:cNvSpPr>
          <a:spLocks noChangeAspect="1"/>
        </xdr:cNvSpPr>
      </xdr:nvSpPr>
      <xdr:spPr bwMode="gray">
        <a:xfrm>
          <a:off x="3808219" y="11675702"/>
          <a:ext cx="476340" cy="260551"/>
        </a:xfrm>
        <a:custGeom>
          <a:avLst/>
          <a:gdLst>
            <a:gd name="T0" fmla="*/ 318 w 56"/>
            <a:gd name="T1" fmla="*/ 34 h 33"/>
            <a:gd name="T2" fmla="*/ 307 w 56"/>
            <a:gd name="T3" fmla="*/ 34 h 33"/>
            <a:gd name="T4" fmla="*/ 301 w 56"/>
            <a:gd name="T5" fmla="*/ 34 h 33"/>
            <a:gd name="T6" fmla="*/ 278 w 56"/>
            <a:gd name="T7" fmla="*/ 34 h 33"/>
            <a:gd name="T8" fmla="*/ 256 w 56"/>
            <a:gd name="T9" fmla="*/ 23 h 33"/>
            <a:gd name="T10" fmla="*/ 244 w 56"/>
            <a:gd name="T11" fmla="*/ 0 h 33"/>
            <a:gd name="T12" fmla="*/ 239 w 56"/>
            <a:gd name="T13" fmla="*/ 11 h 33"/>
            <a:gd name="T14" fmla="*/ 227 w 56"/>
            <a:gd name="T15" fmla="*/ 34 h 33"/>
            <a:gd name="T16" fmla="*/ 216 w 56"/>
            <a:gd name="T17" fmla="*/ 62 h 33"/>
            <a:gd name="T18" fmla="*/ 199 w 56"/>
            <a:gd name="T19" fmla="*/ 85 h 33"/>
            <a:gd name="T20" fmla="*/ 176 w 56"/>
            <a:gd name="T21" fmla="*/ 91 h 33"/>
            <a:gd name="T22" fmla="*/ 153 w 56"/>
            <a:gd name="T23" fmla="*/ 91 h 33"/>
            <a:gd name="T24" fmla="*/ 136 w 56"/>
            <a:gd name="T25" fmla="*/ 108 h 33"/>
            <a:gd name="T26" fmla="*/ 119 w 56"/>
            <a:gd name="T27" fmla="*/ 108 h 33"/>
            <a:gd name="T28" fmla="*/ 102 w 56"/>
            <a:gd name="T29" fmla="*/ 108 h 33"/>
            <a:gd name="T30" fmla="*/ 85 w 56"/>
            <a:gd name="T31" fmla="*/ 108 h 33"/>
            <a:gd name="T32" fmla="*/ 68 w 56"/>
            <a:gd name="T33" fmla="*/ 91 h 33"/>
            <a:gd name="T34" fmla="*/ 45 w 56"/>
            <a:gd name="T35" fmla="*/ 108 h 33"/>
            <a:gd name="T36" fmla="*/ 34 w 56"/>
            <a:gd name="T37" fmla="*/ 108 h 33"/>
            <a:gd name="T38" fmla="*/ 11 w 56"/>
            <a:gd name="T39" fmla="*/ 125 h 33"/>
            <a:gd name="T40" fmla="*/ 11 w 56"/>
            <a:gd name="T41" fmla="*/ 153 h 33"/>
            <a:gd name="T42" fmla="*/ 0 w 56"/>
            <a:gd name="T43" fmla="*/ 159 h 33"/>
            <a:gd name="T44" fmla="*/ 0 w 56"/>
            <a:gd name="T45" fmla="*/ 187 h 33"/>
            <a:gd name="T46" fmla="*/ 11 w 56"/>
            <a:gd name="T47" fmla="*/ 176 h 33"/>
            <a:gd name="T48" fmla="*/ 34 w 56"/>
            <a:gd name="T49" fmla="*/ 159 h 33"/>
            <a:gd name="T50" fmla="*/ 45 w 56"/>
            <a:gd name="T51" fmla="*/ 159 h 33"/>
            <a:gd name="T52" fmla="*/ 68 w 56"/>
            <a:gd name="T53" fmla="*/ 176 h 33"/>
            <a:gd name="T54" fmla="*/ 85 w 56"/>
            <a:gd name="T55" fmla="*/ 187 h 33"/>
            <a:gd name="T56" fmla="*/ 102 w 56"/>
            <a:gd name="T57" fmla="*/ 187 h 33"/>
            <a:gd name="T58" fmla="*/ 119 w 56"/>
            <a:gd name="T59" fmla="*/ 176 h 33"/>
            <a:gd name="T60" fmla="*/ 136 w 56"/>
            <a:gd name="T61" fmla="*/ 159 h 33"/>
            <a:gd name="T62" fmla="*/ 153 w 56"/>
            <a:gd name="T63" fmla="*/ 176 h 33"/>
            <a:gd name="T64" fmla="*/ 176 w 56"/>
            <a:gd name="T65" fmla="*/ 187 h 33"/>
            <a:gd name="T66" fmla="*/ 193 w 56"/>
            <a:gd name="T67" fmla="*/ 187 h 33"/>
            <a:gd name="T68" fmla="*/ 204 w 56"/>
            <a:gd name="T69" fmla="*/ 176 h 33"/>
            <a:gd name="T70" fmla="*/ 216 w 56"/>
            <a:gd name="T71" fmla="*/ 153 h 33"/>
            <a:gd name="T72" fmla="*/ 239 w 56"/>
            <a:gd name="T73" fmla="*/ 125 h 33"/>
            <a:gd name="T74" fmla="*/ 256 w 56"/>
            <a:gd name="T75" fmla="*/ 113 h 33"/>
            <a:gd name="T76" fmla="*/ 267 w 56"/>
            <a:gd name="T77" fmla="*/ 113 h 33"/>
            <a:gd name="T78" fmla="*/ 278 w 56"/>
            <a:gd name="T79" fmla="*/ 113 h 33"/>
            <a:gd name="T80" fmla="*/ 301 w 56"/>
            <a:gd name="T81" fmla="*/ 108 h 33"/>
            <a:gd name="T82" fmla="*/ 307 w 56"/>
            <a:gd name="T83" fmla="*/ 85 h 33"/>
            <a:gd name="T84" fmla="*/ 307 w 56"/>
            <a:gd name="T85" fmla="*/ 62 h 33"/>
            <a:gd name="T86" fmla="*/ 318 w 56"/>
            <a:gd name="T87" fmla="*/ 34 h 33"/>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56" h="33">
              <a:moveTo>
                <a:pt x="56" y="6"/>
              </a:moveTo>
              <a:lnTo>
                <a:pt x="54" y="6"/>
              </a:lnTo>
              <a:lnTo>
                <a:pt x="53" y="6"/>
              </a:lnTo>
              <a:lnTo>
                <a:pt x="49" y="6"/>
              </a:lnTo>
              <a:lnTo>
                <a:pt x="45" y="4"/>
              </a:lnTo>
              <a:lnTo>
                <a:pt x="43" y="0"/>
              </a:lnTo>
              <a:lnTo>
                <a:pt x="42" y="2"/>
              </a:lnTo>
              <a:lnTo>
                <a:pt x="40" y="6"/>
              </a:lnTo>
              <a:lnTo>
                <a:pt x="38" y="11"/>
              </a:lnTo>
              <a:lnTo>
                <a:pt x="35" y="15"/>
              </a:lnTo>
              <a:lnTo>
                <a:pt x="31" y="16"/>
              </a:lnTo>
              <a:lnTo>
                <a:pt x="27" y="16"/>
              </a:lnTo>
              <a:lnTo>
                <a:pt x="24" y="19"/>
              </a:lnTo>
              <a:lnTo>
                <a:pt x="21" y="19"/>
              </a:lnTo>
              <a:lnTo>
                <a:pt x="18" y="19"/>
              </a:lnTo>
              <a:lnTo>
                <a:pt x="15" y="19"/>
              </a:lnTo>
              <a:lnTo>
                <a:pt x="12" y="16"/>
              </a:lnTo>
              <a:lnTo>
                <a:pt x="8" y="19"/>
              </a:lnTo>
              <a:lnTo>
                <a:pt x="6" y="19"/>
              </a:lnTo>
              <a:lnTo>
                <a:pt x="2" y="22"/>
              </a:lnTo>
              <a:lnTo>
                <a:pt x="2" y="27"/>
              </a:lnTo>
              <a:lnTo>
                <a:pt x="0" y="28"/>
              </a:lnTo>
              <a:lnTo>
                <a:pt x="0" y="33"/>
              </a:lnTo>
              <a:lnTo>
                <a:pt x="2" y="31"/>
              </a:lnTo>
              <a:lnTo>
                <a:pt x="6" y="28"/>
              </a:lnTo>
              <a:lnTo>
                <a:pt x="8" y="28"/>
              </a:lnTo>
              <a:lnTo>
                <a:pt x="12" y="31"/>
              </a:lnTo>
              <a:lnTo>
                <a:pt x="15" y="33"/>
              </a:lnTo>
              <a:lnTo>
                <a:pt x="18" y="33"/>
              </a:lnTo>
              <a:lnTo>
                <a:pt x="21" y="31"/>
              </a:lnTo>
              <a:lnTo>
                <a:pt x="24" y="28"/>
              </a:lnTo>
              <a:lnTo>
                <a:pt x="27" y="31"/>
              </a:lnTo>
              <a:lnTo>
                <a:pt x="31" y="33"/>
              </a:lnTo>
              <a:lnTo>
                <a:pt x="34" y="33"/>
              </a:lnTo>
              <a:lnTo>
                <a:pt x="36" y="31"/>
              </a:lnTo>
              <a:lnTo>
                <a:pt x="38" y="27"/>
              </a:lnTo>
              <a:lnTo>
                <a:pt x="42" y="22"/>
              </a:lnTo>
              <a:lnTo>
                <a:pt x="45" y="20"/>
              </a:lnTo>
              <a:lnTo>
                <a:pt x="47" y="20"/>
              </a:lnTo>
              <a:lnTo>
                <a:pt x="49" y="20"/>
              </a:lnTo>
              <a:lnTo>
                <a:pt x="53" y="19"/>
              </a:lnTo>
              <a:lnTo>
                <a:pt x="54" y="15"/>
              </a:lnTo>
              <a:lnTo>
                <a:pt x="54" y="11"/>
              </a:lnTo>
              <a:lnTo>
                <a:pt x="56" y="6"/>
              </a:lnTo>
              <a:close/>
            </a:path>
          </a:pathLst>
        </a:custGeom>
        <a:solidFill>
          <a:srgbClr val="ADCFE3"/>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4</xdr:col>
      <xdr:colOff>226819</xdr:colOff>
      <xdr:row>67</xdr:row>
      <xdr:rowOff>31616</xdr:rowOff>
    </xdr:from>
    <xdr:to>
      <xdr:col>4</xdr:col>
      <xdr:colOff>703159</xdr:colOff>
      <xdr:row>68</xdr:row>
      <xdr:rowOff>130242</xdr:rowOff>
    </xdr:to>
    <xdr:sp macro="" textlink="">
      <xdr:nvSpPr>
        <xdr:cNvPr id="24" name="Freeform 95">
          <a:extLst>
            <a:ext uri="{FF2B5EF4-FFF2-40B4-BE49-F238E27FC236}">
              <a16:creationId xmlns:a16="http://schemas.microsoft.com/office/drawing/2014/main" id="{E7F19B04-A92F-42C5-BD38-8C15653B2736}"/>
            </a:ext>
          </a:extLst>
        </xdr:cNvPr>
        <xdr:cNvSpPr>
          <a:spLocks noChangeAspect="1"/>
        </xdr:cNvSpPr>
      </xdr:nvSpPr>
      <xdr:spPr bwMode="gray">
        <a:xfrm>
          <a:off x="3960619" y="11820391"/>
          <a:ext cx="476340" cy="263726"/>
        </a:xfrm>
        <a:custGeom>
          <a:avLst/>
          <a:gdLst>
            <a:gd name="T0" fmla="*/ 318 w 56"/>
            <a:gd name="T1" fmla="*/ 34 h 33"/>
            <a:gd name="T2" fmla="*/ 307 w 56"/>
            <a:gd name="T3" fmla="*/ 34 h 33"/>
            <a:gd name="T4" fmla="*/ 301 w 56"/>
            <a:gd name="T5" fmla="*/ 34 h 33"/>
            <a:gd name="T6" fmla="*/ 278 w 56"/>
            <a:gd name="T7" fmla="*/ 34 h 33"/>
            <a:gd name="T8" fmla="*/ 256 w 56"/>
            <a:gd name="T9" fmla="*/ 23 h 33"/>
            <a:gd name="T10" fmla="*/ 244 w 56"/>
            <a:gd name="T11" fmla="*/ 0 h 33"/>
            <a:gd name="T12" fmla="*/ 239 w 56"/>
            <a:gd name="T13" fmla="*/ 11 h 33"/>
            <a:gd name="T14" fmla="*/ 227 w 56"/>
            <a:gd name="T15" fmla="*/ 34 h 33"/>
            <a:gd name="T16" fmla="*/ 216 w 56"/>
            <a:gd name="T17" fmla="*/ 62 h 33"/>
            <a:gd name="T18" fmla="*/ 199 w 56"/>
            <a:gd name="T19" fmla="*/ 85 h 33"/>
            <a:gd name="T20" fmla="*/ 176 w 56"/>
            <a:gd name="T21" fmla="*/ 91 h 33"/>
            <a:gd name="T22" fmla="*/ 153 w 56"/>
            <a:gd name="T23" fmla="*/ 91 h 33"/>
            <a:gd name="T24" fmla="*/ 136 w 56"/>
            <a:gd name="T25" fmla="*/ 108 h 33"/>
            <a:gd name="T26" fmla="*/ 119 w 56"/>
            <a:gd name="T27" fmla="*/ 108 h 33"/>
            <a:gd name="T28" fmla="*/ 102 w 56"/>
            <a:gd name="T29" fmla="*/ 108 h 33"/>
            <a:gd name="T30" fmla="*/ 85 w 56"/>
            <a:gd name="T31" fmla="*/ 108 h 33"/>
            <a:gd name="T32" fmla="*/ 68 w 56"/>
            <a:gd name="T33" fmla="*/ 91 h 33"/>
            <a:gd name="T34" fmla="*/ 45 w 56"/>
            <a:gd name="T35" fmla="*/ 108 h 33"/>
            <a:gd name="T36" fmla="*/ 34 w 56"/>
            <a:gd name="T37" fmla="*/ 108 h 33"/>
            <a:gd name="T38" fmla="*/ 11 w 56"/>
            <a:gd name="T39" fmla="*/ 125 h 33"/>
            <a:gd name="T40" fmla="*/ 11 w 56"/>
            <a:gd name="T41" fmla="*/ 153 h 33"/>
            <a:gd name="T42" fmla="*/ 0 w 56"/>
            <a:gd name="T43" fmla="*/ 159 h 33"/>
            <a:gd name="T44" fmla="*/ 0 w 56"/>
            <a:gd name="T45" fmla="*/ 187 h 33"/>
            <a:gd name="T46" fmla="*/ 11 w 56"/>
            <a:gd name="T47" fmla="*/ 176 h 33"/>
            <a:gd name="T48" fmla="*/ 34 w 56"/>
            <a:gd name="T49" fmla="*/ 159 h 33"/>
            <a:gd name="T50" fmla="*/ 45 w 56"/>
            <a:gd name="T51" fmla="*/ 159 h 33"/>
            <a:gd name="T52" fmla="*/ 68 w 56"/>
            <a:gd name="T53" fmla="*/ 176 h 33"/>
            <a:gd name="T54" fmla="*/ 85 w 56"/>
            <a:gd name="T55" fmla="*/ 187 h 33"/>
            <a:gd name="T56" fmla="*/ 102 w 56"/>
            <a:gd name="T57" fmla="*/ 187 h 33"/>
            <a:gd name="T58" fmla="*/ 119 w 56"/>
            <a:gd name="T59" fmla="*/ 176 h 33"/>
            <a:gd name="T60" fmla="*/ 136 w 56"/>
            <a:gd name="T61" fmla="*/ 159 h 33"/>
            <a:gd name="T62" fmla="*/ 153 w 56"/>
            <a:gd name="T63" fmla="*/ 176 h 33"/>
            <a:gd name="T64" fmla="*/ 176 w 56"/>
            <a:gd name="T65" fmla="*/ 187 h 33"/>
            <a:gd name="T66" fmla="*/ 193 w 56"/>
            <a:gd name="T67" fmla="*/ 187 h 33"/>
            <a:gd name="T68" fmla="*/ 204 w 56"/>
            <a:gd name="T69" fmla="*/ 176 h 33"/>
            <a:gd name="T70" fmla="*/ 216 w 56"/>
            <a:gd name="T71" fmla="*/ 153 h 33"/>
            <a:gd name="T72" fmla="*/ 239 w 56"/>
            <a:gd name="T73" fmla="*/ 125 h 33"/>
            <a:gd name="T74" fmla="*/ 256 w 56"/>
            <a:gd name="T75" fmla="*/ 113 h 33"/>
            <a:gd name="T76" fmla="*/ 267 w 56"/>
            <a:gd name="T77" fmla="*/ 113 h 33"/>
            <a:gd name="T78" fmla="*/ 278 w 56"/>
            <a:gd name="T79" fmla="*/ 113 h 33"/>
            <a:gd name="T80" fmla="*/ 301 w 56"/>
            <a:gd name="T81" fmla="*/ 108 h 33"/>
            <a:gd name="T82" fmla="*/ 307 w 56"/>
            <a:gd name="T83" fmla="*/ 85 h 33"/>
            <a:gd name="T84" fmla="*/ 307 w 56"/>
            <a:gd name="T85" fmla="*/ 62 h 33"/>
            <a:gd name="T86" fmla="*/ 318 w 56"/>
            <a:gd name="T87" fmla="*/ 34 h 33"/>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56" h="33">
              <a:moveTo>
                <a:pt x="56" y="6"/>
              </a:moveTo>
              <a:lnTo>
                <a:pt x="54" y="6"/>
              </a:lnTo>
              <a:lnTo>
                <a:pt x="53" y="6"/>
              </a:lnTo>
              <a:lnTo>
                <a:pt x="49" y="6"/>
              </a:lnTo>
              <a:lnTo>
                <a:pt x="45" y="4"/>
              </a:lnTo>
              <a:lnTo>
                <a:pt x="43" y="0"/>
              </a:lnTo>
              <a:lnTo>
                <a:pt x="42" y="2"/>
              </a:lnTo>
              <a:lnTo>
                <a:pt x="40" y="6"/>
              </a:lnTo>
              <a:lnTo>
                <a:pt x="38" y="11"/>
              </a:lnTo>
              <a:lnTo>
                <a:pt x="35" y="15"/>
              </a:lnTo>
              <a:lnTo>
                <a:pt x="31" y="16"/>
              </a:lnTo>
              <a:lnTo>
                <a:pt x="27" y="16"/>
              </a:lnTo>
              <a:lnTo>
                <a:pt x="24" y="19"/>
              </a:lnTo>
              <a:lnTo>
                <a:pt x="21" y="19"/>
              </a:lnTo>
              <a:lnTo>
                <a:pt x="18" y="19"/>
              </a:lnTo>
              <a:lnTo>
                <a:pt x="15" y="19"/>
              </a:lnTo>
              <a:lnTo>
                <a:pt x="12" y="16"/>
              </a:lnTo>
              <a:lnTo>
                <a:pt x="8" y="19"/>
              </a:lnTo>
              <a:lnTo>
                <a:pt x="6" y="19"/>
              </a:lnTo>
              <a:lnTo>
                <a:pt x="2" y="22"/>
              </a:lnTo>
              <a:lnTo>
                <a:pt x="2" y="27"/>
              </a:lnTo>
              <a:lnTo>
                <a:pt x="0" y="28"/>
              </a:lnTo>
              <a:lnTo>
                <a:pt x="0" y="33"/>
              </a:lnTo>
              <a:lnTo>
                <a:pt x="2" y="31"/>
              </a:lnTo>
              <a:lnTo>
                <a:pt x="6" y="28"/>
              </a:lnTo>
              <a:lnTo>
                <a:pt x="8" y="28"/>
              </a:lnTo>
              <a:lnTo>
                <a:pt x="12" y="31"/>
              </a:lnTo>
              <a:lnTo>
                <a:pt x="15" y="33"/>
              </a:lnTo>
              <a:lnTo>
                <a:pt x="18" y="33"/>
              </a:lnTo>
              <a:lnTo>
                <a:pt x="21" y="31"/>
              </a:lnTo>
              <a:lnTo>
                <a:pt x="24" y="28"/>
              </a:lnTo>
              <a:lnTo>
                <a:pt x="27" y="31"/>
              </a:lnTo>
              <a:lnTo>
                <a:pt x="31" y="33"/>
              </a:lnTo>
              <a:lnTo>
                <a:pt x="34" y="33"/>
              </a:lnTo>
              <a:lnTo>
                <a:pt x="36" y="31"/>
              </a:lnTo>
              <a:lnTo>
                <a:pt x="38" y="27"/>
              </a:lnTo>
              <a:lnTo>
                <a:pt x="42" y="22"/>
              </a:lnTo>
              <a:lnTo>
                <a:pt x="45" y="20"/>
              </a:lnTo>
              <a:lnTo>
                <a:pt x="47" y="20"/>
              </a:lnTo>
              <a:lnTo>
                <a:pt x="49" y="20"/>
              </a:lnTo>
              <a:lnTo>
                <a:pt x="53" y="19"/>
              </a:lnTo>
              <a:lnTo>
                <a:pt x="54" y="15"/>
              </a:lnTo>
              <a:lnTo>
                <a:pt x="54" y="11"/>
              </a:lnTo>
              <a:lnTo>
                <a:pt x="56" y="6"/>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488181</xdr:colOff>
      <xdr:row>61</xdr:row>
      <xdr:rowOff>15768</xdr:rowOff>
    </xdr:from>
    <xdr:to>
      <xdr:col>4</xdr:col>
      <xdr:colOff>712534</xdr:colOff>
      <xdr:row>67</xdr:row>
      <xdr:rowOff>108913</xdr:rowOff>
    </xdr:to>
    <xdr:sp macro="" textlink="">
      <xdr:nvSpPr>
        <xdr:cNvPr id="25" name="Freeform 96">
          <a:extLst>
            <a:ext uri="{FF2B5EF4-FFF2-40B4-BE49-F238E27FC236}">
              <a16:creationId xmlns:a16="http://schemas.microsoft.com/office/drawing/2014/main" id="{D3608162-8AAA-42CE-83B0-745FF857FB0D}"/>
            </a:ext>
          </a:extLst>
        </xdr:cNvPr>
        <xdr:cNvSpPr>
          <a:spLocks noChangeAspect="1"/>
        </xdr:cNvSpPr>
      </xdr:nvSpPr>
      <xdr:spPr bwMode="gray">
        <a:xfrm>
          <a:off x="3047231" y="10832993"/>
          <a:ext cx="1402278" cy="1064695"/>
        </a:xfrm>
        <a:custGeom>
          <a:avLst/>
          <a:gdLst>
            <a:gd name="T0" fmla="*/ 863 w 164"/>
            <a:gd name="T1" fmla="*/ 340 h 135"/>
            <a:gd name="T2" fmla="*/ 840 w 164"/>
            <a:gd name="T3" fmla="*/ 403 h 135"/>
            <a:gd name="T4" fmla="*/ 840 w 164"/>
            <a:gd name="T5" fmla="*/ 471 h 135"/>
            <a:gd name="T6" fmla="*/ 806 w 164"/>
            <a:gd name="T7" fmla="*/ 528 h 135"/>
            <a:gd name="T8" fmla="*/ 749 w 164"/>
            <a:gd name="T9" fmla="*/ 567 h 135"/>
            <a:gd name="T10" fmla="*/ 755 w 164"/>
            <a:gd name="T11" fmla="*/ 601 h 135"/>
            <a:gd name="T12" fmla="*/ 727 w 164"/>
            <a:gd name="T13" fmla="*/ 658 h 135"/>
            <a:gd name="T14" fmla="*/ 664 w 164"/>
            <a:gd name="T15" fmla="*/ 692 h 135"/>
            <a:gd name="T16" fmla="*/ 607 w 164"/>
            <a:gd name="T17" fmla="*/ 709 h 135"/>
            <a:gd name="T18" fmla="*/ 562 w 164"/>
            <a:gd name="T19" fmla="*/ 709 h 135"/>
            <a:gd name="T20" fmla="*/ 522 w 164"/>
            <a:gd name="T21" fmla="*/ 732 h 135"/>
            <a:gd name="T22" fmla="*/ 477 w 164"/>
            <a:gd name="T23" fmla="*/ 743 h 135"/>
            <a:gd name="T24" fmla="*/ 426 w 164"/>
            <a:gd name="T25" fmla="*/ 766 h 135"/>
            <a:gd name="T26" fmla="*/ 375 w 164"/>
            <a:gd name="T27" fmla="*/ 755 h 135"/>
            <a:gd name="T28" fmla="*/ 358 w 164"/>
            <a:gd name="T29" fmla="*/ 692 h 135"/>
            <a:gd name="T30" fmla="*/ 329 w 164"/>
            <a:gd name="T31" fmla="*/ 635 h 135"/>
            <a:gd name="T32" fmla="*/ 318 w 164"/>
            <a:gd name="T33" fmla="*/ 567 h 135"/>
            <a:gd name="T34" fmla="*/ 284 w 164"/>
            <a:gd name="T35" fmla="*/ 505 h 135"/>
            <a:gd name="T36" fmla="*/ 233 w 164"/>
            <a:gd name="T37" fmla="*/ 516 h 135"/>
            <a:gd name="T38" fmla="*/ 182 w 164"/>
            <a:gd name="T39" fmla="*/ 528 h 135"/>
            <a:gd name="T40" fmla="*/ 136 w 164"/>
            <a:gd name="T41" fmla="*/ 505 h 135"/>
            <a:gd name="T42" fmla="*/ 102 w 164"/>
            <a:gd name="T43" fmla="*/ 494 h 135"/>
            <a:gd name="T44" fmla="*/ 45 w 164"/>
            <a:gd name="T45" fmla="*/ 482 h 135"/>
            <a:gd name="T46" fmla="*/ 0 w 164"/>
            <a:gd name="T47" fmla="*/ 528 h 135"/>
            <a:gd name="T48" fmla="*/ 11 w 164"/>
            <a:gd name="T49" fmla="*/ 460 h 135"/>
            <a:gd name="T50" fmla="*/ 34 w 164"/>
            <a:gd name="T51" fmla="*/ 420 h 135"/>
            <a:gd name="T52" fmla="*/ 79 w 164"/>
            <a:gd name="T53" fmla="*/ 374 h 135"/>
            <a:gd name="T54" fmla="*/ 136 w 164"/>
            <a:gd name="T55" fmla="*/ 363 h 135"/>
            <a:gd name="T56" fmla="*/ 187 w 164"/>
            <a:gd name="T57" fmla="*/ 363 h 135"/>
            <a:gd name="T58" fmla="*/ 261 w 164"/>
            <a:gd name="T59" fmla="*/ 352 h 135"/>
            <a:gd name="T60" fmla="*/ 312 w 164"/>
            <a:gd name="T61" fmla="*/ 318 h 135"/>
            <a:gd name="T62" fmla="*/ 312 w 164"/>
            <a:gd name="T63" fmla="*/ 255 h 135"/>
            <a:gd name="T64" fmla="*/ 301 w 164"/>
            <a:gd name="T65" fmla="*/ 182 h 135"/>
            <a:gd name="T66" fmla="*/ 346 w 164"/>
            <a:gd name="T67" fmla="*/ 136 h 135"/>
            <a:gd name="T68" fmla="*/ 363 w 164"/>
            <a:gd name="T69" fmla="*/ 68 h 135"/>
            <a:gd name="T70" fmla="*/ 397 w 164"/>
            <a:gd name="T71" fmla="*/ 45 h 135"/>
            <a:gd name="T72" fmla="*/ 414 w 164"/>
            <a:gd name="T73" fmla="*/ 68 h 135"/>
            <a:gd name="T74" fmla="*/ 448 w 164"/>
            <a:gd name="T75" fmla="*/ 79 h 135"/>
            <a:gd name="T76" fmla="*/ 517 w 164"/>
            <a:gd name="T77" fmla="*/ 23 h 135"/>
            <a:gd name="T78" fmla="*/ 573 w 164"/>
            <a:gd name="T79" fmla="*/ 0 h 135"/>
            <a:gd name="T80" fmla="*/ 630 w 164"/>
            <a:gd name="T81" fmla="*/ 45 h 135"/>
            <a:gd name="T82" fmla="*/ 681 w 164"/>
            <a:gd name="T83" fmla="*/ 34 h 135"/>
            <a:gd name="T84" fmla="*/ 738 w 164"/>
            <a:gd name="T85" fmla="*/ 79 h 135"/>
            <a:gd name="T86" fmla="*/ 795 w 164"/>
            <a:gd name="T87" fmla="*/ 125 h 135"/>
            <a:gd name="T88" fmla="*/ 863 w 164"/>
            <a:gd name="T89" fmla="*/ 136 h 135"/>
            <a:gd name="T90" fmla="*/ 920 w 164"/>
            <a:gd name="T91" fmla="*/ 165 h 135"/>
            <a:gd name="T92" fmla="*/ 891 w 164"/>
            <a:gd name="T93" fmla="*/ 233 h 135"/>
            <a:gd name="T94" fmla="*/ 863 w 164"/>
            <a:gd name="T95" fmla="*/ 284 h 135"/>
            <a:gd name="T96" fmla="*/ 903 w 164"/>
            <a:gd name="T97" fmla="*/ 340 h 13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164" h="135">
              <a:moveTo>
                <a:pt x="159" y="60"/>
              </a:moveTo>
              <a:lnTo>
                <a:pt x="156" y="60"/>
              </a:lnTo>
              <a:lnTo>
                <a:pt x="152" y="60"/>
              </a:lnTo>
              <a:lnTo>
                <a:pt x="149" y="62"/>
              </a:lnTo>
              <a:lnTo>
                <a:pt x="148" y="67"/>
              </a:lnTo>
              <a:lnTo>
                <a:pt x="148" y="71"/>
              </a:lnTo>
              <a:lnTo>
                <a:pt x="148" y="75"/>
              </a:lnTo>
              <a:lnTo>
                <a:pt x="148" y="79"/>
              </a:lnTo>
              <a:lnTo>
                <a:pt x="148" y="83"/>
              </a:lnTo>
              <a:lnTo>
                <a:pt x="146" y="87"/>
              </a:lnTo>
              <a:lnTo>
                <a:pt x="143" y="89"/>
              </a:lnTo>
              <a:lnTo>
                <a:pt x="142" y="93"/>
              </a:lnTo>
              <a:lnTo>
                <a:pt x="139" y="97"/>
              </a:lnTo>
              <a:lnTo>
                <a:pt x="135" y="96"/>
              </a:lnTo>
              <a:lnTo>
                <a:pt x="132" y="100"/>
              </a:lnTo>
              <a:lnTo>
                <a:pt x="132" y="104"/>
              </a:lnTo>
              <a:lnTo>
                <a:pt x="132" y="106"/>
              </a:lnTo>
              <a:lnTo>
                <a:pt x="133" y="106"/>
              </a:lnTo>
              <a:lnTo>
                <a:pt x="131" y="108"/>
              </a:lnTo>
              <a:lnTo>
                <a:pt x="129" y="112"/>
              </a:lnTo>
              <a:lnTo>
                <a:pt x="128" y="116"/>
              </a:lnTo>
              <a:lnTo>
                <a:pt x="125" y="121"/>
              </a:lnTo>
              <a:lnTo>
                <a:pt x="120" y="122"/>
              </a:lnTo>
              <a:lnTo>
                <a:pt x="117" y="122"/>
              </a:lnTo>
              <a:lnTo>
                <a:pt x="114" y="125"/>
              </a:lnTo>
              <a:lnTo>
                <a:pt x="111" y="125"/>
              </a:lnTo>
              <a:lnTo>
                <a:pt x="107" y="125"/>
              </a:lnTo>
              <a:lnTo>
                <a:pt x="105" y="125"/>
              </a:lnTo>
              <a:lnTo>
                <a:pt x="101" y="122"/>
              </a:lnTo>
              <a:lnTo>
                <a:pt x="99" y="125"/>
              </a:lnTo>
              <a:lnTo>
                <a:pt x="95" y="125"/>
              </a:lnTo>
              <a:lnTo>
                <a:pt x="93" y="129"/>
              </a:lnTo>
              <a:lnTo>
                <a:pt x="92" y="129"/>
              </a:lnTo>
              <a:lnTo>
                <a:pt x="91" y="129"/>
              </a:lnTo>
              <a:lnTo>
                <a:pt x="87" y="129"/>
              </a:lnTo>
              <a:lnTo>
                <a:pt x="84" y="131"/>
              </a:lnTo>
              <a:lnTo>
                <a:pt x="81" y="133"/>
              </a:lnTo>
              <a:lnTo>
                <a:pt x="78" y="135"/>
              </a:lnTo>
              <a:lnTo>
                <a:pt x="75" y="135"/>
              </a:lnTo>
              <a:lnTo>
                <a:pt x="72" y="133"/>
              </a:lnTo>
              <a:lnTo>
                <a:pt x="69" y="135"/>
              </a:lnTo>
              <a:lnTo>
                <a:pt x="66" y="133"/>
              </a:lnTo>
              <a:lnTo>
                <a:pt x="64" y="129"/>
              </a:lnTo>
              <a:lnTo>
                <a:pt x="61" y="126"/>
              </a:lnTo>
              <a:lnTo>
                <a:pt x="63" y="122"/>
              </a:lnTo>
              <a:lnTo>
                <a:pt x="61" y="118"/>
              </a:lnTo>
              <a:lnTo>
                <a:pt x="61" y="114"/>
              </a:lnTo>
              <a:lnTo>
                <a:pt x="58" y="112"/>
              </a:lnTo>
              <a:lnTo>
                <a:pt x="56" y="108"/>
              </a:lnTo>
              <a:lnTo>
                <a:pt x="56" y="104"/>
              </a:lnTo>
              <a:lnTo>
                <a:pt x="56" y="100"/>
              </a:lnTo>
              <a:lnTo>
                <a:pt x="53" y="97"/>
              </a:lnTo>
              <a:lnTo>
                <a:pt x="52" y="93"/>
              </a:lnTo>
              <a:lnTo>
                <a:pt x="50" y="89"/>
              </a:lnTo>
              <a:lnTo>
                <a:pt x="48" y="89"/>
              </a:lnTo>
              <a:lnTo>
                <a:pt x="44" y="91"/>
              </a:lnTo>
              <a:lnTo>
                <a:pt x="41" y="91"/>
              </a:lnTo>
              <a:lnTo>
                <a:pt x="38" y="91"/>
              </a:lnTo>
              <a:lnTo>
                <a:pt x="35" y="95"/>
              </a:lnTo>
              <a:lnTo>
                <a:pt x="32" y="93"/>
              </a:lnTo>
              <a:lnTo>
                <a:pt x="29" y="91"/>
              </a:lnTo>
              <a:lnTo>
                <a:pt x="26" y="93"/>
              </a:lnTo>
              <a:lnTo>
                <a:pt x="24" y="89"/>
              </a:lnTo>
              <a:lnTo>
                <a:pt x="24" y="85"/>
              </a:lnTo>
              <a:lnTo>
                <a:pt x="21" y="85"/>
              </a:lnTo>
              <a:lnTo>
                <a:pt x="18" y="87"/>
              </a:lnTo>
              <a:lnTo>
                <a:pt x="14" y="87"/>
              </a:lnTo>
              <a:lnTo>
                <a:pt x="12" y="85"/>
              </a:lnTo>
              <a:lnTo>
                <a:pt x="8" y="85"/>
              </a:lnTo>
              <a:lnTo>
                <a:pt x="6" y="89"/>
              </a:lnTo>
              <a:lnTo>
                <a:pt x="2" y="91"/>
              </a:lnTo>
              <a:lnTo>
                <a:pt x="0" y="93"/>
              </a:lnTo>
              <a:lnTo>
                <a:pt x="2" y="87"/>
              </a:lnTo>
              <a:lnTo>
                <a:pt x="1" y="83"/>
              </a:lnTo>
              <a:lnTo>
                <a:pt x="2" y="81"/>
              </a:lnTo>
              <a:lnTo>
                <a:pt x="6" y="79"/>
              </a:lnTo>
              <a:lnTo>
                <a:pt x="6" y="74"/>
              </a:lnTo>
              <a:lnTo>
                <a:pt x="8" y="71"/>
              </a:lnTo>
              <a:lnTo>
                <a:pt x="12" y="68"/>
              </a:lnTo>
              <a:lnTo>
                <a:pt x="14" y="66"/>
              </a:lnTo>
              <a:lnTo>
                <a:pt x="18" y="64"/>
              </a:lnTo>
              <a:lnTo>
                <a:pt x="21" y="64"/>
              </a:lnTo>
              <a:lnTo>
                <a:pt x="24" y="64"/>
              </a:lnTo>
              <a:lnTo>
                <a:pt x="28" y="66"/>
              </a:lnTo>
              <a:lnTo>
                <a:pt x="30" y="64"/>
              </a:lnTo>
              <a:lnTo>
                <a:pt x="33" y="64"/>
              </a:lnTo>
              <a:lnTo>
                <a:pt x="36" y="62"/>
              </a:lnTo>
              <a:lnTo>
                <a:pt x="40" y="64"/>
              </a:lnTo>
              <a:lnTo>
                <a:pt x="46" y="62"/>
              </a:lnTo>
              <a:lnTo>
                <a:pt x="50" y="62"/>
              </a:lnTo>
              <a:lnTo>
                <a:pt x="53" y="60"/>
              </a:lnTo>
              <a:lnTo>
                <a:pt x="55" y="56"/>
              </a:lnTo>
              <a:lnTo>
                <a:pt x="56" y="51"/>
              </a:lnTo>
              <a:lnTo>
                <a:pt x="53" y="49"/>
              </a:lnTo>
              <a:lnTo>
                <a:pt x="55" y="45"/>
              </a:lnTo>
              <a:lnTo>
                <a:pt x="58" y="41"/>
              </a:lnTo>
              <a:lnTo>
                <a:pt x="55" y="37"/>
              </a:lnTo>
              <a:lnTo>
                <a:pt x="53" y="32"/>
              </a:lnTo>
              <a:lnTo>
                <a:pt x="55" y="29"/>
              </a:lnTo>
              <a:lnTo>
                <a:pt x="58" y="24"/>
              </a:lnTo>
              <a:lnTo>
                <a:pt x="61" y="24"/>
              </a:lnTo>
              <a:lnTo>
                <a:pt x="64" y="20"/>
              </a:lnTo>
              <a:lnTo>
                <a:pt x="64" y="16"/>
              </a:lnTo>
              <a:lnTo>
                <a:pt x="64" y="12"/>
              </a:lnTo>
              <a:lnTo>
                <a:pt x="67" y="12"/>
              </a:lnTo>
              <a:lnTo>
                <a:pt x="67" y="8"/>
              </a:lnTo>
              <a:lnTo>
                <a:pt x="70" y="8"/>
              </a:lnTo>
              <a:lnTo>
                <a:pt x="73" y="10"/>
              </a:lnTo>
              <a:lnTo>
                <a:pt x="73" y="12"/>
              </a:lnTo>
              <a:lnTo>
                <a:pt x="75" y="16"/>
              </a:lnTo>
              <a:lnTo>
                <a:pt x="78" y="14"/>
              </a:lnTo>
              <a:lnTo>
                <a:pt x="79" y="14"/>
              </a:lnTo>
              <a:lnTo>
                <a:pt x="84" y="10"/>
              </a:lnTo>
              <a:lnTo>
                <a:pt x="87" y="8"/>
              </a:lnTo>
              <a:lnTo>
                <a:pt x="91" y="4"/>
              </a:lnTo>
              <a:lnTo>
                <a:pt x="94" y="2"/>
              </a:lnTo>
              <a:lnTo>
                <a:pt x="97" y="0"/>
              </a:lnTo>
              <a:lnTo>
                <a:pt x="101" y="0"/>
              </a:lnTo>
              <a:lnTo>
                <a:pt x="105" y="2"/>
              </a:lnTo>
              <a:lnTo>
                <a:pt x="105" y="6"/>
              </a:lnTo>
              <a:lnTo>
                <a:pt x="111" y="8"/>
              </a:lnTo>
              <a:lnTo>
                <a:pt x="114" y="8"/>
              </a:lnTo>
              <a:lnTo>
                <a:pt x="117" y="6"/>
              </a:lnTo>
              <a:lnTo>
                <a:pt x="120" y="6"/>
              </a:lnTo>
              <a:lnTo>
                <a:pt x="123" y="10"/>
              </a:lnTo>
              <a:lnTo>
                <a:pt x="128" y="14"/>
              </a:lnTo>
              <a:lnTo>
                <a:pt x="130" y="14"/>
              </a:lnTo>
              <a:lnTo>
                <a:pt x="134" y="16"/>
              </a:lnTo>
              <a:lnTo>
                <a:pt x="139" y="19"/>
              </a:lnTo>
              <a:lnTo>
                <a:pt x="140" y="22"/>
              </a:lnTo>
              <a:lnTo>
                <a:pt x="144" y="24"/>
              </a:lnTo>
              <a:lnTo>
                <a:pt x="148" y="27"/>
              </a:lnTo>
              <a:lnTo>
                <a:pt x="152" y="24"/>
              </a:lnTo>
              <a:lnTo>
                <a:pt x="154" y="29"/>
              </a:lnTo>
              <a:lnTo>
                <a:pt x="159" y="27"/>
              </a:lnTo>
              <a:lnTo>
                <a:pt x="162" y="29"/>
              </a:lnTo>
              <a:lnTo>
                <a:pt x="164" y="33"/>
              </a:lnTo>
              <a:lnTo>
                <a:pt x="160" y="37"/>
              </a:lnTo>
              <a:lnTo>
                <a:pt x="157" y="41"/>
              </a:lnTo>
              <a:lnTo>
                <a:pt x="154" y="41"/>
              </a:lnTo>
              <a:lnTo>
                <a:pt x="152" y="46"/>
              </a:lnTo>
              <a:lnTo>
                <a:pt x="152" y="50"/>
              </a:lnTo>
              <a:lnTo>
                <a:pt x="156" y="54"/>
              </a:lnTo>
              <a:lnTo>
                <a:pt x="157" y="58"/>
              </a:lnTo>
              <a:lnTo>
                <a:pt x="159" y="60"/>
              </a:lnTo>
              <a:close/>
            </a:path>
          </a:pathLst>
        </a:custGeom>
        <a:solidFill>
          <a:srgbClr val="0000BF"/>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2</xdr:col>
      <xdr:colOff>292170</xdr:colOff>
      <xdr:row>63</xdr:row>
      <xdr:rowOff>46350</xdr:rowOff>
    </xdr:from>
    <xdr:to>
      <xdr:col>3</xdr:col>
      <xdr:colOff>504660</xdr:colOff>
      <xdr:row>68</xdr:row>
      <xdr:rowOff>120704</xdr:rowOff>
    </xdr:to>
    <xdr:sp macro="" textlink="">
      <xdr:nvSpPr>
        <xdr:cNvPr id="26" name="Freeform 97">
          <a:extLst>
            <a:ext uri="{FF2B5EF4-FFF2-40B4-BE49-F238E27FC236}">
              <a16:creationId xmlns:a16="http://schemas.microsoft.com/office/drawing/2014/main" id="{D4641C9C-84D0-47DC-BD86-6A2FEEB1D0F2}"/>
            </a:ext>
          </a:extLst>
        </xdr:cNvPr>
        <xdr:cNvSpPr>
          <a:spLocks noChangeAspect="1"/>
        </xdr:cNvSpPr>
      </xdr:nvSpPr>
      <xdr:spPr bwMode="gray">
        <a:xfrm>
          <a:off x="2190820" y="11193775"/>
          <a:ext cx="879240" cy="883979"/>
        </a:xfrm>
        <a:custGeom>
          <a:avLst/>
          <a:gdLst>
            <a:gd name="T0" fmla="*/ 403 w 104"/>
            <a:gd name="T1" fmla="*/ 80 h 112"/>
            <a:gd name="T2" fmla="*/ 437 w 104"/>
            <a:gd name="T3" fmla="*/ 114 h 112"/>
            <a:gd name="T4" fmla="*/ 471 w 104"/>
            <a:gd name="T5" fmla="*/ 125 h 112"/>
            <a:gd name="T6" fmla="*/ 505 w 104"/>
            <a:gd name="T7" fmla="*/ 165 h 112"/>
            <a:gd name="T8" fmla="*/ 545 w 104"/>
            <a:gd name="T9" fmla="*/ 165 h 112"/>
            <a:gd name="T10" fmla="*/ 579 w 104"/>
            <a:gd name="T11" fmla="*/ 170 h 112"/>
            <a:gd name="T12" fmla="*/ 579 w 104"/>
            <a:gd name="T13" fmla="*/ 221 h 112"/>
            <a:gd name="T14" fmla="*/ 579 w 104"/>
            <a:gd name="T15" fmla="*/ 267 h 112"/>
            <a:gd name="T16" fmla="*/ 562 w 104"/>
            <a:gd name="T17" fmla="*/ 290 h 112"/>
            <a:gd name="T18" fmla="*/ 522 w 104"/>
            <a:gd name="T19" fmla="*/ 329 h 112"/>
            <a:gd name="T20" fmla="*/ 505 w 104"/>
            <a:gd name="T21" fmla="*/ 375 h 112"/>
            <a:gd name="T22" fmla="*/ 488 w 104"/>
            <a:gd name="T23" fmla="*/ 409 h 112"/>
            <a:gd name="T24" fmla="*/ 471 w 104"/>
            <a:gd name="T25" fmla="*/ 449 h 112"/>
            <a:gd name="T26" fmla="*/ 437 w 104"/>
            <a:gd name="T27" fmla="*/ 471 h 112"/>
            <a:gd name="T28" fmla="*/ 408 w 104"/>
            <a:gd name="T29" fmla="*/ 494 h 112"/>
            <a:gd name="T30" fmla="*/ 374 w 104"/>
            <a:gd name="T31" fmla="*/ 517 h 112"/>
            <a:gd name="T32" fmla="*/ 369 w 104"/>
            <a:gd name="T33" fmla="*/ 568 h 112"/>
            <a:gd name="T34" fmla="*/ 340 w 104"/>
            <a:gd name="T35" fmla="*/ 591 h 112"/>
            <a:gd name="T36" fmla="*/ 318 w 104"/>
            <a:gd name="T37" fmla="*/ 625 h 112"/>
            <a:gd name="T38" fmla="*/ 306 w 104"/>
            <a:gd name="T39" fmla="*/ 613 h 112"/>
            <a:gd name="T40" fmla="*/ 272 w 104"/>
            <a:gd name="T41" fmla="*/ 613 h 112"/>
            <a:gd name="T42" fmla="*/ 238 w 104"/>
            <a:gd name="T43" fmla="*/ 602 h 112"/>
            <a:gd name="T44" fmla="*/ 227 w 104"/>
            <a:gd name="T45" fmla="*/ 551 h 112"/>
            <a:gd name="T46" fmla="*/ 210 w 104"/>
            <a:gd name="T47" fmla="*/ 505 h 112"/>
            <a:gd name="T48" fmla="*/ 187 w 104"/>
            <a:gd name="T49" fmla="*/ 460 h 112"/>
            <a:gd name="T50" fmla="*/ 153 w 104"/>
            <a:gd name="T51" fmla="*/ 449 h 112"/>
            <a:gd name="T52" fmla="*/ 119 w 104"/>
            <a:gd name="T53" fmla="*/ 471 h 112"/>
            <a:gd name="T54" fmla="*/ 85 w 104"/>
            <a:gd name="T55" fmla="*/ 460 h 112"/>
            <a:gd name="T56" fmla="*/ 51 w 104"/>
            <a:gd name="T57" fmla="*/ 460 h 112"/>
            <a:gd name="T58" fmla="*/ 23 w 104"/>
            <a:gd name="T59" fmla="*/ 437 h 112"/>
            <a:gd name="T60" fmla="*/ 17 w 104"/>
            <a:gd name="T61" fmla="*/ 386 h 112"/>
            <a:gd name="T62" fmla="*/ 23 w 104"/>
            <a:gd name="T63" fmla="*/ 341 h 112"/>
            <a:gd name="T64" fmla="*/ 17 w 104"/>
            <a:gd name="T65" fmla="*/ 290 h 112"/>
            <a:gd name="T66" fmla="*/ 0 w 104"/>
            <a:gd name="T67" fmla="*/ 244 h 112"/>
            <a:gd name="T68" fmla="*/ 6 w 104"/>
            <a:gd name="T69" fmla="*/ 199 h 112"/>
            <a:gd name="T70" fmla="*/ 34 w 104"/>
            <a:gd name="T71" fmla="*/ 153 h 112"/>
            <a:gd name="T72" fmla="*/ 34 w 104"/>
            <a:gd name="T73" fmla="*/ 102 h 112"/>
            <a:gd name="T74" fmla="*/ 34 w 104"/>
            <a:gd name="T75" fmla="*/ 57 h 112"/>
            <a:gd name="T76" fmla="*/ 68 w 104"/>
            <a:gd name="T77" fmla="*/ 45 h 112"/>
            <a:gd name="T78" fmla="*/ 102 w 104"/>
            <a:gd name="T79" fmla="*/ 6 h 112"/>
            <a:gd name="T80" fmla="*/ 142 w 104"/>
            <a:gd name="T81" fmla="*/ 0 h 112"/>
            <a:gd name="T82" fmla="*/ 182 w 104"/>
            <a:gd name="T83" fmla="*/ 0 h 112"/>
            <a:gd name="T84" fmla="*/ 227 w 104"/>
            <a:gd name="T85" fmla="*/ 23 h 112"/>
            <a:gd name="T86" fmla="*/ 272 w 104"/>
            <a:gd name="T87" fmla="*/ 23 h 112"/>
            <a:gd name="T88" fmla="*/ 306 w 104"/>
            <a:gd name="T89" fmla="*/ 23 h 112"/>
            <a:gd name="T90" fmla="*/ 346 w 104"/>
            <a:gd name="T91" fmla="*/ 6 h 112"/>
            <a:gd name="T92" fmla="*/ 369 w 104"/>
            <a:gd name="T93" fmla="*/ 23 h 112"/>
            <a:gd name="T94" fmla="*/ 369 w 104"/>
            <a:gd name="T95" fmla="*/ 68 h 112"/>
            <a:gd name="T96" fmla="*/ 403 w 104"/>
            <a:gd name="T97" fmla="*/ 68 h 112"/>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104" h="112">
              <a:moveTo>
                <a:pt x="71" y="12"/>
              </a:moveTo>
              <a:lnTo>
                <a:pt x="71" y="14"/>
              </a:lnTo>
              <a:lnTo>
                <a:pt x="74" y="18"/>
              </a:lnTo>
              <a:lnTo>
                <a:pt x="77" y="20"/>
              </a:lnTo>
              <a:lnTo>
                <a:pt x="80" y="22"/>
              </a:lnTo>
              <a:lnTo>
                <a:pt x="83" y="22"/>
              </a:lnTo>
              <a:lnTo>
                <a:pt x="86" y="24"/>
              </a:lnTo>
              <a:lnTo>
                <a:pt x="89" y="29"/>
              </a:lnTo>
              <a:lnTo>
                <a:pt x="92" y="29"/>
              </a:lnTo>
              <a:lnTo>
                <a:pt x="96" y="29"/>
              </a:lnTo>
              <a:lnTo>
                <a:pt x="99" y="29"/>
              </a:lnTo>
              <a:lnTo>
                <a:pt x="102" y="30"/>
              </a:lnTo>
              <a:lnTo>
                <a:pt x="104" y="35"/>
              </a:lnTo>
              <a:lnTo>
                <a:pt x="102" y="39"/>
              </a:lnTo>
              <a:lnTo>
                <a:pt x="104" y="43"/>
              </a:lnTo>
              <a:lnTo>
                <a:pt x="102" y="47"/>
              </a:lnTo>
              <a:lnTo>
                <a:pt x="102" y="50"/>
              </a:lnTo>
              <a:lnTo>
                <a:pt x="99" y="51"/>
              </a:lnTo>
              <a:lnTo>
                <a:pt x="95" y="54"/>
              </a:lnTo>
              <a:lnTo>
                <a:pt x="92" y="58"/>
              </a:lnTo>
              <a:lnTo>
                <a:pt x="91" y="63"/>
              </a:lnTo>
              <a:lnTo>
                <a:pt x="89" y="66"/>
              </a:lnTo>
              <a:lnTo>
                <a:pt x="86" y="68"/>
              </a:lnTo>
              <a:lnTo>
                <a:pt x="86" y="72"/>
              </a:lnTo>
              <a:lnTo>
                <a:pt x="86" y="77"/>
              </a:lnTo>
              <a:lnTo>
                <a:pt x="83" y="79"/>
              </a:lnTo>
              <a:lnTo>
                <a:pt x="79" y="81"/>
              </a:lnTo>
              <a:lnTo>
                <a:pt x="77" y="83"/>
              </a:lnTo>
              <a:lnTo>
                <a:pt x="74" y="87"/>
              </a:lnTo>
              <a:lnTo>
                <a:pt x="72" y="87"/>
              </a:lnTo>
              <a:lnTo>
                <a:pt x="69" y="89"/>
              </a:lnTo>
              <a:lnTo>
                <a:pt x="66" y="91"/>
              </a:lnTo>
              <a:lnTo>
                <a:pt x="65" y="95"/>
              </a:lnTo>
              <a:lnTo>
                <a:pt x="65" y="100"/>
              </a:lnTo>
              <a:lnTo>
                <a:pt x="61" y="100"/>
              </a:lnTo>
              <a:lnTo>
                <a:pt x="60" y="104"/>
              </a:lnTo>
              <a:lnTo>
                <a:pt x="60" y="108"/>
              </a:lnTo>
              <a:lnTo>
                <a:pt x="56" y="110"/>
              </a:lnTo>
              <a:lnTo>
                <a:pt x="54" y="112"/>
              </a:lnTo>
              <a:lnTo>
                <a:pt x="54" y="108"/>
              </a:lnTo>
              <a:lnTo>
                <a:pt x="51" y="106"/>
              </a:lnTo>
              <a:lnTo>
                <a:pt x="48" y="108"/>
              </a:lnTo>
              <a:lnTo>
                <a:pt x="44" y="108"/>
              </a:lnTo>
              <a:lnTo>
                <a:pt x="42" y="106"/>
              </a:lnTo>
              <a:lnTo>
                <a:pt x="40" y="102"/>
              </a:lnTo>
              <a:lnTo>
                <a:pt x="40" y="97"/>
              </a:lnTo>
              <a:lnTo>
                <a:pt x="40" y="93"/>
              </a:lnTo>
              <a:lnTo>
                <a:pt x="37" y="89"/>
              </a:lnTo>
              <a:lnTo>
                <a:pt x="35" y="85"/>
              </a:lnTo>
              <a:lnTo>
                <a:pt x="33" y="81"/>
              </a:lnTo>
              <a:lnTo>
                <a:pt x="31" y="81"/>
              </a:lnTo>
              <a:lnTo>
                <a:pt x="27" y="79"/>
              </a:lnTo>
              <a:lnTo>
                <a:pt x="25" y="81"/>
              </a:lnTo>
              <a:lnTo>
                <a:pt x="21" y="83"/>
              </a:lnTo>
              <a:lnTo>
                <a:pt x="18" y="81"/>
              </a:lnTo>
              <a:lnTo>
                <a:pt x="15" y="81"/>
              </a:lnTo>
              <a:lnTo>
                <a:pt x="12" y="79"/>
              </a:lnTo>
              <a:lnTo>
                <a:pt x="9" y="81"/>
              </a:lnTo>
              <a:lnTo>
                <a:pt x="6" y="81"/>
              </a:lnTo>
              <a:lnTo>
                <a:pt x="4" y="77"/>
              </a:lnTo>
              <a:lnTo>
                <a:pt x="3" y="72"/>
              </a:lnTo>
              <a:lnTo>
                <a:pt x="3" y="68"/>
              </a:lnTo>
              <a:lnTo>
                <a:pt x="3" y="64"/>
              </a:lnTo>
              <a:lnTo>
                <a:pt x="4" y="60"/>
              </a:lnTo>
              <a:lnTo>
                <a:pt x="3" y="56"/>
              </a:lnTo>
              <a:lnTo>
                <a:pt x="3" y="51"/>
              </a:lnTo>
              <a:lnTo>
                <a:pt x="0" y="47"/>
              </a:lnTo>
              <a:lnTo>
                <a:pt x="0" y="43"/>
              </a:lnTo>
              <a:lnTo>
                <a:pt x="0" y="39"/>
              </a:lnTo>
              <a:lnTo>
                <a:pt x="1" y="35"/>
              </a:lnTo>
              <a:lnTo>
                <a:pt x="4" y="31"/>
              </a:lnTo>
              <a:lnTo>
                <a:pt x="6" y="27"/>
              </a:lnTo>
              <a:lnTo>
                <a:pt x="6" y="22"/>
              </a:lnTo>
              <a:lnTo>
                <a:pt x="6" y="18"/>
              </a:lnTo>
              <a:lnTo>
                <a:pt x="4" y="10"/>
              </a:lnTo>
              <a:lnTo>
                <a:pt x="6" y="10"/>
              </a:lnTo>
              <a:lnTo>
                <a:pt x="9" y="10"/>
              </a:lnTo>
              <a:lnTo>
                <a:pt x="12" y="8"/>
              </a:lnTo>
              <a:lnTo>
                <a:pt x="15" y="6"/>
              </a:lnTo>
              <a:lnTo>
                <a:pt x="18" y="1"/>
              </a:lnTo>
              <a:lnTo>
                <a:pt x="21" y="0"/>
              </a:lnTo>
              <a:lnTo>
                <a:pt x="25" y="0"/>
              </a:lnTo>
              <a:lnTo>
                <a:pt x="29" y="0"/>
              </a:lnTo>
              <a:lnTo>
                <a:pt x="32" y="0"/>
              </a:lnTo>
              <a:lnTo>
                <a:pt x="35" y="1"/>
              </a:lnTo>
              <a:lnTo>
                <a:pt x="40" y="4"/>
              </a:lnTo>
              <a:lnTo>
                <a:pt x="43" y="4"/>
              </a:lnTo>
              <a:lnTo>
                <a:pt x="48" y="4"/>
              </a:lnTo>
              <a:lnTo>
                <a:pt x="51" y="4"/>
              </a:lnTo>
              <a:lnTo>
                <a:pt x="54" y="4"/>
              </a:lnTo>
              <a:lnTo>
                <a:pt x="58" y="1"/>
              </a:lnTo>
              <a:lnTo>
                <a:pt x="61" y="1"/>
              </a:lnTo>
              <a:lnTo>
                <a:pt x="65" y="0"/>
              </a:lnTo>
              <a:lnTo>
                <a:pt x="65" y="4"/>
              </a:lnTo>
              <a:lnTo>
                <a:pt x="65" y="8"/>
              </a:lnTo>
              <a:lnTo>
                <a:pt x="65" y="12"/>
              </a:lnTo>
              <a:lnTo>
                <a:pt x="68" y="12"/>
              </a:lnTo>
              <a:lnTo>
                <a:pt x="71" y="12"/>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241025</xdr:colOff>
      <xdr:row>65</xdr:row>
      <xdr:rowOff>30714</xdr:rowOff>
    </xdr:from>
    <xdr:to>
      <xdr:col>4</xdr:col>
      <xdr:colOff>116362</xdr:colOff>
      <xdr:row>69</xdr:row>
      <xdr:rowOff>84874</xdr:rowOff>
    </xdr:to>
    <xdr:sp macro="" textlink="">
      <xdr:nvSpPr>
        <xdr:cNvPr id="27" name="Freeform 98">
          <a:extLst>
            <a:ext uri="{FF2B5EF4-FFF2-40B4-BE49-F238E27FC236}">
              <a16:creationId xmlns:a16="http://schemas.microsoft.com/office/drawing/2014/main" id="{6DA55298-CD73-4386-9979-1D214CCFAE4E}"/>
            </a:ext>
          </a:extLst>
        </xdr:cNvPr>
        <xdr:cNvSpPr>
          <a:spLocks noChangeAspect="1"/>
        </xdr:cNvSpPr>
      </xdr:nvSpPr>
      <xdr:spPr bwMode="gray">
        <a:xfrm>
          <a:off x="2800075" y="11495639"/>
          <a:ext cx="1050087" cy="708210"/>
        </a:xfrm>
        <a:custGeom>
          <a:avLst/>
          <a:gdLst>
            <a:gd name="T0" fmla="*/ 176 w 123"/>
            <a:gd name="T1" fmla="*/ 34 h 89"/>
            <a:gd name="T2" fmla="*/ 210 w 123"/>
            <a:gd name="T3" fmla="*/ 0 h 89"/>
            <a:gd name="T4" fmla="*/ 244 w 123"/>
            <a:gd name="T5" fmla="*/ 11 h 89"/>
            <a:gd name="T6" fmla="*/ 284 w 123"/>
            <a:gd name="T7" fmla="*/ 0 h 89"/>
            <a:gd name="T8" fmla="*/ 301 w 123"/>
            <a:gd name="T9" fmla="*/ 23 h 89"/>
            <a:gd name="T10" fmla="*/ 329 w 123"/>
            <a:gd name="T11" fmla="*/ 34 h 89"/>
            <a:gd name="T12" fmla="*/ 363 w 123"/>
            <a:gd name="T13" fmla="*/ 62 h 89"/>
            <a:gd name="T14" fmla="*/ 403 w 123"/>
            <a:gd name="T15" fmla="*/ 34 h 89"/>
            <a:gd name="T16" fmla="*/ 437 w 123"/>
            <a:gd name="T17" fmla="*/ 23 h 89"/>
            <a:gd name="T18" fmla="*/ 465 w 123"/>
            <a:gd name="T19" fmla="*/ 45 h 89"/>
            <a:gd name="T20" fmla="*/ 488 w 123"/>
            <a:gd name="T21" fmla="*/ 85 h 89"/>
            <a:gd name="T22" fmla="*/ 488 w 123"/>
            <a:gd name="T23" fmla="*/ 131 h 89"/>
            <a:gd name="T24" fmla="*/ 516 w 123"/>
            <a:gd name="T25" fmla="*/ 165 h 89"/>
            <a:gd name="T26" fmla="*/ 528 w 123"/>
            <a:gd name="T27" fmla="*/ 216 h 89"/>
            <a:gd name="T28" fmla="*/ 533 w 123"/>
            <a:gd name="T29" fmla="*/ 250 h 89"/>
            <a:gd name="T30" fmla="*/ 562 w 123"/>
            <a:gd name="T31" fmla="*/ 289 h 89"/>
            <a:gd name="T32" fmla="*/ 596 w 123"/>
            <a:gd name="T33" fmla="*/ 289 h 89"/>
            <a:gd name="T34" fmla="*/ 636 w 123"/>
            <a:gd name="T35" fmla="*/ 272 h 89"/>
            <a:gd name="T36" fmla="*/ 670 w 123"/>
            <a:gd name="T37" fmla="*/ 250 h 89"/>
            <a:gd name="T38" fmla="*/ 698 w 123"/>
            <a:gd name="T39" fmla="*/ 250 h 89"/>
            <a:gd name="T40" fmla="*/ 698 w 123"/>
            <a:gd name="T41" fmla="*/ 272 h 89"/>
            <a:gd name="T42" fmla="*/ 675 w 123"/>
            <a:gd name="T43" fmla="*/ 312 h 89"/>
            <a:gd name="T44" fmla="*/ 675 w 123"/>
            <a:gd name="T45" fmla="*/ 346 h 89"/>
            <a:gd name="T46" fmla="*/ 636 w 123"/>
            <a:gd name="T47" fmla="*/ 346 h 89"/>
            <a:gd name="T48" fmla="*/ 607 w 123"/>
            <a:gd name="T49" fmla="*/ 386 h 89"/>
            <a:gd name="T50" fmla="*/ 556 w 123"/>
            <a:gd name="T51" fmla="*/ 386 h 89"/>
            <a:gd name="T52" fmla="*/ 505 w 123"/>
            <a:gd name="T53" fmla="*/ 409 h 89"/>
            <a:gd name="T54" fmla="*/ 465 w 123"/>
            <a:gd name="T55" fmla="*/ 431 h 89"/>
            <a:gd name="T56" fmla="*/ 437 w 123"/>
            <a:gd name="T57" fmla="*/ 471 h 89"/>
            <a:gd name="T58" fmla="*/ 403 w 123"/>
            <a:gd name="T59" fmla="*/ 505 h 89"/>
            <a:gd name="T60" fmla="*/ 392 w 123"/>
            <a:gd name="T61" fmla="*/ 482 h 89"/>
            <a:gd name="T62" fmla="*/ 363 w 123"/>
            <a:gd name="T63" fmla="*/ 494 h 89"/>
            <a:gd name="T64" fmla="*/ 335 w 123"/>
            <a:gd name="T65" fmla="*/ 454 h 89"/>
            <a:gd name="T66" fmla="*/ 301 w 123"/>
            <a:gd name="T67" fmla="*/ 454 h 89"/>
            <a:gd name="T68" fmla="*/ 301 w 123"/>
            <a:gd name="T69" fmla="*/ 409 h 89"/>
            <a:gd name="T70" fmla="*/ 284 w 123"/>
            <a:gd name="T71" fmla="*/ 369 h 89"/>
            <a:gd name="T72" fmla="*/ 284 w 123"/>
            <a:gd name="T73" fmla="*/ 323 h 89"/>
            <a:gd name="T74" fmla="*/ 238 w 123"/>
            <a:gd name="T75" fmla="*/ 289 h 89"/>
            <a:gd name="T76" fmla="*/ 204 w 123"/>
            <a:gd name="T77" fmla="*/ 301 h 89"/>
            <a:gd name="T78" fmla="*/ 170 w 123"/>
            <a:gd name="T79" fmla="*/ 272 h 89"/>
            <a:gd name="T80" fmla="*/ 131 w 123"/>
            <a:gd name="T81" fmla="*/ 267 h 89"/>
            <a:gd name="T82" fmla="*/ 96 w 123"/>
            <a:gd name="T83" fmla="*/ 250 h 89"/>
            <a:gd name="T84" fmla="*/ 62 w 123"/>
            <a:gd name="T85" fmla="*/ 267 h 89"/>
            <a:gd name="T86" fmla="*/ 23 w 123"/>
            <a:gd name="T87" fmla="*/ 272 h 89"/>
            <a:gd name="T88" fmla="*/ 0 w 123"/>
            <a:gd name="T89" fmla="*/ 267 h 89"/>
            <a:gd name="T90" fmla="*/ 23 w 123"/>
            <a:gd name="T91" fmla="*/ 238 h 89"/>
            <a:gd name="T92" fmla="*/ 62 w 123"/>
            <a:gd name="T93" fmla="*/ 216 h 89"/>
            <a:gd name="T94" fmla="*/ 79 w 123"/>
            <a:gd name="T95" fmla="*/ 182 h 89"/>
            <a:gd name="T96" fmla="*/ 96 w 123"/>
            <a:gd name="T97" fmla="*/ 142 h 89"/>
            <a:gd name="T98" fmla="*/ 113 w 123"/>
            <a:gd name="T99" fmla="*/ 96 h 89"/>
            <a:gd name="T100" fmla="*/ 148 w 123"/>
            <a:gd name="T101" fmla="*/ 62 h 89"/>
            <a:gd name="T102" fmla="*/ 170 w 123"/>
            <a:gd name="T103" fmla="*/ 45 h 89"/>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0" t="0" r="r" b="b"/>
          <a:pathLst>
            <a:path w="123" h="89">
              <a:moveTo>
                <a:pt x="28" y="8"/>
              </a:moveTo>
              <a:lnTo>
                <a:pt x="31" y="6"/>
              </a:lnTo>
              <a:lnTo>
                <a:pt x="34" y="4"/>
              </a:lnTo>
              <a:lnTo>
                <a:pt x="37" y="0"/>
              </a:lnTo>
              <a:lnTo>
                <a:pt x="41" y="0"/>
              </a:lnTo>
              <a:lnTo>
                <a:pt x="43" y="2"/>
              </a:lnTo>
              <a:lnTo>
                <a:pt x="47" y="2"/>
              </a:lnTo>
              <a:lnTo>
                <a:pt x="50" y="0"/>
              </a:lnTo>
              <a:lnTo>
                <a:pt x="53" y="0"/>
              </a:lnTo>
              <a:lnTo>
                <a:pt x="53" y="4"/>
              </a:lnTo>
              <a:lnTo>
                <a:pt x="55" y="8"/>
              </a:lnTo>
              <a:lnTo>
                <a:pt x="58" y="6"/>
              </a:lnTo>
              <a:lnTo>
                <a:pt x="61" y="8"/>
              </a:lnTo>
              <a:lnTo>
                <a:pt x="64" y="11"/>
              </a:lnTo>
              <a:lnTo>
                <a:pt x="68" y="6"/>
              </a:lnTo>
              <a:lnTo>
                <a:pt x="71" y="6"/>
              </a:lnTo>
              <a:lnTo>
                <a:pt x="74" y="6"/>
              </a:lnTo>
              <a:lnTo>
                <a:pt x="77" y="4"/>
              </a:lnTo>
              <a:lnTo>
                <a:pt x="80" y="4"/>
              </a:lnTo>
              <a:lnTo>
                <a:pt x="82" y="8"/>
              </a:lnTo>
              <a:lnTo>
                <a:pt x="83" y="12"/>
              </a:lnTo>
              <a:lnTo>
                <a:pt x="86" y="15"/>
              </a:lnTo>
              <a:lnTo>
                <a:pt x="86" y="19"/>
              </a:lnTo>
              <a:lnTo>
                <a:pt x="86" y="23"/>
              </a:lnTo>
              <a:lnTo>
                <a:pt x="88" y="27"/>
              </a:lnTo>
              <a:lnTo>
                <a:pt x="91" y="29"/>
              </a:lnTo>
              <a:lnTo>
                <a:pt x="91" y="34"/>
              </a:lnTo>
              <a:lnTo>
                <a:pt x="93" y="38"/>
              </a:lnTo>
              <a:lnTo>
                <a:pt x="91" y="42"/>
              </a:lnTo>
              <a:lnTo>
                <a:pt x="94" y="44"/>
              </a:lnTo>
              <a:lnTo>
                <a:pt x="96" y="48"/>
              </a:lnTo>
              <a:lnTo>
                <a:pt x="99" y="51"/>
              </a:lnTo>
              <a:lnTo>
                <a:pt x="102" y="48"/>
              </a:lnTo>
              <a:lnTo>
                <a:pt x="105" y="51"/>
              </a:lnTo>
              <a:lnTo>
                <a:pt x="109" y="51"/>
              </a:lnTo>
              <a:lnTo>
                <a:pt x="112" y="48"/>
              </a:lnTo>
              <a:lnTo>
                <a:pt x="115" y="47"/>
              </a:lnTo>
              <a:lnTo>
                <a:pt x="118" y="44"/>
              </a:lnTo>
              <a:lnTo>
                <a:pt x="121" y="44"/>
              </a:lnTo>
              <a:lnTo>
                <a:pt x="123" y="44"/>
              </a:lnTo>
              <a:lnTo>
                <a:pt x="123" y="48"/>
              </a:lnTo>
              <a:lnTo>
                <a:pt x="119" y="51"/>
              </a:lnTo>
              <a:lnTo>
                <a:pt x="119" y="55"/>
              </a:lnTo>
              <a:lnTo>
                <a:pt x="121" y="57"/>
              </a:lnTo>
              <a:lnTo>
                <a:pt x="119" y="61"/>
              </a:lnTo>
              <a:lnTo>
                <a:pt x="116" y="61"/>
              </a:lnTo>
              <a:lnTo>
                <a:pt x="112" y="61"/>
              </a:lnTo>
              <a:lnTo>
                <a:pt x="108" y="64"/>
              </a:lnTo>
              <a:lnTo>
                <a:pt x="107" y="68"/>
              </a:lnTo>
              <a:lnTo>
                <a:pt x="102" y="68"/>
              </a:lnTo>
              <a:lnTo>
                <a:pt x="98" y="68"/>
              </a:lnTo>
              <a:lnTo>
                <a:pt x="93" y="68"/>
              </a:lnTo>
              <a:lnTo>
                <a:pt x="89" y="72"/>
              </a:lnTo>
              <a:lnTo>
                <a:pt x="86" y="74"/>
              </a:lnTo>
              <a:lnTo>
                <a:pt x="82" y="76"/>
              </a:lnTo>
              <a:lnTo>
                <a:pt x="80" y="80"/>
              </a:lnTo>
              <a:lnTo>
                <a:pt x="77" y="83"/>
              </a:lnTo>
              <a:lnTo>
                <a:pt x="74" y="87"/>
              </a:lnTo>
              <a:lnTo>
                <a:pt x="71" y="89"/>
              </a:lnTo>
              <a:lnTo>
                <a:pt x="71" y="87"/>
              </a:lnTo>
              <a:lnTo>
                <a:pt x="69" y="85"/>
              </a:lnTo>
              <a:lnTo>
                <a:pt x="68" y="85"/>
              </a:lnTo>
              <a:lnTo>
                <a:pt x="64" y="87"/>
              </a:lnTo>
              <a:lnTo>
                <a:pt x="63" y="83"/>
              </a:lnTo>
              <a:lnTo>
                <a:pt x="59" y="80"/>
              </a:lnTo>
              <a:lnTo>
                <a:pt x="57" y="80"/>
              </a:lnTo>
              <a:lnTo>
                <a:pt x="53" y="80"/>
              </a:lnTo>
              <a:lnTo>
                <a:pt x="52" y="76"/>
              </a:lnTo>
              <a:lnTo>
                <a:pt x="53" y="72"/>
              </a:lnTo>
              <a:lnTo>
                <a:pt x="53" y="68"/>
              </a:lnTo>
              <a:lnTo>
                <a:pt x="50" y="65"/>
              </a:lnTo>
              <a:lnTo>
                <a:pt x="48" y="61"/>
              </a:lnTo>
              <a:lnTo>
                <a:pt x="50" y="57"/>
              </a:lnTo>
              <a:lnTo>
                <a:pt x="47" y="53"/>
              </a:lnTo>
              <a:lnTo>
                <a:pt x="42" y="51"/>
              </a:lnTo>
              <a:lnTo>
                <a:pt x="39" y="51"/>
              </a:lnTo>
              <a:lnTo>
                <a:pt x="36" y="53"/>
              </a:lnTo>
              <a:lnTo>
                <a:pt x="33" y="53"/>
              </a:lnTo>
              <a:lnTo>
                <a:pt x="30" y="48"/>
              </a:lnTo>
              <a:lnTo>
                <a:pt x="26" y="47"/>
              </a:lnTo>
              <a:lnTo>
                <a:pt x="23" y="47"/>
              </a:lnTo>
              <a:lnTo>
                <a:pt x="20" y="47"/>
              </a:lnTo>
              <a:lnTo>
                <a:pt x="17" y="44"/>
              </a:lnTo>
              <a:lnTo>
                <a:pt x="14" y="44"/>
              </a:lnTo>
              <a:lnTo>
                <a:pt x="11" y="47"/>
              </a:lnTo>
              <a:lnTo>
                <a:pt x="7" y="48"/>
              </a:lnTo>
              <a:lnTo>
                <a:pt x="4" y="48"/>
              </a:lnTo>
              <a:lnTo>
                <a:pt x="1" y="47"/>
              </a:lnTo>
              <a:lnTo>
                <a:pt x="0" y="47"/>
              </a:lnTo>
              <a:lnTo>
                <a:pt x="1" y="46"/>
              </a:lnTo>
              <a:lnTo>
                <a:pt x="4" y="42"/>
              </a:lnTo>
              <a:lnTo>
                <a:pt x="7" y="40"/>
              </a:lnTo>
              <a:lnTo>
                <a:pt x="11" y="38"/>
              </a:lnTo>
              <a:lnTo>
                <a:pt x="14" y="36"/>
              </a:lnTo>
              <a:lnTo>
                <a:pt x="14" y="32"/>
              </a:lnTo>
              <a:lnTo>
                <a:pt x="14" y="27"/>
              </a:lnTo>
              <a:lnTo>
                <a:pt x="17" y="25"/>
              </a:lnTo>
              <a:lnTo>
                <a:pt x="18" y="21"/>
              </a:lnTo>
              <a:lnTo>
                <a:pt x="20" y="17"/>
              </a:lnTo>
              <a:lnTo>
                <a:pt x="23" y="12"/>
              </a:lnTo>
              <a:lnTo>
                <a:pt x="26" y="11"/>
              </a:lnTo>
              <a:lnTo>
                <a:pt x="30" y="8"/>
              </a:lnTo>
              <a:lnTo>
                <a:pt x="28" y="8"/>
              </a:lnTo>
              <a:close/>
            </a:path>
          </a:pathLst>
        </a:custGeom>
        <a:solidFill>
          <a:srgbClr val="0000BF"/>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53784</xdr:colOff>
      <xdr:row>67</xdr:row>
      <xdr:rowOff>54290</xdr:rowOff>
    </xdr:from>
    <xdr:to>
      <xdr:col>3</xdr:col>
      <xdr:colOff>828211</xdr:colOff>
      <xdr:row>70</xdr:row>
      <xdr:rowOff>105065</xdr:rowOff>
    </xdr:to>
    <xdr:sp macro="" textlink="">
      <xdr:nvSpPr>
        <xdr:cNvPr id="28" name="Freeform 99">
          <a:extLst>
            <a:ext uri="{FF2B5EF4-FFF2-40B4-BE49-F238E27FC236}">
              <a16:creationId xmlns:a16="http://schemas.microsoft.com/office/drawing/2014/main" id="{676AC6DA-B1A9-4736-A630-5F033CA765D4}"/>
            </a:ext>
          </a:extLst>
        </xdr:cNvPr>
        <xdr:cNvSpPr>
          <a:spLocks noChangeAspect="1"/>
        </xdr:cNvSpPr>
      </xdr:nvSpPr>
      <xdr:spPr bwMode="gray">
        <a:xfrm>
          <a:off x="2612834" y="11846240"/>
          <a:ext cx="780777" cy="533375"/>
        </a:xfrm>
        <a:custGeom>
          <a:avLst/>
          <a:gdLst>
            <a:gd name="T0" fmla="*/ 125 w 91"/>
            <a:gd name="T1" fmla="*/ 11 h 68"/>
            <a:gd name="T2" fmla="*/ 85 w 91"/>
            <a:gd name="T3" fmla="*/ 34 h 68"/>
            <a:gd name="T4" fmla="*/ 80 w 91"/>
            <a:gd name="T5" fmla="*/ 79 h 68"/>
            <a:gd name="T6" fmla="*/ 51 w 91"/>
            <a:gd name="T7" fmla="*/ 108 h 68"/>
            <a:gd name="T8" fmla="*/ 34 w 91"/>
            <a:gd name="T9" fmla="*/ 142 h 68"/>
            <a:gd name="T10" fmla="*/ 6 w 91"/>
            <a:gd name="T11" fmla="*/ 170 h 68"/>
            <a:gd name="T12" fmla="*/ 0 w 91"/>
            <a:gd name="T13" fmla="*/ 216 h 68"/>
            <a:gd name="T14" fmla="*/ 6 w 91"/>
            <a:gd name="T15" fmla="*/ 261 h 68"/>
            <a:gd name="T16" fmla="*/ 45 w 91"/>
            <a:gd name="T17" fmla="*/ 250 h 68"/>
            <a:gd name="T18" fmla="*/ 80 w 91"/>
            <a:gd name="T19" fmla="*/ 290 h 68"/>
            <a:gd name="T20" fmla="*/ 80 w 91"/>
            <a:gd name="T21" fmla="*/ 335 h 68"/>
            <a:gd name="T22" fmla="*/ 85 w 91"/>
            <a:gd name="T23" fmla="*/ 346 h 68"/>
            <a:gd name="T24" fmla="*/ 125 w 91"/>
            <a:gd name="T25" fmla="*/ 358 h 68"/>
            <a:gd name="T26" fmla="*/ 159 w 91"/>
            <a:gd name="T27" fmla="*/ 369 h 68"/>
            <a:gd name="T28" fmla="*/ 193 w 91"/>
            <a:gd name="T29" fmla="*/ 358 h 68"/>
            <a:gd name="T30" fmla="*/ 227 w 91"/>
            <a:gd name="T31" fmla="*/ 369 h 68"/>
            <a:gd name="T32" fmla="*/ 256 w 91"/>
            <a:gd name="T33" fmla="*/ 386 h 68"/>
            <a:gd name="T34" fmla="*/ 290 w 91"/>
            <a:gd name="T35" fmla="*/ 369 h 68"/>
            <a:gd name="T36" fmla="*/ 307 w 91"/>
            <a:gd name="T37" fmla="*/ 346 h 68"/>
            <a:gd name="T38" fmla="*/ 341 w 91"/>
            <a:gd name="T39" fmla="*/ 318 h 68"/>
            <a:gd name="T40" fmla="*/ 386 w 91"/>
            <a:gd name="T41" fmla="*/ 346 h 68"/>
            <a:gd name="T42" fmla="*/ 420 w 91"/>
            <a:gd name="T43" fmla="*/ 335 h 68"/>
            <a:gd name="T44" fmla="*/ 455 w 91"/>
            <a:gd name="T45" fmla="*/ 335 h 68"/>
            <a:gd name="T46" fmla="*/ 483 w 91"/>
            <a:gd name="T47" fmla="*/ 295 h 68"/>
            <a:gd name="T48" fmla="*/ 489 w 91"/>
            <a:gd name="T49" fmla="*/ 261 h 68"/>
            <a:gd name="T50" fmla="*/ 517 w 91"/>
            <a:gd name="T51" fmla="*/ 233 h 68"/>
            <a:gd name="T52" fmla="*/ 483 w 91"/>
            <a:gd name="T53" fmla="*/ 233 h 68"/>
            <a:gd name="T54" fmla="*/ 455 w 91"/>
            <a:gd name="T55" fmla="*/ 199 h 68"/>
            <a:gd name="T56" fmla="*/ 420 w 91"/>
            <a:gd name="T57" fmla="*/ 199 h 68"/>
            <a:gd name="T58" fmla="*/ 420 w 91"/>
            <a:gd name="T59" fmla="*/ 153 h 68"/>
            <a:gd name="T60" fmla="*/ 403 w 91"/>
            <a:gd name="T61" fmla="*/ 119 h 68"/>
            <a:gd name="T62" fmla="*/ 403 w 91"/>
            <a:gd name="T63" fmla="*/ 68 h 68"/>
            <a:gd name="T64" fmla="*/ 358 w 91"/>
            <a:gd name="T65" fmla="*/ 34 h 68"/>
            <a:gd name="T66" fmla="*/ 324 w 91"/>
            <a:gd name="T67" fmla="*/ 40 h 68"/>
            <a:gd name="T68" fmla="*/ 290 w 91"/>
            <a:gd name="T69" fmla="*/ 23 h 68"/>
            <a:gd name="T70" fmla="*/ 256 w 91"/>
            <a:gd name="T71" fmla="*/ 6 h 68"/>
            <a:gd name="T72" fmla="*/ 222 w 91"/>
            <a:gd name="T73" fmla="*/ 0 h 68"/>
            <a:gd name="T74" fmla="*/ 182 w 91"/>
            <a:gd name="T75" fmla="*/ 6 h 68"/>
            <a:gd name="T76" fmla="*/ 148 w 91"/>
            <a:gd name="T77" fmla="*/ 23 h 68"/>
            <a:gd name="T78" fmla="*/ 125 w 91"/>
            <a:gd name="T79" fmla="*/ 6 h 68"/>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91" h="68">
              <a:moveTo>
                <a:pt x="23" y="2"/>
              </a:moveTo>
              <a:lnTo>
                <a:pt x="22" y="2"/>
              </a:lnTo>
              <a:lnTo>
                <a:pt x="18" y="4"/>
              </a:lnTo>
              <a:lnTo>
                <a:pt x="15" y="6"/>
              </a:lnTo>
              <a:lnTo>
                <a:pt x="14" y="10"/>
              </a:lnTo>
              <a:lnTo>
                <a:pt x="14" y="14"/>
              </a:lnTo>
              <a:lnTo>
                <a:pt x="10" y="14"/>
              </a:lnTo>
              <a:lnTo>
                <a:pt x="9" y="19"/>
              </a:lnTo>
              <a:lnTo>
                <a:pt x="9" y="23"/>
              </a:lnTo>
              <a:lnTo>
                <a:pt x="6" y="25"/>
              </a:lnTo>
              <a:lnTo>
                <a:pt x="3" y="27"/>
              </a:lnTo>
              <a:lnTo>
                <a:pt x="1" y="30"/>
              </a:lnTo>
              <a:lnTo>
                <a:pt x="0" y="34"/>
              </a:lnTo>
              <a:lnTo>
                <a:pt x="0" y="38"/>
              </a:lnTo>
              <a:lnTo>
                <a:pt x="0" y="42"/>
              </a:lnTo>
              <a:lnTo>
                <a:pt x="1" y="46"/>
              </a:lnTo>
              <a:lnTo>
                <a:pt x="5" y="46"/>
              </a:lnTo>
              <a:lnTo>
                <a:pt x="8" y="44"/>
              </a:lnTo>
              <a:lnTo>
                <a:pt x="10" y="48"/>
              </a:lnTo>
              <a:lnTo>
                <a:pt x="14" y="51"/>
              </a:lnTo>
              <a:lnTo>
                <a:pt x="14" y="54"/>
              </a:lnTo>
              <a:lnTo>
                <a:pt x="14" y="59"/>
              </a:lnTo>
              <a:lnTo>
                <a:pt x="13" y="61"/>
              </a:lnTo>
              <a:lnTo>
                <a:pt x="15" y="61"/>
              </a:lnTo>
              <a:lnTo>
                <a:pt x="18" y="61"/>
              </a:lnTo>
              <a:lnTo>
                <a:pt x="22" y="63"/>
              </a:lnTo>
              <a:lnTo>
                <a:pt x="24" y="65"/>
              </a:lnTo>
              <a:lnTo>
                <a:pt x="28" y="65"/>
              </a:lnTo>
              <a:lnTo>
                <a:pt x="30" y="63"/>
              </a:lnTo>
              <a:lnTo>
                <a:pt x="34" y="63"/>
              </a:lnTo>
              <a:lnTo>
                <a:pt x="37" y="63"/>
              </a:lnTo>
              <a:lnTo>
                <a:pt x="40" y="65"/>
              </a:lnTo>
              <a:lnTo>
                <a:pt x="42" y="65"/>
              </a:lnTo>
              <a:lnTo>
                <a:pt x="45" y="68"/>
              </a:lnTo>
              <a:lnTo>
                <a:pt x="47" y="68"/>
              </a:lnTo>
              <a:lnTo>
                <a:pt x="51" y="65"/>
              </a:lnTo>
              <a:lnTo>
                <a:pt x="51" y="61"/>
              </a:lnTo>
              <a:lnTo>
                <a:pt x="54" y="61"/>
              </a:lnTo>
              <a:lnTo>
                <a:pt x="57" y="59"/>
              </a:lnTo>
              <a:lnTo>
                <a:pt x="60" y="56"/>
              </a:lnTo>
              <a:lnTo>
                <a:pt x="63" y="59"/>
              </a:lnTo>
              <a:lnTo>
                <a:pt x="68" y="61"/>
              </a:lnTo>
              <a:lnTo>
                <a:pt x="73" y="61"/>
              </a:lnTo>
              <a:lnTo>
                <a:pt x="74" y="59"/>
              </a:lnTo>
              <a:lnTo>
                <a:pt x="77" y="56"/>
              </a:lnTo>
              <a:lnTo>
                <a:pt x="80" y="59"/>
              </a:lnTo>
              <a:lnTo>
                <a:pt x="83" y="56"/>
              </a:lnTo>
              <a:lnTo>
                <a:pt x="85" y="52"/>
              </a:lnTo>
              <a:lnTo>
                <a:pt x="83" y="48"/>
              </a:lnTo>
              <a:lnTo>
                <a:pt x="86" y="46"/>
              </a:lnTo>
              <a:lnTo>
                <a:pt x="89" y="46"/>
              </a:lnTo>
              <a:lnTo>
                <a:pt x="91" y="41"/>
              </a:lnTo>
              <a:lnTo>
                <a:pt x="88" y="40"/>
              </a:lnTo>
              <a:lnTo>
                <a:pt x="85" y="41"/>
              </a:lnTo>
              <a:lnTo>
                <a:pt x="83" y="38"/>
              </a:lnTo>
              <a:lnTo>
                <a:pt x="80" y="35"/>
              </a:lnTo>
              <a:lnTo>
                <a:pt x="77" y="35"/>
              </a:lnTo>
              <a:lnTo>
                <a:pt x="74" y="35"/>
              </a:lnTo>
              <a:lnTo>
                <a:pt x="73" y="31"/>
              </a:lnTo>
              <a:lnTo>
                <a:pt x="74" y="27"/>
              </a:lnTo>
              <a:lnTo>
                <a:pt x="74" y="23"/>
              </a:lnTo>
              <a:lnTo>
                <a:pt x="71" y="21"/>
              </a:lnTo>
              <a:lnTo>
                <a:pt x="69" y="16"/>
              </a:lnTo>
              <a:lnTo>
                <a:pt x="71" y="12"/>
              </a:lnTo>
              <a:lnTo>
                <a:pt x="68" y="7"/>
              </a:lnTo>
              <a:lnTo>
                <a:pt x="63" y="6"/>
              </a:lnTo>
              <a:lnTo>
                <a:pt x="60" y="6"/>
              </a:lnTo>
              <a:lnTo>
                <a:pt x="57" y="7"/>
              </a:lnTo>
              <a:lnTo>
                <a:pt x="54" y="7"/>
              </a:lnTo>
              <a:lnTo>
                <a:pt x="51" y="4"/>
              </a:lnTo>
              <a:lnTo>
                <a:pt x="47" y="1"/>
              </a:lnTo>
              <a:lnTo>
                <a:pt x="45" y="1"/>
              </a:lnTo>
              <a:lnTo>
                <a:pt x="42" y="1"/>
              </a:lnTo>
              <a:lnTo>
                <a:pt x="39" y="0"/>
              </a:lnTo>
              <a:lnTo>
                <a:pt x="36" y="0"/>
              </a:lnTo>
              <a:lnTo>
                <a:pt x="32" y="1"/>
              </a:lnTo>
              <a:lnTo>
                <a:pt x="29" y="4"/>
              </a:lnTo>
              <a:lnTo>
                <a:pt x="26" y="4"/>
              </a:lnTo>
              <a:lnTo>
                <a:pt x="23" y="1"/>
              </a:lnTo>
              <a:lnTo>
                <a:pt x="22" y="1"/>
              </a:lnTo>
              <a:lnTo>
                <a:pt x="23" y="2"/>
              </a:lnTo>
              <a:close/>
            </a:path>
          </a:pathLst>
        </a:custGeom>
        <a:solidFill>
          <a:srgbClr val="0000BF"/>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164632</xdr:colOff>
      <xdr:row>70</xdr:row>
      <xdr:rowOff>16828</xdr:rowOff>
    </xdr:from>
    <xdr:to>
      <xdr:col>3</xdr:col>
      <xdr:colOff>768295</xdr:colOff>
      <xdr:row>72</xdr:row>
      <xdr:rowOff>103434</xdr:rowOff>
    </xdr:to>
    <xdr:sp macro="" textlink="">
      <xdr:nvSpPr>
        <xdr:cNvPr id="29" name="Freeform 100">
          <a:extLst>
            <a:ext uri="{FF2B5EF4-FFF2-40B4-BE49-F238E27FC236}">
              <a16:creationId xmlns:a16="http://schemas.microsoft.com/office/drawing/2014/main" id="{312FBBFA-529E-4C25-9C7A-9B8C99E1B6EF}"/>
            </a:ext>
          </a:extLst>
        </xdr:cNvPr>
        <xdr:cNvSpPr>
          <a:spLocks noChangeAspect="1"/>
        </xdr:cNvSpPr>
      </xdr:nvSpPr>
      <xdr:spPr bwMode="gray">
        <a:xfrm>
          <a:off x="2723682" y="12294553"/>
          <a:ext cx="610013" cy="413631"/>
        </a:xfrm>
        <a:custGeom>
          <a:avLst/>
          <a:gdLst>
            <a:gd name="T0" fmla="*/ 6 w 71"/>
            <a:gd name="T1" fmla="*/ 23 h 52"/>
            <a:gd name="T2" fmla="*/ 23 w 71"/>
            <a:gd name="T3" fmla="*/ 23 h 52"/>
            <a:gd name="T4" fmla="*/ 40 w 71"/>
            <a:gd name="T5" fmla="*/ 23 h 52"/>
            <a:gd name="T6" fmla="*/ 57 w 71"/>
            <a:gd name="T7" fmla="*/ 34 h 52"/>
            <a:gd name="T8" fmla="*/ 74 w 71"/>
            <a:gd name="T9" fmla="*/ 45 h 52"/>
            <a:gd name="T10" fmla="*/ 91 w 71"/>
            <a:gd name="T11" fmla="*/ 45 h 52"/>
            <a:gd name="T12" fmla="*/ 108 w 71"/>
            <a:gd name="T13" fmla="*/ 34 h 52"/>
            <a:gd name="T14" fmla="*/ 125 w 71"/>
            <a:gd name="T15" fmla="*/ 34 h 52"/>
            <a:gd name="T16" fmla="*/ 142 w 71"/>
            <a:gd name="T17" fmla="*/ 34 h 52"/>
            <a:gd name="T18" fmla="*/ 159 w 71"/>
            <a:gd name="T19" fmla="*/ 45 h 52"/>
            <a:gd name="T20" fmla="*/ 170 w 71"/>
            <a:gd name="T21" fmla="*/ 45 h 52"/>
            <a:gd name="T22" fmla="*/ 187 w 71"/>
            <a:gd name="T23" fmla="*/ 57 h 52"/>
            <a:gd name="T24" fmla="*/ 199 w 71"/>
            <a:gd name="T25" fmla="*/ 57 h 52"/>
            <a:gd name="T26" fmla="*/ 221 w 71"/>
            <a:gd name="T27" fmla="*/ 45 h 52"/>
            <a:gd name="T28" fmla="*/ 221 w 71"/>
            <a:gd name="T29" fmla="*/ 23 h 52"/>
            <a:gd name="T30" fmla="*/ 233 w 71"/>
            <a:gd name="T31" fmla="*/ 23 h 52"/>
            <a:gd name="T32" fmla="*/ 250 w 71"/>
            <a:gd name="T33" fmla="*/ 11 h 52"/>
            <a:gd name="T34" fmla="*/ 272 w 71"/>
            <a:gd name="T35" fmla="*/ 0 h 52"/>
            <a:gd name="T36" fmla="*/ 289 w 71"/>
            <a:gd name="T37" fmla="*/ 11 h 52"/>
            <a:gd name="T38" fmla="*/ 312 w 71"/>
            <a:gd name="T39" fmla="*/ 23 h 52"/>
            <a:gd name="T40" fmla="*/ 341 w 71"/>
            <a:gd name="T41" fmla="*/ 23 h 52"/>
            <a:gd name="T42" fmla="*/ 346 w 71"/>
            <a:gd name="T43" fmla="*/ 11 h 52"/>
            <a:gd name="T44" fmla="*/ 363 w 71"/>
            <a:gd name="T45" fmla="*/ 0 h 52"/>
            <a:gd name="T46" fmla="*/ 380 w 71"/>
            <a:gd name="T47" fmla="*/ 11 h 52"/>
            <a:gd name="T48" fmla="*/ 392 w 71"/>
            <a:gd name="T49" fmla="*/ 34 h 52"/>
            <a:gd name="T50" fmla="*/ 403 w 71"/>
            <a:gd name="T51" fmla="*/ 57 h 52"/>
            <a:gd name="T52" fmla="*/ 392 w 71"/>
            <a:gd name="T53" fmla="*/ 79 h 52"/>
            <a:gd name="T54" fmla="*/ 403 w 71"/>
            <a:gd name="T55" fmla="*/ 108 h 52"/>
            <a:gd name="T56" fmla="*/ 403 w 71"/>
            <a:gd name="T57" fmla="*/ 130 h 52"/>
            <a:gd name="T58" fmla="*/ 392 w 71"/>
            <a:gd name="T59" fmla="*/ 153 h 52"/>
            <a:gd name="T60" fmla="*/ 380 w 71"/>
            <a:gd name="T61" fmla="*/ 176 h 52"/>
            <a:gd name="T62" fmla="*/ 380 w 71"/>
            <a:gd name="T63" fmla="*/ 199 h 52"/>
            <a:gd name="T64" fmla="*/ 369 w 71"/>
            <a:gd name="T65" fmla="*/ 238 h 52"/>
            <a:gd name="T66" fmla="*/ 346 w 71"/>
            <a:gd name="T67" fmla="*/ 244 h 52"/>
            <a:gd name="T68" fmla="*/ 324 w 71"/>
            <a:gd name="T69" fmla="*/ 272 h 52"/>
            <a:gd name="T70" fmla="*/ 324 w 71"/>
            <a:gd name="T71" fmla="*/ 278 h 52"/>
            <a:gd name="T72" fmla="*/ 295 w 71"/>
            <a:gd name="T73" fmla="*/ 295 h 52"/>
            <a:gd name="T74" fmla="*/ 278 w 71"/>
            <a:gd name="T75" fmla="*/ 295 h 52"/>
            <a:gd name="T76" fmla="*/ 261 w 71"/>
            <a:gd name="T77" fmla="*/ 284 h 52"/>
            <a:gd name="T78" fmla="*/ 278 w 71"/>
            <a:gd name="T79" fmla="*/ 272 h 52"/>
            <a:gd name="T80" fmla="*/ 295 w 71"/>
            <a:gd name="T81" fmla="*/ 244 h 52"/>
            <a:gd name="T82" fmla="*/ 307 w 71"/>
            <a:gd name="T83" fmla="*/ 221 h 52"/>
            <a:gd name="T84" fmla="*/ 289 w 71"/>
            <a:gd name="T85" fmla="*/ 210 h 52"/>
            <a:gd name="T86" fmla="*/ 272 w 71"/>
            <a:gd name="T87" fmla="*/ 221 h 52"/>
            <a:gd name="T88" fmla="*/ 255 w 71"/>
            <a:gd name="T89" fmla="*/ 210 h 52"/>
            <a:gd name="T90" fmla="*/ 233 w 71"/>
            <a:gd name="T91" fmla="*/ 187 h 52"/>
            <a:gd name="T92" fmla="*/ 221 w 71"/>
            <a:gd name="T93" fmla="*/ 176 h 52"/>
            <a:gd name="T94" fmla="*/ 199 w 71"/>
            <a:gd name="T95" fmla="*/ 165 h 52"/>
            <a:gd name="T96" fmla="*/ 187 w 71"/>
            <a:gd name="T97" fmla="*/ 153 h 52"/>
            <a:gd name="T98" fmla="*/ 159 w 71"/>
            <a:gd name="T99" fmla="*/ 142 h 52"/>
            <a:gd name="T100" fmla="*/ 142 w 71"/>
            <a:gd name="T101" fmla="*/ 142 h 52"/>
            <a:gd name="T102" fmla="*/ 125 w 71"/>
            <a:gd name="T103" fmla="*/ 130 h 52"/>
            <a:gd name="T104" fmla="*/ 108 w 71"/>
            <a:gd name="T105" fmla="*/ 119 h 52"/>
            <a:gd name="T106" fmla="*/ 91 w 71"/>
            <a:gd name="T107" fmla="*/ 108 h 52"/>
            <a:gd name="T108" fmla="*/ 62 w 71"/>
            <a:gd name="T109" fmla="*/ 108 h 52"/>
            <a:gd name="T110" fmla="*/ 51 w 71"/>
            <a:gd name="T111" fmla="*/ 108 h 52"/>
            <a:gd name="T112" fmla="*/ 34 w 71"/>
            <a:gd name="T113" fmla="*/ 108 h 52"/>
            <a:gd name="T114" fmla="*/ 11 w 71"/>
            <a:gd name="T115" fmla="*/ 96 h 52"/>
            <a:gd name="T116" fmla="*/ 0 w 71"/>
            <a:gd name="T117" fmla="*/ 79 h 52"/>
            <a:gd name="T118" fmla="*/ 6 w 71"/>
            <a:gd name="T119" fmla="*/ 57 h 52"/>
            <a:gd name="T120" fmla="*/ 6 w 71"/>
            <a:gd name="T121" fmla="*/ 34 h 52"/>
            <a:gd name="T122" fmla="*/ 11 w 71"/>
            <a:gd name="T123" fmla="*/ 23 h 52"/>
            <a:gd name="T124" fmla="*/ 6 w 71"/>
            <a:gd name="T125" fmla="*/ 23 h 52"/>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71" h="52">
              <a:moveTo>
                <a:pt x="1" y="4"/>
              </a:moveTo>
              <a:lnTo>
                <a:pt x="4" y="4"/>
              </a:lnTo>
              <a:lnTo>
                <a:pt x="7" y="4"/>
              </a:lnTo>
              <a:lnTo>
                <a:pt x="10" y="6"/>
              </a:lnTo>
              <a:lnTo>
                <a:pt x="13" y="8"/>
              </a:lnTo>
              <a:lnTo>
                <a:pt x="16" y="8"/>
              </a:lnTo>
              <a:lnTo>
                <a:pt x="19" y="6"/>
              </a:lnTo>
              <a:lnTo>
                <a:pt x="22" y="6"/>
              </a:lnTo>
              <a:lnTo>
                <a:pt x="25" y="6"/>
              </a:lnTo>
              <a:lnTo>
                <a:pt x="28" y="8"/>
              </a:lnTo>
              <a:lnTo>
                <a:pt x="30" y="8"/>
              </a:lnTo>
              <a:lnTo>
                <a:pt x="33" y="10"/>
              </a:lnTo>
              <a:lnTo>
                <a:pt x="35" y="10"/>
              </a:lnTo>
              <a:lnTo>
                <a:pt x="39" y="8"/>
              </a:lnTo>
              <a:lnTo>
                <a:pt x="39" y="4"/>
              </a:lnTo>
              <a:lnTo>
                <a:pt x="41" y="4"/>
              </a:lnTo>
              <a:lnTo>
                <a:pt x="44" y="2"/>
              </a:lnTo>
              <a:lnTo>
                <a:pt x="48" y="0"/>
              </a:lnTo>
              <a:lnTo>
                <a:pt x="51" y="2"/>
              </a:lnTo>
              <a:lnTo>
                <a:pt x="55" y="4"/>
              </a:lnTo>
              <a:lnTo>
                <a:pt x="60" y="4"/>
              </a:lnTo>
              <a:lnTo>
                <a:pt x="61" y="2"/>
              </a:lnTo>
              <a:lnTo>
                <a:pt x="64" y="0"/>
              </a:lnTo>
              <a:lnTo>
                <a:pt x="67" y="2"/>
              </a:lnTo>
              <a:lnTo>
                <a:pt x="69" y="6"/>
              </a:lnTo>
              <a:lnTo>
                <a:pt x="71" y="10"/>
              </a:lnTo>
              <a:lnTo>
                <a:pt x="69" y="14"/>
              </a:lnTo>
              <a:lnTo>
                <a:pt x="71" y="19"/>
              </a:lnTo>
              <a:lnTo>
                <a:pt x="71" y="23"/>
              </a:lnTo>
              <a:lnTo>
                <a:pt x="69" y="27"/>
              </a:lnTo>
              <a:lnTo>
                <a:pt x="67" y="31"/>
              </a:lnTo>
              <a:lnTo>
                <a:pt x="67" y="35"/>
              </a:lnTo>
              <a:lnTo>
                <a:pt x="65" y="42"/>
              </a:lnTo>
              <a:lnTo>
                <a:pt x="61" y="43"/>
              </a:lnTo>
              <a:lnTo>
                <a:pt x="57" y="48"/>
              </a:lnTo>
              <a:lnTo>
                <a:pt x="57" y="49"/>
              </a:lnTo>
              <a:lnTo>
                <a:pt x="52" y="52"/>
              </a:lnTo>
              <a:lnTo>
                <a:pt x="49" y="52"/>
              </a:lnTo>
              <a:lnTo>
                <a:pt x="46" y="50"/>
              </a:lnTo>
              <a:lnTo>
                <a:pt x="49" y="48"/>
              </a:lnTo>
              <a:lnTo>
                <a:pt x="52" y="43"/>
              </a:lnTo>
              <a:lnTo>
                <a:pt x="54" y="39"/>
              </a:lnTo>
              <a:lnTo>
                <a:pt x="51" y="37"/>
              </a:lnTo>
              <a:lnTo>
                <a:pt x="48" y="39"/>
              </a:lnTo>
              <a:lnTo>
                <a:pt x="45" y="37"/>
              </a:lnTo>
              <a:lnTo>
                <a:pt x="41" y="33"/>
              </a:lnTo>
              <a:lnTo>
                <a:pt x="39" y="31"/>
              </a:lnTo>
              <a:lnTo>
                <a:pt x="35" y="29"/>
              </a:lnTo>
              <a:lnTo>
                <a:pt x="33" y="27"/>
              </a:lnTo>
              <a:lnTo>
                <a:pt x="28" y="25"/>
              </a:lnTo>
              <a:lnTo>
                <a:pt x="25" y="25"/>
              </a:lnTo>
              <a:lnTo>
                <a:pt x="22" y="23"/>
              </a:lnTo>
              <a:lnTo>
                <a:pt x="19" y="21"/>
              </a:lnTo>
              <a:lnTo>
                <a:pt x="16" y="19"/>
              </a:lnTo>
              <a:lnTo>
                <a:pt x="11" y="19"/>
              </a:lnTo>
              <a:lnTo>
                <a:pt x="9" y="19"/>
              </a:lnTo>
              <a:lnTo>
                <a:pt x="6" y="19"/>
              </a:lnTo>
              <a:lnTo>
                <a:pt x="2" y="17"/>
              </a:lnTo>
              <a:lnTo>
                <a:pt x="0" y="14"/>
              </a:lnTo>
              <a:lnTo>
                <a:pt x="1" y="10"/>
              </a:lnTo>
              <a:lnTo>
                <a:pt x="1" y="6"/>
              </a:lnTo>
              <a:lnTo>
                <a:pt x="2" y="4"/>
              </a:lnTo>
              <a:lnTo>
                <a:pt x="1" y="4"/>
              </a:lnTo>
              <a:close/>
            </a:path>
          </a:pathLst>
        </a:custGeom>
        <a:solidFill>
          <a:schemeClr val="bg1">
            <a:lumMod val="85000"/>
          </a:schemeClr>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solidFill>
              <a:srgbClr val="0000BF"/>
            </a:solidFill>
            <a:latin typeface="Calibri" panose="020F0502020204030204"/>
          </a:endParaRPr>
        </a:p>
      </xdr:txBody>
    </xdr:sp>
    <xdr:clientData/>
  </xdr:twoCellAnchor>
  <xdr:twoCellAnchor>
    <xdr:from>
      <xdr:col>4</xdr:col>
      <xdr:colOff>583714</xdr:colOff>
      <xdr:row>55</xdr:row>
      <xdr:rowOff>136916</xdr:rowOff>
    </xdr:from>
    <xdr:to>
      <xdr:col>6</xdr:col>
      <xdr:colOff>238856</xdr:colOff>
      <xdr:row>57</xdr:row>
      <xdr:rowOff>104471</xdr:rowOff>
    </xdr:to>
    <xdr:sp macro="" textlink="">
      <xdr:nvSpPr>
        <xdr:cNvPr id="30" name="Freeform 102">
          <a:extLst>
            <a:ext uri="{FF2B5EF4-FFF2-40B4-BE49-F238E27FC236}">
              <a16:creationId xmlns:a16="http://schemas.microsoft.com/office/drawing/2014/main" id="{174D8173-B7FF-474E-BACF-DA6F5D74B71E}"/>
            </a:ext>
          </a:extLst>
        </xdr:cNvPr>
        <xdr:cNvSpPr>
          <a:spLocks noChangeAspect="1"/>
        </xdr:cNvSpPr>
      </xdr:nvSpPr>
      <xdr:spPr bwMode="gray">
        <a:xfrm>
          <a:off x="4314339" y="9988941"/>
          <a:ext cx="1998292" cy="291405"/>
        </a:xfrm>
        <a:custGeom>
          <a:avLst/>
          <a:gdLst>
            <a:gd name="T0" fmla="*/ 528 w 97"/>
            <a:gd name="T1" fmla="*/ 148 h 37"/>
            <a:gd name="T2" fmla="*/ 540 w 97"/>
            <a:gd name="T3" fmla="*/ 96 h 37"/>
            <a:gd name="T4" fmla="*/ 551 w 97"/>
            <a:gd name="T5" fmla="*/ 51 h 37"/>
            <a:gd name="T6" fmla="*/ 528 w 97"/>
            <a:gd name="T7" fmla="*/ 28 h 37"/>
            <a:gd name="T8" fmla="*/ 494 w 97"/>
            <a:gd name="T9" fmla="*/ 40 h 37"/>
            <a:gd name="T10" fmla="*/ 466 w 97"/>
            <a:gd name="T11" fmla="*/ 74 h 37"/>
            <a:gd name="T12" fmla="*/ 437 w 97"/>
            <a:gd name="T13" fmla="*/ 74 h 37"/>
            <a:gd name="T14" fmla="*/ 398 w 97"/>
            <a:gd name="T15" fmla="*/ 85 h 37"/>
            <a:gd name="T16" fmla="*/ 364 w 97"/>
            <a:gd name="T17" fmla="*/ 108 h 37"/>
            <a:gd name="T18" fmla="*/ 335 w 97"/>
            <a:gd name="T19" fmla="*/ 62 h 37"/>
            <a:gd name="T20" fmla="*/ 364 w 97"/>
            <a:gd name="T21" fmla="*/ 28 h 37"/>
            <a:gd name="T22" fmla="*/ 335 w 97"/>
            <a:gd name="T23" fmla="*/ 6 h 37"/>
            <a:gd name="T24" fmla="*/ 301 w 97"/>
            <a:gd name="T25" fmla="*/ 28 h 37"/>
            <a:gd name="T26" fmla="*/ 267 w 97"/>
            <a:gd name="T27" fmla="*/ 62 h 37"/>
            <a:gd name="T28" fmla="*/ 233 w 97"/>
            <a:gd name="T29" fmla="*/ 28 h 37"/>
            <a:gd name="T30" fmla="*/ 210 w 97"/>
            <a:gd name="T31" fmla="*/ 23 h 37"/>
            <a:gd name="T32" fmla="*/ 187 w 97"/>
            <a:gd name="T33" fmla="*/ 57 h 37"/>
            <a:gd name="T34" fmla="*/ 153 w 97"/>
            <a:gd name="T35" fmla="*/ 17 h 37"/>
            <a:gd name="T36" fmla="*/ 119 w 97"/>
            <a:gd name="T37" fmla="*/ 6 h 37"/>
            <a:gd name="T38" fmla="*/ 85 w 97"/>
            <a:gd name="T39" fmla="*/ 17 h 37"/>
            <a:gd name="T40" fmla="*/ 57 w 97"/>
            <a:gd name="T41" fmla="*/ 28 h 37"/>
            <a:gd name="T42" fmla="*/ 57 w 97"/>
            <a:gd name="T43" fmla="*/ 74 h 37"/>
            <a:gd name="T44" fmla="*/ 23 w 97"/>
            <a:gd name="T45" fmla="*/ 96 h 37"/>
            <a:gd name="T46" fmla="*/ 0 w 97"/>
            <a:gd name="T47" fmla="*/ 119 h 37"/>
            <a:gd name="T48" fmla="*/ 23 w 97"/>
            <a:gd name="T49" fmla="*/ 148 h 37"/>
            <a:gd name="T50" fmla="*/ 40 w 97"/>
            <a:gd name="T51" fmla="*/ 182 h 37"/>
            <a:gd name="T52" fmla="*/ 74 w 97"/>
            <a:gd name="T53" fmla="*/ 210 h 37"/>
            <a:gd name="T54" fmla="*/ 108 w 97"/>
            <a:gd name="T55" fmla="*/ 165 h 37"/>
            <a:gd name="T56" fmla="*/ 148 w 97"/>
            <a:gd name="T57" fmla="*/ 136 h 37"/>
            <a:gd name="T58" fmla="*/ 187 w 97"/>
            <a:gd name="T59" fmla="*/ 136 h 37"/>
            <a:gd name="T60" fmla="*/ 222 w 97"/>
            <a:gd name="T61" fmla="*/ 148 h 37"/>
            <a:gd name="T62" fmla="*/ 250 w 97"/>
            <a:gd name="T63" fmla="*/ 182 h 37"/>
            <a:gd name="T64" fmla="*/ 278 w 97"/>
            <a:gd name="T65" fmla="*/ 165 h 37"/>
            <a:gd name="T66" fmla="*/ 312 w 97"/>
            <a:gd name="T67" fmla="*/ 165 h 37"/>
            <a:gd name="T68" fmla="*/ 347 w 97"/>
            <a:gd name="T69" fmla="*/ 210 h 37"/>
            <a:gd name="T70" fmla="*/ 381 w 97"/>
            <a:gd name="T71" fmla="*/ 210 h 37"/>
            <a:gd name="T72" fmla="*/ 415 w 97"/>
            <a:gd name="T73" fmla="*/ 193 h 37"/>
            <a:gd name="T74" fmla="*/ 449 w 97"/>
            <a:gd name="T75" fmla="*/ 159 h 37"/>
            <a:gd name="T76" fmla="*/ 489 w 97"/>
            <a:gd name="T77" fmla="*/ 159 h 37"/>
            <a:gd name="T78" fmla="*/ 523 w 97"/>
            <a:gd name="T79" fmla="*/ 165 h 37"/>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97" h="37">
              <a:moveTo>
                <a:pt x="92" y="30"/>
              </a:moveTo>
              <a:lnTo>
                <a:pt x="93" y="26"/>
              </a:lnTo>
              <a:lnTo>
                <a:pt x="93" y="21"/>
              </a:lnTo>
              <a:lnTo>
                <a:pt x="95" y="17"/>
              </a:lnTo>
              <a:lnTo>
                <a:pt x="95" y="14"/>
              </a:lnTo>
              <a:lnTo>
                <a:pt x="97" y="9"/>
              </a:lnTo>
              <a:lnTo>
                <a:pt x="97" y="5"/>
              </a:lnTo>
              <a:lnTo>
                <a:pt x="93" y="5"/>
              </a:lnTo>
              <a:lnTo>
                <a:pt x="91" y="5"/>
              </a:lnTo>
              <a:lnTo>
                <a:pt x="87" y="7"/>
              </a:lnTo>
              <a:lnTo>
                <a:pt x="86" y="11"/>
              </a:lnTo>
              <a:lnTo>
                <a:pt x="82" y="13"/>
              </a:lnTo>
              <a:lnTo>
                <a:pt x="79" y="13"/>
              </a:lnTo>
              <a:lnTo>
                <a:pt x="77" y="13"/>
              </a:lnTo>
              <a:lnTo>
                <a:pt x="73" y="13"/>
              </a:lnTo>
              <a:lnTo>
                <a:pt x="70" y="15"/>
              </a:lnTo>
              <a:lnTo>
                <a:pt x="67" y="19"/>
              </a:lnTo>
              <a:lnTo>
                <a:pt x="64" y="19"/>
              </a:lnTo>
              <a:lnTo>
                <a:pt x="61" y="15"/>
              </a:lnTo>
              <a:lnTo>
                <a:pt x="59" y="11"/>
              </a:lnTo>
              <a:lnTo>
                <a:pt x="63" y="9"/>
              </a:lnTo>
              <a:lnTo>
                <a:pt x="64" y="5"/>
              </a:lnTo>
              <a:lnTo>
                <a:pt x="63" y="1"/>
              </a:lnTo>
              <a:lnTo>
                <a:pt x="59" y="1"/>
              </a:lnTo>
              <a:lnTo>
                <a:pt x="57" y="2"/>
              </a:lnTo>
              <a:lnTo>
                <a:pt x="53" y="5"/>
              </a:lnTo>
              <a:lnTo>
                <a:pt x="50" y="9"/>
              </a:lnTo>
              <a:lnTo>
                <a:pt x="47" y="11"/>
              </a:lnTo>
              <a:lnTo>
                <a:pt x="44" y="9"/>
              </a:lnTo>
              <a:lnTo>
                <a:pt x="41" y="5"/>
              </a:lnTo>
              <a:lnTo>
                <a:pt x="40" y="4"/>
              </a:lnTo>
              <a:lnTo>
                <a:pt x="37" y="4"/>
              </a:lnTo>
              <a:lnTo>
                <a:pt x="35" y="9"/>
              </a:lnTo>
              <a:lnTo>
                <a:pt x="33" y="10"/>
              </a:lnTo>
              <a:lnTo>
                <a:pt x="30" y="7"/>
              </a:lnTo>
              <a:lnTo>
                <a:pt x="27" y="3"/>
              </a:lnTo>
              <a:lnTo>
                <a:pt x="24" y="1"/>
              </a:lnTo>
              <a:lnTo>
                <a:pt x="21" y="1"/>
              </a:lnTo>
              <a:lnTo>
                <a:pt x="18" y="3"/>
              </a:lnTo>
              <a:lnTo>
                <a:pt x="15" y="3"/>
              </a:lnTo>
              <a:lnTo>
                <a:pt x="13" y="0"/>
              </a:lnTo>
              <a:lnTo>
                <a:pt x="10" y="5"/>
              </a:lnTo>
              <a:lnTo>
                <a:pt x="10" y="9"/>
              </a:lnTo>
              <a:lnTo>
                <a:pt x="10" y="13"/>
              </a:lnTo>
              <a:lnTo>
                <a:pt x="7" y="17"/>
              </a:lnTo>
              <a:lnTo>
                <a:pt x="4" y="17"/>
              </a:lnTo>
              <a:lnTo>
                <a:pt x="1" y="21"/>
              </a:lnTo>
              <a:lnTo>
                <a:pt x="0" y="21"/>
              </a:lnTo>
              <a:lnTo>
                <a:pt x="2" y="21"/>
              </a:lnTo>
              <a:lnTo>
                <a:pt x="4" y="26"/>
              </a:lnTo>
              <a:lnTo>
                <a:pt x="7" y="28"/>
              </a:lnTo>
              <a:lnTo>
                <a:pt x="7" y="32"/>
              </a:lnTo>
              <a:lnTo>
                <a:pt x="9" y="37"/>
              </a:lnTo>
              <a:lnTo>
                <a:pt x="13" y="37"/>
              </a:lnTo>
              <a:lnTo>
                <a:pt x="16" y="32"/>
              </a:lnTo>
              <a:lnTo>
                <a:pt x="19" y="29"/>
              </a:lnTo>
              <a:lnTo>
                <a:pt x="22" y="26"/>
              </a:lnTo>
              <a:lnTo>
                <a:pt x="26" y="24"/>
              </a:lnTo>
              <a:lnTo>
                <a:pt x="30" y="21"/>
              </a:lnTo>
              <a:lnTo>
                <a:pt x="33" y="24"/>
              </a:lnTo>
              <a:lnTo>
                <a:pt x="36" y="26"/>
              </a:lnTo>
              <a:lnTo>
                <a:pt x="39" y="26"/>
              </a:lnTo>
              <a:lnTo>
                <a:pt x="43" y="28"/>
              </a:lnTo>
              <a:lnTo>
                <a:pt x="44" y="32"/>
              </a:lnTo>
              <a:lnTo>
                <a:pt x="45" y="34"/>
              </a:lnTo>
              <a:lnTo>
                <a:pt x="49" y="29"/>
              </a:lnTo>
              <a:lnTo>
                <a:pt x="52" y="29"/>
              </a:lnTo>
              <a:lnTo>
                <a:pt x="55" y="29"/>
              </a:lnTo>
              <a:lnTo>
                <a:pt x="58" y="34"/>
              </a:lnTo>
              <a:lnTo>
                <a:pt x="61" y="37"/>
              </a:lnTo>
              <a:lnTo>
                <a:pt x="64" y="37"/>
              </a:lnTo>
              <a:lnTo>
                <a:pt x="67" y="37"/>
              </a:lnTo>
              <a:lnTo>
                <a:pt x="70" y="37"/>
              </a:lnTo>
              <a:lnTo>
                <a:pt x="73" y="34"/>
              </a:lnTo>
              <a:lnTo>
                <a:pt x="77" y="32"/>
              </a:lnTo>
              <a:lnTo>
                <a:pt x="79" y="28"/>
              </a:lnTo>
              <a:lnTo>
                <a:pt x="82" y="28"/>
              </a:lnTo>
              <a:lnTo>
                <a:pt x="86" y="28"/>
              </a:lnTo>
              <a:lnTo>
                <a:pt x="89" y="28"/>
              </a:lnTo>
              <a:lnTo>
                <a:pt x="92" y="29"/>
              </a:lnTo>
              <a:lnTo>
                <a:pt x="92" y="30"/>
              </a:lnTo>
              <a:close/>
            </a:path>
          </a:pathLst>
        </a:custGeom>
        <a:solidFill>
          <a:schemeClr val="bg1">
            <a:lumMod val="85000"/>
          </a:schemeClr>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4</xdr:col>
      <xdr:colOff>923743</xdr:colOff>
      <xdr:row>54</xdr:row>
      <xdr:rowOff>157341</xdr:rowOff>
    </xdr:from>
    <xdr:to>
      <xdr:col>6</xdr:col>
      <xdr:colOff>238856</xdr:colOff>
      <xdr:row>56</xdr:row>
      <xdr:rowOff>131899</xdr:rowOff>
    </xdr:to>
    <xdr:sp macro="" textlink="">
      <xdr:nvSpPr>
        <xdr:cNvPr id="31" name="Freeform 103">
          <a:extLst>
            <a:ext uri="{FF2B5EF4-FFF2-40B4-BE49-F238E27FC236}">
              <a16:creationId xmlns:a16="http://schemas.microsoft.com/office/drawing/2014/main" id="{02586585-CAB0-43B4-9802-361DA2EEAEE9}"/>
            </a:ext>
          </a:extLst>
        </xdr:cNvPr>
        <xdr:cNvSpPr>
          <a:spLocks noChangeAspect="1"/>
        </xdr:cNvSpPr>
      </xdr:nvSpPr>
      <xdr:spPr bwMode="gray">
        <a:xfrm>
          <a:off x="4660718" y="9847441"/>
          <a:ext cx="1651913" cy="295233"/>
        </a:xfrm>
        <a:custGeom>
          <a:avLst/>
          <a:gdLst>
            <a:gd name="T0" fmla="*/ 0 w 57"/>
            <a:gd name="T1" fmla="*/ 119 h 38"/>
            <a:gd name="T2" fmla="*/ 6 w 57"/>
            <a:gd name="T3" fmla="*/ 108 h 38"/>
            <a:gd name="T4" fmla="*/ 6 w 57"/>
            <a:gd name="T5" fmla="*/ 85 h 38"/>
            <a:gd name="T6" fmla="*/ 11 w 57"/>
            <a:gd name="T7" fmla="*/ 57 h 38"/>
            <a:gd name="T8" fmla="*/ 11 w 57"/>
            <a:gd name="T9" fmla="*/ 34 h 38"/>
            <a:gd name="T10" fmla="*/ 23 w 57"/>
            <a:gd name="T11" fmla="*/ 23 h 38"/>
            <a:gd name="T12" fmla="*/ 40 w 57"/>
            <a:gd name="T13" fmla="*/ 34 h 38"/>
            <a:gd name="T14" fmla="*/ 57 w 57"/>
            <a:gd name="T15" fmla="*/ 23 h 38"/>
            <a:gd name="T16" fmla="*/ 74 w 57"/>
            <a:gd name="T17" fmla="*/ 23 h 38"/>
            <a:gd name="T18" fmla="*/ 97 w 57"/>
            <a:gd name="T19" fmla="*/ 11 h 38"/>
            <a:gd name="T20" fmla="*/ 108 w 57"/>
            <a:gd name="T21" fmla="*/ 0 h 38"/>
            <a:gd name="T22" fmla="*/ 119 w 57"/>
            <a:gd name="T23" fmla="*/ 23 h 38"/>
            <a:gd name="T24" fmla="*/ 102 w 57"/>
            <a:gd name="T25" fmla="*/ 34 h 38"/>
            <a:gd name="T26" fmla="*/ 102 w 57"/>
            <a:gd name="T27" fmla="*/ 57 h 38"/>
            <a:gd name="T28" fmla="*/ 119 w 57"/>
            <a:gd name="T29" fmla="*/ 68 h 38"/>
            <a:gd name="T30" fmla="*/ 136 w 57"/>
            <a:gd name="T31" fmla="*/ 57 h 38"/>
            <a:gd name="T32" fmla="*/ 153 w 57"/>
            <a:gd name="T33" fmla="*/ 68 h 38"/>
            <a:gd name="T34" fmla="*/ 171 w 57"/>
            <a:gd name="T35" fmla="*/ 85 h 38"/>
            <a:gd name="T36" fmla="*/ 182 w 57"/>
            <a:gd name="T37" fmla="*/ 68 h 38"/>
            <a:gd name="T38" fmla="*/ 182 w 57"/>
            <a:gd name="T39" fmla="*/ 45 h 38"/>
            <a:gd name="T40" fmla="*/ 199 w 57"/>
            <a:gd name="T41" fmla="*/ 34 h 38"/>
            <a:gd name="T42" fmla="*/ 216 w 57"/>
            <a:gd name="T43" fmla="*/ 45 h 38"/>
            <a:gd name="T44" fmla="*/ 233 w 57"/>
            <a:gd name="T45" fmla="*/ 45 h 38"/>
            <a:gd name="T46" fmla="*/ 250 w 57"/>
            <a:gd name="T47" fmla="*/ 34 h 38"/>
            <a:gd name="T48" fmla="*/ 267 w 57"/>
            <a:gd name="T49" fmla="*/ 57 h 38"/>
            <a:gd name="T50" fmla="*/ 290 w 57"/>
            <a:gd name="T51" fmla="*/ 57 h 38"/>
            <a:gd name="T52" fmla="*/ 301 w 57"/>
            <a:gd name="T53" fmla="*/ 45 h 38"/>
            <a:gd name="T54" fmla="*/ 301 w 57"/>
            <a:gd name="T55" fmla="*/ 57 h 38"/>
            <a:gd name="T56" fmla="*/ 301 w 57"/>
            <a:gd name="T57" fmla="*/ 45 h 38"/>
            <a:gd name="T58" fmla="*/ 313 w 57"/>
            <a:gd name="T59" fmla="*/ 68 h 38"/>
            <a:gd name="T60" fmla="*/ 324 w 57"/>
            <a:gd name="T61" fmla="*/ 96 h 38"/>
            <a:gd name="T62" fmla="*/ 324 w 57"/>
            <a:gd name="T63" fmla="*/ 119 h 38"/>
            <a:gd name="T64" fmla="*/ 324 w 57"/>
            <a:gd name="T65" fmla="*/ 130 h 38"/>
            <a:gd name="T66" fmla="*/ 301 w 57"/>
            <a:gd name="T67" fmla="*/ 130 h 38"/>
            <a:gd name="T68" fmla="*/ 290 w 57"/>
            <a:gd name="T69" fmla="*/ 130 h 38"/>
            <a:gd name="T70" fmla="*/ 267 w 57"/>
            <a:gd name="T71" fmla="*/ 141 h 38"/>
            <a:gd name="T72" fmla="*/ 261 w 57"/>
            <a:gd name="T73" fmla="*/ 164 h 38"/>
            <a:gd name="T74" fmla="*/ 239 w 57"/>
            <a:gd name="T75" fmla="*/ 181 h 38"/>
            <a:gd name="T76" fmla="*/ 227 w 57"/>
            <a:gd name="T77" fmla="*/ 181 h 38"/>
            <a:gd name="T78" fmla="*/ 210 w 57"/>
            <a:gd name="T79" fmla="*/ 181 h 38"/>
            <a:gd name="T80" fmla="*/ 188 w 57"/>
            <a:gd name="T81" fmla="*/ 181 h 38"/>
            <a:gd name="T82" fmla="*/ 171 w 57"/>
            <a:gd name="T83" fmla="*/ 187 h 38"/>
            <a:gd name="T84" fmla="*/ 153 w 57"/>
            <a:gd name="T85" fmla="*/ 215 h 38"/>
            <a:gd name="T86" fmla="*/ 136 w 57"/>
            <a:gd name="T87" fmla="*/ 215 h 38"/>
            <a:gd name="T88" fmla="*/ 119 w 57"/>
            <a:gd name="T89" fmla="*/ 187 h 38"/>
            <a:gd name="T90" fmla="*/ 108 w 57"/>
            <a:gd name="T91" fmla="*/ 164 h 38"/>
            <a:gd name="T92" fmla="*/ 131 w 57"/>
            <a:gd name="T93" fmla="*/ 158 h 38"/>
            <a:gd name="T94" fmla="*/ 136 w 57"/>
            <a:gd name="T95" fmla="*/ 130 h 38"/>
            <a:gd name="T96" fmla="*/ 131 w 57"/>
            <a:gd name="T97" fmla="*/ 108 h 38"/>
            <a:gd name="T98" fmla="*/ 108 w 57"/>
            <a:gd name="T99" fmla="*/ 108 h 38"/>
            <a:gd name="T100" fmla="*/ 97 w 57"/>
            <a:gd name="T101" fmla="*/ 119 h 38"/>
            <a:gd name="T102" fmla="*/ 74 w 57"/>
            <a:gd name="T103" fmla="*/ 130 h 38"/>
            <a:gd name="T104" fmla="*/ 57 w 57"/>
            <a:gd name="T105" fmla="*/ 158 h 38"/>
            <a:gd name="T106" fmla="*/ 40 w 57"/>
            <a:gd name="T107" fmla="*/ 164 h 38"/>
            <a:gd name="T108" fmla="*/ 23 w 57"/>
            <a:gd name="T109" fmla="*/ 158 h 38"/>
            <a:gd name="T110" fmla="*/ 6 w 57"/>
            <a:gd name="T111" fmla="*/ 130 h 38"/>
            <a:gd name="T112" fmla="*/ 0 w 57"/>
            <a:gd name="T113" fmla="*/ 119 h 38"/>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0" t="0" r="r" b="b"/>
          <a:pathLst>
            <a:path w="57" h="38">
              <a:moveTo>
                <a:pt x="0" y="21"/>
              </a:moveTo>
              <a:lnTo>
                <a:pt x="1" y="19"/>
              </a:lnTo>
              <a:lnTo>
                <a:pt x="1" y="15"/>
              </a:lnTo>
              <a:lnTo>
                <a:pt x="2" y="10"/>
              </a:lnTo>
              <a:lnTo>
                <a:pt x="2" y="6"/>
              </a:lnTo>
              <a:lnTo>
                <a:pt x="4" y="4"/>
              </a:lnTo>
              <a:lnTo>
                <a:pt x="7" y="6"/>
              </a:lnTo>
              <a:lnTo>
                <a:pt x="10" y="4"/>
              </a:lnTo>
              <a:lnTo>
                <a:pt x="13" y="4"/>
              </a:lnTo>
              <a:lnTo>
                <a:pt x="17" y="2"/>
              </a:lnTo>
              <a:lnTo>
                <a:pt x="19" y="0"/>
              </a:lnTo>
              <a:lnTo>
                <a:pt x="21" y="4"/>
              </a:lnTo>
              <a:lnTo>
                <a:pt x="18" y="6"/>
              </a:lnTo>
              <a:lnTo>
                <a:pt x="18" y="10"/>
              </a:lnTo>
              <a:lnTo>
                <a:pt x="21" y="12"/>
              </a:lnTo>
              <a:lnTo>
                <a:pt x="24" y="10"/>
              </a:lnTo>
              <a:lnTo>
                <a:pt x="27" y="12"/>
              </a:lnTo>
              <a:lnTo>
                <a:pt x="30" y="15"/>
              </a:lnTo>
              <a:lnTo>
                <a:pt x="32" y="12"/>
              </a:lnTo>
              <a:lnTo>
                <a:pt x="32" y="8"/>
              </a:lnTo>
              <a:lnTo>
                <a:pt x="35" y="6"/>
              </a:lnTo>
              <a:lnTo>
                <a:pt x="38" y="8"/>
              </a:lnTo>
              <a:lnTo>
                <a:pt x="41" y="8"/>
              </a:lnTo>
              <a:lnTo>
                <a:pt x="44" y="6"/>
              </a:lnTo>
              <a:lnTo>
                <a:pt x="47" y="10"/>
              </a:lnTo>
              <a:lnTo>
                <a:pt x="51" y="10"/>
              </a:lnTo>
              <a:lnTo>
                <a:pt x="53" y="8"/>
              </a:lnTo>
              <a:lnTo>
                <a:pt x="53" y="10"/>
              </a:lnTo>
              <a:lnTo>
                <a:pt x="53" y="8"/>
              </a:lnTo>
              <a:lnTo>
                <a:pt x="55" y="12"/>
              </a:lnTo>
              <a:lnTo>
                <a:pt x="57" y="17"/>
              </a:lnTo>
              <a:lnTo>
                <a:pt x="57" y="21"/>
              </a:lnTo>
              <a:lnTo>
                <a:pt x="57" y="23"/>
              </a:lnTo>
              <a:lnTo>
                <a:pt x="53" y="23"/>
              </a:lnTo>
              <a:lnTo>
                <a:pt x="51" y="23"/>
              </a:lnTo>
              <a:lnTo>
                <a:pt x="47" y="25"/>
              </a:lnTo>
              <a:lnTo>
                <a:pt x="46" y="29"/>
              </a:lnTo>
              <a:lnTo>
                <a:pt x="42" y="32"/>
              </a:lnTo>
              <a:lnTo>
                <a:pt x="40" y="32"/>
              </a:lnTo>
              <a:lnTo>
                <a:pt x="37" y="32"/>
              </a:lnTo>
              <a:lnTo>
                <a:pt x="33" y="32"/>
              </a:lnTo>
              <a:lnTo>
                <a:pt x="30" y="33"/>
              </a:lnTo>
              <a:lnTo>
                <a:pt x="27" y="38"/>
              </a:lnTo>
              <a:lnTo>
                <a:pt x="24" y="38"/>
              </a:lnTo>
              <a:lnTo>
                <a:pt x="21" y="33"/>
              </a:lnTo>
              <a:lnTo>
                <a:pt x="19" y="29"/>
              </a:lnTo>
              <a:lnTo>
                <a:pt x="23" y="28"/>
              </a:lnTo>
              <a:lnTo>
                <a:pt x="24" y="23"/>
              </a:lnTo>
              <a:lnTo>
                <a:pt x="23" y="19"/>
              </a:lnTo>
              <a:lnTo>
                <a:pt x="19" y="19"/>
              </a:lnTo>
              <a:lnTo>
                <a:pt x="17" y="21"/>
              </a:lnTo>
              <a:lnTo>
                <a:pt x="13" y="23"/>
              </a:lnTo>
              <a:lnTo>
                <a:pt x="10" y="28"/>
              </a:lnTo>
              <a:lnTo>
                <a:pt x="7" y="29"/>
              </a:lnTo>
              <a:lnTo>
                <a:pt x="4" y="28"/>
              </a:lnTo>
              <a:lnTo>
                <a:pt x="1" y="23"/>
              </a:lnTo>
              <a:lnTo>
                <a:pt x="0" y="21"/>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2</xdr:col>
      <xdr:colOff>146871</xdr:colOff>
      <xdr:row>47</xdr:row>
      <xdr:rowOff>154651</xdr:rowOff>
    </xdr:from>
    <xdr:to>
      <xdr:col>3</xdr:col>
      <xdr:colOff>1150264</xdr:colOff>
      <xdr:row>57</xdr:row>
      <xdr:rowOff>111475</xdr:rowOff>
    </xdr:to>
    <xdr:sp macro="" textlink="">
      <xdr:nvSpPr>
        <xdr:cNvPr id="32" name="Freeform 104">
          <a:extLst>
            <a:ext uri="{FF2B5EF4-FFF2-40B4-BE49-F238E27FC236}">
              <a16:creationId xmlns:a16="http://schemas.microsoft.com/office/drawing/2014/main" id="{378B11F9-DB92-4B7B-851C-2EB75F36F392}"/>
            </a:ext>
          </a:extLst>
        </xdr:cNvPr>
        <xdr:cNvSpPr>
          <a:spLocks noChangeAspect="1"/>
        </xdr:cNvSpPr>
      </xdr:nvSpPr>
      <xdr:spPr bwMode="gray">
        <a:xfrm>
          <a:off x="2039171" y="8708101"/>
          <a:ext cx="1676493" cy="1576074"/>
        </a:xfrm>
        <a:custGeom>
          <a:avLst/>
          <a:gdLst>
            <a:gd name="T0" fmla="*/ 709 w 197"/>
            <a:gd name="T1" fmla="*/ 233 h 200"/>
            <a:gd name="T2" fmla="*/ 766 w 197"/>
            <a:gd name="T3" fmla="*/ 244 h 200"/>
            <a:gd name="T4" fmla="*/ 840 w 197"/>
            <a:gd name="T5" fmla="*/ 261 h 200"/>
            <a:gd name="T6" fmla="*/ 908 w 197"/>
            <a:gd name="T7" fmla="*/ 261 h 200"/>
            <a:gd name="T8" fmla="*/ 880 w 197"/>
            <a:gd name="T9" fmla="*/ 358 h 200"/>
            <a:gd name="T10" fmla="*/ 925 w 197"/>
            <a:gd name="T11" fmla="*/ 341 h 200"/>
            <a:gd name="T12" fmla="*/ 993 w 197"/>
            <a:gd name="T13" fmla="*/ 295 h 200"/>
            <a:gd name="T14" fmla="*/ 1067 w 197"/>
            <a:gd name="T15" fmla="*/ 329 h 200"/>
            <a:gd name="T16" fmla="*/ 1118 w 197"/>
            <a:gd name="T17" fmla="*/ 341 h 200"/>
            <a:gd name="T18" fmla="*/ 1101 w 197"/>
            <a:gd name="T19" fmla="*/ 437 h 200"/>
            <a:gd name="T20" fmla="*/ 1067 w 197"/>
            <a:gd name="T21" fmla="*/ 522 h 200"/>
            <a:gd name="T22" fmla="*/ 1010 w 197"/>
            <a:gd name="T23" fmla="*/ 602 h 200"/>
            <a:gd name="T24" fmla="*/ 959 w 197"/>
            <a:gd name="T25" fmla="*/ 664 h 200"/>
            <a:gd name="T26" fmla="*/ 891 w 197"/>
            <a:gd name="T27" fmla="*/ 698 h 200"/>
            <a:gd name="T28" fmla="*/ 942 w 197"/>
            <a:gd name="T29" fmla="*/ 743 h 200"/>
            <a:gd name="T30" fmla="*/ 902 w 197"/>
            <a:gd name="T31" fmla="*/ 829 h 200"/>
            <a:gd name="T32" fmla="*/ 840 w 197"/>
            <a:gd name="T33" fmla="*/ 874 h 200"/>
            <a:gd name="T34" fmla="*/ 840 w 197"/>
            <a:gd name="T35" fmla="*/ 970 h 200"/>
            <a:gd name="T36" fmla="*/ 789 w 197"/>
            <a:gd name="T37" fmla="*/ 1050 h 200"/>
            <a:gd name="T38" fmla="*/ 743 w 197"/>
            <a:gd name="T39" fmla="*/ 1124 h 200"/>
            <a:gd name="T40" fmla="*/ 636 w 197"/>
            <a:gd name="T41" fmla="*/ 1135 h 200"/>
            <a:gd name="T42" fmla="*/ 522 w 197"/>
            <a:gd name="T43" fmla="*/ 1124 h 200"/>
            <a:gd name="T44" fmla="*/ 426 w 197"/>
            <a:gd name="T45" fmla="*/ 1124 h 200"/>
            <a:gd name="T46" fmla="*/ 312 w 197"/>
            <a:gd name="T47" fmla="*/ 1124 h 200"/>
            <a:gd name="T48" fmla="*/ 227 w 197"/>
            <a:gd name="T49" fmla="*/ 1124 h 200"/>
            <a:gd name="T50" fmla="*/ 170 w 197"/>
            <a:gd name="T51" fmla="*/ 1061 h 200"/>
            <a:gd name="T52" fmla="*/ 125 w 197"/>
            <a:gd name="T53" fmla="*/ 993 h 200"/>
            <a:gd name="T54" fmla="*/ 102 w 197"/>
            <a:gd name="T55" fmla="*/ 919 h 200"/>
            <a:gd name="T56" fmla="*/ 74 w 197"/>
            <a:gd name="T57" fmla="*/ 840 h 200"/>
            <a:gd name="T58" fmla="*/ 119 w 197"/>
            <a:gd name="T59" fmla="*/ 709 h 200"/>
            <a:gd name="T60" fmla="*/ 182 w 197"/>
            <a:gd name="T61" fmla="*/ 579 h 200"/>
            <a:gd name="T62" fmla="*/ 233 w 197"/>
            <a:gd name="T63" fmla="*/ 437 h 200"/>
            <a:gd name="T64" fmla="*/ 165 w 197"/>
            <a:gd name="T65" fmla="*/ 414 h 200"/>
            <a:gd name="T66" fmla="*/ 114 w 197"/>
            <a:gd name="T67" fmla="*/ 380 h 200"/>
            <a:gd name="T68" fmla="*/ 51 w 197"/>
            <a:gd name="T69" fmla="*/ 329 h 200"/>
            <a:gd name="T70" fmla="*/ 6 w 197"/>
            <a:gd name="T71" fmla="*/ 233 h 200"/>
            <a:gd name="T72" fmla="*/ 6 w 197"/>
            <a:gd name="T73" fmla="*/ 176 h 200"/>
            <a:gd name="T74" fmla="*/ 6 w 197"/>
            <a:gd name="T75" fmla="*/ 131 h 200"/>
            <a:gd name="T76" fmla="*/ 74 w 197"/>
            <a:gd name="T77" fmla="*/ 91 h 200"/>
            <a:gd name="T78" fmla="*/ 148 w 197"/>
            <a:gd name="T79" fmla="*/ 57 h 200"/>
            <a:gd name="T80" fmla="*/ 216 w 197"/>
            <a:gd name="T81" fmla="*/ 68 h 200"/>
            <a:gd name="T82" fmla="*/ 261 w 197"/>
            <a:gd name="T83" fmla="*/ 34 h 200"/>
            <a:gd name="T84" fmla="*/ 312 w 197"/>
            <a:gd name="T85" fmla="*/ 11 h 200"/>
            <a:gd name="T86" fmla="*/ 358 w 197"/>
            <a:gd name="T87" fmla="*/ 23 h 200"/>
            <a:gd name="T88" fmla="*/ 414 w 197"/>
            <a:gd name="T89" fmla="*/ 85 h 200"/>
            <a:gd name="T90" fmla="*/ 477 w 197"/>
            <a:gd name="T91" fmla="*/ 119 h 200"/>
            <a:gd name="T92" fmla="*/ 522 w 197"/>
            <a:gd name="T93" fmla="*/ 199 h 200"/>
            <a:gd name="T94" fmla="*/ 568 w 197"/>
            <a:gd name="T95" fmla="*/ 284 h 200"/>
            <a:gd name="T96" fmla="*/ 624 w 197"/>
            <a:gd name="T97" fmla="*/ 318 h 200"/>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197" h="200">
              <a:moveTo>
                <a:pt x="114" y="49"/>
              </a:moveTo>
              <a:lnTo>
                <a:pt x="118" y="48"/>
              </a:lnTo>
              <a:lnTo>
                <a:pt x="121" y="46"/>
              </a:lnTo>
              <a:lnTo>
                <a:pt x="125" y="41"/>
              </a:lnTo>
              <a:lnTo>
                <a:pt x="127" y="41"/>
              </a:lnTo>
              <a:lnTo>
                <a:pt x="129" y="46"/>
              </a:lnTo>
              <a:lnTo>
                <a:pt x="132" y="46"/>
              </a:lnTo>
              <a:lnTo>
                <a:pt x="135" y="43"/>
              </a:lnTo>
              <a:lnTo>
                <a:pt x="138" y="43"/>
              </a:lnTo>
              <a:lnTo>
                <a:pt x="141" y="46"/>
              </a:lnTo>
              <a:lnTo>
                <a:pt x="145" y="48"/>
              </a:lnTo>
              <a:lnTo>
                <a:pt x="148" y="46"/>
              </a:lnTo>
              <a:lnTo>
                <a:pt x="151" y="43"/>
              </a:lnTo>
              <a:lnTo>
                <a:pt x="154" y="46"/>
              </a:lnTo>
              <a:lnTo>
                <a:pt x="157" y="46"/>
              </a:lnTo>
              <a:lnTo>
                <a:pt x="160" y="46"/>
              </a:lnTo>
              <a:lnTo>
                <a:pt x="162" y="50"/>
              </a:lnTo>
              <a:lnTo>
                <a:pt x="159" y="54"/>
              </a:lnTo>
              <a:lnTo>
                <a:pt x="157" y="58"/>
              </a:lnTo>
              <a:lnTo>
                <a:pt x="155" y="63"/>
              </a:lnTo>
              <a:lnTo>
                <a:pt x="155" y="67"/>
              </a:lnTo>
              <a:lnTo>
                <a:pt x="159" y="67"/>
              </a:lnTo>
              <a:lnTo>
                <a:pt x="162" y="64"/>
              </a:lnTo>
              <a:lnTo>
                <a:pt x="163" y="60"/>
              </a:lnTo>
              <a:lnTo>
                <a:pt x="165" y="56"/>
              </a:lnTo>
              <a:lnTo>
                <a:pt x="168" y="54"/>
              </a:lnTo>
              <a:lnTo>
                <a:pt x="170" y="52"/>
              </a:lnTo>
              <a:lnTo>
                <a:pt x="175" y="52"/>
              </a:lnTo>
              <a:lnTo>
                <a:pt x="178" y="54"/>
              </a:lnTo>
              <a:lnTo>
                <a:pt x="182" y="56"/>
              </a:lnTo>
              <a:lnTo>
                <a:pt x="184" y="56"/>
              </a:lnTo>
              <a:lnTo>
                <a:pt x="188" y="58"/>
              </a:lnTo>
              <a:lnTo>
                <a:pt x="191" y="58"/>
              </a:lnTo>
              <a:lnTo>
                <a:pt x="194" y="58"/>
              </a:lnTo>
              <a:lnTo>
                <a:pt x="197" y="60"/>
              </a:lnTo>
              <a:lnTo>
                <a:pt x="197" y="63"/>
              </a:lnTo>
              <a:lnTo>
                <a:pt x="195" y="67"/>
              </a:lnTo>
              <a:lnTo>
                <a:pt x="195" y="73"/>
              </a:lnTo>
              <a:lnTo>
                <a:pt x="194" y="77"/>
              </a:lnTo>
              <a:lnTo>
                <a:pt x="192" y="81"/>
              </a:lnTo>
              <a:lnTo>
                <a:pt x="189" y="84"/>
              </a:lnTo>
              <a:lnTo>
                <a:pt x="188" y="88"/>
              </a:lnTo>
              <a:lnTo>
                <a:pt x="188" y="92"/>
              </a:lnTo>
              <a:lnTo>
                <a:pt x="186" y="96"/>
              </a:lnTo>
              <a:lnTo>
                <a:pt x="184" y="100"/>
              </a:lnTo>
              <a:lnTo>
                <a:pt x="182" y="104"/>
              </a:lnTo>
              <a:lnTo>
                <a:pt x="178" y="106"/>
              </a:lnTo>
              <a:lnTo>
                <a:pt x="177" y="110"/>
              </a:lnTo>
              <a:lnTo>
                <a:pt x="175" y="114"/>
              </a:lnTo>
              <a:lnTo>
                <a:pt x="172" y="114"/>
              </a:lnTo>
              <a:lnTo>
                <a:pt x="169" y="117"/>
              </a:lnTo>
              <a:lnTo>
                <a:pt x="166" y="117"/>
              </a:lnTo>
              <a:lnTo>
                <a:pt x="163" y="121"/>
              </a:lnTo>
              <a:lnTo>
                <a:pt x="162" y="123"/>
              </a:lnTo>
              <a:lnTo>
                <a:pt x="157" y="123"/>
              </a:lnTo>
              <a:lnTo>
                <a:pt x="157" y="127"/>
              </a:lnTo>
              <a:lnTo>
                <a:pt x="160" y="129"/>
              </a:lnTo>
              <a:lnTo>
                <a:pt x="163" y="129"/>
              </a:lnTo>
              <a:lnTo>
                <a:pt x="166" y="131"/>
              </a:lnTo>
              <a:lnTo>
                <a:pt x="163" y="135"/>
              </a:lnTo>
              <a:lnTo>
                <a:pt x="163" y="140"/>
              </a:lnTo>
              <a:lnTo>
                <a:pt x="160" y="142"/>
              </a:lnTo>
              <a:lnTo>
                <a:pt x="159" y="146"/>
              </a:lnTo>
              <a:lnTo>
                <a:pt x="155" y="150"/>
              </a:lnTo>
              <a:lnTo>
                <a:pt x="152" y="150"/>
              </a:lnTo>
              <a:lnTo>
                <a:pt x="149" y="150"/>
              </a:lnTo>
              <a:lnTo>
                <a:pt x="148" y="154"/>
              </a:lnTo>
              <a:lnTo>
                <a:pt x="149" y="159"/>
              </a:lnTo>
              <a:lnTo>
                <a:pt x="148" y="162"/>
              </a:lnTo>
              <a:lnTo>
                <a:pt x="148" y="167"/>
              </a:lnTo>
              <a:lnTo>
                <a:pt x="148" y="171"/>
              </a:lnTo>
              <a:lnTo>
                <a:pt x="146" y="175"/>
              </a:lnTo>
              <a:lnTo>
                <a:pt x="145" y="179"/>
              </a:lnTo>
              <a:lnTo>
                <a:pt x="143" y="183"/>
              </a:lnTo>
              <a:lnTo>
                <a:pt x="139" y="185"/>
              </a:lnTo>
              <a:lnTo>
                <a:pt x="137" y="190"/>
              </a:lnTo>
              <a:lnTo>
                <a:pt x="135" y="194"/>
              </a:lnTo>
              <a:lnTo>
                <a:pt x="133" y="198"/>
              </a:lnTo>
              <a:lnTo>
                <a:pt x="131" y="198"/>
              </a:lnTo>
              <a:lnTo>
                <a:pt x="126" y="198"/>
              </a:lnTo>
              <a:lnTo>
                <a:pt x="121" y="200"/>
              </a:lnTo>
              <a:lnTo>
                <a:pt x="116" y="200"/>
              </a:lnTo>
              <a:lnTo>
                <a:pt x="112" y="200"/>
              </a:lnTo>
              <a:lnTo>
                <a:pt x="108" y="200"/>
              </a:lnTo>
              <a:lnTo>
                <a:pt x="102" y="198"/>
              </a:lnTo>
              <a:lnTo>
                <a:pt x="98" y="198"/>
              </a:lnTo>
              <a:lnTo>
                <a:pt x="92" y="198"/>
              </a:lnTo>
              <a:lnTo>
                <a:pt x="88" y="198"/>
              </a:lnTo>
              <a:lnTo>
                <a:pt x="83" y="198"/>
              </a:lnTo>
              <a:lnTo>
                <a:pt x="80" y="198"/>
              </a:lnTo>
              <a:lnTo>
                <a:pt x="75" y="198"/>
              </a:lnTo>
              <a:lnTo>
                <a:pt x="70" y="198"/>
              </a:lnTo>
              <a:lnTo>
                <a:pt x="64" y="198"/>
              </a:lnTo>
              <a:lnTo>
                <a:pt x="59" y="198"/>
              </a:lnTo>
              <a:lnTo>
                <a:pt x="55" y="198"/>
              </a:lnTo>
              <a:lnTo>
                <a:pt x="50" y="198"/>
              </a:lnTo>
              <a:lnTo>
                <a:pt x="45" y="196"/>
              </a:lnTo>
              <a:lnTo>
                <a:pt x="43" y="196"/>
              </a:lnTo>
              <a:lnTo>
                <a:pt x="40" y="198"/>
              </a:lnTo>
              <a:lnTo>
                <a:pt x="36" y="196"/>
              </a:lnTo>
              <a:lnTo>
                <a:pt x="35" y="191"/>
              </a:lnTo>
              <a:lnTo>
                <a:pt x="32" y="191"/>
              </a:lnTo>
              <a:lnTo>
                <a:pt x="30" y="187"/>
              </a:lnTo>
              <a:lnTo>
                <a:pt x="27" y="183"/>
              </a:lnTo>
              <a:lnTo>
                <a:pt x="24" y="183"/>
              </a:lnTo>
              <a:lnTo>
                <a:pt x="22" y="179"/>
              </a:lnTo>
              <a:lnTo>
                <a:pt x="22" y="175"/>
              </a:lnTo>
              <a:lnTo>
                <a:pt x="21" y="171"/>
              </a:lnTo>
              <a:lnTo>
                <a:pt x="20" y="167"/>
              </a:lnTo>
              <a:lnTo>
                <a:pt x="18" y="165"/>
              </a:lnTo>
              <a:lnTo>
                <a:pt x="18" y="162"/>
              </a:lnTo>
              <a:lnTo>
                <a:pt x="18" y="160"/>
              </a:lnTo>
              <a:lnTo>
                <a:pt x="16" y="156"/>
              </a:lnTo>
              <a:lnTo>
                <a:pt x="13" y="152"/>
              </a:lnTo>
              <a:lnTo>
                <a:pt x="13" y="148"/>
              </a:lnTo>
              <a:lnTo>
                <a:pt x="15" y="144"/>
              </a:lnTo>
              <a:lnTo>
                <a:pt x="16" y="140"/>
              </a:lnTo>
              <a:lnTo>
                <a:pt x="20" y="131"/>
              </a:lnTo>
              <a:lnTo>
                <a:pt x="21" y="125"/>
              </a:lnTo>
              <a:lnTo>
                <a:pt x="24" y="119"/>
              </a:lnTo>
              <a:lnTo>
                <a:pt x="26" y="114"/>
              </a:lnTo>
              <a:lnTo>
                <a:pt x="29" y="109"/>
              </a:lnTo>
              <a:lnTo>
                <a:pt x="32" y="102"/>
              </a:lnTo>
              <a:lnTo>
                <a:pt x="35" y="94"/>
              </a:lnTo>
              <a:lnTo>
                <a:pt x="36" y="89"/>
              </a:lnTo>
              <a:lnTo>
                <a:pt x="38" y="84"/>
              </a:lnTo>
              <a:lnTo>
                <a:pt x="41" y="77"/>
              </a:lnTo>
              <a:lnTo>
                <a:pt x="41" y="73"/>
              </a:lnTo>
              <a:lnTo>
                <a:pt x="36" y="75"/>
              </a:lnTo>
              <a:lnTo>
                <a:pt x="32" y="75"/>
              </a:lnTo>
              <a:lnTo>
                <a:pt x="29" y="73"/>
              </a:lnTo>
              <a:lnTo>
                <a:pt x="27" y="69"/>
              </a:lnTo>
              <a:lnTo>
                <a:pt x="26" y="67"/>
              </a:lnTo>
              <a:lnTo>
                <a:pt x="22" y="67"/>
              </a:lnTo>
              <a:lnTo>
                <a:pt x="20" y="67"/>
              </a:lnTo>
              <a:lnTo>
                <a:pt x="16" y="67"/>
              </a:lnTo>
              <a:lnTo>
                <a:pt x="12" y="64"/>
              </a:lnTo>
              <a:lnTo>
                <a:pt x="9" y="63"/>
              </a:lnTo>
              <a:lnTo>
                <a:pt x="9" y="58"/>
              </a:lnTo>
              <a:lnTo>
                <a:pt x="6" y="54"/>
              </a:lnTo>
              <a:lnTo>
                <a:pt x="4" y="50"/>
              </a:lnTo>
              <a:lnTo>
                <a:pt x="2" y="46"/>
              </a:lnTo>
              <a:lnTo>
                <a:pt x="1" y="41"/>
              </a:lnTo>
              <a:lnTo>
                <a:pt x="1" y="38"/>
              </a:lnTo>
              <a:lnTo>
                <a:pt x="2" y="37"/>
              </a:lnTo>
              <a:lnTo>
                <a:pt x="3" y="35"/>
              </a:lnTo>
              <a:lnTo>
                <a:pt x="1" y="31"/>
              </a:lnTo>
              <a:lnTo>
                <a:pt x="3" y="29"/>
              </a:lnTo>
              <a:lnTo>
                <a:pt x="1" y="24"/>
              </a:lnTo>
              <a:lnTo>
                <a:pt x="0" y="23"/>
              </a:lnTo>
              <a:lnTo>
                <a:pt x="1" y="23"/>
              </a:lnTo>
              <a:lnTo>
                <a:pt x="4" y="23"/>
              </a:lnTo>
              <a:lnTo>
                <a:pt x="7" y="23"/>
              </a:lnTo>
              <a:lnTo>
                <a:pt x="10" y="21"/>
              </a:lnTo>
              <a:lnTo>
                <a:pt x="13" y="16"/>
              </a:lnTo>
              <a:lnTo>
                <a:pt x="16" y="15"/>
              </a:lnTo>
              <a:lnTo>
                <a:pt x="20" y="15"/>
              </a:lnTo>
              <a:lnTo>
                <a:pt x="22" y="15"/>
              </a:lnTo>
              <a:lnTo>
                <a:pt x="26" y="10"/>
              </a:lnTo>
              <a:lnTo>
                <a:pt x="29" y="10"/>
              </a:lnTo>
              <a:lnTo>
                <a:pt x="32" y="10"/>
              </a:lnTo>
              <a:lnTo>
                <a:pt x="35" y="12"/>
              </a:lnTo>
              <a:lnTo>
                <a:pt x="38" y="12"/>
              </a:lnTo>
              <a:lnTo>
                <a:pt x="41" y="12"/>
              </a:lnTo>
              <a:lnTo>
                <a:pt x="44" y="12"/>
              </a:lnTo>
              <a:lnTo>
                <a:pt x="48" y="10"/>
              </a:lnTo>
              <a:lnTo>
                <a:pt x="46" y="6"/>
              </a:lnTo>
              <a:lnTo>
                <a:pt x="46" y="2"/>
              </a:lnTo>
              <a:lnTo>
                <a:pt x="49" y="2"/>
              </a:lnTo>
              <a:lnTo>
                <a:pt x="52" y="2"/>
              </a:lnTo>
              <a:lnTo>
                <a:pt x="55" y="2"/>
              </a:lnTo>
              <a:lnTo>
                <a:pt x="58" y="0"/>
              </a:lnTo>
              <a:lnTo>
                <a:pt x="61" y="2"/>
              </a:lnTo>
              <a:lnTo>
                <a:pt x="64" y="4"/>
              </a:lnTo>
              <a:lnTo>
                <a:pt x="63" y="4"/>
              </a:lnTo>
              <a:lnTo>
                <a:pt x="67" y="8"/>
              </a:lnTo>
              <a:lnTo>
                <a:pt x="67" y="13"/>
              </a:lnTo>
              <a:lnTo>
                <a:pt x="70" y="13"/>
              </a:lnTo>
              <a:lnTo>
                <a:pt x="73" y="15"/>
              </a:lnTo>
              <a:lnTo>
                <a:pt x="76" y="17"/>
              </a:lnTo>
              <a:lnTo>
                <a:pt x="80" y="17"/>
              </a:lnTo>
              <a:lnTo>
                <a:pt x="81" y="21"/>
              </a:lnTo>
              <a:lnTo>
                <a:pt x="84" y="21"/>
              </a:lnTo>
              <a:lnTo>
                <a:pt x="86" y="25"/>
              </a:lnTo>
              <a:lnTo>
                <a:pt x="89" y="30"/>
              </a:lnTo>
              <a:lnTo>
                <a:pt x="92" y="31"/>
              </a:lnTo>
              <a:lnTo>
                <a:pt x="92" y="35"/>
              </a:lnTo>
              <a:lnTo>
                <a:pt x="92" y="40"/>
              </a:lnTo>
              <a:lnTo>
                <a:pt x="95" y="43"/>
              </a:lnTo>
              <a:lnTo>
                <a:pt x="98" y="46"/>
              </a:lnTo>
              <a:lnTo>
                <a:pt x="100" y="50"/>
              </a:lnTo>
              <a:lnTo>
                <a:pt x="101" y="54"/>
              </a:lnTo>
              <a:lnTo>
                <a:pt x="104" y="59"/>
              </a:lnTo>
              <a:lnTo>
                <a:pt x="107" y="59"/>
              </a:lnTo>
              <a:lnTo>
                <a:pt x="110" y="56"/>
              </a:lnTo>
              <a:lnTo>
                <a:pt x="114" y="49"/>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233534</xdr:colOff>
      <xdr:row>59</xdr:row>
      <xdr:rowOff>128049</xdr:rowOff>
    </xdr:from>
    <xdr:to>
      <xdr:col>3</xdr:col>
      <xdr:colOff>1142774</xdr:colOff>
      <xdr:row>65</xdr:row>
      <xdr:rowOff>6902</xdr:rowOff>
    </xdr:to>
    <xdr:sp macro="" textlink="">
      <xdr:nvSpPr>
        <xdr:cNvPr id="33" name="Freeform 105">
          <a:extLst>
            <a:ext uri="{FF2B5EF4-FFF2-40B4-BE49-F238E27FC236}">
              <a16:creationId xmlns:a16="http://schemas.microsoft.com/office/drawing/2014/main" id="{1AADF2B5-E10F-4CA1-9719-73CC80AA17E1}"/>
            </a:ext>
          </a:extLst>
        </xdr:cNvPr>
        <xdr:cNvSpPr>
          <a:spLocks noChangeAspect="1"/>
        </xdr:cNvSpPr>
      </xdr:nvSpPr>
      <xdr:spPr bwMode="gray">
        <a:xfrm>
          <a:off x="2798934" y="10621424"/>
          <a:ext cx="906065" cy="856753"/>
        </a:xfrm>
        <a:custGeom>
          <a:avLst/>
          <a:gdLst>
            <a:gd name="T0" fmla="*/ 216 w 107"/>
            <a:gd name="T1" fmla="*/ 6 h 108"/>
            <a:gd name="T2" fmla="*/ 221 w 107"/>
            <a:gd name="T3" fmla="*/ 45 h 108"/>
            <a:gd name="T4" fmla="*/ 210 w 107"/>
            <a:gd name="T5" fmla="*/ 85 h 108"/>
            <a:gd name="T6" fmla="*/ 210 w 107"/>
            <a:gd name="T7" fmla="*/ 125 h 108"/>
            <a:gd name="T8" fmla="*/ 187 w 107"/>
            <a:gd name="T9" fmla="*/ 165 h 108"/>
            <a:gd name="T10" fmla="*/ 182 w 107"/>
            <a:gd name="T11" fmla="*/ 204 h 108"/>
            <a:gd name="T12" fmla="*/ 147 w 107"/>
            <a:gd name="T13" fmla="*/ 221 h 108"/>
            <a:gd name="T14" fmla="*/ 125 w 107"/>
            <a:gd name="T15" fmla="*/ 261 h 108"/>
            <a:gd name="T16" fmla="*/ 96 w 107"/>
            <a:gd name="T17" fmla="*/ 284 h 108"/>
            <a:gd name="T18" fmla="*/ 62 w 107"/>
            <a:gd name="T19" fmla="*/ 301 h 108"/>
            <a:gd name="T20" fmla="*/ 40 w 107"/>
            <a:gd name="T21" fmla="*/ 329 h 108"/>
            <a:gd name="T22" fmla="*/ 28 w 107"/>
            <a:gd name="T23" fmla="*/ 375 h 108"/>
            <a:gd name="T24" fmla="*/ 11 w 107"/>
            <a:gd name="T25" fmla="*/ 414 h 108"/>
            <a:gd name="T26" fmla="*/ 6 w 107"/>
            <a:gd name="T27" fmla="*/ 454 h 108"/>
            <a:gd name="T28" fmla="*/ 0 w 107"/>
            <a:gd name="T29" fmla="*/ 482 h 108"/>
            <a:gd name="T30" fmla="*/ 23 w 107"/>
            <a:gd name="T31" fmla="*/ 517 h 108"/>
            <a:gd name="T32" fmla="*/ 57 w 107"/>
            <a:gd name="T33" fmla="*/ 539 h 108"/>
            <a:gd name="T34" fmla="*/ 85 w 107"/>
            <a:gd name="T35" fmla="*/ 556 h 108"/>
            <a:gd name="T36" fmla="*/ 119 w 107"/>
            <a:gd name="T37" fmla="*/ 573 h 108"/>
            <a:gd name="T38" fmla="*/ 153 w 107"/>
            <a:gd name="T39" fmla="*/ 573 h 108"/>
            <a:gd name="T40" fmla="*/ 170 w 107"/>
            <a:gd name="T41" fmla="*/ 602 h 108"/>
            <a:gd name="T42" fmla="*/ 204 w 107"/>
            <a:gd name="T43" fmla="*/ 602 h 108"/>
            <a:gd name="T44" fmla="*/ 216 w 107"/>
            <a:gd name="T45" fmla="*/ 573 h 108"/>
            <a:gd name="T46" fmla="*/ 250 w 107"/>
            <a:gd name="T47" fmla="*/ 545 h 108"/>
            <a:gd name="T48" fmla="*/ 278 w 107"/>
            <a:gd name="T49" fmla="*/ 517 h 108"/>
            <a:gd name="T50" fmla="*/ 318 w 107"/>
            <a:gd name="T51" fmla="*/ 528 h 108"/>
            <a:gd name="T52" fmla="*/ 352 w 107"/>
            <a:gd name="T53" fmla="*/ 522 h 108"/>
            <a:gd name="T54" fmla="*/ 386 w 107"/>
            <a:gd name="T55" fmla="*/ 511 h 108"/>
            <a:gd name="T56" fmla="*/ 425 w 107"/>
            <a:gd name="T57" fmla="*/ 517 h 108"/>
            <a:gd name="T58" fmla="*/ 465 w 107"/>
            <a:gd name="T59" fmla="*/ 505 h 108"/>
            <a:gd name="T60" fmla="*/ 488 w 107"/>
            <a:gd name="T61" fmla="*/ 471 h 108"/>
            <a:gd name="T62" fmla="*/ 477 w 107"/>
            <a:gd name="T63" fmla="*/ 431 h 108"/>
            <a:gd name="T64" fmla="*/ 494 w 107"/>
            <a:gd name="T65" fmla="*/ 392 h 108"/>
            <a:gd name="T66" fmla="*/ 477 w 107"/>
            <a:gd name="T67" fmla="*/ 352 h 108"/>
            <a:gd name="T68" fmla="*/ 488 w 107"/>
            <a:gd name="T69" fmla="*/ 312 h 108"/>
            <a:gd name="T70" fmla="*/ 528 w 107"/>
            <a:gd name="T71" fmla="*/ 289 h 108"/>
            <a:gd name="T72" fmla="*/ 539 w 107"/>
            <a:gd name="T73" fmla="*/ 261 h 108"/>
            <a:gd name="T74" fmla="*/ 550 w 107"/>
            <a:gd name="T75" fmla="*/ 221 h 108"/>
            <a:gd name="T76" fmla="*/ 579 w 107"/>
            <a:gd name="T77" fmla="*/ 210 h 108"/>
            <a:gd name="T78" fmla="*/ 607 w 107"/>
            <a:gd name="T79" fmla="*/ 193 h 108"/>
            <a:gd name="T80" fmla="*/ 601 w 107"/>
            <a:gd name="T81" fmla="*/ 153 h 108"/>
            <a:gd name="T82" fmla="*/ 573 w 107"/>
            <a:gd name="T83" fmla="*/ 131 h 108"/>
            <a:gd name="T84" fmla="*/ 579 w 107"/>
            <a:gd name="T85" fmla="*/ 96 h 108"/>
            <a:gd name="T86" fmla="*/ 584 w 107"/>
            <a:gd name="T87" fmla="*/ 74 h 108"/>
            <a:gd name="T88" fmla="*/ 545 w 107"/>
            <a:gd name="T89" fmla="*/ 68 h 108"/>
            <a:gd name="T90" fmla="*/ 516 w 107"/>
            <a:gd name="T91" fmla="*/ 45 h 108"/>
            <a:gd name="T92" fmla="*/ 482 w 107"/>
            <a:gd name="T93" fmla="*/ 28 h 108"/>
            <a:gd name="T94" fmla="*/ 442 w 107"/>
            <a:gd name="T95" fmla="*/ 28 h 108"/>
            <a:gd name="T96" fmla="*/ 408 w 107"/>
            <a:gd name="T97" fmla="*/ 51 h 108"/>
            <a:gd name="T98" fmla="*/ 386 w 107"/>
            <a:gd name="T99" fmla="*/ 74 h 108"/>
            <a:gd name="T100" fmla="*/ 352 w 107"/>
            <a:gd name="T101" fmla="*/ 68 h 108"/>
            <a:gd name="T102" fmla="*/ 323 w 107"/>
            <a:gd name="T103" fmla="*/ 45 h 108"/>
            <a:gd name="T104" fmla="*/ 301 w 107"/>
            <a:gd name="T105" fmla="*/ 11 h 108"/>
            <a:gd name="T106" fmla="*/ 261 w 107"/>
            <a:gd name="T107" fmla="*/ 0 h 108"/>
            <a:gd name="T108" fmla="*/ 221 w 107"/>
            <a:gd name="T109" fmla="*/ 6 h 108"/>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107" h="108">
              <a:moveTo>
                <a:pt x="44" y="0"/>
              </a:moveTo>
              <a:lnTo>
                <a:pt x="42" y="2"/>
              </a:lnTo>
              <a:lnTo>
                <a:pt x="41" y="2"/>
              </a:lnTo>
              <a:lnTo>
                <a:pt x="40" y="2"/>
              </a:lnTo>
              <a:lnTo>
                <a:pt x="39" y="1"/>
              </a:lnTo>
              <a:lnTo>
                <a:pt x="38" y="1"/>
              </a:lnTo>
              <a:lnTo>
                <a:pt x="38" y="2"/>
              </a:lnTo>
              <a:lnTo>
                <a:pt x="39" y="3"/>
              </a:lnTo>
              <a:lnTo>
                <a:pt x="39" y="5"/>
              </a:lnTo>
              <a:lnTo>
                <a:pt x="39" y="6"/>
              </a:lnTo>
              <a:lnTo>
                <a:pt x="39" y="7"/>
              </a:lnTo>
              <a:lnTo>
                <a:pt x="39" y="8"/>
              </a:lnTo>
              <a:lnTo>
                <a:pt x="39" y="9"/>
              </a:lnTo>
              <a:lnTo>
                <a:pt x="39" y="10"/>
              </a:lnTo>
              <a:lnTo>
                <a:pt x="38" y="12"/>
              </a:lnTo>
              <a:lnTo>
                <a:pt x="38" y="13"/>
              </a:lnTo>
              <a:lnTo>
                <a:pt x="37" y="14"/>
              </a:lnTo>
              <a:lnTo>
                <a:pt x="37" y="15"/>
              </a:lnTo>
              <a:lnTo>
                <a:pt x="37" y="16"/>
              </a:lnTo>
              <a:lnTo>
                <a:pt x="37" y="17"/>
              </a:lnTo>
              <a:lnTo>
                <a:pt x="37" y="19"/>
              </a:lnTo>
              <a:lnTo>
                <a:pt x="37" y="20"/>
              </a:lnTo>
              <a:lnTo>
                <a:pt x="37" y="21"/>
              </a:lnTo>
              <a:lnTo>
                <a:pt x="37" y="22"/>
              </a:lnTo>
              <a:lnTo>
                <a:pt x="37" y="23"/>
              </a:lnTo>
              <a:lnTo>
                <a:pt x="36" y="24"/>
              </a:lnTo>
              <a:lnTo>
                <a:pt x="35" y="26"/>
              </a:lnTo>
              <a:lnTo>
                <a:pt x="34" y="27"/>
              </a:lnTo>
              <a:lnTo>
                <a:pt x="33" y="28"/>
              </a:lnTo>
              <a:lnTo>
                <a:pt x="33" y="29"/>
              </a:lnTo>
              <a:lnTo>
                <a:pt x="33" y="30"/>
              </a:lnTo>
              <a:lnTo>
                <a:pt x="33" y="31"/>
              </a:lnTo>
              <a:lnTo>
                <a:pt x="33" y="33"/>
              </a:lnTo>
              <a:lnTo>
                <a:pt x="33" y="34"/>
              </a:lnTo>
              <a:lnTo>
                <a:pt x="32" y="35"/>
              </a:lnTo>
              <a:lnTo>
                <a:pt x="32" y="36"/>
              </a:lnTo>
              <a:lnTo>
                <a:pt x="30" y="37"/>
              </a:lnTo>
              <a:lnTo>
                <a:pt x="29" y="37"/>
              </a:lnTo>
              <a:lnTo>
                <a:pt x="28" y="37"/>
              </a:lnTo>
              <a:lnTo>
                <a:pt x="27" y="37"/>
              </a:lnTo>
              <a:lnTo>
                <a:pt x="26" y="38"/>
              </a:lnTo>
              <a:lnTo>
                <a:pt x="26" y="39"/>
              </a:lnTo>
              <a:lnTo>
                <a:pt x="25" y="40"/>
              </a:lnTo>
              <a:lnTo>
                <a:pt x="25" y="41"/>
              </a:lnTo>
              <a:lnTo>
                <a:pt x="24" y="42"/>
              </a:lnTo>
              <a:lnTo>
                <a:pt x="23" y="44"/>
              </a:lnTo>
              <a:lnTo>
                <a:pt x="22" y="45"/>
              </a:lnTo>
              <a:lnTo>
                <a:pt x="22" y="46"/>
              </a:lnTo>
              <a:lnTo>
                <a:pt x="22" y="47"/>
              </a:lnTo>
              <a:lnTo>
                <a:pt x="22" y="48"/>
              </a:lnTo>
              <a:lnTo>
                <a:pt x="20" y="49"/>
              </a:lnTo>
              <a:lnTo>
                <a:pt x="19" y="49"/>
              </a:lnTo>
              <a:lnTo>
                <a:pt x="18" y="50"/>
              </a:lnTo>
              <a:lnTo>
                <a:pt x="17" y="50"/>
              </a:lnTo>
              <a:lnTo>
                <a:pt x="16" y="51"/>
              </a:lnTo>
              <a:lnTo>
                <a:pt x="15" y="51"/>
              </a:lnTo>
              <a:lnTo>
                <a:pt x="14" y="51"/>
              </a:lnTo>
              <a:lnTo>
                <a:pt x="13" y="51"/>
              </a:lnTo>
              <a:lnTo>
                <a:pt x="12" y="52"/>
              </a:lnTo>
              <a:lnTo>
                <a:pt x="11" y="53"/>
              </a:lnTo>
              <a:lnTo>
                <a:pt x="10" y="53"/>
              </a:lnTo>
              <a:lnTo>
                <a:pt x="9" y="54"/>
              </a:lnTo>
              <a:lnTo>
                <a:pt x="9" y="55"/>
              </a:lnTo>
              <a:lnTo>
                <a:pt x="8" y="56"/>
              </a:lnTo>
              <a:lnTo>
                <a:pt x="8" y="57"/>
              </a:lnTo>
              <a:lnTo>
                <a:pt x="7" y="58"/>
              </a:lnTo>
              <a:lnTo>
                <a:pt x="7" y="60"/>
              </a:lnTo>
              <a:lnTo>
                <a:pt x="6" y="61"/>
              </a:lnTo>
              <a:lnTo>
                <a:pt x="6" y="62"/>
              </a:lnTo>
              <a:lnTo>
                <a:pt x="5" y="63"/>
              </a:lnTo>
              <a:lnTo>
                <a:pt x="5" y="64"/>
              </a:lnTo>
              <a:lnTo>
                <a:pt x="5" y="66"/>
              </a:lnTo>
              <a:lnTo>
                <a:pt x="5" y="67"/>
              </a:lnTo>
              <a:lnTo>
                <a:pt x="4" y="68"/>
              </a:lnTo>
              <a:lnTo>
                <a:pt x="3" y="69"/>
              </a:lnTo>
              <a:lnTo>
                <a:pt x="3" y="70"/>
              </a:lnTo>
              <a:lnTo>
                <a:pt x="2" y="71"/>
              </a:lnTo>
              <a:lnTo>
                <a:pt x="2" y="73"/>
              </a:lnTo>
              <a:lnTo>
                <a:pt x="2" y="74"/>
              </a:lnTo>
              <a:lnTo>
                <a:pt x="1" y="75"/>
              </a:lnTo>
              <a:lnTo>
                <a:pt x="1" y="76"/>
              </a:lnTo>
              <a:lnTo>
                <a:pt x="0" y="77"/>
              </a:lnTo>
              <a:lnTo>
                <a:pt x="1" y="78"/>
              </a:lnTo>
              <a:lnTo>
                <a:pt x="1" y="80"/>
              </a:lnTo>
              <a:lnTo>
                <a:pt x="2" y="80"/>
              </a:lnTo>
              <a:lnTo>
                <a:pt x="2" y="81"/>
              </a:lnTo>
              <a:lnTo>
                <a:pt x="2" y="83"/>
              </a:lnTo>
              <a:lnTo>
                <a:pt x="2" y="84"/>
              </a:lnTo>
              <a:lnTo>
                <a:pt x="1" y="84"/>
              </a:lnTo>
              <a:lnTo>
                <a:pt x="0" y="85"/>
              </a:lnTo>
              <a:lnTo>
                <a:pt x="0" y="87"/>
              </a:lnTo>
              <a:lnTo>
                <a:pt x="0" y="88"/>
              </a:lnTo>
              <a:lnTo>
                <a:pt x="1" y="89"/>
              </a:lnTo>
              <a:lnTo>
                <a:pt x="2" y="90"/>
              </a:lnTo>
              <a:lnTo>
                <a:pt x="3" y="90"/>
              </a:lnTo>
              <a:lnTo>
                <a:pt x="4" y="91"/>
              </a:lnTo>
              <a:lnTo>
                <a:pt x="5" y="92"/>
              </a:lnTo>
              <a:lnTo>
                <a:pt x="6" y="93"/>
              </a:lnTo>
              <a:lnTo>
                <a:pt x="7" y="93"/>
              </a:lnTo>
              <a:lnTo>
                <a:pt x="8" y="94"/>
              </a:lnTo>
              <a:lnTo>
                <a:pt x="9" y="95"/>
              </a:lnTo>
              <a:lnTo>
                <a:pt x="10" y="95"/>
              </a:lnTo>
              <a:lnTo>
                <a:pt x="11" y="95"/>
              </a:lnTo>
              <a:lnTo>
                <a:pt x="12" y="95"/>
              </a:lnTo>
              <a:lnTo>
                <a:pt x="13" y="95"/>
              </a:lnTo>
              <a:lnTo>
                <a:pt x="14" y="96"/>
              </a:lnTo>
              <a:lnTo>
                <a:pt x="14" y="97"/>
              </a:lnTo>
              <a:lnTo>
                <a:pt x="15" y="98"/>
              </a:lnTo>
              <a:lnTo>
                <a:pt x="16" y="99"/>
              </a:lnTo>
              <a:lnTo>
                <a:pt x="17" y="100"/>
              </a:lnTo>
              <a:lnTo>
                <a:pt x="18" y="101"/>
              </a:lnTo>
              <a:lnTo>
                <a:pt x="19" y="101"/>
              </a:lnTo>
              <a:lnTo>
                <a:pt x="20" y="101"/>
              </a:lnTo>
              <a:lnTo>
                <a:pt x="21" y="101"/>
              </a:lnTo>
              <a:lnTo>
                <a:pt x="22" y="101"/>
              </a:lnTo>
              <a:lnTo>
                <a:pt x="23" y="101"/>
              </a:lnTo>
              <a:lnTo>
                <a:pt x="25" y="101"/>
              </a:lnTo>
              <a:lnTo>
                <a:pt x="26" y="101"/>
              </a:lnTo>
              <a:lnTo>
                <a:pt x="27" y="101"/>
              </a:lnTo>
              <a:lnTo>
                <a:pt x="29" y="101"/>
              </a:lnTo>
              <a:lnTo>
                <a:pt x="29" y="103"/>
              </a:lnTo>
              <a:lnTo>
                <a:pt x="30" y="103"/>
              </a:lnTo>
              <a:lnTo>
                <a:pt x="30" y="104"/>
              </a:lnTo>
              <a:lnTo>
                <a:pt x="30" y="105"/>
              </a:lnTo>
              <a:lnTo>
                <a:pt x="30" y="106"/>
              </a:lnTo>
              <a:lnTo>
                <a:pt x="31" y="107"/>
              </a:lnTo>
              <a:lnTo>
                <a:pt x="32" y="108"/>
              </a:lnTo>
              <a:lnTo>
                <a:pt x="33" y="108"/>
              </a:lnTo>
              <a:lnTo>
                <a:pt x="35" y="108"/>
              </a:lnTo>
              <a:lnTo>
                <a:pt x="36" y="108"/>
              </a:lnTo>
              <a:lnTo>
                <a:pt x="36" y="106"/>
              </a:lnTo>
              <a:lnTo>
                <a:pt x="36" y="105"/>
              </a:lnTo>
              <a:lnTo>
                <a:pt x="36" y="104"/>
              </a:lnTo>
              <a:lnTo>
                <a:pt x="36" y="103"/>
              </a:lnTo>
              <a:lnTo>
                <a:pt x="36" y="102"/>
              </a:lnTo>
              <a:lnTo>
                <a:pt x="37" y="101"/>
              </a:lnTo>
              <a:lnTo>
                <a:pt x="38" y="101"/>
              </a:lnTo>
              <a:lnTo>
                <a:pt x="39" y="99"/>
              </a:lnTo>
              <a:lnTo>
                <a:pt x="40" y="99"/>
              </a:lnTo>
              <a:lnTo>
                <a:pt x="41" y="98"/>
              </a:lnTo>
              <a:lnTo>
                <a:pt x="42" y="97"/>
              </a:lnTo>
              <a:lnTo>
                <a:pt x="43" y="96"/>
              </a:lnTo>
              <a:lnTo>
                <a:pt x="44" y="96"/>
              </a:lnTo>
              <a:lnTo>
                <a:pt x="45" y="95"/>
              </a:lnTo>
              <a:lnTo>
                <a:pt x="46" y="94"/>
              </a:lnTo>
              <a:lnTo>
                <a:pt x="46" y="93"/>
              </a:lnTo>
              <a:lnTo>
                <a:pt x="47" y="92"/>
              </a:lnTo>
              <a:lnTo>
                <a:pt x="48" y="92"/>
              </a:lnTo>
              <a:lnTo>
                <a:pt x="49" y="91"/>
              </a:lnTo>
              <a:lnTo>
                <a:pt x="50" y="91"/>
              </a:lnTo>
              <a:lnTo>
                <a:pt x="52" y="90"/>
              </a:lnTo>
              <a:lnTo>
                <a:pt x="53" y="91"/>
              </a:lnTo>
              <a:lnTo>
                <a:pt x="54" y="91"/>
              </a:lnTo>
              <a:lnTo>
                <a:pt x="55" y="91"/>
              </a:lnTo>
              <a:lnTo>
                <a:pt x="56" y="93"/>
              </a:lnTo>
              <a:lnTo>
                <a:pt x="57" y="94"/>
              </a:lnTo>
              <a:lnTo>
                <a:pt x="58" y="94"/>
              </a:lnTo>
              <a:lnTo>
                <a:pt x="59" y="94"/>
              </a:lnTo>
              <a:lnTo>
                <a:pt x="60" y="94"/>
              </a:lnTo>
              <a:lnTo>
                <a:pt x="61" y="93"/>
              </a:lnTo>
              <a:lnTo>
                <a:pt x="62" y="92"/>
              </a:lnTo>
              <a:lnTo>
                <a:pt x="63" y="92"/>
              </a:lnTo>
              <a:lnTo>
                <a:pt x="64" y="91"/>
              </a:lnTo>
              <a:lnTo>
                <a:pt x="65" y="90"/>
              </a:lnTo>
              <a:lnTo>
                <a:pt x="66" y="90"/>
              </a:lnTo>
              <a:lnTo>
                <a:pt x="67" y="90"/>
              </a:lnTo>
              <a:lnTo>
                <a:pt x="68" y="90"/>
              </a:lnTo>
              <a:lnTo>
                <a:pt x="70" y="90"/>
              </a:lnTo>
              <a:lnTo>
                <a:pt x="71" y="91"/>
              </a:lnTo>
              <a:lnTo>
                <a:pt x="72" y="91"/>
              </a:lnTo>
              <a:lnTo>
                <a:pt x="73" y="91"/>
              </a:lnTo>
              <a:lnTo>
                <a:pt x="74" y="91"/>
              </a:lnTo>
              <a:lnTo>
                <a:pt x="75" y="91"/>
              </a:lnTo>
              <a:lnTo>
                <a:pt x="76" y="90"/>
              </a:lnTo>
              <a:lnTo>
                <a:pt x="77" y="90"/>
              </a:lnTo>
              <a:lnTo>
                <a:pt x="78" y="90"/>
              </a:lnTo>
              <a:lnTo>
                <a:pt x="80" y="89"/>
              </a:lnTo>
              <a:lnTo>
                <a:pt x="82" y="89"/>
              </a:lnTo>
              <a:lnTo>
                <a:pt x="83" y="88"/>
              </a:lnTo>
              <a:lnTo>
                <a:pt x="84" y="87"/>
              </a:lnTo>
              <a:lnTo>
                <a:pt x="84" y="86"/>
              </a:lnTo>
              <a:lnTo>
                <a:pt x="85" y="85"/>
              </a:lnTo>
              <a:lnTo>
                <a:pt x="86" y="84"/>
              </a:lnTo>
              <a:lnTo>
                <a:pt x="86" y="83"/>
              </a:lnTo>
              <a:lnTo>
                <a:pt x="86" y="81"/>
              </a:lnTo>
              <a:lnTo>
                <a:pt x="86" y="80"/>
              </a:lnTo>
              <a:lnTo>
                <a:pt x="87" y="79"/>
              </a:lnTo>
              <a:lnTo>
                <a:pt x="86" y="78"/>
              </a:lnTo>
              <a:lnTo>
                <a:pt x="85" y="77"/>
              </a:lnTo>
              <a:lnTo>
                <a:pt x="84" y="76"/>
              </a:lnTo>
              <a:lnTo>
                <a:pt x="84" y="75"/>
              </a:lnTo>
              <a:lnTo>
                <a:pt x="85" y="73"/>
              </a:lnTo>
              <a:lnTo>
                <a:pt x="85" y="72"/>
              </a:lnTo>
              <a:lnTo>
                <a:pt x="87" y="71"/>
              </a:lnTo>
              <a:lnTo>
                <a:pt x="87" y="70"/>
              </a:lnTo>
              <a:lnTo>
                <a:pt x="87" y="69"/>
              </a:lnTo>
              <a:lnTo>
                <a:pt x="87" y="68"/>
              </a:lnTo>
              <a:lnTo>
                <a:pt x="86" y="67"/>
              </a:lnTo>
              <a:lnTo>
                <a:pt x="86" y="66"/>
              </a:lnTo>
              <a:lnTo>
                <a:pt x="85" y="64"/>
              </a:lnTo>
              <a:lnTo>
                <a:pt x="84" y="63"/>
              </a:lnTo>
              <a:lnTo>
                <a:pt x="84" y="62"/>
              </a:lnTo>
              <a:lnTo>
                <a:pt x="83" y="61"/>
              </a:lnTo>
              <a:lnTo>
                <a:pt x="83" y="60"/>
              </a:lnTo>
              <a:lnTo>
                <a:pt x="84" y="58"/>
              </a:lnTo>
              <a:lnTo>
                <a:pt x="85" y="57"/>
              </a:lnTo>
              <a:lnTo>
                <a:pt x="85" y="56"/>
              </a:lnTo>
              <a:lnTo>
                <a:pt x="86" y="55"/>
              </a:lnTo>
              <a:lnTo>
                <a:pt x="87" y="54"/>
              </a:lnTo>
              <a:lnTo>
                <a:pt x="88" y="53"/>
              </a:lnTo>
              <a:lnTo>
                <a:pt x="89" y="53"/>
              </a:lnTo>
              <a:lnTo>
                <a:pt x="90" y="53"/>
              </a:lnTo>
              <a:lnTo>
                <a:pt x="91" y="52"/>
              </a:lnTo>
              <a:lnTo>
                <a:pt x="93" y="51"/>
              </a:lnTo>
              <a:lnTo>
                <a:pt x="94" y="51"/>
              </a:lnTo>
              <a:lnTo>
                <a:pt x="95" y="50"/>
              </a:lnTo>
              <a:lnTo>
                <a:pt x="95" y="49"/>
              </a:lnTo>
              <a:lnTo>
                <a:pt x="95" y="48"/>
              </a:lnTo>
              <a:lnTo>
                <a:pt x="95" y="47"/>
              </a:lnTo>
              <a:lnTo>
                <a:pt x="95" y="46"/>
              </a:lnTo>
              <a:lnTo>
                <a:pt x="95" y="44"/>
              </a:lnTo>
              <a:lnTo>
                <a:pt x="95" y="43"/>
              </a:lnTo>
              <a:lnTo>
                <a:pt x="95" y="42"/>
              </a:lnTo>
              <a:lnTo>
                <a:pt x="96" y="41"/>
              </a:lnTo>
              <a:lnTo>
                <a:pt x="97" y="40"/>
              </a:lnTo>
              <a:lnTo>
                <a:pt x="97" y="39"/>
              </a:lnTo>
              <a:lnTo>
                <a:pt x="97" y="37"/>
              </a:lnTo>
              <a:lnTo>
                <a:pt x="97" y="36"/>
              </a:lnTo>
              <a:lnTo>
                <a:pt x="99" y="36"/>
              </a:lnTo>
              <a:lnTo>
                <a:pt x="100" y="36"/>
              </a:lnTo>
              <a:lnTo>
                <a:pt x="101" y="36"/>
              </a:lnTo>
              <a:lnTo>
                <a:pt x="102" y="37"/>
              </a:lnTo>
              <a:lnTo>
                <a:pt x="103" y="37"/>
              </a:lnTo>
              <a:lnTo>
                <a:pt x="104" y="37"/>
              </a:lnTo>
              <a:lnTo>
                <a:pt x="105" y="37"/>
              </a:lnTo>
              <a:lnTo>
                <a:pt x="106" y="36"/>
              </a:lnTo>
              <a:lnTo>
                <a:pt x="107" y="35"/>
              </a:lnTo>
              <a:lnTo>
                <a:pt x="107" y="34"/>
              </a:lnTo>
              <a:lnTo>
                <a:pt x="107" y="32"/>
              </a:lnTo>
              <a:lnTo>
                <a:pt x="107" y="31"/>
              </a:lnTo>
              <a:lnTo>
                <a:pt x="107" y="30"/>
              </a:lnTo>
              <a:lnTo>
                <a:pt x="107" y="29"/>
              </a:lnTo>
              <a:lnTo>
                <a:pt x="107" y="28"/>
              </a:lnTo>
              <a:lnTo>
                <a:pt x="106" y="27"/>
              </a:lnTo>
              <a:lnTo>
                <a:pt x="105" y="27"/>
              </a:lnTo>
              <a:lnTo>
                <a:pt x="104" y="27"/>
              </a:lnTo>
              <a:lnTo>
                <a:pt x="103" y="27"/>
              </a:lnTo>
              <a:lnTo>
                <a:pt x="102" y="26"/>
              </a:lnTo>
              <a:lnTo>
                <a:pt x="101" y="24"/>
              </a:lnTo>
              <a:lnTo>
                <a:pt x="101" y="23"/>
              </a:lnTo>
              <a:lnTo>
                <a:pt x="100" y="22"/>
              </a:lnTo>
              <a:lnTo>
                <a:pt x="100" y="21"/>
              </a:lnTo>
              <a:lnTo>
                <a:pt x="100" y="20"/>
              </a:lnTo>
              <a:lnTo>
                <a:pt x="100" y="19"/>
              </a:lnTo>
              <a:lnTo>
                <a:pt x="101" y="17"/>
              </a:lnTo>
              <a:lnTo>
                <a:pt x="102" y="17"/>
              </a:lnTo>
              <a:lnTo>
                <a:pt x="103" y="16"/>
              </a:lnTo>
              <a:lnTo>
                <a:pt x="104" y="16"/>
              </a:lnTo>
              <a:lnTo>
                <a:pt x="105" y="15"/>
              </a:lnTo>
              <a:lnTo>
                <a:pt x="105" y="14"/>
              </a:lnTo>
              <a:lnTo>
                <a:pt x="104" y="13"/>
              </a:lnTo>
              <a:lnTo>
                <a:pt x="103" y="13"/>
              </a:lnTo>
              <a:lnTo>
                <a:pt x="102" y="13"/>
              </a:lnTo>
              <a:lnTo>
                <a:pt x="101" y="13"/>
              </a:lnTo>
              <a:lnTo>
                <a:pt x="100" y="13"/>
              </a:lnTo>
              <a:lnTo>
                <a:pt x="99" y="13"/>
              </a:lnTo>
              <a:lnTo>
                <a:pt x="97" y="12"/>
              </a:lnTo>
              <a:lnTo>
                <a:pt x="96" y="12"/>
              </a:lnTo>
              <a:lnTo>
                <a:pt x="96" y="10"/>
              </a:lnTo>
              <a:lnTo>
                <a:pt x="95" y="9"/>
              </a:lnTo>
              <a:lnTo>
                <a:pt x="94" y="9"/>
              </a:lnTo>
              <a:lnTo>
                <a:pt x="93" y="9"/>
              </a:lnTo>
              <a:lnTo>
                <a:pt x="92" y="8"/>
              </a:lnTo>
              <a:lnTo>
                <a:pt x="91" y="8"/>
              </a:lnTo>
              <a:lnTo>
                <a:pt x="90" y="8"/>
              </a:lnTo>
              <a:lnTo>
                <a:pt x="88" y="8"/>
              </a:lnTo>
              <a:lnTo>
                <a:pt x="87" y="7"/>
              </a:lnTo>
              <a:lnTo>
                <a:pt x="87" y="6"/>
              </a:lnTo>
              <a:lnTo>
                <a:pt x="86" y="5"/>
              </a:lnTo>
              <a:lnTo>
                <a:pt x="85" y="5"/>
              </a:lnTo>
              <a:lnTo>
                <a:pt x="84" y="5"/>
              </a:lnTo>
              <a:lnTo>
                <a:pt x="83" y="4"/>
              </a:lnTo>
              <a:lnTo>
                <a:pt x="82" y="4"/>
              </a:lnTo>
              <a:lnTo>
                <a:pt x="80" y="5"/>
              </a:lnTo>
              <a:lnTo>
                <a:pt x="79" y="5"/>
              </a:lnTo>
              <a:lnTo>
                <a:pt x="78" y="5"/>
              </a:lnTo>
              <a:lnTo>
                <a:pt x="77" y="6"/>
              </a:lnTo>
              <a:lnTo>
                <a:pt x="76" y="6"/>
              </a:lnTo>
              <a:lnTo>
                <a:pt x="74" y="6"/>
              </a:lnTo>
              <a:lnTo>
                <a:pt x="73" y="7"/>
              </a:lnTo>
              <a:lnTo>
                <a:pt x="72" y="7"/>
              </a:lnTo>
              <a:lnTo>
                <a:pt x="72" y="9"/>
              </a:lnTo>
              <a:lnTo>
                <a:pt x="71" y="8"/>
              </a:lnTo>
              <a:lnTo>
                <a:pt x="71" y="10"/>
              </a:lnTo>
              <a:lnTo>
                <a:pt x="70" y="11"/>
              </a:lnTo>
              <a:lnTo>
                <a:pt x="70" y="12"/>
              </a:lnTo>
              <a:lnTo>
                <a:pt x="69" y="13"/>
              </a:lnTo>
              <a:lnTo>
                <a:pt x="68" y="13"/>
              </a:lnTo>
              <a:lnTo>
                <a:pt x="67" y="14"/>
              </a:lnTo>
              <a:lnTo>
                <a:pt x="66" y="14"/>
              </a:lnTo>
              <a:lnTo>
                <a:pt x="64" y="14"/>
              </a:lnTo>
              <a:lnTo>
                <a:pt x="63" y="14"/>
              </a:lnTo>
              <a:lnTo>
                <a:pt x="62" y="13"/>
              </a:lnTo>
              <a:lnTo>
                <a:pt x="62" y="12"/>
              </a:lnTo>
              <a:lnTo>
                <a:pt x="61" y="11"/>
              </a:lnTo>
              <a:lnTo>
                <a:pt x="60" y="11"/>
              </a:lnTo>
              <a:lnTo>
                <a:pt x="59" y="11"/>
              </a:lnTo>
              <a:lnTo>
                <a:pt x="58" y="11"/>
              </a:lnTo>
              <a:lnTo>
                <a:pt x="58" y="10"/>
              </a:lnTo>
              <a:lnTo>
                <a:pt x="57" y="8"/>
              </a:lnTo>
              <a:lnTo>
                <a:pt x="57" y="7"/>
              </a:lnTo>
              <a:lnTo>
                <a:pt x="57" y="6"/>
              </a:lnTo>
              <a:lnTo>
                <a:pt x="56" y="5"/>
              </a:lnTo>
              <a:lnTo>
                <a:pt x="55" y="5"/>
              </a:lnTo>
              <a:lnTo>
                <a:pt x="54" y="4"/>
              </a:lnTo>
              <a:lnTo>
                <a:pt x="53" y="2"/>
              </a:lnTo>
              <a:lnTo>
                <a:pt x="52" y="1"/>
              </a:lnTo>
              <a:lnTo>
                <a:pt x="51" y="1"/>
              </a:lnTo>
              <a:lnTo>
                <a:pt x="50" y="1"/>
              </a:lnTo>
              <a:lnTo>
                <a:pt x="49" y="1"/>
              </a:lnTo>
              <a:lnTo>
                <a:pt x="47" y="1"/>
              </a:lnTo>
              <a:lnTo>
                <a:pt x="46" y="0"/>
              </a:lnTo>
              <a:lnTo>
                <a:pt x="44" y="0"/>
              </a:lnTo>
              <a:lnTo>
                <a:pt x="43" y="0"/>
              </a:lnTo>
              <a:lnTo>
                <a:pt x="42" y="0"/>
              </a:lnTo>
              <a:lnTo>
                <a:pt x="41" y="0"/>
              </a:lnTo>
              <a:lnTo>
                <a:pt x="40" y="0"/>
              </a:lnTo>
              <a:lnTo>
                <a:pt x="39" y="1"/>
              </a:lnTo>
              <a:lnTo>
                <a:pt x="40" y="2"/>
              </a:lnTo>
              <a:lnTo>
                <a:pt x="41" y="2"/>
              </a:lnTo>
              <a:lnTo>
                <a:pt x="44" y="0"/>
              </a:lnTo>
              <a:close/>
            </a:path>
          </a:pathLst>
        </a:custGeom>
        <a:solidFill>
          <a:srgbClr val="0000BF"/>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548098</xdr:colOff>
      <xdr:row>53</xdr:row>
      <xdr:rowOff>160957</xdr:rowOff>
    </xdr:from>
    <xdr:to>
      <xdr:col>3</xdr:col>
      <xdr:colOff>1150265</xdr:colOff>
      <xdr:row>60</xdr:row>
      <xdr:rowOff>75410</xdr:rowOff>
    </xdr:to>
    <xdr:sp macro="" textlink="">
      <xdr:nvSpPr>
        <xdr:cNvPr id="34" name="Freeform 106">
          <a:extLst>
            <a:ext uri="{FF2B5EF4-FFF2-40B4-BE49-F238E27FC236}">
              <a16:creationId xmlns:a16="http://schemas.microsoft.com/office/drawing/2014/main" id="{6091CBC2-CDB5-4E24-8C26-277B15E07008}"/>
            </a:ext>
          </a:extLst>
        </xdr:cNvPr>
        <xdr:cNvSpPr>
          <a:spLocks noChangeAspect="1"/>
        </xdr:cNvSpPr>
      </xdr:nvSpPr>
      <xdr:spPr bwMode="gray">
        <a:xfrm>
          <a:off x="3107148" y="9689132"/>
          <a:ext cx="608517" cy="1044753"/>
        </a:xfrm>
        <a:custGeom>
          <a:avLst/>
          <a:gdLst>
            <a:gd name="T0" fmla="*/ 136 w 71"/>
            <a:gd name="T1" fmla="*/ 153 h 133"/>
            <a:gd name="T2" fmla="*/ 176 w 71"/>
            <a:gd name="T3" fmla="*/ 148 h 133"/>
            <a:gd name="T4" fmla="*/ 193 w 71"/>
            <a:gd name="T5" fmla="*/ 108 h 133"/>
            <a:gd name="T6" fmla="*/ 209 w 71"/>
            <a:gd name="T7" fmla="*/ 74 h 133"/>
            <a:gd name="T8" fmla="*/ 221 w 71"/>
            <a:gd name="T9" fmla="*/ 34 h 133"/>
            <a:gd name="T10" fmla="*/ 187 w 71"/>
            <a:gd name="T11" fmla="*/ 23 h 133"/>
            <a:gd name="T12" fmla="*/ 193 w 71"/>
            <a:gd name="T13" fmla="*/ 0 h 133"/>
            <a:gd name="T14" fmla="*/ 226 w 71"/>
            <a:gd name="T15" fmla="*/ 0 h 133"/>
            <a:gd name="T16" fmla="*/ 255 w 71"/>
            <a:gd name="T17" fmla="*/ 17 h 133"/>
            <a:gd name="T18" fmla="*/ 283 w 71"/>
            <a:gd name="T19" fmla="*/ 45 h 133"/>
            <a:gd name="T20" fmla="*/ 289 w 71"/>
            <a:gd name="T21" fmla="*/ 85 h 133"/>
            <a:gd name="T22" fmla="*/ 289 w 71"/>
            <a:gd name="T23" fmla="*/ 125 h 133"/>
            <a:gd name="T24" fmla="*/ 272 w 71"/>
            <a:gd name="T25" fmla="*/ 165 h 133"/>
            <a:gd name="T26" fmla="*/ 283 w 71"/>
            <a:gd name="T27" fmla="*/ 199 h 133"/>
            <a:gd name="T28" fmla="*/ 311 w 71"/>
            <a:gd name="T29" fmla="*/ 233 h 133"/>
            <a:gd name="T30" fmla="*/ 340 w 71"/>
            <a:gd name="T31" fmla="*/ 250 h 133"/>
            <a:gd name="T32" fmla="*/ 368 w 71"/>
            <a:gd name="T33" fmla="*/ 267 h 133"/>
            <a:gd name="T34" fmla="*/ 345 w 71"/>
            <a:gd name="T35" fmla="*/ 301 h 133"/>
            <a:gd name="T36" fmla="*/ 328 w 71"/>
            <a:gd name="T37" fmla="*/ 341 h 133"/>
            <a:gd name="T38" fmla="*/ 340 w 71"/>
            <a:gd name="T39" fmla="*/ 380 h 133"/>
            <a:gd name="T40" fmla="*/ 362 w 71"/>
            <a:gd name="T41" fmla="*/ 414 h 133"/>
            <a:gd name="T42" fmla="*/ 374 w 71"/>
            <a:gd name="T43" fmla="*/ 443 h 133"/>
            <a:gd name="T44" fmla="*/ 402 w 71"/>
            <a:gd name="T45" fmla="*/ 477 h 133"/>
            <a:gd name="T46" fmla="*/ 379 w 71"/>
            <a:gd name="T47" fmla="*/ 505 h 133"/>
            <a:gd name="T48" fmla="*/ 357 w 71"/>
            <a:gd name="T49" fmla="*/ 545 h 133"/>
            <a:gd name="T50" fmla="*/ 362 w 71"/>
            <a:gd name="T51" fmla="*/ 585 h 133"/>
            <a:gd name="T52" fmla="*/ 391 w 71"/>
            <a:gd name="T53" fmla="*/ 590 h 133"/>
            <a:gd name="T54" fmla="*/ 368 w 71"/>
            <a:gd name="T55" fmla="*/ 619 h 133"/>
            <a:gd name="T56" fmla="*/ 368 w 71"/>
            <a:gd name="T57" fmla="*/ 658 h 133"/>
            <a:gd name="T58" fmla="*/ 379 w 71"/>
            <a:gd name="T59" fmla="*/ 687 h 133"/>
            <a:gd name="T60" fmla="*/ 379 w 71"/>
            <a:gd name="T61" fmla="*/ 727 h 133"/>
            <a:gd name="T62" fmla="*/ 368 w 71"/>
            <a:gd name="T63" fmla="*/ 755 h 133"/>
            <a:gd name="T64" fmla="*/ 334 w 71"/>
            <a:gd name="T65" fmla="*/ 738 h 133"/>
            <a:gd name="T66" fmla="*/ 300 w 71"/>
            <a:gd name="T67" fmla="*/ 715 h 133"/>
            <a:gd name="T68" fmla="*/ 266 w 71"/>
            <a:gd name="T69" fmla="*/ 693 h 133"/>
            <a:gd name="T70" fmla="*/ 232 w 71"/>
            <a:gd name="T71" fmla="*/ 698 h 133"/>
            <a:gd name="T72" fmla="*/ 198 w 71"/>
            <a:gd name="T73" fmla="*/ 715 h 133"/>
            <a:gd name="T74" fmla="*/ 164 w 71"/>
            <a:gd name="T75" fmla="*/ 749 h 133"/>
            <a:gd name="T76" fmla="*/ 130 w 71"/>
            <a:gd name="T77" fmla="*/ 738 h 133"/>
            <a:gd name="T78" fmla="*/ 108 w 71"/>
            <a:gd name="T79" fmla="*/ 704 h 133"/>
            <a:gd name="T80" fmla="*/ 74 w 71"/>
            <a:gd name="T81" fmla="*/ 676 h 133"/>
            <a:gd name="T82" fmla="*/ 34 w 71"/>
            <a:gd name="T83" fmla="*/ 670 h 133"/>
            <a:gd name="T84" fmla="*/ 0 w 71"/>
            <a:gd name="T85" fmla="*/ 676 h 133"/>
            <a:gd name="T86" fmla="*/ 0 w 71"/>
            <a:gd name="T87" fmla="*/ 636 h 133"/>
            <a:gd name="T88" fmla="*/ 0 w 71"/>
            <a:gd name="T89" fmla="*/ 596 h 133"/>
            <a:gd name="T90" fmla="*/ 6 w 71"/>
            <a:gd name="T91" fmla="*/ 562 h 133"/>
            <a:gd name="T92" fmla="*/ 6 w 71"/>
            <a:gd name="T93" fmla="*/ 517 h 133"/>
            <a:gd name="T94" fmla="*/ 17 w 71"/>
            <a:gd name="T95" fmla="*/ 483 h 133"/>
            <a:gd name="T96" fmla="*/ 28 w 71"/>
            <a:gd name="T97" fmla="*/ 443 h 133"/>
            <a:gd name="T98" fmla="*/ 57 w 71"/>
            <a:gd name="T99" fmla="*/ 403 h 133"/>
            <a:gd name="T100" fmla="*/ 68 w 71"/>
            <a:gd name="T101" fmla="*/ 363 h 133"/>
            <a:gd name="T102" fmla="*/ 96 w 71"/>
            <a:gd name="T103" fmla="*/ 341 h 133"/>
            <a:gd name="T104" fmla="*/ 113 w 71"/>
            <a:gd name="T105" fmla="*/ 301 h 133"/>
            <a:gd name="T106" fmla="*/ 119 w 71"/>
            <a:gd name="T107" fmla="*/ 261 h 133"/>
            <a:gd name="T108" fmla="*/ 125 w 71"/>
            <a:gd name="T109" fmla="*/ 216 h 133"/>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71" h="133">
              <a:moveTo>
                <a:pt x="24" y="34"/>
              </a:moveTo>
              <a:lnTo>
                <a:pt x="22" y="30"/>
              </a:lnTo>
              <a:lnTo>
                <a:pt x="22" y="29"/>
              </a:lnTo>
              <a:lnTo>
                <a:pt x="22" y="28"/>
              </a:lnTo>
              <a:lnTo>
                <a:pt x="23" y="28"/>
              </a:lnTo>
              <a:lnTo>
                <a:pt x="24" y="27"/>
              </a:lnTo>
              <a:lnTo>
                <a:pt x="25" y="27"/>
              </a:lnTo>
              <a:lnTo>
                <a:pt x="26" y="27"/>
              </a:lnTo>
              <a:lnTo>
                <a:pt x="27" y="27"/>
              </a:lnTo>
              <a:lnTo>
                <a:pt x="28" y="27"/>
              </a:lnTo>
              <a:lnTo>
                <a:pt x="30" y="26"/>
              </a:lnTo>
              <a:lnTo>
                <a:pt x="31" y="26"/>
              </a:lnTo>
              <a:lnTo>
                <a:pt x="32" y="25"/>
              </a:lnTo>
              <a:lnTo>
                <a:pt x="33" y="24"/>
              </a:lnTo>
              <a:lnTo>
                <a:pt x="33" y="23"/>
              </a:lnTo>
              <a:lnTo>
                <a:pt x="33" y="22"/>
              </a:lnTo>
              <a:lnTo>
                <a:pt x="33" y="20"/>
              </a:lnTo>
              <a:lnTo>
                <a:pt x="34" y="19"/>
              </a:lnTo>
              <a:lnTo>
                <a:pt x="35" y="18"/>
              </a:lnTo>
              <a:lnTo>
                <a:pt x="36" y="17"/>
              </a:lnTo>
              <a:lnTo>
                <a:pt x="37" y="16"/>
              </a:lnTo>
              <a:lnTo>
                <a:pt x="37" y="15"/>
              </a:lnTo>
              <a:lnTo>
                <a:pt x="37" y="14"/>
              </a:lnTo>
              <a:lnTo>
                <a:pt x="37" y="13"/>
              </a:lnTo>
              <a:lnTo>
                <a:pt x="37" y="12"/>
              </a:lnTo>
              <a:lnTo>
                <a:pt x="38" y="10"/>
              </a:lnTo>
              <a:lnTo>
                <a:pt x="39" y="9"/>
              </a:lnTo>
              <a:lnTo>
                <a:pt x="39" y="8"/>
              </a:lnTo>
              <a:lnTo>
                <a:pt x="39" y="7"/>
              </a:lnTo>
              <a:lnTo>
                <a:pt x="39" y="6"/>
              </a:lnTo>
              <a:lnTo>
                <a:pt x="38" y="5"/>
              </a:lnTo>
              <a:lnTo>
                <a:pt x="37" y="5"/>
              </a:lnTo>
              <a:lnTo>
                <a:pt x="35" y="5"/>
              </a:lnTo>
              <a:lnTo>
                <a:pt x="34" y="5"/>
              </a:lnTo>
              <a:lnTo>
                <a:pt x="33" y="4"/>
              </a:lnTo>
              <a:lnTo>
                <a:pt x="32" y="3"/>
              </a:lnTo>
              <a:lnTo>
                <a:pt x="31" y="2"/>
              </a:lnTo>
              <a:lnTo>
                <a:pt x="30" y="1"/>
              </a:lnTo>
              <a:lnTo>
                <a:pt x="31" y="0"/>
              </a:lnTo>
              <a:lnTo>
                <a:pt x="33" y="0"/>
              </a:lnTo>
              <a:lnTo>
                <a:pt x="34" y="0"/>
              </a:lnTo>
              <a:lnTo>
                <a:pt x="35" y="0"/>
              </a:lnTo>
              <a:lnTo>
                <a:pt x="37" y="0"/>
              </a:lnTo>
              <a:lnTo>
                <a:pt x="38" y="0"/>
              </a:lnTo>
              <a:lnTo>
                <a:pt x="39" y="0"/>
              </a:lnTo>
              <a:lnTo>
                <a:pt x="40" y="0"/>
              </a:lnTo>
              <a:lnTo>
                <a:pt x="41" y="0"/>
              </a:lnTo>
              <a:lnTo>
                <a:pt x="42" y="0"/>
              </a:lnTo>
              <a:lnTo>
                <a:pt x="42" y="1"/>
              </a:lnTo>
              <a:lnTo>
                <a:pt x="43" y="2"/>
              </a:lnTo>
              <a:lnTo>
                <a:pt x="44" y="3"/>
              </a:lnTo>
              <a:lnTo>
                <a:pt x="45" y="3"/>
              </a:lnTo>
              <a:lnTo>
                <a:pt x="46" y="4"/>
              </a:lnTo>
              <a:lnTo>
                <a:pt x="47" y="4"/>
              </a:lnTo>
              <a:lnTo>
                <a:pt x="48" y="5"/>
              </a:lnTo>
              <a:lnTo>
                <a:pt x="49" y="5"/>
              </a:lnTo>
              <a:lnTo>
                <a:pt x="50" y="6"/>
              </a:lnTo>
              <a:lnTo>
                <a:pt x="50" y="8"/>
              </a:lnTo>
              <a:lnTo>
                <a:pt x="50" y="9"/>
              </a:lnTo>
              <a:lnTo>
                <a:pt x="50" y="10"/>
              </a:lnTo>
              <a:lnTo>
                <a:pt x="51" y="12"/>
              </a:lnTo>
              <a:lnTo>
                <a:pt x="51" y="13"/>
              </a:lnTo>
              <a:lnTo>
                <a:pt x="51" y="14"/>
              </a:lnTo>
              <a:lnTo>
                <a:pt x="51" y="15"/>
              </a:lnTo>
              <a:lnTo>
                <a:pt x="51" y="16"/>
              </a:lnTo>
              <a:lnTo>
                <a:pt x="51" y="17"/>
              </a:lnTo>
              <a:lnTo>
                <a:pt x="51" y="19"/>
              </a:lnTo>
              <a:lnTo>
                <a:pt x="51" y="20"/>
              </a:lnTo>
              <a:lnTo>
                <a:pt x="51" y="21"/>
              </a:lnTo>
              <a:lnTo>
                <a:pt x="51" y="22"/>
              </a:lnTo>
              <a:lnTo>
                <a:pt x="51" y="23"/>
              </a:lnTo>
              <a:lnTo>
                <a:pt x="51" y="24"/>
              </a:lnTo>
              <a:lnTo>
                <a:pt x="50" y="26"/>
              </a:lnTo>
              <a:lnTo>
                <a:pt x="49" y="27"/>
              </a:lnTo>
              <a:lnTo>
                <a:pt x="49" y="28"/>
              </a:lnTo>
              <a:lnTo>
                <a:pt x="48" y="29"/>
              </a:lnTo>
              <a:lnTo>
                <a:pt x="48" y="30"/>
              </a:lnTo>
              <a:lnTo>
                <a:pt x="47" y="31"/>
              </a:lnTo>
              <a:lnTo>
                <a:pt x="47" y="33"/>
              </a:lnTo>
              <a:lnTo>
                <a:pt x="48" y="34"/>
              </a:lnTo>
              <a:lnTo>
                <a:pt x="49" y="34"/>
              </a:lnTo>
              <a:lnTo>
                <a:pt x="50" y="35"/>
              </a:lnTo>
              <a:lnTo>
                <a:pt x="51" y="36"/>
              </a:lnTo>
              <a:lnTo>
                <a:pt x="52" y="37"/>
              </a:lnTo>
              <a:lnTo>
                <a:pt x="53" y="38"/>
              </a:lnTo>
              <a:lnTo>
                <a:pt x="54" y="40"/>
              </a:lnTo>
              <a:lnTo>
                <a:pt x="55" y="40"/>
              </a:lnTo>
              <a:lnTo>
                <a:pt x="55" y="41"/>
              </a:lnTo>
              <a:lnTo>
                <a:pt x="56" y="43"/>
              </a:lnTo>
              <a:lnTo>
                <a:pt x="56" y="44"/>
              </a:lnTo>
              <a:lnTo>
                <a:pt x="57" y="44"/>
              </a:lnTo>
              <a:lnTo>
                <a:pt x="58" y="44"/>
              </a:lnTo>
              <a:lnTo>
                <a:pt x="59" y="44"/>
              </a:lnTo>
              <a:lnTo>
                <a:pt x="60" y="44"/>
              </a:lnTo>
              <a:lnTo>
                <a:pt x="61" y="45"/>
              </a:lnTo>
              <a:lnTo>
                <a:pt x="62" y="45"/>
              </a:lnTo>
              <a:lnTo>
                <a:pt x="63" y="45"/>
              </a:lnTo>
              <a:lnTo>
                <a:pt x="65" y="45"/>
              </a:lnTo>
              <a:lnTo>
                <a:pt x="65" y="46"/>
              </a:lnTo>
              <a:lnTo>
                <a:pt x="65" y="47"/>
              </a:lnTo>
              <a:lnTo>
                <a:pt x="65" y="48"/>
              </a:lnTo>
              <a:lnTo>
                <a:pt x="65" y="50"/>
              </a:lnTo>
              <a:lnTo>
                <a:pt x="63" y="50"/>
              </a:lnTo>
              <a:lnTo>
                <a:pt x="63" y="51"/>
              </a:lnTo>
              <a:lnTo>
                <a:pt x="62" y="52"/>
              </a:lnTo>
              <a:lnTo>
                <a:pt x="61" y="53"/>
              </a:lnTo>
              <a:lnTo>
                <a:pt x="60" y="54"/>
              </a:lnTo>
              <a:lnTo>
                <a:pt x="59" y="55"/>
              </a:lnTo>
              <a:lnTo>
                <a:pt x="59" y="57"/>
              </a:lnTo>
              <a:lnTo>
                <a:pt x="59" y="58"/>
              </a:lnTo>
              <a:lnTo>
                <a:pt x="58" y="59"/>
              </a:lnTo>
              <a:lnTo>
                <a:pt x="58" y="60"/>
              </a:lnTo>
              <a:lnTo>
                <a:pt x="58" y="61"/>
              </a:lnTo>
              <a:lnTo>
                <a:pt x="58" y="63"/>
              </a:lnTo>
              <a:lnTo>
                <a:pt x="58" y="64"/>
              </a:lnTo>
              <a:lnTo>
                <a:pt x="59" y="65"/>
              </a:lnTo>
              <a:lnTo>
                <a:pt x="60" y="66"/>
              </a:lnTo>
              <a:lnTo>
                <a:pt x="60" y="67"/>
              </a:lnTo>
              <a:lnTo>
                <a:pt x="61" y="68"/>
              </a:lnTo>
              <a:lnTo>
                <a:pt x="61" y="69"/>
              </a:lnTo>
              <a:lnTo>
                <a:pt x="62" y="70"/>
              </a:lnTo>
              <a:lnTo>
                <a:pt x="63" y="71"/>
              </a:lnTo>
              <a:lnTo>
                <a:pt x="64" y="72"/>
              </a:lnTo>
              <a:lnTo>
                <a:pt x="64" y="73"/>
              </a:lnTo>
              <a:lnTo>
                <a:pt x="64" y="74"/>
              </a:lnTo>
              <a:lnTo>
                <a:pt x="64" y="75"/>
              </a:lnTo>
              <a:lnTo>
                <a:pt x="64" y="77"/>
              </a:lnTo>
              <a:lnTo>
                <a:pt x="64" y="78"/>
              </a:lnTo>
              <a:lnTo>
                <a:pt x="65" y="78"/>
              </a:lnTo>
              <a:lnTo>
                <a:pt x="66" y="78"/>
              </a:lnTo>
              <a:lnTo>
                <a:pt x="68" y="79"/>
              </a:lnTo>
              <a:lnTo>
                <a:pt x="68" y="81"/>
              </a:lnTo>
              <a:lnTo>
                <a:pt x="68" y="82"/>
              </a:lnTo>
              <a:lnTo>
                <a:pt x="69" y="83"/>
              </a:lnTo>
              <a:lnTo>
                <a:pt x="70" y="84"/>
              </a:lnTo>
              <a:lnTo>
                <a:pt x="71" y="84"/>
              </a:lnTo>
              <a:lnTo>
                <a:pt x="71" y="85"/>
              </a:lnTo>
              <a:lnTo>
                <a:pt x="70" y="85"/>
              </a:lnTo>
              <a:lnTo>
                <a:pt x="69" y="87"/>
              </a:lnTo>
              <a:lnTo>
                <a:pt x="68" y="88"/>
              </a:lnTo>
              <a:lnTo>
                <a:pt x="67" y="88"/>
              </a:lnTo>
              <a:lnTo>
                <a:pt x="67" y="89"/>
              </a:lnTo>
              <a:lnTo>
                <a:pt x="66" y="91"/>
              </a:lnTo>
              <a:lnTo>
                <a:pt x="66" y="92"/>
              </a:lnTo>
              <a:lnTo>
                <a:pt x="65" y="93"/>
              </a:lnTo>
              <a:lnTo>
                <a:pt x="64" y="94"/>
              </a:lnTo>
              <a:lnTo>
                <a:pt x="64" y="95"/>
              </a:lnTo>
              <a:lnTo>
                <a:pt x="63" y="96"/>
              </a:lnTo>
              <a:lnTo>
                <a:pt x="63" y="97"/>
              </a:lnTo>
              <a:lnTo>
                <a:pt x="63" y="99"/>
              </a:lnTo>
              <a:lnTo>
                <a:pt x="63" y="100"/>
              </a:lnTo>
              <a:lnTo>
                <a:pt x="63" y="101"/>
              </a:lnTo>
              <a:lnTo>
                <a:pt x="63" y="102"/>
              </a:lnTo>
              <a:lnTo>
                <a:pt x="64" y="103"/>
              </a:lnTo>
              <a:lnTo>
                <a:pt x="65" y="103"/>
              </a:lnTo>
              <a:lnTo>
                <a:pt x="66" y="103"/>
              </a:lnTo>
              <a:lnTo>
                <a:pt x="67" y="103"/>
              </a:lnTo>
              <a:lnTo>
                <a:pt x="68" y="103"/>
              </a:lnTo>
              <a:lnTo>
                <a:pt x="69" y="103"/>
              </a:lnTo>
              <a:lnTo>
                <a:pt x="69" y="104"/>
              </a:lnTo>
              <a:lnTo>
                <a:pt x="69" y="106"/>
              </a:lnTo>
              <a:lnTo>
                <a:pt x="68" y="106"/>
              </a:lnTo>
              <a:lnTo>
                <a:pt x="67" y="107"/>
              </a:lnTo>
              <a:lnTo>
                <a:pt x="66" y="107"/>
              </a:lnTo>
              <a:lnTo>
                <a:pt x="65" y="108"/>
              </a:lnTo>
              <a:lnTo>
                <a:pt x="65" y="109"/>
              </a:lnTo>
              <a:lnTo>
                <a:pt x="65" y="110"/>
              </a:lnTo>
              <a:lnTo>
                <a:pt x="66" y="112"/>
              </a:lnTo>
              <a:lnTo>
                <a:pt x="67" y="113"/>
              </a:lnTo>
              <a:lnTo>
                <a:pt x="66" y="114"/>
              </a:lnTo>
              <a:lnTo>
                <a:pt x="66" y="115"/>
              </a:lnTo>
              <a:lnTo>
                <a:pt x="65" y="116"/>
              </a:lnTo>
              <a:lnTo>
                <a:pt x="64" y="116"/>
              </a:lnTo>
              <a:lnTo>
                <a:pt x="64" y="117"/>
              </a:lnTo>
              <a:lnTo>
                <a:pt x="65" y="118"/>
              </a:lnTo>
              <a:lnTo>
                <a:pt x="66" y="119"/>
              </a:lnTo>
              <a:lnTo>
                <a:pt x="66" y="120"/>
              </a:lnTo>
              <a:lnTo>
                <a:pt x="67" y="121"/>
              </a:lnTo>
              <a:lnTo>
                <a:pt x="67" y="122"/>
              </a:lnTo>
              <a:lnTo>
                <a:pt x="68" y="123"/>
              </a:lnTo>
              <a:lnTo>
                <a:pt x="68" y="124"/>
              </a:lnTo>
              <a:lnTo>
                <a:pt x="68" y="126"/>
              </a:lnTo>
              <a:lnTo>
                <a:pt x="67" y="127"/>
              </a:lnTo>
              <a:lnTo>
                <a:pt x="67" y="128"/>
              </a:lnTo>
              <a:lnTo>
                <a:pt x="67" y="129"/>
              </a:lnTo>
              <a:lnTo>
                <a:pt x="68" y="130"/>
              </a:lnTo>
              <a:lnTo>
                <a:pt x="68" y="132"/>
              </a:lnTo>
              <a:lnTo>
                <a:pt x="68" y="133"/>
              </a:lnTo>
              <a:lnTo>
                <a:pt x="66" y="133"/>
              </a:lnTo>
              <a:lnTo>
                <a:pt x="65" y="133"/>
              </a:lnTo>
              <a:lnTo>
                <a:pt x="64" y="132"/>
              </a:lnTo>
              <a:lnTo>
                <a:pt x="63" y="132"/>
              </a:lnTo>
              <a:lnTo>
                <a:pt x="62" y="131"/>
              </a:lnTo>
              <a:lnTo>
                <a:pt x="61" y="131"/>
              </a:lnTo>
              <a:lnTo>
                <a:pt x="60" y="131"/>
              </a:lnTo>
              <a:lnTo>
                <a:pt x="59" y="130"/>
              </a:lnTo>
              <a:lnTo>
                <a:pt x="58" y="129"/>
              </a:lnTo>
              <a:lnTo>
                <a:pt x="58" y="127"/>
              </a:lnTo>
              <a:lnTo>
                <a:pt x="57" y="127"/>
              </a:lnTo>
              <a:lnTo>
                <a:pt x="56" y="127"/>
              </a:lnTo>
              <a:lnTo>
                <a:pt x="54" y="127"/>
              </a:lnTo>
              <a:lnTo>
                <a:pt x="53" y="126"/>
              </a:lnTo>
              <a:lnTo>
                <a:pt x="52" y="126"/>
              </a:lnTo>
              <a:lnTo>
                <a:pt x="51" y="125"/>
              </a:lnTo>
              <a:lnTo>
                <a:pt x="50" y="125"/>
              </a:lnTo>
              <a:lnTo>
                <a:pt x="49" y="124"/>
              </a:lnTo>
              <a:lnTo>
                <a:pt x="48" y="123"/>
              </a:lnTo>
              <a:lnTo>
                <a:pt x="47" y="122"/>
              </a:lnTo>
              <a:lnTo>
                <a:pt x="46" y="122"/>
              </a:lnTo>
              <a:lnTo>
                <a:pt x="45" y="122"/>
              </a:lnTo>
              <a:lnTo>
                <a:pt x="44" y="122"/>
              </a:lnTo>
              <a:lnTo>
                <a:pt x="43" y="122"/>
              </a:lnTo>
              <a:lnTo>
                <a:pt x="42" y="123"/>
              </a:lnTo>
              <a:lnTo>
                <a:pt x="41" y="123"/>
              </a:lnTo>
              <a:lnTo>
                <a:pt x="40" y="123"/>
              </a:lnTo>
              <a:lnTo>
                <a:pt x="39" y="124"/>
              </a:lnTo>
              <a:lnTo>
                <a:pt x="38" y="124"/>
              </a:lnTo>
              <a:lnTo>
                <a:pt x="37" y="125"/>
              </a:lnTo>
              <a:lnTo>
                <a:pt x="35" y="125"/>
              </a:lnTo>
              <a:lnTo>
                <a:pt x="35" y="126"/>
              </a:lnTo>
              <a:lnTo>
                <a:pt x="34" y="127"/>
              </a:lnTo>
              <a:lnTo>
                <a:pt x="33" y="128"/>
              </a:lnTo>
              <a:lnTo>
                <a:pt x="32" y="130"/>
              </a:lnTo>
              <a:lnTo>
                <a:pt x="31" y="131"/>
              </a:lnTo>
              <a:lnTo>
                <a:pt x="30" y="132"/>
              </a:lnTo>
              <a:lnTo>
                <a:pt x="29" y="132"/>
              </a:lnTo>
              <a:lnTo>
                <a:pt x="28" y="132"/>
              </a:lnTo>
              <a:lnTo>
                <a:pt x="27" y="132"/>
              </a:lnTo>
              <a:lnTo>
                <a:pt x="26" y="132"/>
              </a:lnTo>
              <a:lnTo>
                <a:pt x="25" y="132"/>
              </a:lnTo>
              <a:lnTo>
                <a:pt x="24" y="130"/>
              </a:lnTo>
              <a:lnTo>
                <a:pt x="23" y="130"/>
              </a:lnTo>
              <a:lnTo>
                <a:pt x="22" y="130"/>
              </a:lnTo>
              <a:lnTo>
                <a:pt x="21" y="128"/>
              </a:lnTo>
              <a:lnTo>
                <a:pt x="21" y="127"/>
              </a:lnTo>
              <a:lnTo>
                <a:pt x="21" y="126"/>
              </a:lnTo>
              <a:lnTo>
                <a:pt x="19" y="125"/>
              </a:lnTo>
              <a:lnTo>
                <a:pt x="19" y="124"/>
              </a:lnTo>
              <a:lnTo>
                <a:pt x="18" y="123"/>
              </a:lnTo>
              <a:lnTo>
                <a:pt x="17" y="123"/>
              </a:lnTo>
              <a:lnTo>
                <a:pt x="16" y="122"/>
              </a:lnTo>
              <a:lnTo>
                <a:pt x="15" y="121"/>
              </a:lnTo>
              <a:lnTo>
                <a:pt x="15" y="120"/>
              </a:lnTo>
              <a:lnTo>
                <a:pt x="13" y="119"/>
              </a:lnTo>
              <a:lnTo>
                <a:pt x="12" y="118"/>
              </a:lnTo>
              <a:lnTo>
                <a:pt x="11" y="119"/>
              </a:lnTo>
              <a:lnTo>
                <a:pt x="10" y="119"/>
              </a:lnTo>
              <a:lnTo>
                <a:pt x="9" y="119"/>
              </a:lnTo>
              <a:lnTo>
                <a:pt x="7" y="119"/>
              </a:lnTo>
              <a:lnTo>
                <a:pt x="6" y="118"/>
              </a:lnTo>
              <a:lnTo>
                <a:pt x="5" y="118"/>
              </a:lnTo>
              <a:lnTo>
                <a:pt x="4" y="118"/>
              </a:lnTo>
              <a:lnTo>
                <a:pt x="2" y="118"/>
              </a:lnTo>
              <a:lnTo>
                <a:pt x="1" y="119"/>
              </a:lnTo>
              <a:lnTo>
                <a:pt x="0" y="120"/>
              </a:lnTo>
              <a:lnTo>
                <a:pt x="0" y="119"/>
              </a:lnTo>
              <a:lnTo>
                <a:pt x="0" y="118"/>
              </a:lnTo>
              <a:lnTo>
                <a:pt x="0" y="117"/>
              </a:lnTo>
              <a:lnTo>
                <a:pt x="0" y="115"/>
              </a:lnTo>
              <a:lnTo>
                <a:pt x="0" y="114"/>
              </a:lnTo>
              <a:lnTo>
                <a:pt x="0" y="113"/>
              </a:lnTo>
              <a:lnTo>
                <a:pt x="0" y="112"/>
              </a:lnTo>
              <a:lnTo>
                <a:pt x="0" y="111"/>
              </a:lnTo>
              <a:lnTo>
                <a:pt x="0" y="109"/>
              </a:lnTo>
              <a:lnTo>
                <a:pt x="0" y="108"/>
              </a:lnTo>
              <a:lnTo>
                <a:pt x="0" y="107"/>
              </a:lnTo>
              <a:lnTo>
                <a:pt x="0" y="106"/>
              </a:lnTo>
              <a:lnTo>
                <a:pt x="0" y="105"/>
              </a:lnTo>
              <a:lnTo>
                <a:pt x="1" y="103"/>
              </a:lnTo>
              <a:lnTo>
                <a:pt x="2" y="103"/>
              </a:lnTo>
              <a:lnTo>
                <a:pt x="2" y="102"/>
              </a:lnTo>
              <a:lnTo>
                <a:pt x="2" y="101"/>
              </a:lnTo>
              <a:lnTo>
                <a:pt x="2" y="100"/>
              </a:lnTo>
              <a:lnTo>
                <a:pt x="1" y="99"/>
              </a:lnTo>
              <a:lnTo>
                <a:pt x="1" y="97"/>
              </a:lnTo>
              <a:lnTo>
                <a:pt x="1" y="96"/>
              </a:lnTo>
              <a:lnTo>
                <a:pt x="1" y="95"/>
              </a:lnTo>
              <a:lnTo>
                <a:pt x="1" y="94"/>
              </a:lnTo>
              <a:lnTo>
                <a:pt x="1" y="93"/>
              </a:lnTo>
              <a:lnTo>
                <a:pt x="1" y="91"/>
              </a:lnTo>
              <a:lnTo>
                <a:pt x="0" y="90"/>
              </a:lnTo>
              <a:lnTo>
                <a:pt x="0" y="89"/>
              </a:lnTo>
              <a:lnTo>
                <a:pt x="1" y="88"/>
              </a:lnTo>
              <a:lnTo>
                <a:pt x="2" y="87"/>
              </a:lnTo>
              <a:lnTo>
                <a:pt x="2" y="85"/>
              </a:lnTo>
              <a:lnTo>
                <a:pt x="3" y="85"/>
              </a:lnTo>
              <a:lnTo>
                <a:pt x="5" y="84"/>
              </a:lnTo>
              <a:lnTo>
                <a:pt x="5" y="83"/>
              </a:lnTo>
              <a:lnTo>
                <a:pt x="5" y="82"/>
              </a:lnTo>
              <a:lnTo>
                <a:pt x="5" y="80"/>
              </a:lnTo>
              <a:lnTo>
                <a:pt x="5" y="79"/>
              </a:lnTo>
              <a:lnTo>
                <a:pt x="5" y="78"/>
              </a:lnTo>
              <a:lnTo>
                <a:pt x="6" y="77"/>
              </a:lnTo>
              <a:lnTo>
                <a:pt x="7" y="76"/>
              </a:lnTo>
              <a:lnTo>
                <a:pt x="8" y="75"/>
              </a:lnTo>
              <a:lnTo>
                <a:pt x="9" y="73"/>
              </a:lnTo>
              <a:lnTo>
                <a:pt x="9" y="72"/>
              </a:lnTo>
              <a:lnTo>
                <a:pt x="10" y="71"/>
              </a:lnTo>
              <a:lnTo>
                <a:pt x="10" y="70"/>
              </a:lnTo>
              <a:lnTo>
                <a:pt x="10" y="69"/>
              </a:lnTo>
              <a:lnTo>
                <a:pt x="10" y="67"/>
              </a:lnTo>
              <a:lnTo>
                <a:pt x="10" y="66"/>
              </a:lnTo>
              <a:lnTo>
                <a:pt x="11" y="65"/>
              </a:lnTo>
              <a:lnTo>
                <a:pt x="12" y="64"/>
              </a:lnTo>
              <a:lnTo>
                <a:pt x="12" y="63"/>
              </a:lnTo>
              <a:lnTo>
                <a:pt x="13" y="63"/>
              </a:lnTo>
              <a:lnTo>
                <a:pt x="14" y="61"/>
              </a:lnTo>
              <a:lnTo>
                <a:pt x="15" y="61"/>
              </a:lnTo>
              <a:lnTo>
                <a:pt x="16" y="60"/>
              </a:lnTo>
              <a:lnTo>
                <a:pt x="17" y="60"/>
              </a:lnTo>
              <a:lnTo>
                <a:pt x="18" y="58"/>
              </a:lnTo>
              <a:lnTo>
                <a:pt x="19" y="57"/>
              </a:lnTo>
              <a:lnTo>
                <a:pt x="19" y="56"/>
              </a:lnTo>
              <a:lnTo>
                <a:pt x="19" y="55"/>
              </a:lnTo>
              <a:lnTo>
                <a:pt x="20" y="54"/>
              </a:lnTo>
              <a:lnTo>
                <a:pt x="20" y="53"/>
              </a:lnTo>
              <a:lnTo>
                <a:pt x="21" y="51"/>
              </a:lnTo>
              <a:lnTo>
                <a:pt x="21" y="50"/>
              </a:lnTo>
              <a:lnTo>
                <a:pt x="21" y="49"/>
              </a:lnTo>
              <a:lnTo>
                <a:pt x="21" y="48"/>
              </a:lnTo>
              <a:lnTo>
                <a:pt x="21" y="47"/>
              </a:lnTo>
              <a:lnTo>
                <a:pt x="21" y="46"/>
              </a:lnTo>
              <a:lnTo>
                <a:pt x="21" y="44"/>
              </a:lnTo>
              <a:lnTo>
                <a:pt x="22" y="43"/>
              </a:lnTo>
              <a:lnTo>
                <a:pt x="22" y="42"/>
              </a:lnTo>
              <a:lnTo>
                <a:pt x="22" y="41"/>
              </a:lnTo>
              <a:lnTo>
                <a:pt x="22" y="40"/>
              </a:lnTo>
              <a:lnTo>
                <a:pt x="22" y="38"/>
              </a:lnTo>
              <a:lnTo>
                <a:pt x="23" y="37"/>
              </a:lnTo>
              <a:lnTo>
                <a:pt x="24" y="36"/>
              </a:lnTo>
              <a:lnTo>
                <a:pt x="24" y="34"/>
              </a:lnTo>
              <a:lnTo>
                <a:pt x="23" y="33"/>
              </a:lnTo>
              <a:lnTo>
                <a:pt x="24" y="34"/>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4</xdr:col>
      <xdr:colOff>967183</xdr:colOff>
      <xdr:row>58</xdr:row>
      <xdr:rowOff>21020</xdr:rowOff>
    </xdr:from>
    <xdr:to>
      <xdr:col>4</xdr:col>
      <xdr:colOff>1145436</xdr:colOff>
      <xdr:row>59</xdr:row>
      <xdr:rowOff>39813</xdr:rowOff>
    </xdr:to>
    <xdr:sp macro="" textlink="">
      <xdr:nvSpPr>
        <xdr:cNvPr id="35" name="Freeform 108">
          <a:extLst>
            <a:ext uri="{FF2B5EF4-FFF2-40B4-BE49-F238E27FC236}">
              <a16:creationId xmlns:a16="http://schemas.microsoft.com/office/drawing/2014/main" id="{AB23DC46-5533-4DAF-8B1E-E202C441C58C}"/>
            </a:ext>
          </a:extLst>
        </xdr:cNvPr>
        <xdr:cNvSpPr>
          <a:spLocks noChangeAspect="1"/>
        </xdr:cNvSpPr>
      </xdr:nvSpPr>
      <xdr:spPr bwMode="gray">
        <a:xfrm>
          <a:off x="4697808" y="10355645"/>
          <a:ext cx="181428" cy="180718"/>
        </a:xfrm>
        <a:custGeom>
          <a:avLst/>
          <a:gdLst>
            <a:gd name="T0" fmla="*/ 40 w 21"/>
            <a:gd name="T1" fmla="*/ 0 h 23"/>
            <a:gd name="T2" fmla="*/ 17 w 21"/>
            <a:gd name="T3" fmla="*/ 51 h 23"/>
            <a:gd name="T4" fmla="*/ 0 w 21"/>
            <a:gd name="T5" fmla="*/ 51 h 23"/>
            <a:gd name="T6" fmla="*/ 0 w 21"/>
            <a:gd name="T7" fmla="*/ 90 h 23"/>
            <a:gd name="T8" fmla="*/ 28 w 21"/>
            <a:gd name="T9" fmla="*/ 113 h 23"/>
            <a:gd name="T10" fmla="*/ 68 w 21"/>
            <a:gd name="T11" fmla="*/ 130 h 23"/>
            <a:gd name="T12" fmla="*/ 79 w 21"/>
            <a:gd name="T13" fmla="*/ 107 h 23"/>
            <a:gd name="T14" fmla="*/ 119 w 21"/>
            <a:gd name="T15" fmla="*/ 62 h 23"/>
            <a:gd name="T16" fmla="*/ 85 w 21"/>
            <a:gd name="T17" fmla="*/ 28 h 23"/>
            <a:gd name="T18" fmla="*/ 51 w 21"/>
            <a:gd name="T19" fmla="*/ 6 h 23"/>
            <a:gd name="T20" fmla="*/ 40 w 21"/>
            <a:gd name="T21" fmla="*/ 0 h 23"/>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21" h="23">
              <a:moveTo>
                <a:pt x="7" y="0"/>
              </a:moveTo>
              <a:lnTo>
                <a:pt x="3" y="9"/>
              </a:lnTo>
              <a:lnTo>
                <a:pt x="0" y="9"/>
              </a:lnTo>
              <a:lnTo>
                <a:pt x="0" y="16"/>
              </a:lnTo>
              <a:lnTo>
                <a:pt x="5" y="20"/>
              </a:lnTo>
              <a:lnTo>
                <a:pt x="12" y="23"/>
              </a:lnTo>
              <a:lnTo>
                <a:pt x="14" y="19"/>
              </a:lnTo>
              <a:lnTo>
                <a:pt x="21" y="11"/>
              </a:lnTo>
              <a:lnTo>
                <a:pt x="15" y="5"/>
              </a:lnTo>
              <a:lnTo>
                <a:pt x="9" y="1"/>
              </a:lnTo>
              <a:lnTo>
                <a:pt x="7" y="0"/>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4</xdr:col>
      <xdr:colOff>592312</xdr:colOff>
      <xdr:row>64</xdr:row>
      <xdr:rowOff>162919</xdr:rowOff>
    </xdr:from>
    <xdr:to>
      <xdr:col>4</xdr:col>
      <xdr:colOff>881411</xdr:colOff>
      <xdr:row>67</xdr:row>
      <xdr:rowOff>86239</xdr:rowOff>
    </xdr:to>
    <xdr:sp macro="" textlink="">
      <xdr:nvSpPr>
        <xdr:cNvPr id="36" name="Freeform 109">
          <a:extLst>
            <a:ext uri="{FF2B5EF4-FFF2-40B4-BE49-F238E27FC236}">
              <a16:creationId xmlns:a16="http://schemas.microsoft.com/office/drawing/2014/main" id="{BC7AB50F-7062-444C-B8DC-51BE0A12041F}"/>
            </a:ext>
          </a:extLst>
        </xdr:cNvPr>
        <xdr:cNvSpPr>
          <a:spLocks noChangeAspect="1"/>
        </xdr:cNvSpPr>
      </xdr:nvSpPr>
      <xdr:spPr bwMode="gray">
        <a:xfrm>
          <a:off x="4326112" y="11465919"/>
          <a:ext cx="292274" cy="409095"/>
        </a:xfrm>
        <a:custGeom>
          <a:avLst/>
          <a:gdLst>
            <a:gd name="T0" fmla="*/ 79 w 34"/>
            <a:gd name="T1" fmla="*/ 284 h 52"/>
            <a:gd name="T2" fmla="*/ 108 w 34"/>
            <a:gd name="T3" fmla="*/ 267 h 52"/>
            <a:gd name="T4" fmla="*/ 125 w 34"/>
            <a:gd name="T5" fmla="*/ 244 h 52"/>
            <a:gd name="T6" fmla="*/ 125 w 34"/>
            <a:gd name="T7" fmla="*/ 221 h 52"/>
            <a:gd name="T8" fmla="*/ 136 w 34"/>
            <a:gd name="T9" fmla="*/ 199 h 52"/>
            <a:gd name="T10" fmla="*/ 153 w 34"/>
            <a:gd name="T11" fmla="*/ 176 h 52"/>
            <a:gd name="T12" fmla="*/ 170 w 34"/>
            <a:gd name="T13" fmla="*/ 165 h 52"/>
            <a:gd name="T14" fmla="*/ 187 w 34"/>
            <a:gd name="T15" fmla="*/ 142 h 52"/>
            <a:gd name="T16" fmla="*/ 176 w 34"/>
            <a:gd name="T17" fmla="*/ 113 h 52"/>
            <a:gd name="T18" fmla="*/ 176 w 34"/>
            <a:gd name="T19" fmla="*/ 96 h 52"/>
            <a:gd name="T20" fmla="*/ 176 w 34"/>
            <a:gd name="T21" fmla="*/ 68 h 52"/>
            <a:gd name="T22" fmla="*/ 187 w 34"/>
            <a:gd name="T23" fmla="*/ 45 h 52"/>
            <a:gd name="T24" fmla="*/ 193 w 34"/>
            <a:gd name="T25" fmla="*/ 45 h 52"/>
            <a:gd name="T26" fmla="*/ 170 w 34"/>
            <a:gd name="T27" fmla="*/ 23 h 52"/>
            <a:gd name="T28" fmla="*/ 159 w 34"/>
            <a:gd name="T29" fmla="*/ 0 h 52"/>
            <a:gd name="T30" fmla="*/ 148 w 34"/>
            <a:gd name="T31" fmla="*/ 0 h 52"/>
            <a:gd name="T32" fmla="*/ 153 w 34"/>
            <a:gd name="T33" fmla="*/ 0 h 52"/>
            <a:gd name="T34" fmla="*/ 136 w 34"/>
            <a:gd name="T35" fmla="*/ 0 h 52"/>
            <a:gd name="T36" fmla="*/ 119 w 34"/>
            <a:gd name="T37" fmla="*/ 0 h 52"/>
            <a:gd name="T38" fmla="*/ 97 w 34"/>
            <a:gd name="T39" fmla="*/ 6 h 52"/>
            <a:gd name="T40" fmla="*/ 85 w 34"/>
            <a:gd name="T41" fmla="*/ 34 h 52"/>
            <a:gd name="T42" fmla="*/ 85 w 34"/>
            <a:gd name="T43" fmla="*/ 51 h 52"/>
            <a:gd name="T44" fmla="*/ 85 w 34"/>
            <a:gd name="T45" fmla="*/ 79 h 52"/>
            <a:gd name="T46" fmla="*/ 85 w 34"/>
            <a:gd name="T47" fmla="*/ 102 h 52"/>
            <a:gd name="T48" fmla="*/ 85 w 34"/>
            <a:gd name="T49" fmla="*/ 130 h 52"/>
            <a:gd name="T50" fmla="*/ 79 w 34"/>
            <a:gd name="T51" fmla="*/ 148 h 52"/>
            <a:gd name="T52" fmla="*/ 62 w 34"/>
            <a:gd name="T53" fmla="*/ 165 h 52"/>
            <a:gd name="T54" fmla="*/ 51 w 34"/>
            <a:gd name="T55" fmla="*/ 187 h 52"/>
            <a:gd name="T56" fmla="*/ 34 w 34"/>
            <a:gd name="T57" fmla="*/ 210 h 52"/>
            <a:gd name="T58" fmla="*/ 11 w 34"/>
            <a:gd name="T59" fmla="*/ 199 h 52"/>
            <a:gd name="T60" fmla="*/ 0 w 34"/>
            <a:gd name="T61" fmla="*/ 221 h 52"/>
            <a:gd name="T62" fmla="*/ 0 w 34"/>
            <a:gd name="T63" fmla="*/ 244 h 52"/>
            <a:gd name="T64" fmla="*/ 0 w 34"/>
            <a:gd name="T65" fmla="*/ 261 h 52"/>
            <a:gd name="T66" fmla="*/ 6 w 34"/>
            <a:gd name="T67" fmla="*/ 284 h 52"/>
            <a:gd name="T68" fmla="*/ 34 w 34"/>
            <a:gd name="T69" fmla="*/ 295 h 52"/>
            <a:gd name="T70" fmla="*/ 51 w 34"/>
            <a:gd name="T71" fmla="*/ 295 h 52"/>
            <a:gd name="T72" fmla="*/ 62 w 34"/>
            <a:gd name="T73" fmla="*/ 295 h 52"/>
            <a:gd name="T74" fmla="*/ 68 w 34"/>
            <a:gd name="T75" fmla="*/ 295 h 52"/>
            <a:gd name="T76" fmla="*/ 79 w 34"/>
            <a:gd name="T77" fmla="*/ 284 h 52"/>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0" t="0" r="r" b="b"/>
          <a:pathLst>
            <a:path w="34" h="52">
              <a:moveTo>
                <a:pt x="14" y="50"/>
              </a:moveTo>
              <a:lnTo>
                <a:pt x="19" y="47"/>
              </a:lnTo>
              <a:lnTo>
                <a:pt x="22" y="43"/>
              </a:lnTo>
              <a:lnTo>
                <a:pt x="22" y="39"/>
              </a:lnTo>
              <a:lnTo>
                <a:pt x="24" y="35"/>
              </a:lnTo>
              <a:lnTo>
                <a:pt x="27" y="31"/>
              </a:lnTo>
              <a:lnTo>
                <a:pt x="30" y="29"/>
              </a:lnTo>
              <a:lnTo>
                <a:pt x="33" y="25"/>
              </a:lnTo>
              <a:lnTo>
                <a:pt x="31" y="20"/>
              </a:lnTo>
              <a:lnTo>
                <a:pt x="31" y="17"/>
              </a:lnTo>
              <a:lnTo>
                <a:pt x="31" y="12"/>
              </a:lnTo>
              <a:lnTo>
                <a:pt x="33" y="8"/>
              </a:lnTo>
              <a:lnTo>
                <a:pt x="34" y="8"/>
              </a:lnTo>
              <a:lnTo>
                <a:pt x="30" y="4"/>
              </a:lnTo>
              <a:lnTo>
                <a:pt x="28" y="0"/>
              </a:lnTo>
              <a:lnTo>
                <a:pt x="26" y="0"/>
              </a:lnTo>
              <a:lnTo>
                <a:pt x="27" y="0"/>
              </a:lnTo>
              <a:lnTo>
                <a:pt x="24" y="0"/>
              </a:lnTo>
              <a:lnTo>
                <a:pt x="21" y="0"/>
              </a:lnTo>
              <a:lnTo>
                <a:pt x="17" y="1"/>
              </a:lnTo>
              <a:lnTo>
                <a:pt x="15" y="6"/>
              </a:lnTo>
              <a:lnTo>
                <a:pt x="15" y="9"/>
              </a:lnTo>
              <a:lnTo>
                <a:pt x="15" y="14"/>
              </a:lnTo>
              <a:lnTo>
                <a:pt x="15" y="18"/>
              </a:lnTo>
              <a:lnTo>
                <a:pt x="15" y="23"/>
              </a:lnTo>
              <a:lnTo>
                <a:pt x="14" y="26"/>
              </a:lnTo>
              <a:lnTo>
                <a:pt x="11" y="29"/>
              </a:lnTo>
              <a:lnTo>
                <a:pt x="9" y="33"/>
              </a:lnTo>
              <a:lnTo>
                <a:pt x="6" y="37"/>
              </a:lnTo>
              <a:lnTo>
                <a:pt x="2" y="35"/>
              </a:lnTo>
              <a:lnTo>
                <a:pt x="0" y="39"/>
              </a:lnTo>
              <a:lnTo>
                <a:pt x="0" y="43"/>
              </a:lnTo>
              <a:lnTo>
                <a:pt x="0" y="46"/>
              </a:lnTo>
              <a:lnTo>
                <a:pt x="1" y="50"/>
              </a:lnTo>
              <a:lnTo>
                <a:pt x="6" y="52"/>
              </a:lnTo>
              <a:lnTo>
                <a:pt x="9" y="52"/>
              </a:lnTo>
              <a:lnTo>
                <a:pt x="11" y="52"/>
              </a:lnTo>
              <a:lnTo>
                <a:pt x="12" y="52"/>
              </a:lnTo>
              <a:lnTo>
                <a:pt x="14" y="50"/>
              </a:lnTo>
              <a:close/>
            </a:path>
          </a:pathLst>
        </a:custGeom>
        <a:solidFill>
          <a:srgbClr val="E1E3E1"/>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816812</xdr:colOff>
      <xdr:row>62</xdr:row>
      <xdr:rowOff>38987</xdr:rowOff>
    </xdr:from>
    <xdr:to>
      <xdr:col>3</xdr:col>
      <xdr:colOff>938631</xdr:colOff>
      <xdr:row>62</xdr:row>
      <xdr:rowOff>111814</xdr:rowOff>
    </xdr:to>
    <xdr:sp macro="" textlink="">
      <xdr:nvSpPr>
        <xdr:cNvPr id="37" name="Retângulo 113">
          <a:extLst>
            <a:ext uri="{FF2B5EF4-FFF2-40B4-BE49-F238E27FC236}">
              <a16:creationId xmlns:a16="http://schemas.microsoft.com/office/drawing/2014/main" id="{3E047073-B654-4D30-B994-57007F58ECC9}"/>
            </a:ext>
          </a:extLst>
        </xdr:cNvPr>
        <xdr:cNvSpPr/>
      </xdr:nvSpPr>
      <xdr:spPr bwMode="auto">
        <a:xfrm>
          <a:off x="3379037" y="11021312"/>
          <a:ext cx="124994" cy="72827"/>
        </a:xfrm>
        <a:prstGeom prst="rect">
          <a:avLst/>
        </a:prstGeom>
        <a:solidFill>
          <a:schemeClr val="bg1">
            <a:lumMod val="85000"/>
          </a:schemeClr>
        </a:solidFill>
        <a:ln w="9525">
          <a:solidFill>
            <a:schemeClr val="bg1"/>
          </a:solidFill>
          <a:round/>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16437</xdr:colOff>
      <xdr:row>51</xdr:row>
      <xdr:rowOff>154363</xdr:rowOff>
    </xdr:from>
    <xdr:to>
      <xdr:col>3</xdr:col>
      <xdr:colOff>1098476</xdr:colOff>
      <xdr:row>54</xdr:row>
      <xdr:rowOff>33837</xdr:rowOff>
    </xdr:to>
    <xdr:sp macro="" textlink="">
      <xdr:nvSpPr>
        <xdr:cNvPr id="38" name="CaixaDeTexto 43">
          <a:extLst>
            <a:ext uri="{FF2B5EF4-FFF2-40B4-BE49-F238E27FC236}">
              <a16:creationId xmlns:a16="http://schemas.microsoft.com/office/drawing/2014/main" id="{1BD37373-DD0B-44E3-8075-6978C7E02197}"/>
            </a:ext>
          </a:extLst>
        </xdr:cNvPr>
        <xdr:cNvSpPr txBox="1"/>
      </xdr:nvSpPr>
      <xdr:spPr>
        <a:xfrm>
          <a:off x="2578662" y="9355513"/>
          <a:ext cx="1078864" cy="3620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Salto do Rio Verdinho</a:t>
          </a:r>
        </a:p>
      </xdr:txBody>
    </xdr:sp>
    <xdr:clientData/>
  </xdr:twoCellAnchor>
  <xdr:twoCellAnchor editAs="oneCell">
    <xdr:from>
      <xdr:col>3</xdr:col>
      <xdr:colOff>99886</xdr:colOff>
      <xdr:row>54</xdr:row>
      <xdr:rowOff>7878</xdr:rowOff>
    </xdr:from>
    <xdr:to>
      <xdr:col>4</xdr:col>
      <xdr:colOff>7997</xdr:colOff>
      <xdr:row>58</xdr:row>
      <xdr:rowOff>86319</xdr:rowOff>
    </xdr:to>
    <xdr:pic>
      <xdr:nvPicPr>
        <xdr:cNvPr id="39" name="Imagem 115">
          <a:extLst>
            <a:ext uri="{FF2B5EF4-FFF2-40B4-BE49-F238E27FC236}">
              <a16:creationId xmlns:a16="http://schemas.microsoft.com/office/drawing/2014/main" id="{35127367-2360-47DD-B158-742C848A3C49}"/>
            </a:ext>
          </a:extLst>
        </xdr:cNvPr>
        <xdr:cNvPicPr>
          <a:picLocks/>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2665286" y="9697978"/>
          <a:ext cx="1076511" cy="722966"/>
        </a:xfrm>
        <a:prstGeom prst="rect">
          <a:avLst/>
        </a:prstGeom>
      </xdr:spPr>
    </xdr:pic>
    <xdr:clientData/>
  </xdr:twoCellAnchor>
  <xdr:twoCellAnchor>
    <xdr:from>
      <xdr:col>3</xdr:col>
      <xdr:colOff>99232</xdr:colOff>
      <xdr:row>57</xdr:row>
      <xdr:rowOff>29289</xdr:rowOff>
    </xdr:from>
    <xdr:to>
      <xdr:col>3</xdr:col>
      <xdr:colOff>711232</xdr:colOff>
      <xdr:row>58</xdr:row>
      <xdr:rowOff>36427</xdr:rowOff>
    </xdr:to>
    <xdr:sp macro="" textlink="">
      <xdr:nvSpPr>
        <xdr:cNvPr id="40" name="Retângulo 116">
          <a:extLst>
            <a:ext uri="{FF2B5EF4-FFF2-40B4-BE49-F238E27FC236}">
              <a16:creationId xmlns:a16="http://schemas.microsoft.com/office/drawing/2014/main" id="{9580C763-54B7-4C67-BD25-15E0927CF098}"/>
            </a:ext>
          </a:extLst>
        </xdr:cNvPr>
        <xdr:cNvSpPr/>
      </xdr:nvSpPr>
      <xdr:spPr>
        <a:xfrm>
          <a:off x="2664632" y="10198814"/>
          <a:ext cx="612000" cy="172238"/>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0070C0"/>
              </a:solidFill>
              <a:latin typeface="Votorantim Sans" panose="02010503030202050203" pitchFamily="2" charset="0"/>
            </a:rPr>
            <a:t>93</a:t>
          </a:r>
          <a:r>
            <a:rPr lang="pt-BR" sz="800">
              <a:solidFill>
                <a:srgbClr val="0070C0"/>
              </a:solidFill>
              <a:latin typeface="Votorantim Sans" panose="02010503030202050203" pitchFamily="2" charset="0"/>
            </a:rPr>
            <a:t> </a:t>
          </a:r>
          <a:r>
            <a:rPr lang="pt-BR" sz="800" b="1">
              <a:solidFill>
                <a:srgbClr val="0070C0"/>
              </a:solidFill>
              <a:latin typeface="Votorantim Sans" panose="02010503030202050203" pitchFamily="2" charset="0"/>
            </a:rPr>
            <a:t>MW</a:t>
          </a:r>
          <a:endParaRPr lang="en-US" sz="800" b="1">
            <a:solidFill>
              <a:srgbClr val="0070C0"/>
            </a:solidFill>
            <a:latin typeface="Votorantim Sans" panose="02010503030202050203" pitchFamily="2" charset="0"/>
          </a:endParaRPr>
        </a:p>
      </xdr:txBody>
    </xdr:sp>
    <xdr:clientData/>
  </xdr:twoCellAnchor>
  <xdr:twoCellAnchor>
    <xdr:from>
      <xdr:col>4</xdr:col>
      <xdr:colOff>101496</xdr:colOff>
      <xdr:row>45</xdr:row>
      <xdr:rowOff>21325</xdr:rowOff>
    </xdr:from>
    <xdr:to>
      <xdr:col>4</xdr:col>
      <xdr:colOff>985071</xdr:colOff>
      <xdr:row>46</xdr:row>
      <xdr:rowOff>84335</xdr:rowOff>
    </xdr:to>
    <xdr:sp macro="" textlink="">
      <xdr:nvSpPr>
        <xdr:cNvPr id="41" name="Retângulo 117">
          <a:extLst>
            <a:ext uri="{FF2B5EF4-FFF2-40B4-BE49-F238E27FC236}">
              <a16:creationId xmlns:a16="http://schemas.microsoft.com/office/drawing/2014/main" id="{CB9F52AC-7765-41A9-9DBB-9B0326495528}"/>
            </a:ext>
          </a:extLst>
        </xdr:cNvPr>
        <xdr:cNvSpPr/>
      </xdr:nvSpPr>
      <xdr:spPr>
        <a:xfrm>
          <a:off x="3838471" y="8250925"/>
          <a:ext cx="877225" cy="22811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Sobragi</a:t>
          </a:r>
        </a:p>
      </xdr:txBody>
    </xdr:sp>
    <xdr:clientData/>
  </xdr:twoCellAnchor>
  <xdr:twoCellAnchor editAs="oneCell">
    <xdr:from>
      <xdr:col>4</xdr:col>
      <xdr:colOff>178850</xdr:colOff>
      <xdr:row>46</xdr:row>
      <xdr:rowOff>68350</xdr:rowOff>
    </xdr:from>
    <xdr:to>
      <xdr:col>5</xdr:col>
      <xdr:colOff>29811</xdr:colOff>
      <xdr:row>50</xdr:row>
      <xdr:rowOff>140441</xdr:rowOff>
    </xdr:to>
    <xdr:pic>
      <xdr:nvPicPr>
        <xdr:cNvPr id="42" name="Imagem 118">
          <a:extLst>
            <a:ext uri="{FF2B5EF4-FFF2-40B4-BE49-F238E27FC236}">
              <a16:creationId xmlns:a16="http://schemas.microsoft.com/office/drawing/2014/main" id="{CC4FD8D0-BFB9-4F06-98E5-C9FAEF25AF93}"/>
            </a:ext>
          </a:extLst>
        </xdr:cNvPr>
        <xdr:cNvPicPr preferRelativeResize="0">
          <a:picLocks/>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915825" y="8456700"/>
          <a:ext cx="1019361" cy="722966"/>
        </a:xfrm>
        <a:prstGeom prst="rect">
          <a:avLst/>
        </a:prstGeom>
      </xdr:spPr>
    </xdr:pic>
    <xdr:clientData/>
  </xdr:twoCellAnchor>
  <xdr:twoCellAnchor>
    <xdr:from>
      <xdr:col>4</xdr:col>
      <xdr:colOff>570433</xdr:colOff>
      <xdr:row>49</xdr:row>
      <xdr:rowOff>89763</xdr:rowOff>
    </xdr:from>
    <xdr:to>
      <xdr:col>6</xdr:col>
      <xdr:colOff>71183</xdr:colOff>
      <xdr:row>50</xdr:row>
      <xdr:rowOff>96901</xdr:rowOff>
    </xdr:to>
    <xdr:sp macro="" textlink="">
      <xdr:nvSpPr>
        <xdr:cNvPr id="43" name="Retângulo 119">
          <a:extLst>
            <a:ext uri="{FF2B5EF4-FFF2-40B4-BE49-F238E27FC236}">
              <a16:creationId xmlns:a16="http://schemas.microsoft.com/office/drawing/2014/main" id="{2BB28C03-3EE6-4259-B822-95A2304AA608}"/>
            </a:ext>
          </a:extLst>
        </xdr:cNvPr>
        <xdr:cNvSpPr/>
      </xdr:nvSpPr>
      <xdr:spPr>
        <a:xfrm>
          <a:off x="4304233" y="8963888"/>
          <a:ext cx="1840725" cy="172238"/>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0070C0"/>
              </a:solidFill>
              <a:latin typeface="Votorantim Sans" panose="02010503030202050203" pitchFamily="2" charset="0"/>
            </a:rPr>
            <a:t>60 MW</a:t>
          </a:r>
          <a:endParaRPr lang="en-US" sz="800" b="1">
            <a:solidFill>
              <a:srgbClr val="0070C0"/>
            </a:solidFill>
            <a:latin typeface="Votorantim Sans" panose="02010503030202050203" pitchFamily="2" charset="0"/>
          </a:endParaRPr>
        </a:p>
      </xdr:txBody>
    </xdr:sp>
    <xdr:clientData/>
  </xdr:twoCellAnchor>
  <xdr:twoCellAnchor>
    <xdr:from>
      <xdr:col>1</xdr:col>
      <xdr:colOff>1025207</xdr:colOff>
      <xdr:row>52</xdr:row>
      <xdr:rowOff>101408</xdr:rowOff>
    </xdr:from>
    <xdr:to>
      <xdr:col>2</xdr:col>
      <xdr:colOff>205357</xdr:colOff>
      <xdr:row>54</xdr:row>
      <xdr:rowOff>5668</xdr:rowOff>
    </xdr:to>
    <xdr:sp macro="" textlink="">
      <xdr:nvSpPr>
        <xdr:cNvPr id="44" name="Retângulo 120">
          <a:extLst>
            <a:ext uri="{FF2B5EF4-FFF2-40B4-BE49-F238E27FC236}">
              <a16:creationId xmlns:a16="http://schemas.microsoft.com/office/drawing/2014/main" id="{FEA6F6DC-168B-4D30-8D3E-16D32EA8768C}"/>
            </a:ext>
          </a:extLst>
        </xdr:cNvPr>
        <xdr:cNvSpPr/>
      </xdr:nvSpPr>
      <xdr:spPr>
        <a:xfrm>
          <a:off x="1174432" y="9467658"/>
          <a:ext cx="923225" cy="22811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Piraju</a:t>
          </a:r>
        </a:p>
      </xdr:txBody>
    </xdr:sp>
    <xdr:clientData/>
  </xdr:twoCellAnchor>
  <xdr:twoCellAnchor editAs="oneCell">
    <xdr:from>
      <xdr:col>1</xdr:col>
      <xdr:colOff>1088504</xdr:colOff>
      <xdr:row>59</xdr:row>
      <xdr:rowOff>29394</xdr:rowOff>
    </xdr:from>
    <xdr:to>
      <xdr:col>1</xdr:col>
      <xdr:colOff>2189710</xdr:colOff>
      <xdr:row>63</xdr:row>
      <xdr:rowOff>107835</xdr:rowOff>
    </xdr:to>
    <xdr:pic>
      <xdr:nvPicPr>
        <xdr:cNvPr id="45" name="Imagem 121">
          <a:extLst>
            <a:ext uri="{FF2B5EF4-FFF2-40B4-BE49-F238E27FC236}">
              <a16:creationId xmlns:a16="http://schemas.microsoft.com/office/drawing/2014/main" id="{AAAA968C-7864-4388-8ED8-B94B5EC7E856}"/>
            </a:ext>
          </a:extLst>
        </xdr:cNvPr>
        <xdr:cNvPicPr preferRelativeResize="0">
          <a:picLocks/>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240904" y="10522769"/>
          <a:ext cx="1094503" cy="729316"/>
        </a:xfrm>
        <a:prstGeom prst="rect">
          <a:avLst/>
        </a:prstGeom>
      </xdr:spPr>
    </xdr:pic>
    <xdr:clientData/>
  </xdr:twoCellAnchor>
  <xdr:twoCellAnchor>
    <xdr:from>
      <xdr:col>1</xdr:col>
      <xdr:colOff>1010981</xdr:colOff>
      <xdr:row>57</xdr:row>
      <xdr:rowOff>160894</xdr:rowOff>
    </xdr:from>
    <xdr:to>
      <xdr:col>2</xdr:col>
      <xdr:colOff>375475</xdr:colOff>
      <xdr:row>59</xdr:row>
      <xdr:rowOff>65155</xdr:rowOff>
    </xdr:to>
    <xdr:sp macro="" textlink="">
      <xdr:nvSpPr>
        <xdr:cNvPr id="46" name="Retângulo 122">
          <a:extLst>
            <a:ext uri="{FF2B5EF4-FFF2-40B4-BE49-F238E27FC236}">
              <a16:creationId xmlns:a16="http://schemas.microsoft.com/office/drawing/2014/main" id="{4712AA22-0F33-464C-AB68-0687ACC67213}"/>
            </a:ext>
          </a:extLst>
        </xdr:cNvPr>
        <xdr:cNvSpPr/>
      </xdr:nvSpPr>
      <xdr:spPr>
        <a:xfrm>
          <a:off x="1163381" y="10336769"/>
          <a:ext cx="1104394" cy="22811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Ourinhos</a:t>
          </a:r>
        </a:p>
      </xdr:txBody>
    </xdr:sp>
    <xdr:clientData/>
  </xdr:twoCellAnchor>
  <xdr:twoCellAnchor>
    <xdr:from>
      <xdr:col>1</xdr:col>
      <xdr:colOff>1098748</xdr:colOff>
      <xdr:row>62</xdr:row>
      <xdr:rowOff>47360</xdr:rowOff>
    </xdr:from>
    <xdr:to>
      <xdr:col>2</xdr:col>
      <xdr:colOff>105105</xdr:colOff>
      <xdr:row>63</xdr:row>
      <xdr:rowOff>54497</xdr:rowOff>
    </xdr:to>
    <xdr:sp macro="" textlink="">
      <xdr:nvSpPr>
        <xdr:cNvPr id="47" name="Retângulo 123">
          <a:extLst>
            <a:ext uri="{FF2B5EF4-FFF2-40B4-BE49-F238E27FC236}">
              <a16:creationId xmlns:a16="http://schemas.microsoft.com/office/drawing/2014/main" id="{24F82EC1-D985-4472-B464-B7B49E0B9B69}"/>
            </a:ext>
          </a:extLst>
        </xdr:cNvPr>
        <xdr:cNvSpPr/>
      </xdr:nvSpPr>
      <xdr:spPr>
        <a:xfrm>
          <a:off x="1247973" y="11032860"/>
          <a:ext cx="749432" cy="16588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0070C0"/>
              </a:solidFill>
              <a:latin typeface="Votorantim Sans" panose="02010503030202050203" pitchFamily="2" charset="0"/>
            </a:rPr>
            <a:t>44 MW</a:t>
          </a:r>
          <a:endParaRPr lang="en-US" sz="800" b="1">
            <a:solidFill>
              <a:srgbClr val="0070C0"/>
            </a:solidFill>
            <a:latin typeface="Votorantim Sans" panose="02010503030202050203" pitchFamily="2" charset="0"/>
          </a:endParaRPr>
        </a:p>
      </xdr:txBody>
    </xdr:sp>
    <xdr:clientData/>
  </xdr:twoCellAnchor>
  <xdr:twoCellAnchor editAs="oneCell">
    <xdr:from>
      <xdr:col>4</xdr:col>
      <xdr:colOff>969873</xdr:colOff>
      <xdr:row>66</xdr:row>
      <xdr:rowOff>15519</xdr:rowOff>
    </xdr:from>
    <xdr:to>
      <xdr:col>5</xdr:col>
      <xdr:colOff>877984</xdr:colOff>
      <xdr:row>70</xdr:row>
      <xdr:rowOff>59036</xdr:rowOff>
    </xdr:to>
    <xdr:pic>
      <xdr:nvPicPr>
        <xdr:cNvPr id="48" name="Imagem 124" descr="FranÃ§a (UHE)">
          <a:extLst>
            <a:ext uri="{FF2B5EF4-FFF2-40B4-BE49-F238E27FC236}">
              <a16:creationId xmlns:a16="http://schemas.microsoft.com/office/drawing/2014/main" id="{264EB14E-DC6C-4899-8E58-F3C224C25538}"/>
            </a:ext>
          </a:extLst>
        </xdr:cNvPr>
        <xdr:cNvPicPr preferRelativeResize="0">
          <a:picLocks/>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bwMode="auto">
        <a:xfrm>
          <a:off x="4703673" y="11642369"/>
          <a:ext cx="1079686" cy="694391"/>
        </a:xfrm>
        <a:prstGeom prst="rect">
          <a:avLst/>
        </a:prstGeom>
        <a:noFill/>
        <a:ln>
          <a:noFill/>
        </a:ln>
      </xdr:spPr>
    </xdr:pic>
    <xdr:clientData/>
  </xdr:twoCellAnchor>
  <xdr:twoCellAnchor>
    <xdr:from>
      <xdr:col>4</xdr:col>
      <xdr:colOff>906126</xdr:colOff>
      <xdr:row>64</xdr:row>
      <xdr:rowOff>162059</xdr:rowOff>
    </xdr:from>
    <xdr:to>
      <xdr:col>6</xdr:col>
      <xdr:colOff>566589</xdr:colOff>
      <xdr:row>66</xdr:row>
      <xdr:rowOff>66320</xdr:rowOff>
    </xdr:to>
    <xdr:sp macro="" textlink="">
      <xdr:nvSpPr>
        <xdr:cNvPr id="49" name="Retângulo 125">
          <a:extLst>
            <a:ext uri="{FF2B5EF4-FFF2-40B4-BE49-F238E27FC236}">
              <a16:creationId xmlns:a16="http://schemas.microsoft.com/office/drawing/2014/main" id="{5285EB2D-0634-47F4-9CC1-C024474EF28F}"/>
            </a:ext>
          </a:extLst>
        </xdr:cNvPr>
        <xdr:cNvSpPr/>
      </xdr:nvSpPr>
      <xdr:spPr>
        <a:xfrm>
          <a:off x="4636751" y="11465059"/>
          <a:ext cx="2003613" cy="23446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França</a:t>
          </a:r>
        </a:p>
      </xdr:txBody>
    </xdr:sp>
    <xdr:clientData/>
  </xdr:twoCellAnchor>
  <xdr:twoCellAnchor>
    <xdr:from>
      <xdr:col>4</xdr:col>
      <xdr:colOff>969873</xdr:colOff>
      <xdr:row>69</xdr:row>
      <xdr:rowOff>8355</xdr:rowOff>
    </xdr:from>
    <xdr:to>
      <xdr:col>6</xdr:col>
      <xdr:colOff>483659</xdr:colOff>
      <xdr:row>70</xdr:row>
      <xdr:rowOff>40813</xdr:rowOff>
    </xdr:to>
    <xdr:sp macro="" textlink="">
      <xdr:nvSpPr>
        <xdr:cNvPr id="50" name="Retângulo 126">
          <a:extLst>
            <a:ext uri="{FF2B5EF4-FFF2-40B4-BE49-F238E27FC236}">
              <a16:creationId xmlns:a16="http://schemas.microsoft.com/office/drawing/2014/main" id="{D78B3917-3CAD-4C35-A09C-253E98FA7900}"/>
            </a:ext>
          </a:extLst>
        </xdr:cNvPr>
        <xdr:cNvSpPr/>
      </xdr:nvSpPr>
      <xdr:spPr>
        <a:xfrm>
          <a:off x="4703673" y="12127330"/>
          <a:ext cx="1860111" cy="191208"/>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07" b="1">
              <a:solidFill>
                <a:srgbClr val="0070C0"/>
              </a:solidFill>
              <a:latin typeface="Votorantim Sans" panose="02010503030202050203" pitchFamily="2" charset="0"/>
            </a:rPr>
            <a:t>29,5 MW</a:t>
          </a:r>
          <a:endParaRPr lang="en-US" sz="707" b="1">
            <a:solidFill>
              <a:srgbClr val="0070C0"/>
            </a:solidFill>
            <a:latin typeface="Votorantim Sans" panose="02010503030202050203" pitchFamily="2" charset="0"/>
          </a:endParaRPr>
        </a:p>
      </xdr:txBody>
    </xdr:sp>
    <xdr:clientData/>
  </xdr:twoCellAnchor>
  <xdr:twoCellAnchor>
    <xdr:from>
      <xdr:col>6</xdr:col>
      <xdr:colOff>774536</xdr:colOff>
      <xdr:row>64</xdr:row>
      <xdr:rowOff>162059</xdr:rowOff>
    </xdr:from>
    <xdr:to>
      <xdr:col>7</xdr:col>
      <xdr:colOff>489500</xdr:colOff>
      <xdr:row>66</xdr:row>
      <xdr:rowOff>66320</xdr:rowOff>
    </xdr:to>
    <xdr:sp macro="" textlink="">
      <xdr:nvSpPr>
        <xdr:cNvPr id="51" name="Retângulo 127">
          <a:extLst>
            <a:ext uri="{FF2B5EF4-FFF2-40B4-BE49-F238E27FC236}">
              <a16:creationId xmlns:a16="http://schemas.microsoft.com/office/drawing/2014/main" id="{04C6EA9F-147F-4010-9D3B-57E1DED99255}"/>
            </a:ext>
          </a:extLst>
        </xdr:cNvPr>
        <xdr:cNvSpPr/>
      </xdr:nvSpPr>
      <xdr:spPr>
        <a:xfrm>
          <a:off x="6848311" y="11465059"/>
          <a:ext cx="886539" cy="23446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Fumaça</a:t>
          </a:r>
        </a:p>
      </xdr:txBody>
    </xdr:sp>
    <xdr:clientData/>
  </xdr:twoCellAnchor>
  <xdr:twoCellAnchor>
    <xdr:from>
      <xdr:col>6</xdr:col>
      <xdr:colOff>849154</xdr:colOff>
      <xdr:row>69</xdr:row>
      <xdr:rowOff>36932</xdr:rowOff>
    </xdr:from>
    <xdr:to>
      <xdr:col>7</xdr:col>
      <xdr:colOff>362939</xdr:colOff>
      <xdr:row>70</xdr:row>
      <xdr:rowOff>44069</xdr:rowOff>
    </xdr:to>
    <xdr:sp macro="" textlink="">
      <xdr:nvSpPr>
        <xdr:cNvPr id="52" name="Retângulo 128">
          <a:extLst>
            <a:ext uri="{FF2B5EF4-FFF2-40B4-BE49-F238E27FC236}">
              <a16:creationId xmlns:a16="http://schemas.microsoft.com/office/drawing/2014/main" id="{98C8AE7B-1D8A-4957-A373-2C9270CFD9C2}"/>
            </a:ext>
          </a:extLst>
        </xdr:cNvPr>
        <xdr:cNvSpPr/>
      </xdr:nvSpPr>
      <xdr:spPr>
        <a:xfrm>
          <a:off x="6922929" y="12152732"/>
          <a:ext cx="688535"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07" b="1">
              <a:solidFill>
                <a:srgbClr val="0070C0"/>
              </a:solidFill>
              <a:latin typeface="Votorantim Sans" panose="02010503030202050203" pitchFamily="2" charset="0"/>
            </a:rPr>
            <a:t>36,4 MW</a:t>
          </a:r>
          <a:endParaRPr lang="en-US" sz="707" b="1">
            <a:solidFill>
              <a:srgbClr val="0070C0"/>
            </a:solidFill>
            <a:latin typeface="Votorantim Sans" panose="02010503030202050203" pitchFamily="2" charset="0"/>
          </a:endParaRPr>
        </a:p>
      </xdr:txBody>
    </xdr:sp>
    <xdr:clientData/>
  </xdr:twoCellAnchor>
  <xdr:twoCellAnchor editAs="oneCell">
    <xdr:from>
      <xdr:col>7</xdr:col>
      <xdr:colOff>752852</xdr:colOff>
      <xdr:row>66</xdr:row>
      <xdr:rowOff>15519</xdr:rowOff>
    </xdr:from>
    <xdr:to>
      <xdr:col>8</xdr:col>
      <xdr:colOff>464112</xdr:colOff>
      <xdr:row>70</xdr:row>
      <xdr:rowOff>59036</xdr:rowOff>
    </xdr:to>
    <xdr:pic>
      <xdr:nvPicPr>
        <xdr:cNvPr id="53" name="Imagem 129">
          <a:extLst>
            <a:ext uri="{FF2B5EF4-FFF2-40B4-BE49-F238E27FC236}">
              <a16:creationId xmlns:a16="http://schemas.microsoft.com/office/drawing/2014/main" id="{6B2C5B46-A50D-43EA-96FE-A5489E7C1CEE}"/>
            </a:ext>
          </a:extLst>
        </xdr:cNvPr>
        <xdr:cNvPicPr preferRelativeResize="0">
          <a:picLocks/>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7998202" y="11642369"/>
          <a:ext cx="1076511" cy="694391"/>
        </a:xfrm>
        <a:prstGeom prst="rect">
          <a:avLst/>
        </a:prstGeom>
      </xdr:spPr>
    </xdr:pic>
    <xdr:clientData/>
  </xdr:twoCellAnchor>
  <xdr:twoCellAnchor>
    <xdr:from>
      <xdr:col>7</xdr:col>
      <xdr:colOff>660220</xdr:colOff>
      <xdr:row>64</xdr:row>
      <xdr:rowOff>162059</xdr:rowOff>
    </xdr:from>
    <xdr:to>
      <xdr:col>8</xdr:col>
      <xdr:colOff>254959</xdr:colOff>
      <xdr:row>66</xdr:row>
      <xdr:rowOff>66320</xdr:rowOff>
    </xdr:to>
    <xdr:sp macro="" textlink="">
      <xdr:nvSpPr>
        <xdr:cNvPr id="54" name="Retângulo 130">
          <a:extLst>
            <a:ext uri="{FF2B5EF4-FFF2-40B4-BE49-F238E27FC236}">
              <a16:creationId xmlns:a16="http://schemas.microsoft.com/office/drawing/2014/main" id="{0F7C6F43-1B18-41E3-B33E-189DCEEFC0A0}"/>
            </a:ext>
          </a:extLst>
        </xdr:cNvPr>
        <xdr:cNvSpPr/>
      </xdr:nvSpPr>
      <xdr:spPr>
        <a:xfrm>
          <a:off x="7905570" y="11465059"/>
          <a:ext cx="772664" cy="23446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Barra</a:t>
          </a:r>
        </a:p>
      </xdr:txBody>
    </xdr:sp>
    <xdr:clientData/>
  </xdr:twoCellAnchor>
  <xdr:twoCellAnchor>
    <xdr:from>
      <xdr:col>7</xdr:col>
      <xdr:colOff>752852</xdr:colOff>
      <xdr:row>69</xdr:row>
      <xdr:rowOff>36932</xdr:rowOff>
    </xdr:from>
    <xdr:to>
      <xdr:col>8</xdr:col>
      <xdr:colOff>266638</xdr:colOff>
      <xdr:row>70</xdr:row>
      <xdr:rowOff>44069</xdr:rowOff>
    </xdr:to>
    <xdr:sp macro="" textlink="">
      <xdr:nvSpPr>
        <xdr:cNvPr id="55" name="Retângulo 131">
          <a:extLst>
            <a:ext uri="{FF2B5EF4-FFF2-40B4-BE49-F238E27FC236}">
              <a16:creationId xmlns:a16="http://schemas.microsoft.com/office/drawing/2014/main" id="{D0FC0E8B-2062-4FD1-9895-5444B335709C}"/>
            </a:ext>
          </a:extLst>
        </xdr:cNvPr>
        <xdr:cNvSpPr/>
      </xdr:nvSpPr>
      <xdr:spPr>
        <a:xfrm>
          <a:off x="7998202" y="12152732"/>
          <a:ext cx="688536"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07" b="1">
              <a:solidFill>
                <a:srgbClr val="0070C0"/>
              </a:solidFill>
              <a:latin typeface="Votorantim Sans" panose="02010503030202050203" pitchFamily="2" charset="0"/>
            </a:rPr>
            <a:t>40,4 MW</a:t>
          </a:r>
          <a:endParaRPr lang="en-US" sz="707" b="1">
            <a:solidFill>
              <a:srgbClr val="0070C0"/>
            </a:solidFill>
            <a:latin typeface="Votorantim Sans" panose="02010503030202050203" pitchFamily="2" charset="0"/>
          </a:endParaRPr>
        </a:p>
      </xdr:txBody>
    </xdr:sp>
    <xdr:clientData/>
  </xdr:twoCellAnchor>
  <xdr:twoCellAnchor editAs="oneCell">
    <xdr:from>
      <xdr:col>8</xdr:col>
      <xdr:colOff>641817</xdr:colOff>
      <xdr:row>66</xdr:row>
      <xdr:rowOff>15519</xdr:rowOff>
    </xdr:from>
    <xdr:to>
      <xdr:col>8</xdr:col>
      <xdr:colOff>1664353</xdr:colOff>
      <xdr:row>70</xdr:row>
      <xdr:rowOff>59036</xdr:rowOff>
    </xdr:to>
    <xdr:pic>
      <xdr:nvPicPr>
        <xdr:cNvPr id="56" name="Imagem 132">
          <a:extLst>
            <a:ext uri="{FF2B5EF4-FFF2-40B4-BE49-F238E27FC236}">
              <a16:creationId xmlns:a16="http://schemas.microsoft.com/office/drawing/2014/main" id="{F99AB507-F3B5-4E83-9C7C-E1ED2009FC16}"/>
            </a:ext>
          </a:extLst>
        </xdr:cNvPr>
        <xdr:cNvPicPr preferRelativeResize="0">
          <a:picLocks/>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9058742" y="11642369"/>
          <a:ext cx="1025711" cy="694391"/>
        </a:xfrm>
        <a:prstGeom prst="rect">
          <a:avLst/>
        </a:prstGeom>
      </xdr:spPr>
    </xdr:pic>
    <xdr:clientData/>
  </xdr:twoCellAnchor>
  <xdr:twoCellAnchor>
    <xdr:from>
      <xdr:col>8</xdr:col>
      <xdr:colOff>576113</xdr:colOff>
      <xdr:row>65</xdr:row>
      <xdr:rowOff>3309</xdr:rowOff>
    </xdr:from>
    <xdr:to>
      <xdr:col>8</xdr:col>
      <xdr:colOff>1648843</xdr:colOff>
      <xdr:row>66</xdr:row>
      <xdr:rowOff>77764</xdr:rowOff>
    </xdr:to>
    <xdr:sp macro="" textlink="">
      <xdr:nvSpPr>
        <xdr:cNvPr id="57" name="Retângulo 133">
          <a:extLst>
            <a:ext uri="{FF2B5EF4-FFF2-40B4-BE49-F238E27FC236}">
              <a16:creationId xmlns:a16="http://schemas.microsoft.com/office/drawing/2014/main" id="{176639AB-B674-4E0D-B618-2500D78B9724}"/>
            </a:ext>
          </a:extLst>
        </xdr:cNvPr>
        <xdr:cNvSpPr/>
      </xdr:nvSpPr>
      <xdr:spPr>
        <a:xfrm>
          <a:off x="8999388" y="11474584"/>
          <a:ext cx="1066380" cy="23320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Porto Raso</a:t>
          </a:r>
        </a:p>
      </xdr:txBody>
    </xdr:sp>
    <xdr:clientData/>
  </xdr:twoCellAnchor>
  <xdr:twoCellAnchor>
    <xdr:from>
      <xdr:col>8</xdr:col>
      <xdr:colOff>641817</xdr:colOff>
      <xdr:row>69</xdr:row>
      <xdr:rowOff>36932</xdr:rowOff>
    </xdr:from>
    <xdr:to>
      <xdr:col>8</xdr:col>
      <xdr:colOff>1325817</xdr:colOff>
      <xdr:row>70</xdr:row>
      <xdr:rowOff>44069</xdr:rowOff>
    </xdr:to>
    <xdr:sp macro="" textlink="">
      <xdr:nvSpPr>
        <xdr:cNvPr id="58" name="Retângulo 134">
          <a:extLst>
            <a:ext uri="{FF2B5EF4-FFF2-40B4-BE49-F238E27FC236}">
              <a16:creationId xmlns:a16="http://schemas.microsoft.com/office/drawing/2014/main" id="{DB957CD4-7ACF-4103-BDA9-3835A51E836F}"/>
            </a:ext>
          </a:extLst>
        </xdr:cNvPr>
        <xdr:cNvSpPr/>
      </xdr:nvSpPr>
      <xdr:spPr>
        <a:xfrm>
          <a:off x="9058742" y="12152732"/>
          <a:ext cx="684000"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07" b="1">
              <a:solidFill>
                <a:srgbClr val="0070C0"/>
              </a:solidFill>
              <a:latin typeface="Votorantim Sans" panose="02010503030202050203" pitchFamily="2" charset="0"/>
            </a:rPr>
            <a:t>28,4 MW</a:t>
          </a:r>
          <a:endParaRPr lang="en-US" sz="707" b="1">
            <a:solidFill>
              <a:srgbClr val="0070C0"/>
            </a:solidFill>
            <a:latin typeface="Votorantim Sans" panose="02010503030202050203" pitchFamily="2" charset="0"/>
          </a:endParaRPr>
        </a:p>
      </xdr:txBody>
    </xdr:sp>
    <xdr:clientData/>
  </xdr:twoCellAnchor>
  <xdr:twoCellAnchor editAs="oneCell">
    <xdr:from>
      <xdr:col>8</xdr:col>
      <xdr:colOff>1700599</xdr:colOff>
      <xdr:row>66</xdr:row>
      <xdr:rowOff>15519</xdr:rowOff>
    </xdr:from>
    <xdr:to>
      <xdr:col>9</xdr:col>
      <xdr:colOff>441015</xdr:colOff>
      <xdr:row>70</xdr:row>
      <xdr:rowOff>59036</xdr:rowOff>
    </xdr:to>
    <xdr:pic>
      <xdr:nvPicPr>
        <xdr:cNvPr id="59" name="Imagem 135">
          <a:extLst>
            <a:ext uri="{FF2B5EF4-FFF2-40B4-BE49-F238E27FC236}">
              <a16:creationId xmlns:a16="http://schemas.microsoft.com/office/drawing/2014/main" id="{CFA73FCF-2483-4E06-96AA-3BA315C1FBDC}"/>
            </a:ext>
          </a:extLst>
        </xdr:cNvPr>
        <xdr:cNvPicPr preferRelativeResize="0">
          <a:picLocks/>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0123874" y="11642369"/>
          <a:ext cx="1108965" cy="694391"/>
        </a:xfrm>
        <a:prstGeom prst="rect">
          <a:avLst/>
        </a:prstGeom>
      </xdr:spPr>
    </xdr:pic>
    <xdr:clientData/>
  </xdr:twoCellAnchor>
  <xdr:twoCellAnchor>
    <xdr:from>
      <xdr:col>8</xdr:col>
      <xdr:colOff>1637555</xdr:colOff>
      <xdr:row>64</xdr:row>
      <xdr:rowOff>162059</xdr:rowOff>
    </xdr:from>
    <xdr:to>
      <xdr:col>9</xdr:col>
      <xdr:colOff>545163</xdr:colOff>
      <xdr:row>66</xdr:row>
      <xdr:rowOff>66320</xdr:rowOff>
    </xdr:to>
    <xdr:sp macro="" textlink="">
      <xdr:nvSpPr>
        <xdr:cNvPr id="60" name="Retângulo 136">
          <a:extLst>
            <a:ext uri="{FF2B5EF4-FFF2-40B4-BE49-F238E27FC236}">
              <a16:creationId xmlns:a16="http://schemas.microsoft.com/office/drawing/2014/main" id="{4734560D-B7D4-4785-B888-49D12D01B5B4}"/>
            </a:ext>
          </a:extLst>
        </xdr:cNvPr>
        <xdr:cNvSpPr/>
      </xdr:nvSpPr>
      <xdr:spPr>
        <a:xfrm>
          <a:off x="10057655" y="11465059"/>
          <a:ext cx="2171508" cy="23446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Alecrim</a:t>
          </a:r>
        </a:p>
      </xdr:txBody>
    </xdr:sp>
    <xdr:clientData/>
  </xdr:twoCellAnchor>
  <xdr:twoCellAnchor>
    <xdr:from>
      <xdr:col>8</xdr:col>
      <xdr:colOff>1703687</xdr:colOff>
      <xdr:row>69</xdr:row>
      <xdr:rowOff>36932</xdr:rowOff>
    </xdr:from>
    <xdr:to>
      <xdr:col>9</xdr:col>
      <xdr:colOff>338116</xdr:colOff>
      <xdr:row>70</xdr:row>
      <xdr:rowOff>44069</xdr:rowOff>
    </xdr:to>
    <xdr:sp macro="" textlink="">
      <xdr:nvSpPr>
        <xdr:cNvPr id="61" name="Retângulo 137">
          <a:extLst>
            <a:ext uri="{FF2B5EF4-FFF2-40B4-BE49-F238E27FC236}">
              <a16:creationId xmlns:a16="http://schemas.microsoft.com/office/drawing/2014/main" id="{A24785BB-5329-48FF-8673-2ADF744A4FFF}"/>
            </a:ext>
          </a:extLst>
        </xdr:cNvPr>
        <xdr:cNvSpPr/>
      </xdr:nvSpPr>
      <xdr:spPr>
        <a:xfrm>
          <a:off x="10126962" y="12152732"/>
          <a:ext cx="1895154"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07" b="1">
              <a:solidFill>
                <a:srgbClr val="0070C0"/>
              </a:solidFill>
              <a:latin typeface="Votorantim Sans" panose="02010503030202050203" pitchFamily="2" charset="0"/>
            </a:rPr>
            <a:t>72 MW</a:t>
          </a:r>
          <a:endParaRPr lang="en-US" sz="707" b="1">
            <a:solidFill>
              <a:srgbClr val="0070C0"/>
            </a:solidFill>
            <a:latin typeface="Votorantim Sans" panose="02010503030202050203" pitchFamily="2" charset="0"/>
          </a:endParaRPr>
        </a:p>
      </xdr:txBody>
    </xdr:sp>
    <xdr:clientData/>
  </xdr:twoCellAnchor>
  <xdr:twoCellAnchor editAs="oneCell">
    <xdr:from>
      <xdr:col>9</xdr:col>
      <xdr:colOff>779307</xdr:colOff>
      <xdr:row>66</xdr:row>
      <xdr:rowOff>15519</xdr:rowOff>
    </xdr:from>
    <xdr:to>
      <xdr:col>9</xdr:col>
      <xdr:colOff>1801843</xdr:colOff>
      <xdr:row>70</xdr:row>
      <xdr:rowOff>59036</xdr:rowOff>
    </xdr:to>
    <xdr:pic>
      <xdr:nvPicPr>
        <xdr:cNvPr id="62" name="Imagem 138" descr="Serraria (UHE)">
          <a:extLst>
            <a:ext uri="{FF2B5EF4-FFF2-40B4-BE49-F238E27FC236}">
              <a16:creationId xmlns:a16="http://schemas.microsoft.com/office/drawing/2014/main" id="{903496A0-EC02-40A6-9EFA-30133D34FDFD}"/>
            </a:ext>
          </a:extLst>
        </xdr:cNvPr>
        <xdr:cNvPicPr preferRelativeResize="0">
          <a:picLocks/>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bwMode="auto">
        <a:xfrm>
          <a:off x="12466482" y="11642369"/>
          <a:ext cx="1022536" cy="694391"/>
        </a:xfrm>
        <a:prstGeom prst="rect">
          <a:avLst/>
        </a:prstGeom>
        <a:noFill/>
        <a:ln>
          <a:noFill/>
        </a:ln>
      </xdr:spPr>
    </xdr:pic>
    <xdr:clientData/>
  </xdr:twoCellAnchor>
  <xdr:twoCellAnchor>
    <xdr:from>
      <xdr:col>9</xdr:col>
      <xdr:colOff>720188</xdr:colOff>
      <xdr:row>64</xdr:row>
      <xdr:rowOff>162059</xdr:rowOff>
    </xdr:from>
    <xdr:to>
      <xdr:col>9</xdr:col>
      <xdr:colOff>1626205</xdr:colOff>
      <xdr:row>66</xdr:row>
      <xdr:rowOff>66320</xdr:rowOff>
    </xdr:to>
    <xdr:sp macro="" textlink="">
      <xdr:nvSpPr>
        <xdr:cNvPr id="63" name="Retângulo 139">
          <a:extLst>
            <a:ext uri="{FF2B5EF4-FFF2-40B4-BE49-F238E27FC236}">
              <a16:creationId xmlns:a16="http://schemas.microsoft.com/office/drawing/2014/main" id="{F3043114-5896-4E7F-92E5-ABB8F896E572}"/>
            </a:ext>
          </a:extLst>
        </xdr:cNvPr>
        <xdr:cNvSpPr/>
      </xdr:nvSpPr>
      <xdr:spPr>
        <a:xfrm>
          <a:off x="12404188" y="11465059"/>
          <a:ext cx="912367" cy="23446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Serraria</a:t>
          </a:r>
        </a:p>
      </xdr:txBody>
    </xdr:sp>
    <xdr:clientData/>
  </xdr:twoCellAnchor>
  <xdr:twoCellAnchor>
    <xdr:from>
      <xdr:col>9</xdr:col>
      <xdr:colOff>786320</xdr:colOff>
      <xdr:row>69</xdr:row>
      <xdr:rowOff>36932</xdr:rowOff>
    </xdr:from>
    <xdr:to>
      <xdr:col>9</xdr:col>
      <xdr:colOff>1398320</xdr:colOff>
      <xdr:row>70</xdr:row>
      <xdr:rowOff>44069</xdr:rowOff>
    </xdr:to>
    <xdr:sp macro="" textlink="">
      <xdr:nvSpPr>
        <xdr:cNvPr id="64" name="Retângulo 140">
          <a:extLst>
            <a:ext uri="{FF2B5EF4-FFF2-40B4-BE49-F238E27FC236}">
              <a16:creationId xmlns:a16="http://schemas.microsoft.com/office/drawing/2014/main" id="{99C1E0C7-128C-40E1-961A-5EB10CCE6C29}"/>
            </a:ext>
          </a:extLst>
        </xdr:cNvPr>
        <xdr:cNvSpPr/>
      </xdr:nvSpPr>
      <xdr:spPr>
        <a:xfrm>
          <a:off x="12476670" y="12152732"/>
          <a:ext cx="612000"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07" b="1">
              <a:solidFill>
                <a:srgbClr val="0070C0"/>
              </a:solidFill>
              <a:latin typeface="Votorantim Sans" panose="02010503030202050203" pitchFamily="2" charset="0"/>
            </a:rPr>
            <a:t>24 MW</a:t>
          </a:r>
          <a:endParaRPr lang="en-US" sz="707" b="1">
            <a:solidFill>
              <a:srgbClr val="0070C0"/>
            </a:solidFill>
            <a:latin typeface="Votorantim Sans" panose="02010503030202050203" pitchFamily="2" charset="0"/>
          </a:endParaRPr>
        </a:p>
      </xdr:txBody>
    </xdr:sp>
    <xdr:clientData/>
  </xdr:twoCellAnchor>
  <xdr:twoCellAnchor editAs="oneCell">
    <xdr:from>
      <xdr:col>9</xdr:col>
      <xdr:colOff>1868482</xdr:colOff>
      <xdr:row>66</xdr:row>
      <xdr:rowOff>15519</xdr:rowOff>
    </xdr:from>
    <xdr:to>
      <xdr:col>10</xdr:col>
      <xdr:colOff>998719</xdr:colOff>
      <xdr:row>70</xdr:row>
      <xdr:rowOff>59036</xdr:rowOff>
    </xdr:to>
    <xdr:pic>
      <xdr:nvPicPr>
        <xdr:cNvPr id="65" name="Imagem 141">
          <a:extLst>
            <a:ext uri="{FF2B5EF4-FFF2-40B4-BE49-F238E27FC236}">
              <a16:creationId xmlns:a16="http://schemas.microsoft.com/office/drawing/2014/main" id="{0BE22EB6-129B-46E8-9C30-5352698E46A1}"/>
            </a:ext>
          </a:extLst>
        </xdr:cNvPr>
        <xdr:cNvPicPr preferRelativeResize="0">
          <a:picLocks/>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3555657" y="11642369"/>
          <a:ext cx="1101913" cy="694391"/>
        </a:xfrm>
        <a:prstGeom prst="rect">
          <a:avLst/>
        </a:prstGeom>
      </xdr:spPr>
    </xdr:pic>
    <xdr:clientData/>
  </xdr:twoCellAnchor>
  <xdr:twoCellAnchor>
    <xdr:from>
      <xdr:col>9</xdr:col>
      <xdr:colOff>1774643</xdr:colOff>
      <xdr:row>64</xdr:row>
      <xdr:rowOff>162059</xdr:rowOff>
    </xdr:from>
    <xdr:to>
      <xdr:col>10</xdr:col>
      <xdr:colOff>877816</xdr:colOff>
      <xdr:row>66</xdr:row>
      <xdr:rowOff>66320</xdr:rowOff>
    </xdr:to>
    <xdr:sp macro="" textlink="">
      <xdr:nvSpPr>
        <xdr:cNvPr id="66" name="Retângulo 142">
          <a:extLst>
            <a:ext uri="{FF2B5EF4-FFF2-40B4-BE49-F238E27FC236}">
              <a16:creationId xmlns:a16="http://schemas.microsoft.com/office/drawing/2014/main" id="{738E97D5-4511-4016-BC15-AAFD3FE29EA2}"/>
            </a:ext>
          </a:extLst>
        </xdr:cNvPr>
        <xdr:cNvSpPr/>
      </xdr:nvSpPr>
      <xdr:spPr>
        <a:xfrm>
          <a:off x="13461818" y="11465059"/>
          <a:ext cx="1074848" cy="23446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S. Iporanga</a:t>
          </a:r>
        </a:p>
      </xdr:txBody>
    </xdr:sp>
    <xdr:clientData/>
  </xdr:twoCellAnchor>
  <xdr:twoCellAnchor>
    <xdr:from>
      <xdr:col>9</xdr:col>
      <xdr:colOff>1868482</xdr:colOff>
      <xdr:row>69</xdr:row>
      <xdr:rowOff>36932</xdr:rowOff>
    </xdr:from>
    <xdr:to>
      <xdr:col>10</xdr:col>
      <xdr:colOff>544310</xdr:colOff>
      <xdr:row>70</xdr:row>
      <xdr:rowOff>44069</xdr:rowOff>
    </xdr:to>
    <xdr:sp macro="" textlink="">
      <xdr:nvSpPr>
        <xdr:cNvPr id="67" name="Retângulo 143">
          <a:extLst>
            <a:ext uri="{FF2B5EF4-FFF2-40B4-BE49-F238E27FC236}">
              <a16:creationId xmlns:a16="http://schemas.microsoft.com/office/drawing/2014/main" id="{17001660-0438-43AB-BD25-2358C0B44EFB}"/>
            </a:ext>
          </a:extLst>
        </xdr:cNvPr>
        <xdr:cNvSpPr/>
      </xdr:nvSpPr>
      <xdr:spPr>
        <a:xfrm>
          <a:off x="13555657" y="12152732"/>
          <a:ext cx="644328"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07" b="1">
              <a:solidFill>
                <a:srgbClr val="0070C0"/>
              </a:solidFill>
              <a:latin typeface="Votorantim Sans" panose="02010503030202050203" pitchFamily="2" charset="0"/>
            </a:rPr>
            <a:t>36,9 MW</a:t>
          </a:r>
          <a:endParaRPr lang="en-US" sz="707" b="1">
            <a:solidFill>
              <a:srgbClr val="0070C0"/>
            </a:solidFill>
            <a:latin typeface="Votorantim Sans" panose="02010503030202050203" pitchFamily="2" charset="0"/>
          </a:endParaRPr>
        </a:p>
      </xdr:txBody>
    </xdr:sp>
    <xdr:clientData/>
  </xdr:twoCellAnchor>
  <xdr:twoCellAnchor editAs="oneCell">
    <xdr:from>
      <xdr:col>6</xdr:col>
      <xdr:colOff>346991</xdr:colOff>
      <xdr:row>60</xdr:row>
      <xdr:rowOff>96202</xdr:rowOff>
    </xdr:from>
    <xdr:to>
      <xdr:col>7</xdr:col>
      <xdr:colOff>255103</xdr:colOff>
      <xdr:row>65</xdr:row>
      <xdr:rowOff>15894</xdr:rowOff>
    </xdr:to>
    <xdr:pic>
      <xdr:nvPicPr>
        <xdr:cNvPr id="68" name="Imagem 144">
          <a:extLst>
            <a:ext uri="{FF2B5EF4-FFF2-40B4-BE49-F238E27FC236}">
              <a16:creationId xmlns:a16="http://schemas.microsoft.com/office/drawing/2014/main" id="{2A0DB875-1CDC-4654-93CA-C7938FD80CBC}"/>
            </a:ext>
          </a:extLst>
        </xdr:cNvPr>
        <xdr:cNvPicPr preferRelativeResize="0">
          <a:picLocks/>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6427116" y="10754677"/>
          <a:ext cx="1076511" cy="729316"/>
        </a:xfrm>
        <a:prstGeom prst="rect">
          <a:avLst/>
        </a:prstGeom>
      </xdr:spPr>
    </xdr:pic>
    <xdr:clientData/>
  </xdr:twoCellAnchor>
  <xdr:twoCellAnchor>
    <xdr:from>
      <xdr:col>6</xdr:col>
      <xdr:colOff>245214</xdr:colOff>
      <xdr:row>59</xdr:row>
      <xdr:rowOff>56299</xdr:rowOff>
    </xdr:from>
    <xdr:to>
      <xdr:col>7</xdr:col>
      <xdr:colOff>259939</xdr:colOff>
      <xdr:row>60</xdr:row>
      <xdr:rowOff>123845</xdr:rowOff>
    </xdr:to>
    <xdr:sp macro="" textlink="">
      <xdr:nvSpPr>
        <xdr:cNvPr id="69" name="Retângulo 145">
          <a:extLst>
            <a:ext uri="{FF2B5EF4-FFF2-40B4-BE49-F238E27FC236}">
              <a16:creationId xmlns:a16="http://schemas.microsoft.com/office/drawing/2014/main" id="{1C4D93BC-C653-4678-821D-3D302283A309}"/>
            </a:ext>
          </a:extLst>
        </xdr:cNvPr>
        <xdr:cNvSpPr/>
      </xdr:nvSpPr>
      <xdr:spPr>
        <a:xfrm>
          <a:off x="6322164" y="10552849"/>
          <a:ext cx="1183125" cy="2262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Itupararanga</a:t>
          </a:r>
        </a:p>
      </xdr:txBody>
    </xdr:sp>
    <xdr:clientData/>
  </xdr:twoCellAnchor>
  <xdr:twoCellAnchor>
    <xdr:from>
      <xdr:col>3</xdr:col>
      <xdr:colOff>886537</xdr:colOff>
      <xdr:row>68</xdr:row>
      <xdr:rowOff>24416</xdr:rowOff>
    </xdr:from>
    <xdr:to>
      <xdr:col>3</xdr:col>
      <xdr:colOff>963790</xdr:colOff>
      <xdr:row>68</xdr:row>
      <xdr:rowOff>108449</xdr:rowOff>
    </xdr:to>
    <xdr:sp macro="" textlink="">
      <xdr:nvSpPr>
        <xdr:cNvPr id="70" name="Elipse 146">
          <a:extLst>
            <a:ext uri="{FF2B5EF4-FFF2-40B4-BE49-F238E27FC236}">
              <a16:creationId xmlns:a16="http://schemas.microsoft.com/office/drawing/2014/main" id="{BAB5C49C-244B-4670-8CDE-47D35CA30867}"/>
            </a:ext>
          </a:extLst>
        </xdr:cNvPr>
        <xdr:cNvSpPr/>
      </xdr:nvSpPr>
      <xdr:spPr>
        <a:xfrm>
          <a:off x="3445587" y="11981466"/>
          <a:ext cx="77253" cy="77683"/>
        </a:xfrm>
        <a:prstGeom prst="ellipse">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endParaRPr lang="en-US">
            <a:solidFill>
              <a:srgbClr val="FFFFFF"/>
            </a:solidFill>
            <a:latin typeface="Calibri" panose="020F0502020204030204"/>
          </a:endParaRPr>
        </a:p>
      </xdr:txBody>
    </xdr:sp>
    <xdr:clientData/>
  </xdr:twoCellAnchor>
  <xdr:twoCellAnchor>
    <xdr:from>
      <xdr:col>3</xdr:col>
      <xdr:colOff>536025</xdr:colOff>
      <xdr:row>67</xdr:row>
      <xdr:rowOff>58025</xdr:rowOff>
    </xdr:from>
    <xdr:to>
      <xdr:col>3</xdr:col>
      <xdr:colOff>613278</xdr:colOff>
      <xdr:row>67</xdr:row>
      <xdr:rowOff>142058</xdr:rowOff>
    </xdr:to>
    <xdr:sp macro="" textlink="">
      <xdr:nvSpPr>
        <xdr:cNvPr id="71" name="Elipse 147">
          <a:extLst>
            <a:ext uri="{FF2B5EF4-FFF2-40B4-BE49-F238E27FC236}">
              <a16:creationId xmlns:a16="http://schemas.microsoft.com/office/drawing/2014/main" id="{4585CF81-560C-4A92-8AAC-0FF994E456EC}"/>
            </a:ext>
          </a:extLst>
        </xdr:cNvPr>
        <xdr:cNvSpPr/>
      </xdr:nvSpPr>
      <xdr:spPr>
        <a:xfrm>
          <a:off x="3098250" y="11849975"/>
          <a:ext cx="80428" cy="87208"/>
        </a:xfrm>
        <a:prstGeom prst="ellipse">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endParaRPr lang="en-US">
            <a:solidFill>
              <a:srgbClr val="FFFFFF"/>
            </a:solidFill>
            <a:latin typeface="Calibri" panose="020F0502020204030204"/>
          </a:endParaRPr>
        </a:p>
      </xdr:txBody>
    </xdr:sp>
    <xdr:clientData/>
  </xdr:twoCellAnchor>
  <xdr:twoCellAnchor>
    <xdr:from>
      <xdr:col>1</xdr:col>
      <xdr:colOff>1637342</xdr:colOff>
      <xdr:row>63</xdr:row>
      <xdr:rowOff>101485</xdr:rowOff>
    </xdr:from>
    <xdr:to>
      <xdr:col>3</xdr:col>
      <xdr:colOff>574651</xdr:colOff>
      <xdr:row>67</xdr:row>
      <xdr:rowOff>58025</xdr:rowOff>
    </xdr:to>
    <xdr:cxnSp macro="">
      <xdr:nvCxnSpPr>
        <xdr:cNvPr id="72" name="Conector angulado 162">
          <a:extLst>
            <a:ext uri="{FF2B5EF4-FFF2-40B4-BE49-F238E27FC236}">
              <a16:creationId xmlns:a16="http://schemas.microsoft.com/office/drawing/2014/main" id="{B5540218-7761-471C-B53B-CEE7A5817A85}"/>
            </a:ext>
          </a:extLst>
        </xdr:cNvPr>
        <xdr:cNvCxnSpPr>
          <a:cxnSpLocks/>
          <a:stCxn id="45" idx="2"/>
          <a:endCxn id="71" idx="0"/>
        </xdr:cNvCxnSpPr>
      </xdr:nvCxnSpPr>
      <xdr:spPr>
        <a:xfrm rot="16200000" flipH="1">
          <a:off x="2162776" y="10875876"/>
          <a:ext cx="601065" cy="1347134"/>
        </a:xfrm>
        <a:prstGeom prst="bentConnector3">
          <a:avLst>
            <a:gd name="adj1"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574651</xdr:colOff>
      <xdr:row>63</xdr:row>
      <xdr:rowOff>35283</xdr:rowOff>
    </xdr:from>
    <xdr:to>
      <xdr:col>3</xdr:col>
      <xdr:colOff>651904</xdr:colOff>
      <xdr:row>63</xdr:row>
      <xdr:rowOff>119316</xdr:rowOff>
    </xdr:to>
    <xdr:sp macro="" textlink="">
      <xdr:nvSpPr>
        <xdr:cNvPr id="73" name="Elipse 150">
          <a:extLst>
            <a:ext uri="{FF2B5EF4-FFF2-40B4-BE49-F238E27FC236}">
              <a16:creationId xmlns:a16="http://schemas.microsoft.com/office/drawing/2014/main" id="{7DB48F9E-9828-4974-B7BC-1159B33FE9DE}"/>
            </a:ext>
          </a:extLst>
        </xdr:cNvPr>
        <xdr:cNvSpPr/>
      </xdr:nvSpPr>
      <xdr:spPr>
        <a:xfrm>
          <a:off x="3136876" y="11179533"/>
          <a:ext cx="80428" cy="87208"/>
        </a:xfrm>
        <a:prstGeom prst="ellipse">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endParaRPr lang="en-US">
            <a:solidFill>
              <a:srgbClr val="FFFFFF"/>
            </a:solidFill>
            <a:latin typeface="Calibri" panose="020F0502020204030204"/>
          </a:endParaRPr>
        </a:p>
      </xdr:txBody>
    </xdr:sp>
    <xdr:clientData/>
  </xdr:twoCellAnchor>
  <xdr:twoCellAnchor>
    <xdr:from>
      <xdr:col>3</xdr:col>
      <xdr:colOff>613278</xdr:colOff>
      <xdr:row>58</xdr:row>
      <xdr:rowOff>79969</xdr:rowOff>
    </xdr:from>
    <xdr:to>
      <xdr:col>3</xdr:col>
      <xdr:colOff>638142</xdr:colOff>
      <xdr:row>63</xdr:row>
      <xdr:rowOff>35283</xdr:rowOff>
    </xdr:to>
    <xdr:cxnSp macro="">
      <xdr:nvCxnSpPr>
        <xdr:cNvPr id="74" name="Conector angulado 160">
          <a:extLst>
            <a:ext uri="{FF2B5EF4-FFF2-40B4-BE49-F238E27FC236}">
              <a16:creationId xmlns:a16="http://schemas.microsoft.com/office/drawing/2014/main" id="{A4BC04EE-AFB4-4722-ADD3-860331E17920}"/>
            </a:ext>
          </a:extLst>
        </xdr:cNvPr>
        <xdr:cNvCxnSpPr>
          <a:cxnSpLocks/>
          <a:stCxn id="39" idx="2"/>
          <a:endCxn id="73" idx="0"/>
        </xdr:cNvCxnSpPr>
      </xdr:nvCxnSpPr>
      <xdr:spPr>
        <a:xfrm rot="5400000">
          <a:off x="2810228" y="10786219"/>
          <a:ext cx="761764" cy="24864"/>
        </a:xfrm>
        <a:prstGeom prst="bentConnector3">
          <a:avLst>
            <a:gd name="adj1"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239081</xdr:colOff>
      <xdr:row>66</xdr:row>
      <xdr:rowOff>50835</xdr:rowOff>
    </xdr:from>
    <xdr:to>
      <xdr:col>4</xdr:col>
      <xdr:colOff>316334</xdr:colOff>
      <xdr:row>66</xdr:row>
      <xdr:rowOff>130332</xdr:rowOff>
    </xdr:to>
    <xdr:sp macro="" textlink="">
      <xdr:nvSpPr>
        <xdr:cNvPr id="75" name="Elipse 152">
          <a:extLst>
            <a:ext uri="{FF2B5EF4-FFF2-40B4-BE49-F238E27FC236}">
              <a16:creationId xmlns:a16="http://schemas.microsoft.com/office/drawing/2014/main" id="{2244BED4-4808-423F-8C3B-C6CC4518456B}"/>
            </a:ext>
          </a:extLst>
        </xdr:cNvPr>
        <xdr:cNvSpPr/>
      </xdr:nvSpPr>
      <xdr:spPr>
        <a:xfrm>
          <a:off x="3969706" y="11677685"/>
          <a:ext cx="77253" cy="82672"/>
        </a:xfrm>
        <a:prstGeom prst="ellipse">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endParaRPr lang="en-US">
            <a:solidFill>
              <a:srgbClr val="FFFFFF"/>
            </a:solidFill>
            <a:latin typeface="Calibri" panose="020F0502020204030204"/>
          </a:endParaRPr>
        </a:p>
      </xdr:txBody>
    </xdr:sp>
    <xdr:clientData/>
  </xdr:twoCellAnchor>
  <xdr:twoCellAnchor>
    <xdr:from>
      <xdr:col>4</xdr:col>
      <xdr:colOff>277708</xdr:colOff>
      <xdr:row>50</xdr:row>
      <xdr:rowOff>140441</xdr:rowOff>
    </xdr:from>
    <xdr:to>
      <xdr:col>4</xdr:col>
      <xdr:colOff>689942</xdr:colOff>
      <xdr:row>66</xdr:row>
      <xdr:rowOff>50835</xdr:rowOff>
    </xdr:to>
    <xdr:cxnSp macro="">
      <xdr:nvCxnSpPr>
        <xdr:cNvPr id="76" name="Conector angulado 203">
          <a:extLst>
            <a:ext uri="{FF2B5EF4-FFF2-40B4-BE49-F238E27FC236}">
              <a16:creationId xmlns:a16="http://schemas.microsoft.com/office/drawing/2014/main" id="{87F85BA6-39CA-43CD-8420-2EB65304C7E2}"/>
            </a:ext>
          </a:extLst>
        </xdr:cNvPr>
        <xdr:cNvCxnSpPr>
          <a:cxnSpLocks/>
          <a:stCxn id="75" idx="0"/>
          <a:endCxn id="42" idx="2"/>
        </xdr:cNvCxnSpPr>
      </xdr:nvCxnSpPr>
      <xdr:spPr>
        <a:xfrm rot="5400000" flipH="1" flipV="1">
          <a:off x="2970203" y="10220971"/>
          <a:ext cx="2494844" cy="418584"/>
        </a:xfrm>
        <a:prstGeom prst="bentConnector3">
          <a:avLst>
            <a:gd name="adj1"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925164</xdr:colOff>
      <xdr:row>64</xdr:row>
      <xdr:rowOff>115302</xdr:rowOff>
    </xdr:from>
    <xdr:to>
      <xdr:col>6</xdr:col>
      <xdr:colOff>161924</xdr:colOff>
      <xdr:row>68</xdr:row>
      <xdr:rowOff>108449</xdr:rowOff>
    </xdr:to>
    <xdr:cxnSp macro="">
      <xdr:nvCxnSpPr>
        <xdr:cNvPr id="77" name="Conector angulado 140">
          <a:extLst>
            <a:ext uri="{FF2B5EF4-FFF2-40B4-BE49-F238E27FC236}">
              <a16:creationId xmlns:a16="http://schemas.microsoft.com/office/drawing/2014/main" id="{0EFE1A9A-2A68-494D-BEA7-F9CB06F777BB}"/>
            </a:ext>
          </a:extLst>
        </xdr:cNvPr>
        <xdr:cNvCxnSpPr>
          <a:cxnSpLocks/>
          <a:stCxn id="70" idx="4"/>
        </xdr:cNvCxnSpPr>
      </xdr:nvCxnSpPr>
      <xdr:spPr>
        <a:xfrm rot="5400000" flipH="1" flipV="1">
          <a:off x="4544296" y="10361395"/>
          <a:ext cx="637672" cy="2757835"/>
        </a:xfrm>
        <a:prstGeom prst="bentConnector4">
          <a:avLst>
            <a:gd name="adj1" fmla="val -35371"/>
            <a:gd name="adj2" fmla="val 51225"/>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233350</xdr:colOff>
      <xdr:row>59</xdr:row>
      <xdr:rowOff>56299</xdr:rowOff>
    </xdr:from>
    <xdr:to>
      <xdr:col>8</xdr:col>
      <xdr:colOff>23655</xdr:colOff>
      <xdr:row>60</xdr:row>
      <xdr:rowOff>130754</xdr:rowOff>
    </xdr:to>
    <xdr:sp macro="" textlink="">
      <xdr:nvSpPr>
        <xdr:cNvPr id="78" name="Retângulo 155">
          <a:extLst>
            <a:ext uri="{FF2B5EF4-FFF2-40B4-BE49-F238E27FC236}">
              <a16:creationId xmlns:a16="http://schemas.microsoft.com/office/drawing/2014/main" id="{3227B0AA-47B3-4560-B827-5D1D81956934}"/>
            </a:ext>
          </a:extLst>
        </xdr:cNvPr>
        <xdr:cNvSpPr/>
      </xdr:nvSpPr>
      <xdr:spPr>
        <a:xfrm>
          <a:off x="7485050" y="10552849"/>
          <a:ext cx="961880" cy="23638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CGH Jurupara</a:t>
          </a:r>
        </a:p>
      </xdr:txBody>
    </xdr:sp>
    <xdr:clientData/>
  </xdr:twoCellAnchor>
  <xdr:twoCellAnchor>
    <xdr:from>
      <xdr:col>8</xdr:col>
      <xdr:colOff>72498</xdr:colOff>
      <xdr:row>59</xdr:row>
      <xdr:rowOff>56299</xdr:rowOff>
    </xdr:from>
    <xdr:to>
      <xdr:col>8</xdr:col>
      <xdr:colOff>1129198</xdr:colOff>
      <xdr:row>60</xdr:row>
      <xdr:rowOff>123845</xdr:rowOff>
    </xdr:to>
    <xdr:sp macro="" textlink="">
      <xdr:nvSpPr>
        <xdr:cNvPr id="79" name="Retângulo 156">
          <a:extLst>
            <a:ext uri="{FF2B5EF4-FFF2-40B4-BE49-F238E27FC236}">
              <a16:creationId xmlns:a16="http://schemas.microsoft.com/office/drawing/2014/main" id="{81A40C56-03E3-457A-958C-3FB70565D2CF}"/>
            </a:ext>
          </a:extLst>
        </xdr:cNvPr>
        <xdr:cNvSpPr/>
      </xdr:nvSpPr>
      <xdr:spPr>
        <a:xfrm>
          <a:off x="8489423" y="10552849"/>
          <a:ext cx="1063050" cy="2262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CGH Sta Helena</a:t>
          </a:r>
        </a:p>
      </xdr:txBody>
    </xdr:sp>
    <xdr:clientData/>
  </xdr:twoCellAnchor>
  <xdr:twoCellAnchor>
    <xdr:from>
      <xdr:col>8</xdr:col>
      <xdr:colOff>1104167</xdr:colOff>
      <xdr:row>59</xdr:row>
      <xdr:rowOff>56299</xdr:rowOff>
    </xdr:from>
    <xdr:to>
      <xdr:col>9</xdr:col>
      <xdr:colOff>237798</xdr:colOff>
      <xdr:row>60</xdr:row>
      <xdr:rowOff>123845</xdr:rowOff>
    </xdr:to>
    <xdr:sp macro="" textlink="">
      <xdr:nvSpPr>
        <xdr:cNvPr id="80" name="Retângulo 157">
          <a:extLst>
            <a:ext uri="{FF2B5EF4-FFF2-40B4-BE49-F238E27FC236}">
              <a16:creationId xmlns:a16="http://schemas.microsoft.com/office/drawing/2014/main" id="{93FF1C50-40F9-42AA-8329-B4DEF9586DB1}"/>
            </a:ext>
          </a:extLst>
        </xdr:cNvPr>
        <xdr:cNvSpPr/>
      </xdr:nvSpPr>
      <xdr:spPr>
        <a:xfrm>
          <a:off x="9524267" y="10552849"/>
          <a:ext cx="2403881" cy="2262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CGH Votorantim</a:t>
          </a:r>
        </a:p>
      </xdr:txBody>
    </xdr:sp>
    <xdr:clientData/>
  </xdr:twoCellAnchor>
  <xdr:twoCellAnchor editAs="oneCell">
    <xdr:from>
      <xdr:col>8</xdr:col>
      <xdr:colOff>142354</xdr:colOff>
      <xdr:row>60</xdr:row>
      <xdr:rowOff>96202</xdr:rowOff>
    </xdr:from>
    <xdr:to>
      <xdr:col>8</xdr:col>
      <xdr:colOff>1164890</xdr:colOff>
      <xdr:row>65</xdr:row>
      <xdr:rowOff>15894</xdr:rowOff>
    </xdr:to>
    <xdr:pic>
      <xdr:nvPicPr>
        <xdr:cNvPr id="82" name="Imagem 158">
          <a:extLst>
            <a:ext uri="{FF2B5EF4-FFF2-40B4-BE49-F238E27FC236}">
              <a16:creationId xmlns:a16="http://schemas.microsoft.com/office/drawing/2014/main" id="{E48CB634-70C8-475E-AE86-501E095939CB}"/>
            </a:ext>
          </a:extLst>
        </xdr:cNvPr>
        <xdr:cNvPicPr>
          <a:picLocks/>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8565629" y="10754677"/>
          <a:ext cx="1019361" cy="729316"/>
        </a:xfrm>
        <a:prstGeom prst="rect">
          <a:avLst/>
        </a:prstGeom>
      </xdr:spPr>
    </xdr:pic>
    <xdr:clientData/>
  </xdr:twoCellAnchor>
  <xdr:twoCellAnchor>
    <xdr:from>
      <xdr:col>3</xdr:col>
      <xdr:colOff>73288</xdr:colOff>
      <xdr:row>69</xdr:row>
      <xdr:rowOff>118322</xdr:rowOff>
    </xdr:from>
    <xdr:to>
      <xdr:col>3</xdr:col>
      <xdr:colOff>82275</xdr:colOff>
      <xdr:row>69</xdr:row>
      <xdr:rowOff>119723</xdr:rowOff>
    </xdr:to>
    <xdr:sp macro="" textlink="">
      <xdr:nvSpPr>
        <xdr:cNvPr id="83" name="Rectangle 81">
          <a:extLst>
            <a:ext uri="{FF2B5EF4-FFF2-40B4-BE49-F238E27FC236}">
              <a16:creationId xmlns:a16="http://schemas.microsoft.com/office/drawing/2014/main" id="{B7D93BD6-8F9E-4F2B-AED9-66EB2C48CC60}"/>
            </a:ext>
          </a:extLst>
        </xdr:cNvPr>
        <xdr:cNvSpPr>
          <a:spLocks noChangeAspect="1" noChangeArrowheads="1"/>
        </xdr:cNvSpPr>
      </xdr:nvSpPr>
      <xdr:spPr bwMode="gray">
        <a:xfrm>
          <a:off x="2635513" y="12237297"/>
          <a:ext cx="12162"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editAs="oneCell">
    <xdr:from>
      <xdr:col>1</xdr:col>
      <xdr:colOff>1097923</xdr:colOff>
      <xdr:row>53</xdr:row>
      <xdr:rowOff>121108</xdr:rowOff>
    </xdr:from>
    <xdr:to>
      <xdr:col>1</xdr:col>
      <xdr:colOff>2199129</xdr:colOff>
      <xdr:row>58</xdr:row>
      <xdr:rowOff>40799</xdr:rowOff>
    </xdr:to>
    <xdr:pic>
      <xdr:nvPicPr>
        <xdr:cNvPr id="84" name="Imagem 166">
          <a:extLst>
            <a:ext uri="{FF2B5EF4-FFF2-40B4-BE49-F238E27FC236}">
              <a16:creationId xmlns:a16="http://schemas.microsoft.com/office/drawing/2014/main" id="{F730540E-3285-4CA6-ABD5-2E898DC0951A}"/>
            </a:ext>
          </a:extLst>
        </xdr:cNvPr>
        <xdr:cNvPicPr preferRelativeResize="0">
          <a:picLocks/>
        </xdr:cNvPicPr>
      </xdr:nvPicPr>
      <xdr:blipFill rotWithShape="1">
        <a:blip xmlns:r="http://schemas.openxmlformats.org/officeDocument/2006/relationships" r:embed="rId18" cstate="screen">
          <a:extLst>
            <a:ext uri="{28A0092B-C50C-407E-A947-70E740481C1C}">
              <a14:useLocalDpi xmlns:a14="http://schemas.microsoft.com/office/drawing/2010/main"/>
            </a:ext>
          </a:extLst>
        </a:blip>
        <a:srcRect/>
        <a:stretch/>
      </xdr:blipFill>
      <xdr:spPr>
        <a:xfrm>
          <a:off x="1247148" y="9649283"/>
          <a:ext cx="1097678" cy="726141"/>
        </a:xfrm>
        <a:prstGeom prst="rect">
          <a:avLst/>
        </a:prstGeom>
      </xdr:spPr>
    </xdr:pic>
    <xdr:clientData/>
  </xdr:twoCellAnchor>
  <xdr:twoCellAnchor>
    <xdr:from>
      <xdr:col>1</xdr:col>
      <xdr:colOff>1098748</xdr:colOff>
      <xdr:row>56</xdr:row>
      <xdr:rowOff>151158</xdr:rowOff>
    </xdr:from>
    <xdr:to>
      <xdr:col>2</xdr:col>
      <xdr:colOff>105105</xdr:colOff>
      <xdr:row>57</xdr:row>
      <xdr:rowOff>158295</xdr:rowOff>
    </xdr:to>
    <xdr:sp macro="" textlink="">
      <xdr:nvSpPr>
        <xdr:cNvPr id="85" name="Retângulo 167">
          <a:extLst>
            <a:ext uri="{FF2B5EF4-FFF2-40B4-BE49-F238E27FC236}">
              <a16:creationId xmlns:a16="http://schemas.microsoft.com/office/drawing/2014/main" id="{22D5EE9E-734E-468C-AC06-E817ABF3FE57}"/>
            </a:ext>
          </a:extLst>
        </xdr:cNvPr>
        <xdr:cNvSpPr/>
      </xdr:nvSpPr>
      <xdr:spPr>
        <a:xfrm>
          <a:off x="1247973" y="10161933"/>
          <a:ext cx="749432"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0070C0"/>
              </a:solidFill>
              <a:latin typeface="Votorantim Sans" panose="02010503030202050203" pitchFamily="2" charset="0"/>
            </a:rPr>
            <a:t>80 MW</a:t>
          </a:r>
          <a:endParaRPr lang="en-US" sz="800" b="1">
            <a:solidFill>
              <a:srgbClr val="0070C0"/>
            </a:solidFill>
            <a:latin typeface="Votorantim Sans" panose="02010503030202050203" pitchFamily="2" charset="0"/>
          </a:endParaRPr>
        </a:p>
      </xdr:txBody>
    </xdr:sp>
    <xdr:clientData/>
  </xdr:twoCellAnchor>
  <xdr:twoCellAnchor>
    <xdr:from>
      <xdr:col>6</xdr:col>
      <xdr:colOff>350476</xdr:colOff>
      <xdr:row>63</xdr:row>
      <xdr:rowOff>108166</xdr:rowOff>
    </xdr:from>
    <xdr:to>
      <xdr:col>6</xdr:col>
      <xdr:colOff>962476</xdr:colOff>
      <xdr:row>64</xdr:row>
      <xdr:rowOff>115303</xdr:rowOff>
    </xdr:to>
    <xdr:sp macro="" textlink="">
      <xdr:nvSpPr>
        <xdr:cNvPr id="86" name="Retângulo 168">
          <a:extLst>
            <a:ext uri="{FF2B5EF4-FFF2-40B4-BE49-F238E27FC236}">
              <a16:creationId xmlns:a16="http://schemas.microsoft.com/office/drawing/2014/main" id="{7D0F6B34-347D-42FF-8CB6-B534A5C72228}"/>
            </a:ext>
          </a:extLst>
        </xdr:cNvPr>
        <xdr:cNvSpPr/>
      </xdr:nvSpPr>
      <xdr:spPr>
        <a:xfrm>
          <a:off x="6430601" y="11249241"/>
          <a:ext cx="605650"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33" b="1">
              <a:solidFill>
                <a:srgbClr val="0070C0"/>
              </a:solidFill>
              <a:latin typeface="Votorantim Sans" panose="02010503030202050203" pitchFamily="2" charset="0"/>
            </a:rPr>
            <a:t>55 MW</a:t>
          </a:r>
          <a:endParaRPr lang="en-US" sz="733" b="1">
            <a:solidFill>
              <a:srgbClr val="0070C0"/>
            </a:solidFill>
            <a:latin typeface="Votorantim Sans" panose="02010503030202050203" pitchFamily="2" charset="0"/>
          </a:endParaRPr>
        </a:p>
      </xdr:txBody>
    </xdr:sp>
    <xdr:clientData/>
  </xdr:twoCellAnchor>
  <xdr:twoCellAnchor>
    <xdr:from>
      <xdr:col>7</xdr:col>
      <xdr:colOff>241503</xdr:colOff>
      <xdr:row>63</xdr:row>
      <xdr:rowOff>108166</xdr:rowOff>
    </xdr:from>
    <xdr:to>
      <xdr:col>7</xdr:col>
      <xdr:colOff>853503</xdr:colOff>
      <xdr:row>64</xdr:row>
      <xdr:rowOff>115303</xdr:rowOff>
    </xdr:to>
    <xdr:sp macro="" textlink="">
      <xdr:nvSpPr>
        <xdr:cNvPr id="87" name="Retângulo 169">
          <a:extLst>
            <a:ext uri="{FF2B5EF4-FFF2-40B4-BE49-F238E27FC236}">
              <a16:creationId xmlns:a16="http://schemas.microsoft.com/office/drawing/2014/main" id="{DB8D8E2F-FB2B-4D80-91D9-42208BB8AF30}"/>
            </a:ext>
          </a:extLst>
        </xdr:cNvPr>
        <xdr:cNvSpPr/>
      </xdr:nvSpPr>
      <xdr:spPr>
        <a:xfrm>
          <a:off x="7486853" y="11249241"/>
          <a:ext cx="612000"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33" b="1">
              <a:solidFill>
                <a:srgbClr val="0070C0"/>
              </a:solidFill>
              <a:latin typeface="Votorantim Sans" panose="02010503030202050203" pitchFamily="2" charset="0"/>
            </a:rPr>
            <a:t>4,4 MW</a:t>
          </a:r>
          <a:endParaRPr lang="en-US" sz="733" b="1">
            <a:solidFill>
              <a:srgbClr val="0070C0"/>
            </a:solidFill>
            <a:latin typeface="Votorantim Sans" panose="02010503030202050203" pitchFamily="2" charset="0"/>
          </a:endParaRPr>
        </a:p>
      </xdr:txBody>
    </xdr:sp>
    <xdr:clientData/>
  </xdr:twoCellAnchor>
  <xdr:twoCellAnchor>
    <xdr:from>
      <xdr:col>8</xdr:col>
      <xdr:colOff>1210597</xdr:colOff>
      <xdr:row>63</xdr:row>
      <xdr:rowOff>108166</xdr:rowOff>
    </xdr:from>
    <xdr:to>
      <xdr:col>8</xdr:col>
      <xdr:colOff>1822597</xdr:colOff>
      <xdr:row>64</xdr:row>
      <xdr:rowOff>115303</xdr:rowOff>
    </xdr:to>
    <xdr:sp macro="" textlink="">
      <xdr:nvSpPr>
        <xdr:cNvPr id="88" name="Retângulo 170">
          <a:extLst>
            <a:ext uri="{FF2B5EF4-FFF2-40B4-BE49-F238E27FC236}">
              <a16:creationId xmlns:a16="http://schemas.microsoft.com/office/drawing/2014/main" id="{8F578D94-43A3-47BE-9A36-7AF40B02AB26}"/>
            </a:ext>
          </a:extLst>
        </xdr:cNvPr>
        <xdr:cNvSpPr/>
      </xdr:nvSpPr>
      <xdr:spPr>
        <a:xfrm>
          <a:off x="9627522" y="11249241"/>
          <a:ext cx="612000"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33" b="1">
              <a:solidFill>
                <a:srgbClr val="0070C0"/>
              </a:solidFill>
              <a:latin typeface="Votorantim Sans" panose="02010503030202050203" pitchFamily="2" charset="0"/>
            </a:rPr>
            <a:t>3 MW</a:t>
          </a:r>
          <a:endParaRPr lang="en-US" sz="733" b="1">
            <a:solidFill>
              <a:srgbClr val="0070C0"/>
            </a:solidFill>
            <a:latin typeface="Votorantim Sans" panose="02010503030202050203" pitchFamily="2" charset="0"/>
          </a:endParaRPr>
        </a:p>
      </xdr:txBody>
    </xdr:sp>
    <xdr:clientData/>
  </xdr:twoCellAnchor>
  <xdr:twoCellAnchor>
    <xdr:from>
      <xdr:col>8</xdr:col>
      <xdr:colOff>115521</xdr:colOff>
      <xdr:row>63</xdr:row>
      <xdr:rowOff>108166</xdr:rowOff>
    </xdr:from>
    <xdr:to>
      <xdr:col>8</xdr:col>
      <xdr:colOff>727521</xdr:colOff>
      <xdr:row>64</xdr:row>
      <xdr:rowOff>115303</xdr:rowOff>
    </xdr:to>
    <xdr:sp macro="" textlink="">
      <xdr:nvSpPr>
        <xdr:cNvPr id="89" name="Retângulo 171">
          <a:extLst>
            <a:ext uri="{FF2B5EF4-FFF2-40B4-BE49-F238E27FC236}">
              <a16:creationId xmlns:a16="http://schemas.microsoft.com/office/drawing/2014/main" id="{16C00716-D4A2-4C4C-8607-EA5DE74CE11C}"/>
            </a:ext>
          </a:extLst>
        </xdr:cNvPr>
        <xdr:cNvSpPr/>
      </xdr:nvSpPr>
      <xdr:spPr>
        <a:xfrm>
          <a:off x="8535621" y="11249241"/>
          <a:ext cx="615175"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33" b="1">
              <a:solidFill>
                <a:srgbClr val="0070C0"/>
              </a:solidFill>
              <a:latin typeface="Votorantim Sans" panose="02010503030202050203" pitchFamily="2" charset="0"/>
            </a:rPr>
            <a:t>2,2 MW</a:t>
          </a:r>
          <a:endParaRPr lang="en-US" sz="733" b="1">
            <a:solidFill>
              <a:srgbClr val="0070C0"/>
            </a:solidFill>
            <a:latin typeface="Votorantim Sans" panose="02010503030202050203" pitchFamily="2" charset="0"/>
          </a:endParaRPr>
        </a:p>
      </xdr:txBody>
    </xdr:sp>
    <xdr:clientData/>
  </xdr:twoCellAnchor>
  <xdr:twoCellAnchor>
    <xdr:from>
      <xdr:col>7</xdr:col>
      <xdr:colOff>176797</xdr:colOff>
      <xdr:row>76</xdr:row>
      <xdr:rowOff>19459</xdr:rowOff>
    </xdr:from>
    <xdr:to>
      <xdr:col>7</xdr:col>
      <xdr:colOff>185784</xdr:colOff>
      <xdr:row>76</xdr:row>
      <xdr:rowOff>20860</xdr:rowOff>
    </xdr:to>
    <xdr:sp macro="" textlink="">
      <xdr:nvSpPr>
        <xdr:cNvPr id="90" name="Rectangle 81">
          <a:extLst>
            <a:ext uri="{FF2B5EF4-FFF2-40B4-BE49-F238E27FC236}">
              <a16:creationId xmlns:a16="http://schemas.microsoft.com/office/drawing/2014/main" id="{9F8BEBB8-BB91-4B33-84EA-2F735C1E14DD}"/>
            </a:ext>
          </a:extLst>
        </xdr:cNvPr>
        <xdr:cNvSpPr>
          <a:spLocks noChangeAspect="1" noChangeArrowheads="1"/>
        </xdr:cNvSpPr>
      </xdr:nvSpPr>
      <xdr:spPr bwMode="gray">
        <a:xfrm>
          <a:off x="7428497" y="13268734"/>
          <a:ext cx="263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oneCellAnchor>
    <xdr:from>
      <xdr:col>4</xdr:col>
      <xdr:colOff>194921</xdr:colOff>
      <xdr:row>73</xdr:row>
      <xdr:rowOff>7606</xdr:rowOff>
    </xdr:from>
    <xdr:ext cx="1022400" cy="680400"/>
    <xdr:pic>
      <xdr:nvPicPr>
        <xdr:cNvPr id="91" name="Picture 2" descr="Canoas I  (UHE)">
          <a:extLst>
            <a:ext uri="{FF2B5EF4-FFF2-40B4-BE49-F238E27FC236}">
              <a16:creationId xmlns:a16="http://schemas.microsoft.com/office/drawing/2014/main" id="{D3763B8B-8A5B-45BD-996F-A96756E0E7B5}"/>
            </a:ext>
          </a:extLst>
        </xdr:cNvPr>
        <xdr:cNvPicPr>
          <a:picLocks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931896" y="12774281"/>
          <a:ext cx="1022400" cy="680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93524</xdr:colOff>
      <xdr:row>71</xdr:row>
      <xdr:rowOff>105098</xdr:rowOff>
    </xdr:from>
    <xdr:to>
      <xdr:col>6</xdr:col>
      <xdr:colOff>659569</xdr:colOff>
      <xdr:row>73</xdr:row>
      <xdr:rowOff>9359</xdr:rowOff>
    </xdr:to>
    <xdr:sp macro="" textlink="">
      <xdr:nvSpPr>
        <xdr:cNvPr id="92" name="Retângulo 174">
          <a:extLst>
            <a:ext uri="{FF2B5EF4-FFF2-40B4-BE49-F238E27FC236}">
              <a16:creationId xmlns:a16="http://schemas.microsoft.com/office/drawing/2014/main" id="{98B5596E-ED73-406D-B616-57B9878A8C23}"/>
            </a:ext>
          </a:extLst>
        </xdr:cNvPr>
        <xdr:cNvSpPr/>
      </xdr:nvSpPr>
      <xdr:spPr>
        <a:xfrm>
          <a:off x="3827324" y="12541573"/>
          <a:ext cx="2906020" cy="23446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Canoas I</a:t>
          </a:r>
        </a:p>
      </xdr:txBody>
    </xdr:sp>
    <xdr:clientData/>
  </xdr:twoCellAnchor>
  <xdr:twoCellAnchor>
    <xdr:from>
      <xdr:col>4</xdr:col>
      <xdr:colOff>194920</xdr:colOff>
      <xdr:row>76</xdr:row>
      <xdr:rowOff>19457</xdr:rowOff>
    </xdr:from>
    <xdr:to>
      <xdr:col>4</xdr:col>
      <xdr:colOff>878920</xdr:colOff>
      <xdr:row>77</xdr:row>
      <xdr:rowOff>36171</xdr:rowOff>
    </xdr:to>
    <xdr:sp macro="" textlink="">
      <xdr:nvSpPr>
        <xdr:cNvPr id="94" name="Retângulo 175">
          <a:extLst>
            <a:ext uri="{FF2B5EF4-FFF2-40B4-BE49-F238E27FC236}">
              <a16:creationId xmlns:a16="http://schemas.microsoft.com/office/drawing/2014/main" id="{B8DF8046-D567-4211-8352-310BCAB11ACC}"/>
            </a:ext>
          </a:extLst>
        </xdr:cNvPr>
        <xdr:cNvSpPr/>
      </xdr:nvSpPr>
      <xdr:spPr>
        <a:xfrm>
          <a:off x="3931895" y="13268732"/>
          <a:ext cx="680825" cy="178639"/>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1000" b="1">
              <a:solidFill>
                <a:srgbClr val="1C1C1C"/>
              </a:solidFill>
              <a:latin typeface="Votorantim Sans" panose="02010503030202050203" pitchFamily="2" charset="0"/>
            </a:rPr>
            <a:t>82,5 </a:t>
          </a:r>
          <a:r>
            <a:rPr lang="pt-BR" sz="800" b="1">
              <a:solidFill>
                <a:srgbClr val="1C1C1C"/>
              </a:solidFill>
              <a:latin typeface="Votorantim Sans" panose="02010503030202050203" pitchFamily="2" charset="0"/>
            </a:rPr>
            <a:t>MW</a:t>
          </a:r>
          <a:endParaRPr lang="en-US" sz="800" b="1">
            <a:solidFill>
              <a:srgbClr val="1C1C1C"/>
            </a:solidFill>
            <a:latin typeface="Votorantim Sans" panose="02010503030202050203" pitchFamily="2" charset="0"/>
          </a:endParaRPr>
        </a:p>
      </xdr:txBody>
    </xdr:sp>
    <xdr:clientData/>
  </xdr:twoCellAnchor>
  <xdr:oneCellAnchor>
    <xdr:from>
      <xdr:col>6</xdr:col>
      <xdr:colOff>83574</xdr:colOff>
      <xdr:row>73</xdr:row>
      <xdr:rowOff>7606</xdr:rowOff>
    </xdr:from>
    <xdr:ext cx="1022400" cy="680400"/>
    <xdr:pic>
      <xdr:nvPicPr>
        <xdr:cNvPr id="95" name="Picture 4" descr="Canoas II (UHE)">
          <a:extLst>
            <a:ext uri="{FF2B5EF4-FFF2-40B4-BE49-F238E27FC236}">
              <a16:creationId xmlns:a16="http://schemas.microsoft.com/office/drawing/2014/main" id="{8003153A-81BB-4871-8C55-469249947437}"/>
            </a:ext>
          </a:extLst>
        </xdr:cNvPr>
        <xdr:cNvPicPr>
          <a:picLocks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163699" y="12774281"/>
          <a:ext cx="1022400" cy="680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6</xdr:col>
      <xdr:colOff>30862</xdr:colOff>
      <xdr:row>71</xdr:row>
      <xdr:rowOff>117069</xdr:rowOff>
    </xdr:from>
    <xdr:to>
      <xdr:col>7</xdr:col>
      <xdr:colOff>447675</xdr:colOff>
      <xdr:row>73</xdr:row>
      <xdr:rowOff>21330</xdr:rowOff>
    </xdr:to>
    <xdr:sp macro="" textlink="">
      <xdr:nvSpPr>
        <xdr:cNvPr id="96" name="Retângulo 177">
          <a:extLst>
            <a:ext uri="{FF2B5EF4-FFF2-40B4-BE49-F238E27FC236}">
              <a16:creationId xmlns:a16="http://schemas.microsoft.com/office/drawing/2014/main" id="{87748F8A-9EEF-4BA1-AABF-DBFC17CB3C8F}"/>
            </a:ext>
          </a:extLst>
        </xdr:cNvPr>
        <xdr:cNvSpPr/>
      </xdr:nvSpPr>
      <xdr:spPr>
        <a:xfrm>
          <a:off x="6104637" y="12556719"/>
          <a:ext cx="1588388" cy="22811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Canoas II</a:t>
          </a:r>
        </a:p>
      </xdr:txBody>
    </xdr:sp>
    <xdr:clientData/>
  </xdr:twoCellAnchor>
  <xdr:twoCellAnchor>
    <xdr:from>
      <xdr:col>6</xdr:col>
      <xdr:colOff>83578</xdr:colOff>
      <xdr:row>76</xdr:row>
      <xdr:rowOff>19457</xdr:rowOff>
    </xdr:from>
    <xdr:to>
      <xdr:col>6</xdr:col>
      <xdr:colOff>767578</xdr:colOff>
      <xdr:row>77</xdr:row>
      <xdr:rowOff>36171</xdr:rowOff>
    </xdr:to>
    <xdr:sp macro="" textlink="">
      <xdr:nvSpPr>
        <xdr:cNvPr id="97" name="Retângulo 178">
          <a:extLst>
            <a:ext uri="{FF2B5EF4-FFF2-40B4-BE49-F238E27FC236}">
              <a16:creationId xmlns:a16="http://schemas.microsoft.com/office/drawing/2014/main" id="{D9B8F5CC-6B12-4312-802B-48B3652EF3EC}"/>
            </a:ext>
          </a:extLst>
        </xdr:cNvPr>
        <xdr:cNvSpPr/>
      </xdr:nvSpPr>
      <xdr:spPr>
        <a:xfrm>
          <a:off x="6163703" y="13268732"/>
          <a:ext cx="684000" cy="178639"/>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1C1C1C"/>
              </a:solidFill>
              <a:latin typeface="Votorantim Sans" panose="02010503030202050203" pitchFamily="2" charset="0"/>
            </a:rPr>
            <a:t>72 MW</a:t>
          </a:r>
          <a:endParaRPr lang="en-US" sz="800" b="1">
            <a:solidFill>
              <a:srgbClr val="1C1C1C"/>
            </a:solidFill>
            <a:latin typeface="Votorantim Sans" panose="02010503030202050203" pitchFamily="2" charset="0"/>
          </a:endParaRPr>
        </a:p>
      </xdr:txBody>
    </xdr:sp>
    <xdr:clientData/>
  </xdr:twoCellAnchor>
  <xdr:twoCellAnchor>
    <xdr:from>
      <xdr:col>4</xdr:col>
      <xdr:colOff>705528</xdr:colOff>
      <xdr:row>72</xdr:row>
      <xdr:rowOff>147583</xdr:rowOff>
    </xdr:from>
    <xdr:to>
      <xdr:col>6</xdr:col>
      <xdr:colOff>89641</xdr:colOff>
      <xdr:row>74</xdr:row>
      <xdr:rowOff>82621</xdr:rowOff>
    </xdr:to>
    <xdr:sp macro="" textlink="">
      <xdr:nvSpPr>
        <xdr:cNvPr id="98" name="CaixaDeTexto 114">
          <a:extLst>
            <a:ext uri="{FF2B5EF4-FFF2-40B4-BE49-F238E27FC236}">
              <a16:creationId xmlns:a16="http://schemas.microsoft.com/office/drawing/2014/main" id="{ADFA4144-06D4-424C-9DE0-B61A76048323}"/>
            </a:ext>
          </a:extLst>
        </xdr:cNvPr>
        <xdr:cNvSpPr txBox="1"/>
      </xdr:nvSpPr>
      <xdr:spPr>
        <a:xfrm>
          <a:off x="4439328" y="12745983"/>
          <a:ext cx="1724088" cy="265238"/>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BR" sz="1100" b="1">
              <a:solidFill>
                <a:schemeClr val="bg1"/>
              </a:solidFill>
              <a:effectLst>
                <a:outerShdw blurRad="38100" dist="38100" dir="2700000" algn="tl">
                  <a:srgbClr val="000000">
                    <a:alpha val="43137"/>
                  </a:srgbClr>
                </a:outerShdw>
              </a:effectLst>
              <a:latin typeface="Votorantim Sans" panose="02010503030202050203" pitchFamily="2" charset="0"/>
              <a:ea typeface="Verdana" panose="020B0604030504040204" pitchFamily="34" charset="0"/>
              <a:cs typeface="Arial" panose="020B0604020202020204" pitchFamily="34" charset="0"/>
            </a:rPr>
            <a:t>50%</a:t>
          </a:r>
          <a:endParaRPr lang="pt-BR" sz="1100">
            <a:solidFill>
              <a:schemeClr val="bg1"/>
            </a:solidFill>
            <a:effectLst>
              <a:outerShdw blurRad="38100" dist="38100" dir="2700000" algn="tl">
                <a:srgbClr val="000000">
                  <a:alpha val="43137"/>
                </a:srgbClr>
              </a:outerShdw>
            </a:effectLst>
          </a:endParaRPr>
        </a:p>
      </xdr:txBody>
    </xdr:sp>
    <xdr:clientData/>
  </xdr:twoCellAnchor>
  <xdr:twoCellAnchor>
    <xdr:from>
      <xdr:col>6</xdr:col>
      <xdr:colOff>594774</xdr:colOff>
      <xdr:row>72</xdr:row>
      <xdr:rowOff>147583</xdr:rowOff>
    </xdr:from>
    <xdr:to>
      <xdr:col>6</xdr:col>
      <xdr:colOff>1149101</xdr:colOff>
      <xdr:row>74</xdr:row>
      <xdr:rowOff>82621</xdr:rowOff>
    </xdr:to>
    <xdr:sp macro="" textlink="">
      <xdr:nvSpPr>
        <xdr:cNvPr id="99" name="CaixaDeTexto 115">
          <a:extLst>
            <a:ext uri="{FF2B5EF4-FFF2-40B4-BE49-F238E27FC236}">
              <a16:creationId xmlns:a16="http://schemas.microsoft.com/office/drawing/2014/main" id="{CA8608E3-C018-441B-BEED-6A7E96D957D5}"/>
            </a:ext>
          </a:extLst>
        </xdr:cNvPr>
        <xdr:cNvSpPr txBox="1"/>
      </xdr:nvSpPr>
      <xdr:spPr>
        <a:xfrm>
          <a:off x="6674899" y="12745983"/>
          <a:ext cx="554327" cy="265238"/>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BR" sz="1100" b="1">
              <a:solidFill>
                <a:schemeClr val="bg1"/>
              </a:solidFill>
              <a:effectLst>
                <a:outerShdw blurRad="38100" dist="38100" dir="2700000" algn="tl">
                  <a:srgbClr val="000000">
                    <a:alpha val="43137"/>
                  </a:srgbClr>
                </a:outerShdw>
              </a:effectLst>
              <a:latin typeface="Votorantim Sans" panose="02010503030202050203" pitchFamily="2" charset="0"/>
              <a:ea typeface="Verdana" panose="020B0604030504040204" pitchFamily="34" charset="0"/>
              <a:cs typeface="Arial" panose="020B0604020202020204" pitchFamily="34" charset="0"/>
            </a:rPr>
            <a:t>50%</a:t>
          </a:r>
          <a:endParaRPr lang="pt-BR" sz="1100">
            <a:solidFill>
              <a:schemeClr val="bg1"/>
            </a:solidFill>
            <a:effectLst>
              <a:outerShdw blurRad="38100" dist="38100" dir="2700000" algn="tl">
                <a:srgbClr val="000000">
                  <a:alpha val="43137"/>
                </a:srgbClr>
              </a:outerShdw>
            </a:effectLst>
          </a:endParaRPr>
        </a:p>
      </xdr:txBody>
    </xdr:sp>
    <xdr:clientData/>
  </xdr:twoCellAnchor>
  <xdr:oneCellAnchor>
    <xdr:from>
      <xdr:col>7</xdr:col>
      <xdr:colOff>1039445</xdr:colOff>
      <xdr:row>73</xdr:row>
      <xdr:rowOff>7606</xdr:rowOff>
    </xdr:from>
    <xdr:ext cx="1022400" cy="680400"/>
    <xdr:pic>
      <xdr:nvPicPr>
        <xdr:cNvPr id="100" name="Picture 10" descr="Machadinho (UHE)">
          <a:extLst>
            <a:ext uri="{FF2B5EF4-FFF2-40B4-BE49-F238E27FC236}">
              <a16:creationId xmlns:a16="http://schemas.microsoft.com/office/drawing/2014/main" id="{32F29339-CE5B-40C2-BC7B-9F8BD262FA13}"/>
            </a:ext>
          </a:extLst>
        </xdr:cNvPr>
        <xdr:cNvPicPr>
          <a:picLocks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b="14425"/>
        <a:stretch/>
      </xdr:blipFill>
      <xdr:spPr bwMode="auto">
        <a:xfrm>
          <a:off x="8284795" y="12774281"/>
          <a:ext cx="1022400" cy="680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1051036</xdr:colOff>
      <xdr:row>76</xdr:row>
      <xdr:rowOff>19457</xdr:rowOff>
    </xdr:from>
    <xdr:to>
      <xdr:col>8</xdr:col>
      <xdr:colOff>564822</xdr:colOff>
      <xdr:row>77</xdr:row>
      <xdr:rowOff>36171</xdr:rowOff>
    </xdr:to>
    <xdr:sp macro="" textlink="">
      <xdr:nvSpPr>
        <xdr:cNvPr id="101" name="Retângulo 182">
          <a:extLst>
            <a:ext uri="{FF2B5EF4-FFF2-40B4-BE49-F238E27FC236}">
              <a16:creationId xmlns:a16="http://schemas.microsoft.com/office/drawing/2014/main" id="{DCB77B49-F846-4BD3-8F1B-4425EB4BF01A}"/>
            </a:ext>
          </a:extLst>
        </xdr:cNvPr>
        <xdr:cNvSpPr/>
      </xdr:nvSpPr>
      <xdr:spPr>
        <a:xfrm>
          <a:off x="8302736" y="13268732"/>
          <a:ext cx="679011" cy="178639"/>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1C1C1C"/>
              </a:solidFill>
              <a:latin typeface="Votorantim Sans" panose="02010503030202050203" pitchFamily="2" charset="0"/>
            </a:rPr>
            <a:t>1.140 MW</a:t>
          </a:r>
          <a:endParaRPr lang="en-US" sz="800" b="1">
            <a:solidFill>
              <a:srgbClr val="1C1C1C"/>
            </a:solidFill>
            <a:latin typeface="Votorantim Sans" panose="02010503030202050203" pitchFamily="2" charset="0"/>
          </a:endParaRPr>
        </a:p>
      </xdr:txBody>
    </xdr:sp>
    <xdr:clientData/>
  </xdr:twoCellAnchor>
  <xdr:oneCellAnchor>
    <xdr:from>
      <xdr:col>8</xdr:col>
      <xdr:colOff>924490</xdr:colOff>
      <xdr:row>73</xdr:row>
      <xdr:rowOff>7606</xdr:rowOff>
    </xdr:from>
    <xdr:ext cx="1022400" cy="680400"/>
    <xdr:pic>
      <xdr:nvPicPr>
        <xdr:cNvPr id="102" name="Picture 12" descr="Barra Grande (UHE)">
          <a:extLst>
            <a:ext uri="{FF2B5EF4-FFF2-40B4-BE49-F238E27FC236}">
              <a16:creationId xmlns:a16="http://schemas.microsoft.com/office/drawing/2014/main" id="{102B005A-509E-4ED8-BECE-F1E72915B117}"/>
            </a:ext>
          </a:extLst>
        </xdr:cNvPr>
        <xdr:cNvPicPr>
          <a:picLocks noChangeArrowheads="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b="14188"/>
        <a:stretch/>
      </xdr:blipFill>
      <xdr:spPr bwMode="auto">
        <a:xfrm>
          <a:off x="9341415" y="12774281"/>
          <a:ext cx="1022400" cy="680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8</xdr:col>
      <xdr:colOff>920753</xdr:colOff>
      <xdr:row>76</xdr:row>
      <xdr:rowOff>19457</xdr:rowOff>
    </xdr:from>
    <xdr:to>
      <xdr:col>8</xdr:col>
      <xdr:colOff>1604753</xdr:colOff>
      <xdr:row>77</xdr:row>
      <xdr:rowOff>36171</xdr:rowOff>
    </xdr:to>
    <xdr:sp macro="" textlink="">
      <xdr:nvSpPr>
        <xdr:cNvPr id="103" name="Retângulo 184">
          <a:extLst>
            <a:ext uri="{FF2B5EF4-FFF2-40B4-BE49-F238E27FC236}">
              <a16:creationId xmlns:a16="http://schemas.microsoft.com/office/drawing/2014/main" id="{A9576755-1F29-4C9E-BE5E-7775D07C4C3F}"/>
            </a:ext>
          </a:extLst>
        </xdr:cNvPr>
        <xdr:cNvSpPr/>
      </xdr:nvSpPr>
      <xdr:spPr>
        <a:xfrm>
          <a:off x="9344028" y="13268732"/>
          <a:ext cx="684000" cy="178639"/>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1C1C1C"/>
              </a:solidFill>
              <a:latin typeface="Votorantim Sans" panose="02010503030202050203" pitchFamily="2" charset="0"/>
            </a:rPr>
            <a:t>690 MW</a:t>
          </a:r>
          <a:endParaRPr lang="en-US" sz="800" b="1">
            <a:solidFill>
              <a:srgbClr val="1C1C1C"/>
            </a:solidFill>
            <a:latin typeface="Votorantim Sans" panose="02010503030202050203" pitchFamily="2" charset="0"/>
          </a:endParaRPr>
        </a:p>
      </xdr:txBody>
    </xdr:sp>
    <xdr:clientData/>
  </xdr:twoCellAnchor>
  <xdr:twoCellAnchor>
    <xdr:from>
      <xdr:col>8</xdr:col>
      <xdr:colOff>835680</xdr:colOff>
      <xdr:row>71</xdr:row>
      <xdr:rowOff>118941</xdr:rowOff>
    </xdr:from>
    <xdr:to>
      <xdr:col>9</xdr:col>
      <xdr:colOff>54270</xdr:colOff>
      <xdr:row>73</xdr:row>
      <xdr:rowOff>23202</xdr:rowOff>
    </xdr:to>
    <xdr:sp macro="" textlink="">
      <xdr:nvSpPr>
        <xdr:cNvPr id="104" name="Retângulo 185">
          <a:extLst>
            <a:ext uri="{FF2B5EF4-FFF2-40B4-BE49-F238E27FC236}">
              <a16:creationId xmlns:a16="http://schemas.microsoft.com/office/drawing/2014/main" id="{BF6F4DB5-9BF9-4CF5-9AE9-8599B1FF614D}"/>
            </a:ext>
          </a:extLst>
        </xdr:cNvPr>
        <xdr:cNvSpPr/>
      </xdr:nvSpPr>
      <xdr:spPr>
        <a:xfrm>
          <a:off x="9255780" y="12561766"/>
          <a:ext cx="2485665" cy="22811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Barra Grande</a:t>
          </a:r>
        </a:p>
      </xdr:txBody>
    </xdr:sp>
    <xdr:clientData/>
  </xdr:twoCellAnchor>
  <xdr:twoCellAnchor>
    <xdr:from>
      <xdr:col>7</xdr:col>
      <xdr:colOff>946258</xdr:colOff>
      <xdr:row>71</xdr:row>
      <xdr:rowOff>114889</xdr:rowOff>
    </xdr:from>
    <xdr:to>
      <xdr:col>8</xdr:col>
      <xdr:colOff>901673</xdr:colOff>
      <xdr:row>73</xdr:row>
      <xdr:rowOff>19150</xdr:rowOff>
    </xdr:to>
    <xdr:sp macro="" textlink="">
      <xdr:nvSpPr>
        <xdr:cNvPr id="105" name="Retângulo 186">
          <a:extLst>
            <a:ext uri="{FF2B5EF4-FFF2-40B4-BE49-F238E27FC236}">
              <a16:creationId xmlns:a16="http://schemas.microsoft.com/office/drawing/2014/main" id="{611A9F52-64D0-40BA-B94E-495194A43CE0}"/>
            </a:ext>
          </a:extLst>
        </xdr:cNvPr>
        <xdr:cNvSpPr/>
      </xdr:nvSpPr>
      <xdr:spPr>
        <a:xfrm>
          <a:off x="8191608" y="12554539"/>
          <a:ext cx="1133340" cy="22811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Machadinho</a:t>
          </a:r>
        </a:p>
      </xdr:txBody>
    </xdr:sp>
    <xdr:clientData/>
  </xdr:twoCellAnchor>
  <xdr:oneCellAnchor>
    <xdr:from>
      <xdr:col>6</xdr:col>
      <xdr:colOff>1153246</xdr:colOff>
      <xdr:row>73</xdr:row>
      <xdr:rowOff>7606</xdr:rowOff>
    </xdr:from>
    <xdr:ext cx="1021091" cy="680400"/>
    <xdr:pic>
      <xdr:nvPicPr>
        <xdr:cNvPr id="106" name="Picture 6" descr="Salto Pilão (UHE)">
          <a:extLst>
            <a:ext uri="{FF2B5EF4-FFF2-40B4-BE49-F238E27FC236}">
              <a16:creationId xmlns:a16="http://schemas.microsoft.com/office/drawing/2014/main" id="{B4A40204-CD04-4407-8F2D-89CA343AAF0B}"/>
            </a:ext>
          </a:extLst>
        </xdr:cNvPr>
        <xdr:cNvPicPr>
          <a:picLocks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227021" y="12774281"/>
          <a:ext cx="1021091" cy="680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6</xdr:col>
      <xdr:colOff>1071915</xdr:colOff>
      <xdr:row>71</xdr:row>
      <xdr:rowOff>106305</xdr:rowOff>
    </xdr:from>
    <xdr:to>
      <xdr:col>7</xdr:col>
      <xdr:colOff>958400</xdr:colOff>
      <xdr:row>73</xdr:row>
      <xdr:rowOff>10566</xdr:rowOff>
    </xdr:to>
    <xdr:sp macro="" textlink="">
      <xdr:nvSpPr>
        <xdr:cNvPr id="107" name="Retângulo 188">
          <a:extLst>
            <a:ext uri="{FF2B5EF4-FFF2-40B4-BE49-F238E27FC236}">
              <a16:creationId xmlns:a16="http://schemas.microsoft.com/office/drawing/2014/main" id="{C98E7258-1F92-4979-9AC7-CC28A59F6423}"/>
            </a:ext>
          </a:extLst>
        </xdr:cNvPr>
        <xdr:cNvSpPr/>
      </xdr:nvSpPr>
      <xdr:spPr>
        <a:xfrm>
          <a:off x="7152040" y="12542780"/>
          <a:ext cx="1058060" cy="22811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Salto Pilão</a:t>
          </a:r>
        </a:p>
      </xdr:txBody>
    </xdr:sp>
    <xdr:clientData/>
  </xdr:twoCellAnchor>
  <xdr:twoCellAnchor>
    <xdr:from>
      <xdr:col>6</xdr:col>
      <xdr:colOff>1143760</xdr:colOff>
      <xdr:row>76</xdr:row>
      <xdr:rowOff>19457</xdr:rowOff>
    </xdr:from>
    <xdr:to>
      <xdr:col>7</xdr:col>
      <xdr:colOff>657545</xdr:colOff>
      <xdr:row>77</xdr:row>
      <xdr:rowOff>36171</xdr:rowOff>
    </xdr:to>
    <xdr:sp macro="" textlink="">
      <xdr:nvSpPr>
        <xdr:cNvPr id="108" name="Retângulo 189">
          <a:extLst>
            <a:ext uri="{FF2B5EF4-FFF2-40B4-BE49-F238E27FC236}">
              <a16:creationId xmlns:a16="http://schemas.microsoft.com/office/drawing/2014/main" id="{29C0B44F-2ECD-485F-AF1D-2EAD72E1D624}"/>
            </a:ext>
          </a:extLst>
        </xdr:cNvPr>
        <xdr:cNvSpPr/>
      </xdr:nvSpPr>
      <xdr:spPr>
        <a:xfrm>
          <a:off x="7220710" y="13268732"/>
          <a:ext cx="682185" cy="178639"/>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1C1C1C"/>
              </a:solidFill>
              <a:latin typeface="Votorantim Sans" panose="02010503030202050203" pitchFamily="2" charset="0"/>
            </a:rPr>
            <a:t>192 MW</a:t>
          </a:r>
          <a:endParaRPr lang="en-US" sz="800" b="1">
            <a:solidFill>
              <a:srgbClr val="1C1C1C"/>
            </a:solidFill>
            <a:latin typeface="Votorantim Sans" panose="02010503030202050203" pitchFamily="2" charset="0"/>
          </a:endParaRPr>
        </a:p>
      </xdr:txBody>
    </xdr:sp>
    <xdr:clientData/>
  </xdr:twoCellAnchor>
  <xdr:twoCellAnchor>
    <xdr:from>
      <xdr:col>7</xdr:col>
      <xdr:colOff>500387</xdr:colOff>
      <xdr:row>72</xdr:row>
      <xdr:rowOff>147583</xdr:rowOff>
    </xdr:from>
    <xdr:to>
      <xdr:col>7</xdr:col>
      <xdr:colOff>1054714</xdr:colOff>
      <xdr:row>74</xdr:row>
      <xdr:rowOff>82621</xdr:rowOff>
    </xdr:to>
    <xdr:sp macro="" textlink="">
      <xdr:nvSpPr>
        <xdr:cNvPr id="109" name="CaixaDeTexto 125">
          <a:extLst>
            <a:ext uri="{FF2B5EF4-FFF2-40B4-BE49-F238E27FC236}">
              <a16:creationId xmlns:a16="http://schemas.microsoft.com/office/drawing/2014/main" id="{688A62E2-A2CE-446C-86BF-5FA277EC5E8D}"/>
            </a:ext>
          </a:extLst>
        </xdr:cNvPr>
        <xdr:cNvSpPr txBox="1"/>
      </xdr:nvSpPr>
      <xdr:spPr>
        <a:xfrm>
          <a:off x="7752087" y="12745983"/>
          <a:ext cx="554327" cy="265238"/>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BR" sz="1100" b="1">
              <a:solidFill>
                <a:schemeClr val="bg1"/>
              </a:solidFill>
              <a:effectLst>
                <a:outerShdw blurRad="38100" dist="38100" dir="2700000" algn="tl">
                  <a:srgbClr val="000000">
                    <a:alpha val="43137"/>
                  </a:srgbClr>
                </a:outerShdw>
              </a:effectLst>
              <a:latin typeface="Votorantim Sans" panose="02010503030202050203" pitchFamily="2" charset="0"/>
              <a:ea typeface="Verdana" panose="020B0604030504040204" pitchFamily="34" charset="0"/>
              <a:cs typeface="Arial" panose="020B0604020202020204" pitchFamily="34" charset="0"/>
            </a:rPr>
            <a:t>60%</a:t>
          </a:r>
          <a:endParaRPr lang="pt-BR" sz="1100">
            <a:solidFill>
              <a:schemeClr val="bg1"/>
            </a:solidFill>
            <a:effectLst>
              <a:outerShdw blurRad="38100" dist="38100" dir="2700000" algn="tl">
                <a:srgbClr val="000000">
                  <a:alpha val="43137"/>
                </a:srgbClr>
              </a:outerShdw>
            </a:effectLst>
          </a:endParaRPr>
        </a:p>
      </xdr:txBody>
    </xdr:sp>
    <xdr:clientData/>
  </xdr:twoCellAnchor>
  <xdr:twoCellAnchor>
    <xdr:from>
      <xdr:col>8</xdr:col>
      <xdr:colOff>973717</xdr:colOff>
      <xdr:row>72</xdr:row>
      <xdr:rowOff>147583</xdr:rowOff>
    </xdr:from>
    <xdr:to>
      <xdr:col>8</xdr:col>
      <xdr:colOff>1928195</xdr:colOff>
      <xdr:row>74</xdr:row>
      <xdr:rowOff>82621</xdr:rowOff>
    </xdr:to>
    <xdr:sp macro="" textlink="">
      <xdr:nvSpPr>
        <xdr:cNvPr id="110" name="CaixaDeTexto 126">
          <a:extLst>
            <a:ext uri="{FF2B5EF4-FFF2-40B4-BE49-F238E27FC236}">
              <a16:creationId xmlns:a16="http://schemas.microsoft.com/office/drawing/2014/main" id="{C4733F2A-DBD2-47C8-A533-BC85FBBAC817}"/>
            </a:ext>
          </a:extLst>
        </xdr:cNvPr>
        <xdr:cNvSpPr txBox="1"/>
      </xdr:nvSpPr>
      <xdr:spPr>
        <a:xfrm>
          <a:off x="9393817" y="12745983"/>
          <a:ext cx="957653" cy="265238"/>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BR" sz="1100" b="1">
              <a:solidFill>
                <a:schemeClr val="bg1"/>
              </a:solidFill>
              <a:effectLst>
                <a:outerShdw blurRad="38100" dist="38100" dir="2700000" algn="tl">
                  <a:srgbClr val="000000">
                    <a:alpha val="43137"/>
                  </a:srgbClr>
                </a:outerShdw>
              </a:effectLst>
              <a:latin typeface="Votorantim Sans" panose="02010503030202050203" pitchFamily="2" charset="0"/>
              <a:ea typeface="Verdana" panose="020B0604030504040204" pitchFamily="34" charset="0"/>
              <a:cs typeface="Arial" panose="020B0604020202020204" pitchFamily="34" charset="0"/>
            </a:rPr>
            <a:t>15%</a:t>
          </a:r>
          <a:endParaRPr lang="pt-BR" sz="1100">
            <a:solidFill>
              <a:schemeClr val="bg1"/>
            </a:solidFill>
            <a:effectLst>
              <a:outerShdw blurRad="38100" dist="38100" dir="2700000" algn="tl">
                <a:srgbClr val="000000">
                  <a:alpha val="43137"/>
                </a:srgbClr>
              </a:outerShdw>
            </a:effectLst>
          </a:endParaRPr>
        </a:p>
      </xdr:txBody>
    </xdr:sp>
    <xdr:clientData/>
  </xdr:twoCellAnchor>
  <xdr:twoCellAnchor>
    <xdr:from>
      <xdr:col>8</xdr:col>
      <xdr:colOff>426224</xdr:colOff>
      <xdr:row>72</xdr:row>
      <xdr:rowOff>147583</xdr:rowOff>
    </xdr:from>
    <xdr:to>
      <xdr:col>8</xdr:col>
      <xdr:colOff>980551</xdr:colOff>
      <xdr:row>74</xdr:row>
      <xdr:rowOff>94643</xdr:rowOff>
    </xdr:to>
    <xdr:sp macro="" textlink="">
      <xdr:nvSpPr>
        <xdr:cNvPr id="111" name="CaixaDeTexto 127">
          <a:extLst>
            <a:ext uri="{FF2B5EF4-FFF2-40B4-BE49-F238E27FC236}">
              <a16:creationId xmlns:a16="http://schemas.microsoft.com/office/drawing/2014/main" id="{20B44057-F09D-48EB-B834-72409693993F}"/>
            </a:ext>
          </a:extLst>
        </xdr:cNvPr>
        <xdr:cNvSpPr txBox="1"/>
      </xdr:nvSpPr>
      <xdr:spPr>
        <a:xfrm>
          <a:off x="8849499" y="12745983"/>
          <a:ext cx="554327" cy="274085"/>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BR" sz="1100" b="1">
              <a:solidFill>
                <a:schemeClr val="bg1"/>
              </a:solidFill>
              <a:effectLst>
                <a:outerShdw blurRad="38100" dist="38100" dir="2700000" algn="tl">
                  <a:srgbClr val="000000">
                    <a:alpha val="43137"/>
                  </a:srgbClr>
                </a:outerShdw>
              </a:effectLst>
              <a:latin typeface="Votorantim Sans" panose="02010503030202050203" pitchFamily="2" charset="0"/>
              <a:ea typeface="Verdana" panose="020B0604030504040204" pitchFamily="34" charset="0"/>
              <a:cs typeface="Arial" panose="020B0604020202020204" pitchFamily="34" charset="0"/>
            </a:rPr>
            <a:t>29,2%</a:t>
          </a:r>
          <a:endParaRPr lang="pt-BR" sz="1100">
            <a:solidFill>
              <a:schemeClr val="bg1"/>
            </a:solidFill>
            <a:effectLst>
              <a:outerShdw blurRad="38100" dist="38100" dir="2700000" algn="tl">
                <a:srgbClr val="000000">
                  <a:alpha val="43137"/>
                </a:srgbClr>
              </a:outerShdw>
            </a:effectLst>
          </a:endParaRPr>
        </a:p>
      </xdr:txBody>
    </xdr:sp>
    <xdr:clientData/>
  </xdr:twoCellAnchor>
  <xdr:oneCellAnchor>
    <xdr:from>
      <xdr:col>8</xdr:col>
      <xdr:colOff>2046427</xdr:colOff>
      <xdr:row>73</xdr:row>
      <xdr:rowOff>7606</xdr:rowOff>
    </xdr:from>
    <xdr:ext cx="1059625" cy="680400"/>
    <xdr:pic>
      <xdr:nvPicPr>
        <xdr:cNvPr id="112" name="Picture 8" descr="Campos Novos (UHE)">
          <a:extLst>
            <a:ext uri="{FF2B5EF4-FFF2-40B4-BE49-F238E27FC236}">
              <a16:creationId xmlns:a16="http://schemas.microsoft.com/office/drawing/2014/main" id="{023E97FF-CFD3-4B05-BD79-E0CC561E8538}"/>
            </a:ext>
          </a:extLst>
        </xdr:cNvPr>
        <xdr:cNvPicPr>
          <a:picLocks noChangeAspect="1" noChangeArrowheads="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b="12439"/>
        <a:stretch/>
      </xdr:blipFill>
      <xdr:spPr bwMode="auto">
        <a:xfrm>
          <a:off x="10469702" y="12774281"/>
          <a:ext cx="1059625" cy="680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8</xdr:col>
      <xdr:colOff>2038163</xdr:colOff>
      <xdr:row>76</xdr:row>
      <xdr:rowOff>19457</xdr:rowOff>
    </xdr:from>
    <xdr:to>
      <xdr:col>9</xdr:col>
      <xdr:colOff>344441</xdr:colOff>
      <xdr:row>77</xdr:row>
      <xdr:rowOff>36171</xdr:rowOff>
    </xdr:to>
    <xdr:sp macro="" textlink="">
      <xdr:nvSpPr>
        <xdr:cNvPr id="113" name="Retângulo 194">
          <a:extLst>
            <a:ext uri="{FF2B5EF4-FFF2-40B4-BE49-F238E27FC236}">
              <a16:creationId xmlns:a16="http://schemas.microsoft.com/office/drawing/2014/main" id="{E3F91C15-1BCA-4C97-ACE1-D40CA42D8C96}"/>
            </a:ext>
          </a:extLst>
        </xdr:cNvPr>
        <xdr:cNvSpPr/>
      </xdr:nvSpPr>
      <xdr:spPr>
        <a:xfrm>
          <a:off x="10458263" y="13268732"/>
          <a:ext cx="1573353" cy="178639"/>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800" b="1">
              <a:solidFill>
                <a:srgbClr val="1C1C1C"/>
              </a:solidFill>
              <a:latin typeface="Votorantim Sans" panose="02010503030202050203" pitchFamily="2" charset="0"/>
            </a:rPr>
            <a:t>880 MW</a:t>
          </a:r>
          <a:endParaRPr lang="en-US" sz="800" b="1">
            <a:solidFill>
              <a:srgbClr val="1C1C1C"/>
            </a:solidFill>
            <a:latin typeface="Votorantim Sans" panose="02010503030202050203" pitchFamily="2" charset="0"/>
          </a:endParaRPr>
        </a:p>
      </xdr:txBody>
    </xdr:sp>
    <xdr:clientData/>
  </xdr:twoCellAnchor>
  <xdr:twoCellAnchor>
    <xdr:from>
      <xdr:col>8</xdr:col>
      <xdr:colOff>1942166</xdr:colOff>
      <xdr:row>71</xdr:row>
      <xdr:rowOff>111087</xdr:rowOff>
    </xdr:from>
    <xdr:to>
      <xdr:col>9</xdr:col>
      <xdr:colOff>1428457</xdr:colOff>
      <xdr:row>73</xdr:row>
      <xdr:rowOff>19736</xdr:rowOff>
    </xdr:to>
    <xdr:sp macro="" textlink="">
      <xdr:nvSpPr>
        <xdr:cNvPr id="114" name="Retângulo 195">
          <a:extLst>
            <a:ext uri="{FF2B5EF4-FFF2-40B4-BE49-F238E27FC236}">
              <a16:creationId xmlns:a16="http://schemas.microsoft.com/office/drawing/2014/main" id="{33BCCCCB-4739-452D-9ED0-E3B316EA14E5}"/>
            </a:ext>
          </a:extLst>
        </xdr:cNvPr>
        <xdr:cNvSpPr/>
      </xdr:nvSpPr>
      <xdr:spPr>
        <a:xfrm>
          <a:off x="10362266" y="12547562"/>
          <a:ext cx="2753366" cy="235674"/>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UHE Campos Novos</a:t>
          </a:r>
        </a:p>
      </xdr:txBody>
    </xdr:sp>
    <xdr:clientData/>
  </xdr:twoCellAnchor>
  <xdr:twoCellAnchor>
    <xdr:from>
      <xdr:col>9</xdr:col>
      <xdr:colOff>237551</xdr:colOff>
      <xdr:row>72</xdr:row>
      <xdr:rowOff>147583</xdr:rowOff>
    </xdr:from>
    <xdr:to>
      <xdr:col>9</xdr:col>
      <xdr:colOff>791878</xdr:colOff>
      <xdr:row>74</xdr:row>
      <xdr:rowOff>94643</xdr:rowOff>
    </xdr:to>
    <xdr:sp macro="" textlink="">
      <xdr:nvSpPr>
        <xdr:cNvPr id="115" name="CaixaDeTexto 131">
          <a:extLst>
            <a:ext uri="{FF2B5EF4-FFF2-40B4-BE49-F238E27FC236}">
              <a16:creationId xmlns:a16="http://schemas.microsoft.com/office/drawing/2014/main" id="{CEC7BAF6-13D5-47CF-A5C4-491AF622ECA4}"/>
            </a:ext>
          </a:extLst>
        </xdr:cNvPr>
        <xdr:cNvSpPr txBox="1"/>
      </xdr:nvSpPr>
      <xdr:spPr>
        <a:xfrm>
          <a:off x="11927901" y="12745983"/>
          <a:ext cx="547977" cy="274085"/>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BR" sz="1100" b="1">
              <a:solidFill>
                <a:schemeClr val="bg1"/>
              </a:solidFill>
              <a:effectLst>
                <a:outerShdw blurRad="38100" dist="38100" dir="2700000" algn="tl">
                  <a:srgbClr val="000000">
                    <a:alpha val="43137"/>
                  </a:srgbClr>
                </a:outerShdw>
              </a:effectLst>
              <a:latin typeface="Votorantim Sans" panose="02010503030202050203" pitchFamily="2" charset="0"/>
              <a:ea typeface="Verdana" panose="020B0604030504040204" pitchFamily="34" charset="0"/>
              <a:cs typeface="Arial" panose="020B0604020202020204" pitchFamily="34" charset="0"/>
            </a:rPr>
            <a:t>25,4%</a:t>
          </a:r>
          <a:endParaRPr lang="pt-BR" sz="1100">
            <a:solidFill>
              <a:schemeClr val="bg1"/>
            </a:solidFill>
            <a:effectLst>
              <a:outerShdw blurRad="38100" dist="38100" dir="2700000" algn="tl">
                <a:srgbClr val="000000">
                  <a:alpha val="43137"/>
                </a:srgbClr>
              </a:outerShdw>
            </a:effectLst>
          </a:endParaRPr>
        </a:p>
      </xdr:txBody>
    </xdr:sp>
    <xdr:clientData/>
  </xdr:twoCellAnchor>
  <xdr:twoCellAnchor>
    <xdr:from>
      <xdr:col>3</xdr:col>
      <xdr:colOff>463318</xdr:colOff>
      <xdr:row>67</xdr:row>
      <xdr:rowOff>77199</xdr:rowOff>
    </xdr:from>
    <xdr:to>
      <xdr:col>3</xdr:col>
      <xdr:colOff>540571</xdr:colOff>
      <xdr:row>67</xdr:row>
      <xdr:rowOff>161232</xdr:rowOff>
    </xdr:to>
    <xdr:sp macro="" textlink="">
      <xdr:nvSpPr>
        <xdr:cNvPr id="116" name="Elipse 198">
          <a:extLst>
            <a:ext uri="{FF2B5EF4-FFF2-40B4-BE49-F238E27FC236}">
              <a16:creationId xmlns:a16="http://schemas.microsoft.com/office/drawing/2014/main" id="{FD8067E5-261A-4DF8-BE80-0E980BC79128}"/>
            </a:ext>
          </a:extLst>
        </xdr:cNvPr>
        <xdr:cNvSpPr/>
      </xdr:nvSpPr>
      <xdr:spPr>
        <a:xfrm>
          <a:off x="3028718" y="11869149"/>
          <a:ext cx="77253" cy="87208"/>
        </a:xfrm>
        <a:prstGeom prst="ellipse">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endParaRPr lang="en-US">
            <a:solidFill>
              <a:srgbClr val="FFFFFF"/>
            </a:solidFill>
            <a:latin typeface="Calibri" panose="020F0502020204030204"/>
          </a:endParaRPr>
        </a:p>
      </xdr:txBody>
    </xdr:sp>
    <xdr:clientData/>
  </xdr:twoCellAnchor>
  <xdr:twoCellAnchor>
    <xdr:from>
      <xdr:col>3</xdr:col>
      <xdr:colOff>475042</xdr:colOff>
      <xdr:row>67</xdr:row>
      <xdr:rowOff>127998</xdr:rowOff>
    </xdr:from>
    <xdr:to>
      <xdr:col>3</xdr:col>
      <xdr:colOff>552295</xdr:colOff>
      <xdr:row>68</xdr:row>
      <xdr:rowOff>48745</xdr:rowOff>
    </xdr:to>
    <xdr:sp macro="" textlink="">
      <xdr:nvSpPr>
        <xdr:cNvPr id="117" name="Elipse 199">
          <a:extLst>
            <a:ext uri="{FF2B5EF4-FFF2-40B4-BE49-F238E27FC236}">
              <a16:creationId xmlns:a16="http://schemas.microsoft.com/office/drawing/2014/main" id="{948862B3-26AF-4159-9565-56BEDAAFC59B}"/>
            </a:ext>
          </a:extLst>
        </xdr:cNvPr>
        <xdr:cNvSpPr/>
      </xdr:nvSpPr>
      <xdr:spPr>
        <a:xfrm>
          <a:off x="3037267" y="11916773"/>
          <a:ext cx="77253" cy="82672"/>
        </a:xfrm>
        <a:prstGeom prst="ellipse">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endParaRPr lang="en-US">
            <a:solidFill>
              <a:srgbClr val="FFFFFF"/>
            </a:solidFill>
            <a:latin typeface="Calibri" panose="020F0502020204030204"/>
          </a:endParaRPr>
        </a:p>
      </xdr:txBody>
    </xdr:sp>
    <xdr:clientData/>
  </xdr:twoCellAnchor>
  <xdr:twoCellAnchor>
    <xdr:from>
      <xdr:col>3</xdr:col>
      <xdr:colOff>1080858</xdr:colOff>
      <xdr:row>70</xdr:row>
      <xdr:rowOff>65184</xdr:rowOff>
    </xdr:from>
    <xdr:to>
      <xdr:col>6</xdr:col>
      <xdr:colOff>476689</xdr:colOff>
      <xdr:row>71</xdr:row>
      <xdr:rowOff>132730</xdr:rowOff>
    </xdr:to>
    <xdr:sp macro="" textlink="">
      <xdr:nvSpPr>
        <xdr:cNvPr id="118" name="Retângulo 203">
          <a:extLst>
            <a:ext uri="{FF2B5EF4-FFF2-40B4-BE49-F238E27FC236}">
              <a16:creationId xmlns:a16="http://schemas.microsoft.com/office/drawing/2014/main" id="{EA892459-3B39-45E5-BED8-C86E83A3A2A4}"/>
            </a:ext>
          </a:extLst>
        </xdr:cNvPr>
        <xdr:cNvSpPr/>
      </xdr:nvSpPr>
      <xdr:spPr>
        <a:xfrm>
          <a:off x="3639908" y="12346084"/>
          <a:ext cx="2913731" cy="2262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CONSÓRCIOS</a:t>
          </a:r>
        </a:p>
      </xdr:txBody>
    </xdr:sp>
    <xdr:clientData/>
  </xdr:twoCellAnchor>
  <xdr:twoCellAnchor>
    <xdr:from>
      <xdr:col>2</xdr:col>
      <xdr:colOff>457201</xdr:colOff>
      <xdr:row>59</xdr:row>
      <xdr:rowOff>87313</xdr:rowOff>
    </xdr:from>
    <xdr:to>
      <xdr:col>2</xdr:col>
      <xdr:colOff>465138</xdr:colOff>
      <xdr:row>59</xdr:row>
      <xdr:rowOff>87313</xdr:rowOff>
    </xdr:to>
    <xdr:sp macro="" textlink="">
      <xdr:nvSpPr>
        <xdr:cNvPr id="119" name="Rectangle 81">
          <a:extLst>
            <a:ext uri="{FF2B5EF4-FFF2-40B4-BE49-F238E27FC236}">
              <a16:creationId xmlns:a16="http://schemas.microsoft.com/office/drawing/2014/main" id="{3146AF6A-752A-4DD6-BA91-A74844CFEC57}"/>
            </a:ext>
          </a:extLst>
        </xdr:cNvPr>
        <xdr:cNvSpPr>
          <a:spLocks noChangeAspect="1" noChangeArrowheads="1"/>
        </xdr:cNvSpPr>
      </xdr:nvSpPr>
      <xdr:spPr bwMode="gray">
        <a:xfrm>
          <a:off x="2352676" y="10580688"/>
          <a:ext cx="11112" cy="0"/>
        </a:xfrm>
        <a:prstGeom prst="rect">
          <a:avLst/>
        </a:prstGeom>
        <a:solidFill>
          <a:srgbClr val="C0C0C0"/>
        </a:solidFill>
        <a:ln w="9525">
          <a:solidFill>
            <a:srgbClr val="F8F8F8"/>
          </a:solidFill>
          <a:miter lim="800000"/>
          <a:headEnd/>
          <a:tailEnd/>
        </a:ln>
      </xdr:spPr>
      <xdr:txBody>
        <a:bodyPr wrap="square"/>
        <a:lstStyle>
          <a:defPPr>
            <a:defRPr lang="pt-BR"/>
          </a:defPPr>
          <a:lvl1pPr algn="l" defTabSz="711200" rtl="0" eaLnBrk="0" fontAlgn="base" hangingPunct="0">
            <a:spcBef>
              <a:spcPct val="0"/>
            </a:spcBef>
            <a:spcAft>
              <a:spcPct val="0"/>
            </a:spcAft>
            <a:defRPr sz="1400" kern="1200">
              <a:solidFill>
                <a:schemeClr val="tx1"/>
              </a:solidFill>
              <a:latin typeface="Zona pro light"/>
              <a:ea typeface="+mn-ea"/>
              <a:cs typeface="+mn-cs"/>
            </a:defRPr>
          </a:lvl1pPr>
          <a:lvl2pPr marL="355600" indent="101600" algn="l" defTabSz="711200" rtl="0" eaLnBrk="0" fontAlgn="base" hangingPunct="0">
            <a:spcBef>
              <a:spcPct val="0"/>
            </a:spcBef>
            <a:spcAft>
              <a:spcPct val="0"/>
            </a:spcAft>
            <a:defRPr sz="1400" kern="1200">
              <a:solidFill>
                <a:schemeClr val="tx1"/>
              </a:solidFill>
              <a:latin typeface="Zona pro light"/>
              <a:ea typeface="+mn-ea"/>
              <a:cs typeface="+mn-cs"/>
            </a:defRPr>
          </a:lvl2pPr>
          <a:lvl3pPr marL="711200" indent="203200" algn="l" defTabSz="711200" rtl="0" eaLnBrk="0" fontAlgn="base" hangingPunct="0">
            <a:spcBef>
              <a:spcPct val="0"/>
            </a:spcBef>
            <a:spcAft>
              <a:spcPct val="0"/>
            </a:spcAft>
            <a:defRPr sz="1400" kern="1200">
              <a:solidFill>
                <a:schemeClr val="tx1"/>
              </a:solidFill>
              <a:latin typeface="Zona pro light"/>
              <a:ea typeface="+mn-ea"/>
              <a:cs typeface="+mn-cs"/>
            </a:defRPr>
          </a:lvl3pPr>
          <a:lvl4pPr marL="1068388" indent="303213" algn="l" defTabSz="711200" rtl="0" eaLnBrk="0" fontAlgn="base" hangingPunct="0">
            <a:spcBef>
              <a:spcPct val="0"/>
            </a:spcBef>
            <a:spcAft>
              <a:spcPct val="0"/>
            </a:spcAft>
            <a:defRPr sz="1400" kern="1200">
              <a:solidFill>
                <a:schemeClr val="tx1"/>
              </a:solidFill>
              <a:latin typeface="Zona pro light"/>
              <a:ea typeface="+mn-ea"/>
              <a:cs typeface="+mn-cs"/>
            </a:defRPr>
          </a:lvl4pPr>
          <a:lvl5pPr marL="1423988" indent="404813" algn="l" defTabSz="711200" rtl="0" eaLnBrk="0" fontAlgn="base" hangingPunct="0">
            <a:spcBef>
              <a:spcPct val="0"/>
            </a:spcBef>
            <a:spcAft>
              <a:spcPct val="0"/>
            </a:spcAft>
            <a:defRPr sz="1400" kern="1200">
              <a:solidFill>
                <a:schemeClr val="tx1"/>
              </a:solidFill>
              <a:latin typeface="Zona pro light"/>
              <a:ea typeface="+mn-ea"/>
              <a:cs typeface="+mn-cs"/>
            </a:defRPr>
          </a:lvl5pPr>
          <a:lvl6pPr marL="2286000" algn="l" defTabSz="914400" rtl="0" eaLnBrk="1" latinLnBrk="0" hangingPunct="1">
            <a:defRPr sz="1400" kern="1200">
              <a:solidFill>
                <a:schemeClr val="tx1"/>
              </a:solidFill>
              <a:latin typeface="Zona pro light"/>
              <a:ea typeface="+mn-ea"/>
              <a:cs typeface="+mn-cs"/>
            </a:defRPr>
          </a:lvl6pPr>
          <a:lvl7pPr marL="2743200" algn="l" defTabSz="914400" rtl="0" eaLnBrk="1" latinLnBrk="0" hangingPunct="1">
            <a:defRPr sz="1400" kern="1200">
              <a:solidFill>
                <a:schemeClr val="tx1"/>
              </a:solidFill>
              <a:latin typeface="Zona pro light"/>
              <a:ea typeface="+mn-ea"/>
              <a:cs typeface="+mn-cs"/>
            </a:defRPr>
          </a:lvl7pPr>
          <a:lvl8pPr marL="3200400" algn="l" defTabSz="914400" rtl="0" eaLnBrk="1" latinLnBrk="0" hangingPunct="1">
            <a:defRPr sz="1400" kern="1200">
              <a:solidFill>
                <a:schemeClr val="tx1"/>
              </a:solidFill>
              <a:latin typeface="Zona pro light"/>
              <a:ea typeface="+mn-ea"/>
              <a:cs typeface="+mn-cs"/>
            </a:defRPr>
          </a:lvl8pPr>
          <a:lvl9pPr marL="3657600" algn="l" defTabSz="914400" rtl="0" eaLnBrk="1" latinLnBrk="0" hangingPunct="1">
            <a:defRPr sz="1400" kern="1200">
              <a:solidFill>
                <a:schemeClr val="tx1"/>
              </a:solidFill>
              <a:latin typeface="Zona pro light"/>
              <a:ea typeface="+mn-ea"/>
              <a:cs typeface="+mn-cs"/>
            </a:defRPr>
          </a:lvl9pPr>
        </a:lstStyle>
        <a:p>
          <a:pPr defTabSz="914355" fontAlgn="auto">
            <a:spcBef>
              <a:spcPts val="0"/>
            </a:spcBef>
            <a:spcAft>
              <a:spcPts val="0"/>
            </a:spcAft>
            <a:defRPr/>
          </a:pPr>
          <a:endParaRPr lang="en-US" sz="1350">
            <a:solidFill>
              <a:prstClr val="black"/>
            </a:solidFill>
          </a:endParaRPr>
        </a:p>
      </xdr:txBody>
    </xdr:sp>
    <xdr:clientData/>
  </xdr:twoCellAnchor>
  <xdr:twoCellAnchor editAs="oneCell">
    <xdr:from>
      <xdr:col>6</xdr:col>
      <xdr:colOff>613833</xdr:colOff>
      <xdr:row>53</xdr:row>
      <xdr:rowOff>21167</xdr:rowOff>
    </xdr:from>
    <xdr:to>
      <xdr:col>7</xdr:col>
      <xdr:colOff>467783</xdr:colOff>
      <xdr:row>57</xdr:row>
      <xdr:rowOff>116417</xdr:rowOff>
    </xdr:to>
    <xdr:pic>
      <xdr:nvPicPr>
        <xdr:cNvPr id="120" name="Picture 2" descr="Votorantim Energia inaugurou o complexo eólico Ventos do Piauí na divisa  com Pernambuco">
          <a:extLst>
            <a:ext uri="{FF2B5EF4-FFF2-40B4-BE49-F238E27FC236}">
              <a16:creationId xmlns:a16="http://schemas.microsoft.com/office/drawing/2014/main" id="{C9C40421-DBB4-40C8-8A6B-44A19AE7A617}"/>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6693958" y="9546167"/>
          <a:ext cx="1022349" cy="74295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476251</xdr:colOff>
      <xdr:row>53</xdr:row>
      <xdr:rowOff>137584</xdr:rowOff>
    </xdr:from>
    <xdr:to>
      <xdr:col>4</xdr:col>
      <xdr:colOff>553504</xdr:colOff>
      <xdr:row>54</xdr:row>
      <xdr:rowOff>58331</xdr:rowOff>
    </xdr:to>
    <xdr:sp macro="" textlink="">
      <xdr:nvSpPr>
        <xdr:cNvPr id="121" name="Elipse 152">
          <a:extLst>
            <a:ext uri="{FF2B5EF4-FFF2-40B4-BE49-F238E27FC236}">
              <a16:creationId xmlns:a16="http://schemas.microsoft.com/office/drawing/2014/main" id="{B729E462-1BF5-4731-A35F-621418EAAFD8}"/>
            </a:ext>
          </a:extLst>
        </xdr:cNvPr>
        <xdr:cNvSpPr/>
      </xdr:nvSpPr>
      <xdr:spPr>
        <a:xfrm>
          <a:off x="4210051" y="9665759"/>
          <a:ext cx="77253" cy="79497"/>
        </a:xfrm>
        <a:prstGeom prst="ellipse">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endParaRPr lang="en-US">
            <a:solidFill>
              <a:srgbClr val="FFFFFF"/>
            </a:solidFill>
            <a:latin typeface="Calibri" panose="020F0502020204030204"/>
          </a:endParaRPr>
        </a:p>
      </xdr:txBody>
    </xdr:sp>
    <xdr:clientData/>
  </xdr:twoCellAnchor>
  <xdr:twoCellAnchor>
    <xdr:from>
      <xdr:col>4</xdr:col>
      <xdr:colOff>539750</xdr:colOff>
      <xdr:row>54</xdr:row>
      <xdr:rowOff>21166</xdr:rowOff>
    </xdr:from>
    <xdr:to>
      <xdr:col>6</xdr:col>
      <xdr:colOff>592667</xdr:colOff>
      <xdr:row>54</xdr:row>
      <xdr:rowOff>24898</xdr:rowOff>
    </xdr:to>
    <xdr:cxnSp macro="">
      <xdr:nvCxnSpPr>
        <xdr:cNvPr id="122" name="Conector angulado 140">
          <a:extLst>
            <a:ext uri="{FF2B5EF4-FFF2-40B4-BE49-F238E27FC236}">
              <a16:creationId xmlns:a16="http://schemas.microsoft.com/office/drawing/2014/main" id="{BF961AF3-D396-4BA5-84FB-258BB1277449}"/>
            </a:ext>
          </a:extLst>
        </xdr:cNvPr>
        <xdr:cNvCxnSpPr>
          <a:cxnSpLocks/>
        </xdr:cNvCxnSpPr>
      </xdr:nvCxnSpPr>
      <xdr:spPr>
        <a:xfrm flipV="1">
          <a:off x="4276725" y="9708091"/>
          <a:ext cx="2392892" cy="6907"/>
        </a:xfrm>
        <a:prstGeom prst="bentConnector3">
          <a:avLst>
            <a:gd name="adj1"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539750</xdr:colOff>
      <xdr:row>50</xdr:row>
      <xdr:rowOff>21167</xdr:rowOff>
    </xdr:from>
    <xdr:to>
      <xdr:col>7</xdr:col>
      <xdr:colOff>826965</xdr:colOff>
      <xdr:row>53</xdr:row>
      <xdr:rowOff>59866</xdr:rowOff>
    </xdr:to>
    <xdr:sp macro="" textlink="">
      <xdr:nvSpPr>
        <xdr:cNvPr id="123" name="Retângulo 157">
          <a:extLst>
            <a:ext uri="{FF2B5EF4-FFF2-40B4-BE49-F238E27FC236}">
              <a16:creationId xmlns:a16="http://schemas.microsoft.com/office/drawing/2014/main" id="{97CE48C9-E06F-4C01-86C2-17657ED51E72}"/>
            </a:ext>
          </a:extLst>
        </xdr:cNvPr>
        <xdr:cNvSpPr/>
      </xdr:nvSpPr>
      <xdr:spPr>
        <a:xfrm>
          <a:off x="6619875" y="9060392"/>
          <a:ext cx="1458790" cy="524474"/>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Wind Complex</a:t>
          </a:r>
        </a:p>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Ventos</a:t>
          </a:r>
          <a:r>
            <a:rPr lang="pt-BR" sz="900" b="1" baseline="0">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 de Santo Anselmo and Santo Isidoro</a:t>
          </a:r>
          <a:endPar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endParaRPr>
        </a:p>
      </xdr:txBody>
    </xdr:sp>
    <xdr:clientData/>
  </xdr:twoCellAnchor>
  <xdr:twoCellAnchor>
    <xdr:from>
      <xdr:col>6</xdr:col>
      <xdr:colOff>1005417</xdr:colOff>
      <xdr:row>56</xdr:row>
      <xdr:rowOff>52917</xdr:rowOff>
    </xdr:from>
    <xdr:to>
      <xdr:col>7</xdr:col>
      <xdr:colOff>506167</xdr:colOff>
      <xdr:row>57</xdr:row>
      <xdr:rowOff>60054</xdr:rowOff>
    </xdr:to>
    <xdr:sp macro="" textlink="">
      <xdr:nvSpPr>
        <xdr:cNvPr id="124" name="Retângulo 171">
          <a:extLst>
            <a:ext uri="{FF2B5EF4-FFF2-40B4-BE49-F238E27FC236}">
              <a16:creationId xmlns:a16="http://schemas.microsoft.com/office/drawing/2014/main" id="{06A70E25-23ED-4A4E-91DB-D413F7D5382F}"/>
            </a:ext>
          </a:extLst>
        </xdr:cNvPr>
        <xdr:cNvSpPr/>
      </xdr:nvSpPr>
      <xdr:spPr>
        <a:xfrm>
          <a:off x="7079192" y="10060517"/>
          <a:ext cx="672325" cy="172237"/>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33" b="1">
              <a:solidFill>
                <a:srgbClr val="0070C0"/>
              </a:solidFill>
              <a:latin typeface="Votorantim Sans" panose="02010503030202050203" pitchFamily="2" charset="0"/>
            </a:rPr>
            <a:t>171,6 MW</a:t>
          </a:r>
          <a:endParaRPr lang="en-US" sz="733" b="1">
            <a:solidFill>
              <a:srgbClr val="0070C0"/>
            </a:solidFill>
            <a:latin typeface="Votorantim Sans" panose="02010503030202050203" pitchFamily="2" charset="0"/>
          </a:endParaRPr>
        </a:p>
      </xdr:txBody>
    </xdr:sp>
    <xdr:clientData/>
  </xdr:twoCellAnchor>
  <xdr:twoCellAnchor>
    <xdr:from>
      <xdr:col>4</xdr:col>
      <xdr:colOff>939799</xdr:colOff>
      <xdr:row>53</xdr:row>
      <xdr:rowOff>84167</xdr:rowOff>
    </xdr:from>
    <xdr:to>
      <xdr:col>6</xdr:col>
      <xdr:colOff>273050</xdr:colOff>
      <xdr:row>53</xdr:row>
      <xdr:rowOff>84667</xdr:rowOff>
    </xdr:to>
    <xdr:cxnSp macro="">
      <xdr:nvCxnSpPr>
        <xdr:cNvPr id="127" name="Conector angulado 140">
          <a:extLst>
            <a:ext uri="{FF2B5EF4-FFF2-40B4-BE49-F238E27FC236}">
              <a16:creationId xmlns:a16="http://schemas.microsoft.com/office/drawing/2014/main" id="{896A4EA4-4DC2-491E-8FE5-568E0793B7AA}"/>
            </a:ext>
          </a:extLst>
        </xdr:cNvPr>
        <xdr:cNvCxnSpPr>
          <a:cxnSpLocks/>
        </xdr:cNvCxnSpPr>
      </xdr:nvCxnSpPr>
      <xdr:spPr>
        <a:xfrm>
          <a:off x="4676774" y="9612342"/>
          <a:ext cx="1676401" cy="500"/>
        </a:xfrm>
        <a:prstGeom prst="bentConnector3">
          <a:avLst>
            <a:gd name="adj1"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889000</xdr:colOff>
      <xdr:row>53</xdr:row>
      <xdr:rowOff>27515</xdr:rowOff>
    </xdr:from>
    <xdr:to>
      <xdr:col>4</xdr:col>
      <xdr:colOff>966253</xdr:colOff>
      <xdr:row>53</xdr:row>
      <xdr:rowOff>122887</xdr:rowOff>
    </xdr:to>
    <xdr:sp macro="" textlink="">
      <xdr:nvSpPr>
        <xdr:cNvPr id="128" name="Elipse 152">
          <a:extLst>
            <a:ext uri="{FF2B5EF4-FFF2-40B4-BE49-F238E27FC236}">
              <a16:creationId xmlns:a16="http://schemas.microsoft.com/office/drawing/2014/main" id="{39BDF38B-34DE-4C13-BB94-52CB233EBE0C}"/>
            </a:ext>
          </a:extLst>
        </xdr:cNvPr>
        <xdr:cNvSpPr/>
      </xdr:nvSpPr>
      <xdr:spPr>
        <a:xfrm>
          <a:off x="4619625" y="9555690"/>
          <a:ext cx="77253" cy="95372"/>
        </a:xfrm>
        <a:prstGeom prst="ellipse">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endParaRPr lang="en-US">
            <a:solidFill>
              <a:srgbClr val="FFFFFF"/>
            </a:solidFill>
            <a:latin typeface="Calibri" panose="020F0502020204030204"/>
          </a:endParaRPr>
        </a:p>
      </xdr:txBody>
    </xdr:sp>
    <xdr:clientData/>
  </xdr:twoCellAnchor>
  <xdr:twoCellAnchor>
    <xdr:from>
      <xdr:col>6</xdr:col>
      <xdr:colOff>269877</xdr:colOff>
      <xdr:row>47</xdr:row>
      <xdr:rowOff>17992</xdr:rowOff>
    </xdr:from>
    <xdr:to>
      <xdr:col>6</xdr:col>
      <xdr:colOff>273051</xdr:colOff>
      <xdr:row>53</xdr:row>
      <xdr:rowOff>88902</xdr:rowOff>
    </xdr:to>
    <xdr:cxnSp macro="">
      <xdr:nvCxnSpPr>
        <xdr:cNvPr id="129" name="Conector angulado 140">
          <a:extLst>
            <a:ext uri="{FF2B5EF4-FFF2-40B4-BE49-F238E27FC236}">
              <a16:creationId xmlns:a16="http://schemas.microsoft.com/office/drawing/2014/main" id="{141A92C8-D2C2-4157-B702-E06A0C299CEC}"/>
            </a:ext>
          </a:extLst>
        </xdr:cNvPr>
        <xdr:cNvCxnSpPr>
          <a:cxnSpLocks/>
        </xdr:cNvCxnSpPr>
      </xdr:nvCxnSpPr>
      <xdr:spPr>
        <a:xfrm rot="5400000" flipH="1" flipV="1">
          <a:off x="5831946" y="9089498"/>
          <a:ext cx="1039285" cy="3174"/>
        </a:xfrm>
        <a:prstGeom prst="bentConnector3">
          <a:avLst>
            <a:gd name="adj1"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873125</xdr:colOff>
      <xdr:row>42</xdr:row>
      <xdr:rowOff>63500</xdr:rowOff>
    </xdr:from>
    <xdr:to>
      <xdr:col>6</xdr:col>
      <xdr:colOff>886926</xdr:colOff>
      <xdr:row>47</xdr:row>
      <xdr:rowOff>30252</xdr:rowOff>
    </xdr:to>
    <xdr:pic>
      <xdr:nvPicPr>
        <xdr:cNvPr id="130" name="Imagem 129">
          <a:extLst>
            <a:ext uri="{FF2B5EF4-FFF2-40B4-BE49-F238E27FC236}">
              <a16:creationId xmlns:a16="http://schemas.microsoft.com/office/drawing/2014/main" id="{128D753E-41EE-46EE-A70E-A0A14536721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5778500" y="7810500"/>
          <a:ext cx="1185376" cy="773201"/>
        </a:xfrm>
        <a:prstGeom prst="rect">
          <a:avLst/>
        </a:prstGeom>
      </xdr:spPr>
    </xdr:pic>
    <xdr:clientData/>
  </xdr:twoCellAnchor>
  <xdr:twoCellAnchor>
    <xdr:from>
      <xdr:col>6</xdr:col>
      <xdr:colOff>203200</xdr:colOff>
      <xdr:row>46</xdr:row>
      <xdr:rowOff>48685</xdr:rowOff>
    </xdr:from>
    <xdr:to>
      <xdr:col>6</xdr:col>
      <xdr:colOff>891400</xdr:colOff>
      <xdr:row>47</xdr:row>
      <xdr:rowOff>49472</xdr:rowOff>
    </xdr:to>
    <xdr:sp macro="" textlink="">
      <xdr:nvSpPr>
        <xdr:cNvPr id="131" name="Retângulo 171">
          <a:extLst>
            <a:ext uri="{FF2B5EF4-FFF2-40B4-BE49-F238E27FC236}">
              <a16:creationId xmlns:a16="http://schemas.microsoft.com/office/drawing/2014/main" id="{F48820E0-F706-4A22-9470-EEAA319AC119}"/>
            </a:ext>
          </a:extLst>
        </xdr:cNvPr>
        <xdr:cNvSpPr/>
      </xdr:nvSpPr>
      <xdr:spPr>
        <a:xfrm>
          <a:off x="6276975" y="8437035"/>
          <a:ext cx="688200" cy="162712"/>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914377">
            <a:defRPr/>
          </a:pPr>
          <a:r>
            <a:rPr lang="pt-BR" sz="733" b="1">
              <a:solidFill>
                <a:srgbClr val="0070C0"/>
              </a:solidFill>
              <a:latin typeface="Votorantim Sans" panose="02010503030202050203" pitchFamily="2" charset="0"/>
            </a:rPr>
            <a:t>184,5 MW</a:t>
          </a:r>
          <a:endParaRPr lang="en-US" sz="733" b="1">
            <a:solidFill>
              <a:srgbClr val="0070C0"/>
            </a:solidFill>
            <a:latin typeface="Votorantim Sans" panose="02010503030202050203" pitchFamily="2" charset="0"/>
          </a:endParaRPr>
        </a:p>
      </xdr:txBody>
    </xdr:sp>
    <xdr:clientData/>
  </xdr:twoCellAnchor>
  <xdr:twoCellAnchor>
    <xdr:from>
      <xdr:col>5</xdr:col>
      <xdr:colOff>783166</xdr:colOff>
      <xdr:row>41</xdr:row>
      <xdr:rowOff>21166</xdr:rowOff>
    </xdr:from>
    <xdr:to>
      <xdr:col>7</xdr:col>
      <xdr:colOff>281516</xdr:colOff>
      <xdr:row>42</xdr:row>
      <xdr:rowOff>95621</xdr:rowOff>
    </xdr:to>
    <xdr:sp macro="" textlink="">
      <xdr:nvSpPr>
        <xdr:cNvPr id="132" name="Retângulo 117">
          <a:extLst>
            <a:ext uri="{FF2B5EF4-FFF2-40B4-BE49-F238E27FC236}">
              <a16:creationId xmlns:a16="http://schemas.microsoft.com/office/drawing/2014/main" id="{80259AD2-D795-418F-9BBA-FCEF77E48BC4}"/>
            </a:ext>
          </a:extLst>
        </xdr:cNvPr>
        <xdr:cNvSpPr/>
      </xdr:nvSpPr>
      <xdr:spPr>
        <a:xfrm>
          <a:off x="5688541" y="7603066"/>
          <a:ext cx="1838325" cy="23638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r>
            <a:rPr lang="pt-BR" sz="900" b="1">
              <a:solidFill>
                <a:srgbClr val="0000BF">
                  <a:lumMod val="50000"/>
                </a:srgbClr>
              </a:solidFill>
              <a:latin typeface="Votorantim Sans" panose="02010503030202050203" pitchFamily="2" charset="0"/>
              <a:ea typeface="Verdana" panose="020B0604030504040204" pitchFamily="34" charset="0"/>
              <a:cs typeface="Arial" panose="020B0604020202020204" pitchFamily="34" charset="0"/>
            </a:rPr>
            <a:t>Complex Eólico Serra do Tigre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30</xdr:col>
      <xdr:colOff>15875</xdr:colOff>
      <xdr:row>3</xdr:row>
      <xdr:rowOff>247650</xdr:rowOff>
    </xdr:to>
    <xdr:sp macro="" textlink="">
      <xdr:nvSpPr>
        <xdr:cNvPr id="13" name="Retângulo 6">
          <a:extLst>
            <a:ext uri="{FF2B5EF4-FFF2-40B4-BE49-F238E27FC236}">
              <a16:creationId xmlns:a16="http://schemas.microsoft.com/office/drawing/2014/main" id="{3414076C-4A96-48F4-9F5E-B20D735BBC08}"/>
            </a:ext>
          </a:extLst>
        </xdr:cNvPr>
        <xdr:cNvSpPr>
          <a:spLocks noChangeArrowheads="1"/>
        </xdr:cNvSpPr>
      </xdr:nvSpPr>
      <xdr:spPr bwMode="auto">
        <a:xfrm>
          <a:off x="0" y="0"/>
          <a:ext cx="8247063" cy="7397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19049</xdr:colOff>
      <xdr:row>2</xdr:row>
      <xdr:rowOff>93558</xdr:rowOff>
    </xdr:from>
    <xdr:ext cx="4291013" cy="296620"/>
    <xdr:sp macro="" textlink="">
      <xdr:nvSpPr>
        <xdr:cNvPr id="3" name="Text Box 1">
          <a:extLst>
            <a:ext uri="{FF2B5EF4-FFF2-40B4-BE49-F238E27FC236}">
              <a16:creationId xmlns:a16="http://schemas.microsoft.com/office/drawing/2014/main" id="{190FB6A2-D2B7-4CE6-95BB-9C737F59C97B}"/>
            </a:ext>
          </a:extLst>
        </xdr:cNvPr>
        <xdr:cNvSpPr txBox="1">
          <a:spLocks noChangeArrowheads="1"/>
        </xdr:cNvSpPr>
      </xdr:nvSpPr>
      <xdr:spPr bwMode="auto">
        <a:xfrm>
          <a:off x="173830" y="426933"/>
          <a:ext cx="4291013"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6.  Energy Result &amp; Power Balance</a:t>
          </a:r>
        </a:p>
      </xdr:txBody>
    </xdr:sp>
    <xdr:clientData/>
  </xdr:oneCellAnchor>
  <xdr:twoCellAnchor editAs="oneCell">
    <xdr:from>
      <xdr:col>1</xdr:col>
      <xdr:colOff>9525</xdr:colOff>
      <xdr:row>0</xdr:row>
      <xdr:rowOff>9525</xdr:rowOff>
    </xdr:from>
    <xdr:to>
      <xdr:col>1</xdr:col>
      <xdr:colOff>1275291</xdr:colOff>
      <xdr:row>2</xdr:row>
      <xdr:rowOff>133350</xdr:rowOff>
    </xdr:to>
    <xdr:pic>
      <xdr:nvPicPr>
        <xdr:cNvPr id="7" name="Picture 2">
          <a:extLst>
            <a:ext uri="{FF2B5EF4-FFF2-40B4-BE49-F238E27FC236}">
              <a16:creationId xmlns:a16="http://schemas.microsoft.com/office/drawing/2014/main" id="{FD982766-3F59-4644-A1A3-154A2B9FD3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525"/>
          <a:ext cx="1265766"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150812</xdr:colOff>
      <xdr:row>0</xdr:row>
      <xdr:rowOff>71437</xdr:rowOff>
    </xdr:from>
    <xdr:to>
      <xdr:col>36</xdr:col>
      <xdr:colOff>341313</xdr:colOff>
      <xdr:row>4</xdr:row>
      <xdr:rowOff>0</xdr:rowOff>
    </xdr:to>
    <xdr:grpSp>
      <xdr:nvGrpSpPr>
        <xdr:cNvPr id="4" name="Agrupar 4">
          <a:hlinkClick xmlns:r="http://schemas.openxmlformats.org/officeDocument/2006/relationships" r:id="rId2"/>
          <a:extLst>
            <a:ext uri="{FF2B5EF4-FFF2-40B4-BE49-F238E27FC236}">
              <a16:creationId xmlns:a16="http://schemas.microsoft.com/office/drawing/2014/main" id="{A7C73F7F-CF4E-49EB-86D1-611741178A9F}"/>
            </a:ext>
          </a:extLst>
        </xdr:cNvPr>
        <xdr:cNvGrpSpPr>
          <a:grpSpLocks/>
        </xdr:cNvGrpSpPr>
      </xdr:nvGrpSpPr>
      <xdr:grpSpPr bwMode="auto">
        <a:xfrm>
          <a:off x="12636500" y="71437"/>
          <a:ext cx="801688" cy="674688"/>
          <a:chOff x="11133666" y="131229"/>
          <a:chExt cx="928738" cy="609603"/>
        </a:xfrm>
      </xdr:grpSpPr>
      <xdr:sp macro="" textlink="">
        <xdr:nvSpPr>
          <xdr:cNvPr id="5" name="Seta: Curva para Cima 8" descr="Menu">
            <a:extLst>
              <a:ext uri="{FF2B5EF4-FFF2-40B4-BE49-F238E27FC236}">
                <a16:creationId xmlns:a16="http://schemas.microsoft.com/office/drawing/2014/main" id="{9C080B06-FD3C-6DC3-98BE-CFC7227B957E}"/>
              </a:ext>
            </a:extLst>
          </xdr:cNvPr>
          <xdr:cNvSpPr/>
        </xdr:nvSpPr>
        <xdr:spPr bwMode="auto">
          <a:xfrm rot="16200000">
            <a:off x="11182189" y="82706"/>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9">
            <a:extLst>
              <a:ext uri="{FF2B5EF4-FFF2-40B4-BE49-F238E27FC236}">
                <a16:creationId xmlns:a16="http://schemas.microsoft.com/office/drawing/2014/main" id="{3642C0EA-F42A-B319-1AF4-DF70CB1A7BE3}"/>
              </a:ext>
            </a:extLst>
          </xdr:cNvPr>
          <xdr:cNvSpPr txBox="1"/>
        </xdr:nvSpPr>
        <xdr:spPr>
          <a:xfrm rot="600355">
            <a:off x="11214426" y="207429"/>
            <a:ext cx="847978"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xdr:from>
      <xdr:col>1</xdr:col>
      <xdr:colOff>0</xdr:colOff>
      <xdr:row>46</xdr:row>
      <xdr:rowOff>0</xdr:rowOff>
    </xdr:from>
    <xdr:to>
      <xdr:col>19</xdr:col>
      <xdr:colOff>309563</xdr:colOff>
      <xdr:row>61</xdr:row>
      <xdr:rowOff>23812</xdr:rowOff>
    </xdr:to>
    <xdr:sp macro="" textlink="">
      <xdr:nvSpPr>
        <xdr:cNvPr id="2" name="CaixaDeTexto 1">
          <a:extLst>
            <a:ext uri="{FF2B5EF4-FFF2-40B4-BE49-F238E27FC236}">
              <a16:creationId xmlns:a16="http://schemas.microsoft.com/office/drawing/2014/main" id="{499868A1-92BB-433F-8584-52E675CB2CAF}"/>
            </a:ext>
          </a:extLst>
        </xdr:cNvPr>
        <xdr:cNvSpPr txBox="1"/>
      </xdr:nvSpPr>
      <xdr:spPr>
        <a:xfrm>
          <a:off x="154781" y="8262938"/>
          <a:ext cx="5595938" cy="2524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dk1"/>
              </a:solidFill>
              <a:effectLst/>
              <a:latin typeface="+mn-lt"/>
              <a:ea typeface="+mn-ea"/>
              <a:cs typeface="+mn-cs"/>
            </a:rPr>
            <a:t>¹ COGS without depreciation</a:t>
          </a:r>
        </a:p>
        <a:p>
          <a:endParaRPr lang="pt-BR" sz="1100">
            <a:solidFill>
              <a:schemeClr val="dk1"/>
            </a:solidFill>
            <a:effectLst/>
            <a:latin typeface="+mn-lt"/>
            <a:ea typeface="+mn-ea"/>
            <a:cs typeface="+mn-cs"/>
          </a:endParaRPr>
        </a:p>
        <a:p>
          <a:r>
            <a:rPr lang="pt-BR" sz="1100">
              <a:solidFill>
                <a:schemeClr val="dk1"/>
              </a:solidFill>
              <a:effectLst/>
              <a:latin typeface="+mn-lt"/>
              <a:ea typeface="+mn-ea"/>
              <a:cs typeface="+mn-cs"/>
            </a:rPr>
            <a:t>² </a:t>
          </a:r>
          <a:r>
            <a:rPr lang="pt-BR"/>
            <a:t>GSF and Energy Derivatives</a:t>
          </a:r>
          <a:endParaRPr lang="pt-BR" sz="1100">
            <a:solidFill>
              <a:schemeClr val="dk1"/>
            </a:solidFill>
            <a:effectLst/>
            <a:latin typeface="+mn-lt"/>
            <a:ea typeface="+mn-ea"/>
            <a:cs typeface="+mn-cs"/>
          </a:endParaRPr>
        </a:p>
        <a:p>
          <a:endParaRPr lang="pt-BR" sz="1100">
            <a:solidFill>
              <a:schemeClr val="dk1"/>
            </a:solidFill>
            <a:effectLst/>
            <a:latin typeface="+mn-lt"/>
            <a:ea typeface="+mn-ea"/>
            <a:cs typeface="+mn-cs"/>
          </a:endParaRPr>
        </a:p>
        <a:p>
          <a:r>
            <a:rPr lang="pt-BR" sz="1100">
              <a:solidFill>
                <a:schemeClr val="dk1"/>
              </a:solidFill>
              <a:effectLst/>
              <a:latin typeface="+mn-lt"/>
              <a:ea typeface="+mn-ea"/>
              <a:cs typeface="+mn-cs"/>
            </a:rPr>
            <a:t>³ </a:t>
          </a:r>
          <a:r>
            <a:rPr lang="pt-BR"/>
            <a:t>In July 2023, the Company designated this operation for hedge accounting as a cash flow hedge, aiming to protect against the risk of a mismatch between future dollarized revenue and the cost of acquiring electricity indexed to inflation. Therefore, the future Mark-to-Market (MtM) of this instrument will be classified under "Other Comprehensive Income" and will be reclassified to the income statement, following its hedged item when the swap is settled. The accumulated hedge accounting amount as of December 31, 2024, from "Other Comprehensive Income" to "Cost of Goods Sold and Services Rendered," was R$274 million.</a:t>
          </a:r>
          <a:endParaRPr lang="pt-BR" sz="1100">
            <a:solidFill>
              <a:schemeClr val="dk1"/>
            </a:solidFill>
            <a:effectLst/>
            <a:latin typeface="+mn-lt"/>
            <a:ea typeface="+mn-ea"/>
            <a:cs typeface="+mn-cs"/>
          </a:endParaRPr>
        </a:p>
        <a:p>
          <a:r>
            <a:rPr lang="pt-BR" sz="1100">
              <a:solidFill>
                <a:schemeClr val="dk1"/>
              </a:solidFill>
              <a:effectLst/>
              <a:latin typeface="+mn-lt"/>
              <a:ea typeface="+mn-ea"/>
              <a:cs typeface="+mn-cs"/>
            </a:rPr>
            <a:t> </a:t>
          </a:r>
        </a:p>
        <a:p>
          <a:r>
            <a:rPr lang="pt-BR" sz="1100" baseline="30000">
              <a:solidFill>
                <a:schemeClr val="dk1"/>
              </a:solidFill>
              <a:effectLst/>
              <a:latin typeface="+mn-lt"/>
              <a:ea typeface="+mn-ea"/>
              <a:cs typeface="+mn-cs"/>
            </a:rPr>
            <a:t>4 </a:t>
          </a:r>
          <a:r>
            <a:rPr lang="pt-BR" sz="1100">
              <a:solidFill>
                <a:schemeClr val="dk1"/>
              </a:solidFill>
              <a:effectLst/>
              <a:latin typeface="+mn-lt"/>
              <a:ea typeface="+mn-ea"/>
              <a:cs typeface="+mn-cs"/>
            </a:rPr>
            <a:t>Future Mark-to-Market (MtM)</a:t>
          </a:r>
          <a:r>
            <a:rPr lang="pt-BR" sz="1100" baseline="0">
              <a:solidFill>
                <a:schemeClr val="dk1"/>
              </a:solidFill>
              <a:effectLst/>
              <a:latin typeface="+mn-lt"/>
              <a:ea typeface="+mn-ea"/>
              <a:cs typeface="+mn-cs"/>
            </a:rPr>
            <a:t> and hedge accounting.</a:t>
          </a:r>
          <a:endParaRPr lang="pt-BR" sz="1100" baseline="30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9523</xdr:colOff>
      <xdr:row>0</xdr:row>
      <xdr:rowOff>0</xdr:rowOff>
    </xdr:from>
    <xdr:to>
      <xdr:col>34</xdr:col>
      <xdr:colOff>10583</xdr:colOff>
      <xdr:row>3</xdr:row>
      <xdr:rowOff>247650</xdr:rowOff>
    </xdr:to>
    <xdr:sp macro="" textlink="">
      <xdr:nvSpPr>
        <xdr:cNvPr id="2" name="Retângulo 6">
          <a:extLst>
            <a:ext uri="{FF2B5EF4-FFF2-40B4-BE49-F238E27FC236}">
              <a16:creationId xmlns:a16="http://schemas.microsoft.com/office/drawing/2014/main" id="{0CF30EAB-0A80-4B48-93BB-3E92CBA66630}"/>
            </a:ext>
          </a:extLst>
        </xdr:cNvPr>
        <xdr:cNvSpPr>
          <a:spLocks noChangeArrowheads="1"/>
        </xdr:cNvSpPr>
      </xdr:nvSpPr>
      <xdr:spPr bwMode="auto">
        <a:xfrm>
          <a:off x="9523" y="0"/>
          <a:ext cx="13600643" cy="72390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142450</xdr:colOff>
      <xdr:row>2</xdr:row>
      <xdr:rowOff>119226</xdr:rowOff>
    </xdr:from>
    <xdr:ext cx="1393908" cy="296620"/>
    <xdr:sp macro="" textlink="">
      <xdr:nvSpPr>
        <xdr:cNvPr id="3" name="Text Box 2">
          <a:extLst>
            <a:ext uri="{FF2B5EF4-FFF2-40B4-BE49-F238E27FC236}">
              <a16:creationId xmlns:a16="http://schemas.microsoft.com/office/drawing/2014/main" id="{20AE216D-01C4-4D3B-9E35-BA7270F2BEDD}"/>
            </a:ext>
          </a:extLst>
        </xdr:cNvPr>
        <xdr:cNvSpPr txBox="1">
          <a:spLocks noChangeArrowheads="1"/>
        </xdr:cNvSpPr>
      </xdr:nvSpPr>
      <xdr:spPr bwMode="auto">
        <a:xfrm>
          <a:off x="142450" y="452601"/>
          <a:ext cx="1393908"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7. Sales Volume</a:t>
          </a:r>
        </a:p>
      </xdr:txBody>
    </xdr:sp>
    <xdr:clientData/>
  </xdr:oneCellAnchor>
  <xdr:twoCellAnchor>
    <xdr:from>
      <xdr:col>34</xdr:col>
      <xdr:colOff>159104</xdr:colOff>
      <xdr:row>0</xdr:row>
      <xdr:rowOff>72672</xdr:rowOff>
    </xdr:from>
    <xdr:to>
      <xdr:col>35</xdr:col>
      <xdr:colOff>433565</xdr:colOff>
      <xdr:row>3</xdr:row>
      <xdr:rowOff>196497</xdr:rowOff>
    </xdr:to>
    <xdr:grpSp>
      <xdr:nvGrpSpPr>
        <xdr:cNvPr id="4" name="Agrupar 4">
          <a:hlinkClick xmlns:r="http://schemas.openxmlformats.org/officeDocument/2006/relationships" r:id="rId1"/>
          <a:extLst>
            <a:ext uri="{FF2B5EF4-FFF2-40B4-BE49-F238E27FC236}">
              <a16:creationId xmlns:a16="http://schemas.microsoft.com/office/drawing/2014/main" id="{9B4894DE-4A6F-46D3-8DE0-B7A5684AB07C}"/>
            </a:ext>
          </a:extLst>
        </xdr:cNvPr>
        <xdr:cNvGrpSpPr>
          <a:grpSpLocks/>
        </xdr:cNvGrpSpPr>
      </xdr:nvGrpSpPr>
      <xdr:grpSpPr bwMode="auto">
        <a:xfrm>
          <a:off x="10922354" y="72672"/>
          <a:ext cx="917399" cy="600075"/>
          <a:chOff x="11133666" y="131229"/>
          <a:chExt cx="928738" cy="609603"/>
        </a:xfrm>
      </xdr:grpSpPr>
      <xdr:sp macro="" textlink="">
        <xdr:nvSpPr>
          <xdr:cNvPr id="5" name="Seta: Curva para Cima 4" descr="Menu">
            <a:extLst>
              <a:ext uri="{FF2B5EF4-FFF2-40B4-BE49-F238E27FC236}">
                <a16:creationId xmlns:a16="http://schemas.microsoft.com/office/drawing/2014/main" id="{5E1C6438-43D9-4E10-8162-C5BA9854994C}"/>
              </a:ext>
            </a:extLst>
          </xdr:cNvPr>
          <xdr:cNvSpPr/>
        </xdr:nvSpPr>
        <xdr:spPr bwMode="auto">
          <a:xfrm rot="16200000">
            <a:off x="11182189" y="82706"/>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19C176AF-39FC-4874-B11D-A6AD55ED6938}"/>
              </a:ext>
            </a:extLst>
          </xdr:cNvPr>
          <xdr:cNvSpPr txBox="1"/>
        </xdr:nvSpPr>
        <xdr:spPr>
          <a:xfrm rot="600355">
            <a:off x="11214426" y="207429"/>
            <a:ext cx="847978"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0</xdr:rowOff>
    </xdr:from>
    <xdr:to>
      <xdr:col>1</xdr:col>
      <xdr:colOff>1321859</xdr:colOff>
      <xdr:row>2</xdr:row>
      <xdr:rowOff>114300</xdr:rowOff>
    </xdr:to>
    <xdr:pic>
      <xdr:nvPicPr>
        <xdr:cNvPr id="7" name="Picture 2">
          <a:extLst>
            <a:ext uri="{FF2B5EF4-FFF2-40B4-BE49-F238E27FC236}">
              <a16:creationId xmlns:a16="http://schemas.microsoft.com/office/drawing/2014/main" id="{2968650C-4E37-47F1-9792-B87B6F7954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0"/>
          <a:ext cx="131868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9524</xdr:colOff>
      <xdr:row>0</xdr:row>
      <xdr:rowOff>0</xdr:rowOff>
    </xdr:from>
    <xdr:to>
      <xdr:col>34</xdr:col>
      <xdr:colOff>11906</xdr:colOff>
      <xdr:row>4</xdr:row>
      <xdr:rowOff>85725</xdr:rowOff>
    </xdr:to>
    <xdr:sp macro="" textlink="">
      <xdr:nvSpPr>
        <xdr:cNvPr id="2" name="Retângulo 6">
          <a:extLst>
            <a:ext uri="{FF2B5EF4-FFF2-40B4-BE49-F238E27FC236}">
              <a16:creationId xmlns:a16="http://schemas.microsoft.com/office/drawing/2014/main" id="{A8FFB459-E418-4B17-9ACE-5BD7D09FBD3F}"/>
            </a:ext>
          </a:extLst>
        </xdr:cNvPr>
        <xdr:cNvSpPr>
          <a:spLocks noChangeArrowheads="1"/>
        </xdr:cNvSpPr>
      </xdr:nvSpPr>
      <xdr:spPr bwMode="auto">
        <a:xfrm>
          <a:off x="9524" y="0"/>
          <a:ext cx="14563726" cy="7524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66284</xdr:colOff>
      <xdr:row>2</xdr:row>
      <xdr:rowOff>92808</xdr:rowOff>
    </xdr:from>
    <xdr:ext cx="665182" cy="296620"/>
    <xdr:sp macro="" textlink="">
      <xdr:nvSpPr>
        <xdr:cNvPr id="3" name="Text Box 12">
          <a:extLst>
            <a:ext uri="{FF2B5EF4-FFF2-40B4-BE49-F238E27FC236}">
              <a16:creationId xmlns:a16="http://schemas.microsoft.com/office/drawing/2014/main" id="{5CE2BECE-2244-442E-978B-8F022FBD5A8E}"/>
            </a:ext>
          </a:extLst>
        </xdr:cNvPr>
        <xdr:cNvSpPr txBox="1">
          <a:spLocks noChangeArrowheads="1"/>
        </xdr:cNvSpPr>
      </xdr:nvSpPr>
      <xdr:spPr bwMode="auto">
        <a:xfrm>
          <a:off x="209159" y="426183"/>
          <a:ext cx="665182"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8. Debt</a:t>
          </a:r>
        </a:p>
      </xdr:txBody>
    </xdr:sp>
    <xdr:clientData/>
  </xdr:oneCellAnchor>
  <xdr:twoCellAnchor>
    <xdr:from>
      <xdr:col>34</xdr:col>
      <xdr:colOff>171451</xdr:colOff>
      <xdr:row>0</xdr:row>
      <xdr:rowOff>65616</xdr:rowOff>
    </xdr:from>
    <xdr:to>
      <xdr:col>35</xdr:col>
      <xdr:colOff>447675</xdr:colOff>
      <xdr:row>4</xdr:row>
      <xdr:rowOff>27516</xdr:rowOff>
    </xdr:to>
    <xdr:grpSp>
      <xdr:nvGrpSpPr>
        <xdr:cNvPr id="4" name="Agrupar 10">
          <a:hlinkClick xmlns:r="http://schemas.openxmlformats.org/officeDocument/2006/relationships" r:id="rId1"/>
          <a:extLst>
            <a:ext uri="{FF2B5EF4-FFF2-40B4-BE49-F238E27FC236}">
              <a16:creationId xmlns:a16="http://schemas.microsoft.com/office/drawing/2014/main" id="{75867EC7-2A7E-4525-9C43-F7A7A5CECC70}"/>
            </a:ext>
          </a:extLst>
        </xdr:cNvPr>
        <xdr:cNvGrpSpPr>
          <a:grpSpLocks/>
        </xdr:cNvGrpSpPr>
      </xdr:nvGrpSpPr>
      <xdr:grpSpPr bwMode="auto">
        <a:xfrm>
          <a:off x="11371264" y="65616"/>
          <a:ext cx="919161" cy="596900"/>
          <a:chOff x="11133666" y="131229"/>
          <a:chExt cx="928738" cy="609603"/>
        </a:xfrm>
      </xdr:grpSpPr>
      <xdr:sp macro="" textlink="">
        <xdr:nvSpPr>
          <xdr:cNvPr id="5" name="Seta: Curva para Cima 4" descr="Menu">
            <a:extLst>
              <a:ext uri="{FF2B5EF4-FFF2-40B4-BE49-F238E27FC236}">
                <a16:creationId xmlns:a16="http://schemas.microsoft.com/office/drawing/2014/main" id="{7C1D8392-5A76-4FD4-8C49-3859631E4A62}"/>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8FA4A81B-08AD-4811-ADDA-1377B293A025}"/>
              </a:ext>
            </a:extLst>
          </xdr:cNvPr>
          <xdr:cNvSpPr txBox="1"/>
        </xdr:nvSpPr>
        <xdr:spPr>
          <a:xfrm rot="600355">
            <a:off x="11213557" y="207429"/>
            <a:ext cx="848847"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66675</xdr:colOff>
      <xdr:row>0</xdr:row>
      <xdr:rowOff>9525</xdr:rowOff>
    </xdr:from>
    <xdr:to>
      <xdr:col>1</xdr:col>
      <xdr:colOff>1320800</xdr:colOff>
      <xdr:row>2</xdr:row>
      <xdr:rowOff>133350</xdr:rowOff>
    </xdr:to>
    <xdr:pic>
      <xdr:nvPicPr>
        <xdr:cNvPr id="7" name="Picture 2">
          <a:extLst>
            <a:ext uri="{FF2B5EF4-FFF2-40B4-BE49-F238E27FC236}">
              <a16:creationId xmlns:a16="http://schemas.microsoft.com/office/drawing/2014/main" id="{CF5EEBCE-9F83-452B-985B-7DCEBB703B0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9525"/>
          <a:ext cx="12573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otorantimindustrial.sharepoint.com/teams/ControladoriaeReporting/Documentos%20Compartilhados/RI/Planilha%20de%20Resultado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1 - Premissas"/>
      <sheetName val="2 - Processo Produtivo"/>
      <sheetName val="3 - ESG"/>
      <sheetName val="4 - Capacidades e Utilização"/>
      <sheetName val="5 - Energia"/>
      <sheetName val="Tabela RI &gt;&gt;"/>
      <sheetName val="Resultados CBA"/>
      <sheetName val="Planilha de resultados&gt;&gt;"/>
      <sheetName val="6 - DRE e Balanço Energia"/>
      <sheetName val="7 - Volume de Vendas Final"/>
      <sheetName val="8 - Dívida "/>
      <sheetName val="9 - Demonstrativos Financeiros"/>
      <sheetName val="10 - Resultados por negócio"/>
      <sheetName val="11 - Composição Custos"/>
      <sheetName val="12 - CAPEX"/>
      <sheetName val="13 - Ciclo Financeiro"/>
      <sheetName val="14 - FCL"/>
      <sheetName val="15 - DFC"/>
      <sheetName val="Quadros Release &gt;&gt;"/>
      <sheetName val="Performance"/>
      <sheetName val="Receita"/>
      <sheetName val="CPV"/>
      <sheetName val="EBITDA"/>
      <sheetName val="Res. Fin. "/>
      <sheetName val="Lucro Líquido"/>
      <sheetName val="Custo de Produção"/>
      <sheetName val="FCF"/>
      <sheetName val="Base de Dados&gt;&gt;"/>
      <sheetName val="Volume e receita"/>
      <sheetName val="Produto"/>
      <sheetName val="BP"/>
      <sheetName val="DRE"/>
      <sheetName val="SEGMENTADO"/>
      <sheetName val="DMPL"/>
      <sheetName val="Fluxo de caixa"/>
      <sheetName val="MI ME"/>
      <sheetName val="Fluxo de caixa_Build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B1">
            <v>0</v>
          </cell>
          <cell r="O1">
            <v>0</v>
          </cell>
        </row>
        <row r="2">
          <cell r="B2" t="str">
            <v xml:space="preserve">   Ativo</v>
          </cell>
          <cell r="O2">
            <v>46022</v>
          </cell>
        </row>
        <row r="3">
          <cell r="B3">
            <v>0</v>
          </cell>
        </row>
        <row r="4">
          <cell r="B4" t="str">
            <v>Circulante</v>
          </cell>
          <cell r="O4">
            <v>0</v>
          </cell>
        </row>
        <row r="5">
          <cell r="B5" t="str">
            <v>Caixa e equivalentes de caixa</v>
          </cell>
          <cell r="O5">
            <v>1268235</v>
          </cell>
        </row>
        <row r="6">
          <cell r="B6" t="str">
            <v>Aplicações financeiras</v>
          </cell>
          <cell r="O6">
            <v>57157</v>
          </cell>
        </row>
        <row r="7">
          <cell r="B7" t="str">
            <v>Instrumentos financeiros derivativos</v>
          </cell>
          <cell r="O7">
            <v>144522</v>
          </cell>
        </row>
        <row r="8">
          <cell r="B8" t="str">
            <v>Contas a receber de clientes</v>
          </cell>
          <cell r="O8">
            <v>632227</v>
          </cell>
        </row>
        <row r="9">
          <cell r="B9" t="str">
            <v>Estoques</v>
          </cell>
          <cell r="O9">
            <v>2046103</v>
          </cell>
        </row>
        <row r="10">
          <cell r="B10" t="str">
            <v>Tributos a recuperar</v>
          </cell>
          <cell r="O10">
            <v>225922</v>
          </cell>
        </row>
        <row r="11">
          <cell r="B11" t="str">
            <v xml:space="preserve">Dividendos a receber </v>
          </cell>
          <cell r="O11">
            <v>0</v>
          </cell>
        </row>
        <row r="12">
          <cell r="B12" t="str">
            <v>Outros ativos</v>
          </cell>
          <cell r="O12">
            <v>83672</v>
          </cell>
        </row>
        <row r="13">
          <cell r="B13">
            <v>0</v>
          </cell>
          <cell r="O13">
            <v>0</v>
          </cell>
        </row>
        <row r="14">
          <cell r="O14">
            <v>4457838</v>
          </cell>
        </row>
        <row r="15">
          <cell r="O15">
            <v>0</v>
          </cell>
        </row>
        <row r="16">
          <cell r="B16" t="str">
            <v>Ativos não circulantes mantidos para venda</v>
          </cell>
          <cell r="O16">
            <v>0</v>
          </cell>
        </row>
        <row r="17">
          <cell r="O17">
            <v>4457838</v>
          </cell>
        </row>
        <row r="18">
          <cell r="B18" t="str">
            <v>Não circulante</v>
          </cell>
          <cell r="O18">
            <v>0</v>
          </cell>
        </row>
        <row r="19">
          <cell r="B19" t="str">
            <v>Realizável a longo prazo</v>
          </cell>
          <cell r="O19">
            <v>0</v>
          </cell>
        </row>
        <row r="20">
          <cell r="B20" t="str">
            <v>Aplicações financeiras</v>
          </cell>
          <cell r="O20">
            <v>52087</v>
          </cell>
        </row>
        <row r="21">
          <cell r="B21" t="str">
            <v>Instrumentos financeiros derivativos</v>
          </cell>
          <cell r="O21">
            <v>401817</v>
          </cell>
        </row>
        <row r="22">
          <cell r="B22" t="str">
            <v>Tributos a recuperar</v>
          </cell>
          <cell r="O22">
            <v>603101</v>
          </cell>
        </row>
        <row r="23">
          <cell r="B23" t="str">
            <v xml:space="preserve">Imposto de renda e contribuição social diferidos </v>
          </cell>
          <cell r="O23">
            <v>563555</v>
          </cell>
        </row>
        <row r="24">
          <cell r="B24" t="str">
            <v>Partes relacionadas</v>
          </cell>
          <cell r="O24">
            <v>57072</v>
          </cell>
        </row>
        <row r="25">
          <cell r="B25" t="str">
            <v>Depósitos judiciais</v>
          </cell>
          <cell r="O25">
            <v>21651</v>
          </cell>
        </row>
        <row r="26">
          <cell r="B26" t="str">
            <v>Outros ativos</v>
          </cell>
          <cell r="O26">
            <v>54261</v>
          </cell>
        </row>
        <row r="27">
          <cell r="B27">
            <v>0</v>
          </cell>
          <cell r="O27">
            <v>0</v>
          </cell>
        </row>
        <row r="28">
          <cell r="O28">
            <v>1753544</v>
          </cell>
        </row>
        <row r="29">
          <cell r="B29">
            <v>0</v>
          </cell>
          <cell r="O29">
            <v>0</v>
          </cell>
        </row>
        <row r="30">
          <cell r="B30" t="str">
            <v>Investimentos</v>
          </cell>
          <cell r="O30">
            <v>232182</v>
          </cell>
        </row>
        <row r="31">
          <cell r="B31" t="str">
            <v>Imobilizado</v>
          </cell>
          <cell r="O31">
            <v>6448859</v>
          </cell>
        </row>
        <row r="32">
          <cell r="B32" t="str">
            <v>Intangível</v>
          </cell>
          <cell r="O32">
            <v>872825</v>
          </cell>
        </row>
        <row r="33">
          <cell r="B33" t="str">
            <v>Direito de uso</v>
          </cell>
          <cell r="O33">
            <v>200767</v>
          </cell>
        </row>
        <row r="34">
          <cell r="B34">
            <v>0</v>
          </cell>
          <cell r="O34">
            <v>0</v>
          </cell>
        </row>
        <row r="35">
          <cell r="B35">
            <v>0</v>
          </cell>
          <cell r="O35">
            <v>9508177</v>
          </cell>
        </row>
        <row r="36">
          <cell r="O36">
            <v>0</v>
          </cell>
        </row>
        <row r="37">
          <cell r="B37" t="str">
            <v>Total do ativo</v>
          </cell>
          <cell r="O37">
            <v>13966015</v>
          </cell>
        </row>
        <row r="38">
          <cell r="B38">
            <v>0</v>
          </cell>
        </row>
        <row r="39">
          <cell r="B39">
            <v>0</v>
          </cell>
        </row>
        <row r="40">
          <cell r="B40">
            <v>0</v>
          </cell>
        </row>
        <row r="41">
          <cell r="B41">
            <v>0</v>
          </cell>
        </row>
        <row r="42">
          <cell r="B42">
            <v>0</v>
          </cell>
        </row>
        <row r="43">
          <cell r="B43">
            <v>0</v>
          </cell>
        </row>
        <row r="44">
          <cell r="B44">
            <v>0</v>
          </cell>
        </row>
        <row r="45">
          <cell r="B45">
            <v>0</v>
          </cell>
          <cell r="O45" t="str">
            <v>Consolidado</v>
          </cell>
        </row>
        <row r="46">
          <cell r="B46" t="str">
            <v>Passivo e patrimônio líquido</v>
          </cell>
          <cell r="O46">
            <v>46022</v>
          </cell>
        </row>
        <row r="47">
          <cell r="O47">
            <v>0</v>
          </cell>
        </row>
        <row r="48">
          <cell r="B48" t="str">
            <v>Circulante</v>
          </cell>
          <cell r="O48">
            <v>0</v>
          </cell>
        </row>
        <row r="49">
          <cell r="B49" t="str">
            <v>Fornecedores</v>
          </cell>
          <cell r="O49">
            <v>1086548</v>
          </cell>
        </row>
        <row r="50">
          <cell r="B50" t="str">
            <v>Risco sacado a pagar</v>
          </cell>
          <cell r="O50">
            <v>217879</v>
          </cell>
        </row>
        <row r="51">
          <cell r="B51" t="str">
            <v>Empréstimos, financiamentos e debêntures</v>
          </cell>
          <cell r="O51">
            <v>136193</v>
          </cell>
        </row>
        <row r="52">
          <cell r="B52" t="str">
            <v>Instrumentos financeiros derivativos</v>
          </cell>
          <cell r="O52">
            <v>138665</v>
          </cell>
        </row>
        <row r="53">
          <cell r="B53" t="str">
            <v>Arrendamentos</v>
          </cell>
          <cell r="O53">
            <v>50440</v>
          </cell>
        </row>
        <row r="54">
          <cell r="B54" t="str">
            <v>Salários e encargos sociais</v>
          </cell>
          <cell r="O54">
            <v>208167</v>
          </cell>
        </row>
        <row r="55">
          <cell r="B55" t="str">
            <v>Tributos a recolher</v>
          </cell>
          <cell r="O55">
            <v>59584</v>
          </cell>
        </row>
        <row r="56">
          <cell r="B56" t="str">
            <v>Adiantamento de clientes</v>
          </cell>
          <cell r="O56">
            <v>0</v>
          </cell>
        </row>
        <row r="57">
          <cell r="B57" t="str">
            <v>Dividendos a pagar</v>
          </cell>
          <cell r="O57">
            <v>47283</v>
          </cell>
        </row>
        <row r="58">
          <cell r="B58" t="str">
            <v>Uso do bem público - UBP</v>
          </cell>
          <cell r="O58">
            <v>83818</v>
          </cell>
        </row>
        <row r="59">
          <cell r="B59" t="str">
            <v>Contratos futuros de energia</v>
          </cell>
          <cell r="O59">
            <v>81009</v>
          </cell>
        </row>
        <row r="60">
          <cell r="B60" t="str">
            <v>Provisões judiciais</v>
          </cell>
          <cell r="O60">
            <v>158468</v>
          </cell>
        </row>
        <row r="61">
          <cell r="B61" t="str">
            <v>Obrigação para desmobilização de ativos e passivo ambiental</v>
          </cell>
          <cell r="O61">
            <v>51068</v>
          </cell>
        </row>
        <row r="62">
          <cell r="B62" t="str">
            <v>Outros passivos</v>
          </cell>
          <cell r="O62">
            <v>110235</v>
          </cell>
        </row>
        <row r="63">
          <cell r="O63">
            <v>0</v>
          </cell>
        </row>
        <row r="64">
          <cell r="B64">
            <v>0</v>
          </cell>
          <cell r="O64">
            <v>2429357</v>
          </cell>
        </row>
        <row r="65">
          <cell r="B65">
            <v>0</v>
          </cell>
          <cell r="O65">
            <v>0</v>
          </cell>
        </row>
        <row r="66">
          <cell r="B66" t="str">
            <v>Ativo disponível para venda</v>
          </cell>
          <cell r="O66">
            <v>0</v>
          </cell>
        </row>
        <row r="67">
          <cell r="B67">
            <v>0</v>
          </cell>
          <cell r="O67">
            <v>2429357</v>
          </cell>
        </row>
        <row r="68">
          <cell r="B68" t="str">
            <v>Não circulante</v>
          </cell>
          <cell r="O68">
            <v>0</v>
          </cell>
        </row>
        <row r="69">
          <cell r="B69" t="str">
            <v>Empréstimos e financiamentos</v>
          </cell>
          <cell r="O69">
            <v>4139337</v>
          </cell>
        </row>
        <row r="70">
          <cell r="B70" t="str">
            <v>Instrumentos financeiros derivativos</v>
          </cell>
          <cell r="O70">
            <v>588746</v>
          </cell>
        </row>
        <row r="71">
          <cell r="B71" t="str">
            <v>Arrendamentos</v>
          </cell>
          <cell r="O71">
            <v>168959</v>
          </cell>
        </row>
        <row r="72">
          <cell r="B72" t="str">
            <v>Partes relacionadas</v>
          </cell>
          <cell r="O72">
            <v>64488</v>
          </cell>
        </row>
        <row r="73">
          <cell r="B73" t="str">
            <v>Provisões judiciais</v>
          </cell>
          <cell r="O73">
            <v>319833</v>
          </cell>
        </row>
        <row r="74">
          <cell r="B74" t="str">
            <v>Uso do bem público - UBP</v>
          </cell>
          <cell r="O74">
            <v>959600</v>
          </cell>
        </row>
        <row r="75">
          <cell r="B75" t="str">
            <v>Provisão para perda em investidas</v>
          </cell>
          <cell r="O75">
            <v>0</v>
          </cell>
        </row>
        <row r="76">
          <cell r="B76" t="str">
            <v>Contratos futuros de energia</v>
          </cell>
          <cell r="O76">
            <v>176066</v>
          </cell>
        </row>
        <row r="77">
          <cell r="B77" t="str">
            <v xml:space="preserve">Imposto de renda e contribuição social diferidos </v>
          </cell>
          <cell r="O77">
            <v>11288</v>
          </cell>
        </row>
        <row r="78">
          <cell r="B78" t="str">
            <v>Obrigação para desmobilização de ativos e passivo ambiental</v>
          </cell>
          <cell r="O78">
            <v>478155</v>
          </cell>
        </row>
        <row r="79">
          <cell r="B79" t="str">
            <v>Outros passivos</v>
          </cell>
          <cell r="O79">
            <v>115678</v>
          </cell>
        </row>
        <row r="80">
          <cell r="B80">
            <v>0</v>
          </cell>
          <cell r="O80">
            <v>0</v>
          </cell>
        </row>
        <row r="81">
          <cell r="B81">
            <v>0</v>
          </cell>
          <cell r="O81">
            <v>7022150</v>
          </cell>
        </row>
        <row r="82">
          <cell r="O82">
            <v>0</v>
          </cell>
        </row>
        <row r="83">
          <cell r="B83" t="str">
            <v>Total do passivo</v>
          </cell>
          <cell r="O83">
            <v>9451507</v>
          </cell>
        </row>
        <row r="84">
          <cell r="O84">
            <v>0</v>
          </cell>
        </row>
        <row r="85">
          <cell r="B85" t="str">
            <v xml:space="preserve">Patrimônio líquido </v>
          </cell>
          <cell r="O85">
            <v>0</v>
          </cell>
        </row>
        <row r="86">
          <cell r="B86" t="str">
            <v>Patrimônio líquido atribuído aos acionistas controladores</v>
          </cell>
          <cell r="O86">
            <v>4291888</v>
          </cell>
        </row>
        <row r="87">
          <cell r="B87">
            <v>0</v>
          </cell>
          <cell r="O87">
            <v>0</v>
          </cell>
        </row>
        <row r="88">
          <cell r="B88" t="str">
            <v>Participação dos acionistas não controladores</v>
          </cell>
          <cell r="O88">
            <v>222620</v>
          </cell>
        </row>
        <row r="89">
          <cell r="O89">
            <v>0</v>
          </cell>
        </row>
        <row r="90">
          <cell r="B90" t="str">
            <v>Total do patrimônio líquido</v>
          </cell>
          <cell r="O90">
            <v>4514508</v>
          </cell>
        </row>
        <row r="91">
          <cell r="O91">
            <v>0</v>
          </cell>
        </row>
        <row r="92">
          <cell r="B92" t="str">
            <v>Total do passivo e patrimônio líquido</v>
          </cell>
          <cell r="O92">
            <v>13966015</v>
          </cell>
        </row>
        <row r="94">
          <cell r="O94">
            <v>0</v>
          </cell>
        </row>
      </sheetData>
      <sheetData sheetId="32"/>
      <sheetData sheetId="33">
        <row r="3">
          <cell r="EH3">
            <v>487188</v>
          </cell>
        </row>
      </sheetData>
      <sheetData sheetId="34"/>
      <sheetData sheetId="35"/>
      <sheetData sheetId="36"/>
      <sheetData sheetId="3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1">
          <a:gsLst>
            <a:gs pos="0">
              <a:srgbClr val="EAEAEA"/>
            </a:gs>
            <a:gs pos="100000">
              <a:srgbClr val="CCCCFF"/>
            </a:gs>
          </a:gsLst>
          <a:lin ang="5400000" scaled="1"/>
        </a:gradFill>
        <a:ln w="9525" cap="flat" cmpd="sng" algn="ctr">
          <a:solidFill>
            <a:srgbClr val="96969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1">
          <a:gsLst>
            <a:gs pos="0">
              <a:srgbClr val="EAEAEA"/>
            </a:gs>
            <a:gs pos="100000">
              <a:srgbClr val="CCCCFF"/>
            </a:gs>
          </a:gsLst>
          <a:lin ang="5400000" scaled="1"/>
        </a:gradFill>
        <a:ln w="9525" cap="flat" cmpd="sng" algn="ctr">
          <a:solidFill>
            <a:srgbClr val="96969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ri.cba.com.br/en/cba/products-and-productive-processe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pageSetUpPr fitToPage="1"/>
  </sheetPr>
  <dimension ref="D1:R24"/>
  <sheetViews>
    <sheetView showGridLines="0" tabSelected="1" zoomScale="90" zoomScaleNormal="90" workbookViewId="0">
      <selection activeCell="T23" sqref="T23"/>
    </sheetView>
  </sheetViews>
  <sheetFormatPr defaultColWidth="9.21875" defaultRowHeight="13.2"/>
  <cols>
    <col min="1" max="2" width="9.21875" style="1"/>
    <col min="3" max="3" width="9.21875" style="1" customWidth="1"/>
    <col min="4" max="4" width="9.21875" style="1"/>
    <col min="5" max="5" width="10.5546875" style="1" customWidth="1"/>
    <col min="6" max="6" width="9.21875" style="1"/>
    <col min="7" max="7" width="7.77734375" style="1" customWidth="1"/>
    <col min="8" max="8" width="5.5546875" style="1" customWidth="1"/>
    <col min="9" max="9" width="6.77734375" style="1" customWidth="1"/>
    <col min="10" max="10" width="31" style="1" customWidth="1"/>
    <col min="11" max="16384" width="9.21875" style="1"/>
  </cols>
  <sheetData>
    <row r="1" spans="4:18" ht="15.6" customHeight="1">
      <c r="N1" s="13"/>
    </row>
    <row r="2" spans="4:18" ht="15.6" customHeight="1">
      <c r="Q2" s="6"/>
      <c r="R2" s="8"/>
    </row>
    <row r="3" spans="4:18" ht="15.6" customHeight="1">
      <c r="N3" s="17" t="s">
        <v>30</v>
      </c>
      <c r="P3" s="427" t="s">
        <v>380</v>
      </c>
      <c r="Q3" s="6"/>
      <c r="R3" s="8"/>
    </row>
    <row r="4" spans="4:18" ht="15.6" customHeight="1">
      <c r="Q4" s="6"/>
      <c r="R4" s="8"/>
    </row>
    <row r="5" spans="4:18" ht="15.6" customHeight="1">
      <c r="N5" s="14" t="s">
        <v>31</v>
      </c>
      <c r="O5" s="15"/>
      <c r="P5" s="7"/>
      <c r="Q5" s="6"/>
      <c r="R5" s="8"/>
    </row>
    <row r="6" spans="4:18" ht="15.6" customHeight="1">
      <c r="N6" s="14" t="s">
        <v>32</v>
      </c>
      <c r="O6" s="16"/>
      <c r="P6" s="7"/>
      <c r="Q6" s="6"/>
      <c r="R6" s="8"/>
    </row>
    <row r="7" spans="4:18" ht="15.6" customHeight="1">
      <c r="N7" s="14" t="s">
        <v>459</v>
      </c>
      <c r="O7" s="16"/>
      <c r="P7" s="7"/>
      <c r="Q7" s="6"/>
      <c r="R7" s="8"/>
    </row>
    <row r="8" spans="4:18" ht="15.6" customHeight="1">
      <c r="E8" s="2"/>
      <c r="N8" s="14" t="s">
        <v>441</v>
      </c>
      <c r="O8" s="16"/>
      <c r="P8" s="7"/>
      <c r="Q8" s="6"/>
      <c r="R8" s="8"/>
    </row>
    <row r="9" spans="4:18" ht="15.6" customHeight="1">
      <c r="E9" s="2"/>
      <c r="N9" s="14" t="s">
        <v>442</v>
      </c>
      <c r="O9" s="16"/>
      <c r="P9" s="7"/>
      <c r="Q9" s="6"/>
      <c r="R9" s="8"/>
    </row>
    <row r="10" spans="4:18" ht="15.6" customHeight="1">
      <c r="E10" s="2"/>
      <c r="N10" s="14" t="s">
        <v>503</v>
      </c>
      <c r="O10" s="14"/>
      <c r="P10" s="7"/>
      <c r="Q10" s="6"/>
      <c r="R10" s="9"/>
    </row>
    <row r="11" spans="4:18" ht="15.6" customHeight="1">
      <c r="E11" s="2"/>
      <c r="N11" s="14" t="s">
        <v>443</v>
      </c>
      <c r="O11" s="16"/>
      <c r="P11" s="7"/>
      <c r="Q11" s="11"/>
      <c r="R11" s="10"/>
    </row>
    <row r="12" spans="4:18" ht="15.6" customHeight="1">
      <c r="E12" s="2"/>
      <c r="N12" s="14" t="s">
        <v>444</v>
      </c>
      <c r="O12" s="15"/>
      <c r="P12" s="6"/>
      <c r="Q12" s="12"/>
      <c r="R12" s="10"/>
    </row>
    <row r="13" spans="4:18" ht="15">
      <c r="N13" s="14" t="s">
        <v>445</v>
      </c>
      <c r="O13" s="15"/>
      <c r="P13" s="6"/>
      <c r="Q13" s="12"/>
      <c r="R13" s="10"/>
    </row>
    <row r="14" spans="4:18" ht="15">
      <c r="N14" s="14" t="s">
        <v>446</v>
      </c>
      <c r="O14" s="12"/>
      <c r="P14" s="12"/>
      <c r="Q14" s="12"/>
      <c r="R14" s="10"/>
    </row>
    <row r="15" spans="4:18" ht="15">
      <c r="N15" s="14" t="s">
        <v>447</v>
      </c>
      <c r="O15" s="12"/>
      <c r="P15" s="12"/>
      <c r="Q15" s="12"/>
      <c r="R15" s="10"/>
    </row>
    <row r="16" spans="4:18" ht="15">
      <c r="D16" s="3"/>
      <c r="E16" s="4"/>
      <c r="J16" s="5"/>
      <c r="N16" s="14" t="s">
        <v>448</v>
      </c>
      <c r="O16" s="12"/>
      <c r="P16" s="12"/>
      <c r="Q16" s="12"/>
      <c r="R16" s="10"/>
    </row>
    <row r="17" spans="4:18" ht="15">
      <c r="D17" s="3"/>
      <c r="E17" s="4"/>
      <c r="J17" s="5"/>
      <c r="N17" s="14" t="s">
        <v>449</v>
      </c>
      <c r="O17" s="12"/>
      <c r="P17" s="12"/>
      <c r="Q17" s="12"/>
      <c r="R17" s="10"/>
    </row>
    <row r="18" spans="4:18" ht="15">
      <c r="D18" s="3"/>
      <c r="E18" s="4"/>
      <c r="J18" s="5"/>
      <c r="N18" s="14" t="s">
        <v>450</v>
      </c>
      <c r="O18" s="12"/>
      <c r="P18" s="12"/>
      <c r="Q18" s="12"/>
      <c r="R18" s="10"/>
    </row>
    <row r="19" spans="4:18" ht="15">
      <c r="D19" s="3"/>
      <c r="E19" s="4"/>
      <c r="J19" s="5"/>
      <c r="N19" s="14" t="s">
        <v>451</v>
      </c>
      <c r="O19" s="12"/>
      <c r="P19" s="12"/>
      <c r="Q19" s="12"/>
      <c r="R19" s="10"/>
    </row>
    <row r="24" spans="4:18">
      <c r="O24" s="427" t="s">
        <v>381</v>
      </c>
    </row>
  </sheetData>
  <phoneticPr fontId="0" type="noConversion"/>
  <hyperlinks>
    <hyperlink ref="N14" location="'10 - Results by Business'!A1" display="10.  Results by Business"/>
    <hyperlink ref="N13" location="'9 - Financial Statements'!A1" display="9.  Financial Statements "/>
    <hyperlink ref="N12" location="'8 - Debt'!A1" display="8.  Debt"/>
    <hyperlink ref="N11" location="'7 - Sales Volume'!A1" display="7.  Sales Volume"/>
    <hyperlink ref="N6" location="'2 - Value Chain'!A1" display="2.  Aluminum Value Chain"/>
    <hyperlink ref="N5" location="'1 - Assumptions'!Area_de_impressao" display="1.  Assumptions"/>
    <hyperlink ref="N16" location="'12 - CAPEX'!A1" display="12. CAPEX"/>
    <hyperlink ref="N15" location="'11 - Cost Breakdown'!A1" display="11.  Cost Breakdown"/>
    <hyperlink ref="N9" location="'5 - Energy'!A1" display="5.  Energy"/>
    <hyperlink ref="N17" location="'13 - Financial Cycle'!A1" display="13. Financial Cycle"/>
    <hyperlink ref="N18" location="'14 - FCF'!A1" display="14. Free Cash Flow"/>
    <hyperlink ref="N19" location="'15 - Cash Flow'!A1" display="15. Cash Flow"/>
    <hyperlink ref="N8" location="'4 - Capacity and Utilization'!A1" display="4.  Capacity and Utilization Rate"/>
    <hyperlink ref="N7" location="'3 - ESG'!A1" display="3.  ESG"/>
    <hyperlink ref="N10" location="'6 - Power Balance &amp; Result'!A1" display="6.  Power Balance &amp; Result"/>
  </hyperlinks>
  <pageMargins left="0.78740157480314965" right="0.78740157480314965" top="0.98425196850393704" bottom="0.98425196850393704" header="0.51181102362204722" footer="0.51181102362204722"/>
  <pageSetup paperSize="9" scale="5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113"/>
  <sheetViews>
    <sheetView showGridLines="0" topLeftCell="A93" zoomScale="80" zoomScaleNormal="80" workbookViewId="0">
      <selection activeCell="AH63" sqref="AH63"/>
    </sheetView>
  </sheetViews>
  <sheetFormatPr defaultColWidth="9.21875" defaultRowHeight="13.8" outlineLevelCol="2"/>
  <cols>
    <col min="1" max="1" width="2.21875" style="50" customWidth="1"/>
    <col min="2" max="2" width="66.21875" style="122" customWidth="1"/>
    <col min="3" max="19" width="9.21875" style="50" hidden="1" customWidth="1" outlineLevel="1"/>
    <col min="20" max="20" width="10.77734375" style="50" hidden="1" customWidth="1" outlineLevel="1"/>
    <col min="21" max="21" width="11.21875" style="50" hidden="1" customWidth="1" outlineLevel="1"/>
    <col min="22" max="22" width="10.77734375" style="50" hidden="1" customWidth="1" outlineLevel="1"/>
    <col min="23" max="23" width="10.77734375" style="50" bestFit="1" customWidth="1" collapsed="1"/>
    <col min="24" max="27" width="11.44140625" style="50" bestFit="1" customWidth="1"/>
    <col min="28" max="34" width="11.44140625" style="50" customWidth="1"/>
    <col min="35" max="35" width="12.21875" style="50" bestFit="1" customWidth="1"/>
    <col min="36" max="36" width="11.21875" style="50" bestFit="1" customWidth="1"/>
    <col min="37" max="41" width="0" style="50" hidden="1" customWidth="1" outlineLevel="2"/>
    <col min="42" max="42" width="9.21875" style="50" collapsed="1"/>
    <col min="43" max="43" width="9.21875" style="50"/>
    <col min="44" max="44" width="11.44140625" style="50" bestFit="1" customWidth="1"/>
    <col min="45" max="16384" width="9.21875" style="50"/>
  </cols>
  <sheetData>
    <row r="1" spans="2:44">
      <c r="B1" s="50"/>
    </row>
    <row r="2" spans="2:44" ht="12.6" customHeight="1">
      <c r="B2" s="50"/>
    </row>
    <row r="3" spans="2:44" ht="19.5" customHeight="1">
      <c r="B3" s="50"/>
    </row>
    <row r="4" spans="2:44" ht="34.5" customHeight="1">
      <c r="B4" s="97"/>
    </row>
    <row r="5" spans="2:44" ht="20.25" customHeight="1" thickBot="1">
      <c r="B5" s="75" t="s">
        <v>197</v>
      </c>
      <c r="C5" s="76" t="s">
        <v>94</v>
      </c>
      <c r="D5" s="76" t="s">
        <v>95</v>
      </c>
      <c r="E5" s="76" t="s">
        <v>96</v>
      </c>
      <c r="F5" s="76" t="s">
        <v>97</v>
      </c>
      <c r="G5" s="76" t="s">
        <v>79</v>
      </c>
      <c r="H5" s="76" t="s">
        <v>80</v>
      </c>
      <c r="I5" s="76" t="s">
        <v>81</v>
      </c>
      <c r="J5" s="76" t="s">
        <v>82</v>
      </c>
      <c r="K5" s="76" t="s">
        <v>83</v>
      </c>
      <c r="L5" s="76" t="s">
        <v>84</v>
      </c>
      <c r="M5" s="76" t="s">
        <v>85</v>
      </c>
      <c r="N5" s="76" t="s">
        <v>86</v>
      </c>
      <c r="O5" s="76" t="s">
        <v>87</v>
      </c>
      <c r="P5" s="76" t="s">
        <v>88</v>
      </c>
      <c r="Q5" s="76" t="s">
        <v>89</v>
      </c>
      <c r="R5" s="76" t="s">
        <v>90</v>
      </c>
      <c r="S5" s="76" t="s">
        <v>91</v>
      </c>
      <c r="T5" s="76" t="s">
        <v>92</v>
      </c>
      <c r="U5" s="76" t="s">
        <v>93</v>
      </c>
      <c r="V5" s="321" t="s">
        <v>331</v>
      </c>
      <c r="W5" s="321" t="s">
        <v>341</v>
      </c>
      <c r="X5" s="321" t="s">
        <v>374</v>
      </c>
      <c r="Y5" s="321" t="s">
        <v>382</v>
      </c>
      <c r="Z5" s="321" t="s">
        <v>384</v>
      </c>
      <c r="AA5" s="321" t="s">
        <v>461</v>
      </c>
      <c r="AB5" s="321" t="s">
        <v>465</v>
      </c>
      <c r="AC5" s="321" t="s">
        <v>466</v>
      </c>
      <c r="AD5" s="321" t="s">
        <v>467</v>
      </c>
      <c r="AE5" s="321" t="s">
        <v>513</v>
      </c>
      <c r="AF5" s="321" t="s">
        <v>519</v>
      </c>
      <c r="AG5" s="321" t="s">
        <v>528</v>
      </c>
      <c r="AH5" s="321" t="s">
        <v>514</v>
      </c>
      <c r="AK5" s="76">
        <v>2018</v>
      </c>
      <c r="AL5" s="76">
        <v>2019</v>
      </c>
      <c r="AM5" s="76">
        <v>2020</v>
      </c>
      <c r="AN5" s="76">
        <v>2021</v>
      </c>
      <c r="AO5" s="76">
        <v>2022</v>
      </c>
      <c r="AP5" s="76">
        <v>2023</v>
      </c>
      <c r="AQ5" s="76">
        <v>2024</v>
      </c>
      <c r="AR5" s="76">
        <v>2025</v>
      </c>
    </row>
    <row r="6" spans="2:44" ht="9" customHeight="1" thickTop="1">
      <c r="B6" s="53"/>
    </row>
    <row r="7" spans="2:44" s="53" customFormat="1" ht="14.4" thickBot="1">
      <c r="B7" s="116" t="s">
        <v>126</v>
      </c>
      <c r="C7" s="322">
        <v>1165.088</v>
      </c>
      <c r="D7" s="322">
        <v>1316.9949999999999</v>
      </c>
      <c r="E7" s="322">
        <v>1438.836</v>
      </c>
      <c r="F7" s="322">
        <v>1496.5569999999993</v>
      </c>
      <c r="G7" s="322">
        <v>1327.079</v>
      </c>
      <c r="H7" s="322">
        <v>1365.954</v>
      </c>
      <c r="I7" s="322">
        <v>1313.2519999999995</v>
      </c>
      <c r="J7" s="322">
        <v>1257.3990000000013</v>
      </c>
      <c r="K7" s="322">
        <v>1252.7380000000001</v>
      </c>
      <c r="L7" s="322">
        <v>1101.9179999999999</v>
      </c>
      <c r="M7" s="322">
        <v>1485.6209999999999</v>
      </c>
      <c r="N7" s="322">
        <v>1571.105</v>
      </c>
      <c r="O7" s="322">
        <v>1792.8239999999998</v>
      </c>
      <c r="P7" s="322">
        <v>1913.0839999999996</v>
      </c>
      <c r="Q7" s="322">
        <v>2300.0440000000008</v>
      </c>
      <c r="R7" s="322">
        <v>2417.2279999999996</v>
      </c>
      <c r="S7" s="322">
        <v>2291.665</v>
      </c>
      <c r="T7" s="322">
        <v>2331</v>
      </c>
      <c r="U7" s="322">
        <v>2245</v>
      </c>
      <c r="V7" s="322">
        <v>1957</v>
      </c>
      <c r="W7" s="322">
        <v>1915.819</v>
      </c>
      <c r="X7" s="322">
        <v>1665</v>
      </c>
      <c r="Y7" s="322">
        <f>1864</f>
        <v>1864</v>
      </c>
      <c r="Z7" s="322">
        <v>1904</v>
      </c>
      <c r="AA7" s="322">
        <v>1693.866</v>
      </c>
      <c r="AB7" s="322">
        <v>2065</v>
      </c>
      <c r="AC7" s="322">
        <v>2135</v>
      </c>
      <c r="AD7" s="322">
        <v>2280</v>
      </c>
      <c r="AE7" s="322">
        <v>2338</v>
      </c>
      <c r="AF7" s="322">
        <v>2005</v>
      </c>
      <c r="AG7" s="322">
        <v>2252</v>
      </c>
      <c r="AH7" s="322">
        <v>2194</v>
      </c>
      <c r="AI7" s="50"/>
      <c r="AJ7" s="268"/>
      <c r="AK7" s="322">
        <v>5417.4759999999987</v>
      </c>
      <c r="AL7" s="322">
        <v>5263.6840000000011</v>
      </c>
      <c r="AM7" s="322">
        <v>5411.3819999999996</v>
      </c>
      <c r="AN7" s="322">
        <v>8423.18</v>
      </c>
      <c r="AO7" s="322">
        <v>8825</v>
      </c>
      <c r="AP7" s="322">
        <v>7348</v>
      </c>
      <c r="AQ7" s="322">
        <f>SUM(AA7:AD7)</f>
        <v>8173.866</v>
      </c>
      <c r="AR7" s="322">
        <f>SUM(AE7:AH7)</f>
        <v>8789</v>
      </c>
    </row>
    <row r="8" spans="2:44">
      <c r="B8" s="117" t="s">
        <v>127</v>
      </c>
      <c r="C8" s="265">
        <v>-946.53800000000001</v>
      </c>
      <c r="D8" s="265">
        <v>-1050.942</v>
      </c>
      <c r="E8" s="265">
        <v>-1173.325</v>
      </c>
      <c r="F8" s="265">
        <v>-1297.2389999999996</v>
      </c>
      <c r="G8" s="265">
        <v>-1119.2809999999999</v>
      </c>
      <c r="H8" s="265">
        <v>-1176.6790000000001</v>
      </c>
      <c r="I8" s="265">
        <v>-1171.9339999999997</v>
      </c>
      <c r="J8" s="265">
        <v>-1138.2230000000004</v>
      </c>
      <c r="K8" s="265">
        <v>-1104.5940000000001</v>
      </c>
      <c r="L8" s="265">
        <v>-1037.9650000000001</v>
      </c>
      <c r="M8" s="265">
        <v>-1296.9539999999997</v>
      </c>
      <c r="N8" s="265">
        <v>-1391.62</v>
      </c>
      <c r="O8" s="265">
        <v>-1349.038</v>
      </c>
      <c r="P8" s="265">
        <v>-1526.962</v>
      </c>
      <c r="Q8" s="265">
        <v>-1990</v>
      </c>
      <c r="R8" s="265">
        <v>-1933.4719999999998</v>
      </c>
      <c r="S8" s="265">
        <v>-1737.7149999999999</v>
      </c>
      <c r="T8" s="265">
        <v>-1669</v>
      </c>
      <c r="U8" s="265">
        <v>-1914</v>
      </c>
      <c r="V8" s="265">
        <v>-1854</v>
      </c>
      <c r="W8" s="265">
        <v>-1855.8040000000001</v>
      </c>
      <c r="X8" s="265">
        <v>-1638</v>
      </c>
      <c r="Y8" s="265">
        <v>-1881.5413870811994</v>
      </c>
      <c r="Z8" s="265">
        <v>-1896.3857931019252</v>
      </c>
      <c r="AA8" s="265">
        <v>-1615.4980535100001</v>
      </c>
      <c r="AB8" s="265">
        <v>-1807.5791571489756</v>
      </c>
      <c r="AC8" s="265">
        <v>-1772</v>
      </c>
      <c r="AD8" s="342">
        <v>-2120</v>
      </c>
      <c r="AE8" s="342">
        <v>-1912</v>
      </c>
      <c r="AF8" s="342">
        <v>-1986</v>
      </c>
      <c r="AG8" s="510">
        <v>-2053</v>
      </c>
      <c r="AH8" s="510">
        <v>-2095</v>
      </c>
      <c r="AJ8" s="269"/>
      <c r="AK8" s="265">
        <v>-4468.0439999999999</v>
      </c>
      <c r="AL8" s="265">
        <v>-4606.1170000000002</v>
      </c>
      <c r="AM8" s="265">
        <v>-4831.1329999999998</v>
      </c>
      <c r="AN8" s="265">
        <v>-6799.4719999999998</v>
      </c>
      <c r="AO8" s="265">
        <v>-7175.3649999999998</v>
      </c>
      <c r="AP8" s="265">
        <v>-7273</v>
      </c>
      <c r="AQ8" s="265">
        <f>SUM(AA8:AD8)</f>
        <v>-7315.0772106589757</v>
      </c>
      <c r="AR8" s="265">
        <f t="shared" ref="AR8" si="0">SUM(AE8:AH8)</f>
        <v>-8046</v>
      </c>
    </row>
    <row r="9" spans="2:44" s="53" customFormat="1" ht="14.4" thickBot="1">
      <c r="B9" s="116" t="s">
        <v>128</v>
      </c>
      <c r="C9" s="323">
        <v>218.54999999999995</v>
      </c>
      <c r="D9" s="323">
        <v>266.05299999999988</v>
      </c>
      <c r="E9" s="323">
        <v>265.51099999999997</v>
      </c>
      <c r="F9" s="323">
        <v>199.31799999999976</v>
      </c>
      <c r="G9" s="323">
        <v>207.798</v>
      </c>
      <c r="H9" s="323">
        <v>189.27499999999986</v>
      </c>
      <c r="I9" s="323">
        <v>141.31799999999976</v>
      </c>
      <c r="J9" s="323">
        <v>119.17600000000084</v>
      </c>
      <c r="K9" s="323">
        <v>148.14400000000001</v>
      </c>
      <c r="L9" s="323">
        <v>63.952999999999747</v>
      </c>
      <c r="M9" s="323">
        <v>188.66700000000014</v>
      </c>
      <c r="N9" s="323">
        <v>179.48500000000013</v>
      </c>
      <c r="O9" s="323">
        <v>443.78599999999983</v>
      </c>
      <c r="P9" s="323">
        <v>386.12199999999962</v>
      </c>
      <c r="Q9" s="323">
        <v>310.04400000000078</v>
      </c>
      <c r="R9" s="323">
        <v>483.75599999999986</v>
      </c>
      <c r="S9" s="323">
        <v>553.95000000000005</v>
      </c>
      <c r="T9" s="323">
        <v>662.21799999999985</v>
      </c>
      <c r="U9" s="323">
        <v>331</v>
      </c>
      <c r="V9" s="323">
        <v>103</v>
      </c>
      <c r="W9" s="323">
        <f t="shared" ref="W9:Y9" si="1">SUM(W7:W8)</f>
        <v>60.014999999999873</v>
      </c>
      <c r="X9" s="323">
        <f t="shared" si="1"/>
        <v>27</v>
      </c>
      <c r="Y9" s="323">
        <f t="shared" si="1"/>
        <v>-17.541387081199446</v>
      </c>
      <c r="Z9" s="323">
        <f t="shared" ref="Z9:AC9" si="2">SUM(Z7:Z8)</f>
        <v>7.6142068980748263</v>
      </c>
      <c r="AA9" s="323">
        <f t="shared" si="2"/>
        <v>78.367946489999895</v>
      </c>
      <c r="AB9" s="323">
        <f t="shared" si="2"/>
        <v>257.42084285102442</v>
      </c>
      <c r="AC9" s="323">
        <f t="shared" si="2"/>
        <v>363</v>
      </c>
      <c r="AD9" s="323">
        <f t="shared" ref="AD9" si="3">SUM(AD7:AD8)</f>
        <v>160</v>
      </c>
      <c r="AE9" s="323">
        <f t="shared" ref="AE9" si="4">SUM(AE7:AE8)</f>
        <v>426</v>
      </c>
      <c r="AF9" s="323">
        <v>19</v>
      </c>
      <c r="AG9" s="323">
        <f t="shared" ref="AG9:AH9" si="5">SUM(AG7:AG8)</f>
        <v>199</v>
      </c>
      <c r="AH9" s="323">
        <f t="shared" si="5"/>
        <v>99</v>
      </c>
      <c r="AI9" s="50"/>
      <c r="AJ9" s="268"/>
      <c r="AK9" s="323">
        <v>949.43199999999956</v>
      </c>
      <c r="AL9" s="323">
        <v>657.56700000000046</v>
      </c>
      <c r="AM9" s="323">
        <v>580.24900000000002</v>
      </c>
      <c r="AN9" s="323">
        <v>1623.7080000000001</v>
      </c>
      <c r="AO9" s="323">
        <v>1649.2619999999999</v>
      </c>
      <c r="AP9" s="323">
        <v>75</v>
      </c>
      <c r="AQ9" s="323">
        <f>SUM(AA9:AD9)</f>
        <v>858.78878934102431</v>
      </c>
      <c r="AR9" s="323">
        <f>SUM(AE9:AH9)</f>
        <v>743</v>
      </c>
    </row>
    <row r="10" spans="2:44" s="88" customFormat="1" ht="14.4">
      <c r="B10" s="119" t="s">
        <v>129</v>
      </c>
      <c r="C10" s="169">
        <v>0.18758239720948114</v>
      </c>
      <c r="D10" s="169">
        <v>0.20201519367955073</v>
      </c>
      <c r="E10" s="169">
        <v>0.18453180209558279</v>
      </c>
      <c r="F10" s="169">
        <v>0.13318436918874446</v>
      </c>
      <c r="G10" s="169">
        <v>0.15658299166816747</v>
      </c>
      <c r="H10" s="169">
        <v>0.1385661596217734</v>
      </c>
      <c r="I10" s="169">
        <v>0.10760920219424742</v>
      </c>
      <c r="J10" s="169">
        <v>9.4779779529012453E-2</v>
      </c>
      <c r="K10" s="169">
        <v>0.11825617168154874</v>
      </c>
      <c r="L10" s="169">
        <v>5.8037893926771097E-2</v>
      </c>
      <c r="M10" s="169">
        <v>0.12699537769054164</v>
      </c>
      <c r="N10" s="169">
        <v>0.11424125058477959</v>
      </c>
      <c r="O10" s="169">
        <v>0.24753461577935137</v>
      </c>
      <c r="P10" s="169">
        <v>0.20183222482651034</v>
      </c>
      <c r="Q10" s="169">
        <v>0.13479916036388898</v>
      </c>
      <c r="R10" s="169">
        <v>0.20012841155240629</v>
      </c>
      <c r="S10" s="169">
        <v>0.2417238121627725</v>
      </c>
      <c r="T10" s="169">
        <v>0.28406523971589098</v>
      </c>
      <c r="U10" s="169">
        <v>0.14743875278396437</v>
      </c>
      <c r="V10" s="169">
        <v>5.2631578947368418E-2</v>
      </c>
      <c r="W10" s="547">
        <f t="shared" ref="W10:AH10" si="6">W9/W7</f>
        <v>3.1326028189510531E-2</v>
      </c>
      <c r="X10" s="547">
        <f t="shared" si="6"/>
        <v>1.6216216216216217E-2</v>
      </c>
      <c r="Y10" s="547">
        <f t="shared" si="6"/>
        <v>-9.4106153869095745E-3</v>
      </c>
      <c r="Z10" s="547">
        <f t="shared" si="6"/>
        <v>3.999058244787199E-3</v>
      </c>
      <c r="AA10" s="547">
        <f t="shared" si="6"/>
        <v>4.62657296917229E-2</v>
      </c>
      <c r="AB10" s="547">
        <f t="shared" si="6"/>
        <v>0.12465900380194887</v>
      </c>
      <c r="AC10" s="547">
        <f t="shared" si="6"/>
        <v>0.17002341920374708</v>
      </c>
      <c r="AD10" s="547">
        <f t="shared" si="6"/>
        <v>7.0175438596491224E-2</v>
      </c>
      <c r="AE10" s="547">
        <f t="shared" si="6"/>
        <v>0.18220701454234389</v>
      </c>
      <c r="AF10" s="547">
        <f t="shared" si="6"/>
        <v>9.4763092269326676E-3</v>
      </c>
      <c r="AG10" s="547">
        <f t="shared" si="6"/>
        <v>8.8365896980461808E-2</v>
      </c>
      <c r="AH10" s="547">
        <f t="shared" si="6"/>
        <v>4.5123062898814952E-2</v>
      </c>
      <c r="AI10" s="50"/>
      <c r="AJ10" s="270"/>
      <c r="AK10" s="169">
        <v>0.17525356826684599</v>
      </c>
      <c r="AL10" s="169">
        <v>0.12492524247276249</v>
      </c>
      <c r="AM10" s="169">
        <v>0.1072275067625978</v>
      </c>
      <c r="AN10" s="169">
        <v>0.19276662733077057</v>
      </c>
      <c r="AO10" s="169">
        <v>0.18688521246458922</v>
      </c>
      <c r="AP10" s="169">
        <v>1.0206859009254219E-2</v>
      </c>
      <c r="AQ10" s="547">
        <f t="shared" ref="AQ10:AR10" si="7">AQ9/AQ7</f>
        <v>0.10506519061372235</v>
      </c>
      <c r="AR10" s="547">
        <f t="shared" si="7"/>
        <v>8.453749004437365E-2</v>
      </c>
    </row>
    <row r="11" spans="2:44" ht="14.4" thickBot="1">
      <c r="B11" s="120" t="s">
        <v>130</v>
      </c>
      <c r="C11" s="324">
        <v>-53.069999999999993</v>
      </c>
      <c r="D11" s="324">
        <v>30.466999999999999</v>
      </c>
      <c r="E11" s="324">
        <v>-110.545</v>
      </c>
      <c r="F11" s="324">
        <v>-135.26600000000002</v>
      </c>
      <c r="G11" s="324">
        <v>-74.996000000000009</v>
      </c>
      <c r="H11" s="324">
        <v>-38.573000000000008</v>
      </c>
      <c r="I11" s="324">
        <v>-124.23099999999999</v>
      </c>
      <c r="J11" s="324">
        <v>-189.935</v>
      </c>
      <c r="K11" s="324">
        <v>276.82800000000003</v>
      </c>
      <c r="L11" s="324">
        <v>-29.350999999999999</v>
      </c>
      <c r="M11" s="324">
        <v>-189.791</v>
      </c>
      <c r="N11" s="324">
        <v>-203.947</v>
      </c>
      <c r="O11" s="324">
        <v>-308.68799999999999</v>
      </c>
      <c r="P11" s="324">
        <v>42.943000000000026</v>
      </c>
      <c r="Q11" s="324">
        <v>-124.83699999999997</v>
      </c>
      <c r="R11" s="324">
        <v>108.08499999999998</v>
      </c>
      <c r="S11" s="324">
        <v>-157.304</v>
      </c>
      <c r="T11" s="324">
        <v>27</v>
      </c>
      <c r="U11" s="324">
        <v>-136</v>
      </c>
      <c r="V11" s="324">
        <v>-237.119</v>
      </c>
      <c r="W11" s="324">
        <f>SUM(W12:W14)</f>
        <v>44.015999999999991</v>
      </c>
      <c r="X11" s="324">
        <f t="shared" ref="X11:AB11" si="8">SUM(X12:X14)</f>
        <v>-240</v>
      </c>
      <c r="Y11" s="324">
        <f t="shared" si="8"/>
        <v>4.9840000000000373</v>
      </c>
      <c r="Z11" s="324">
        <f t="shared" si="8"/>
        <v>-838.58199999999999</v>
      </c>
      <c r="AA11" s="324">
        <f t="shared" si="8"/>
        <v>34.571999999999989</v>
      </c>
      <c r="AB11" s="324">
        <f t="shared" si="8"/>
        <v>-66</v>
      </c>
      <c r="AC11" s="324">
        <f t="shared" ref="AC11:AH11" si="9">SUM(AC12:AC14)</f>
        <v>-250</v>
      </c>
      <c r="AD11" s="324">
        <f t="shared" si="9"/>
        <v>-48</v>
      </c>
      <c r="AE11" s="324">
        <f t="shared" si="9"/>
        <v>40</v>
      </c>
      <c r="AF11" s="324">
        <f t="shared" si="9"/>
        <v>-108</v>
      </c>
      <c r="AG11" s="324">
        <f t="shared" si="9"/>
        <v>13</v>
      </c>
      <c r="AH11" s="324">
        <f t="shared" si="9"/>
        <v>-241</v>
      </c>
      <c r="AJ11" s="269"/>
      <c r="AK11" s="324">
        <v>-268.41399999999999</v>
      </c>
      <c r="AL11" s="324">
        <v>-427.73500000000001</v>
      </c>
      <c r="AM11" s="324">
        <v>-146.26099999999997</v>
      </c>
      <c r="AN11" s="324">
        <v>-282.49699999999996</v>
      </c>
      <c r="AO11" s="324">
        <v>-503.423</v>
      </c>
      <c r="AP11" s="324">
        <v>-1029.5819999999999</v>
      </c>
      <c r="AQ11" s="324">
        <f t="shared" ref="AQ11:AR11" si="10">SUM(AQ12:AQ14)</f>
        <v>-329.428</v>
      </c>
      <c r="AR11" s="324">
        <f t="shared" si="10"/>
        <v>-296</v>
      </c>
    </row>
    <row r="12" spans="2:44" s="122" customFormat="1">
      <c r="B12" s="121" t="s">
        <v>131</v>
      </c>
      <c r="C12" s="265">
        <v>-10.08</v>
      </c>
      <c r="D12" s="265">
        <v>-7.1549999999999994</v>
      </c>
      <c r="E12" s="265">
        <v>-8.8930000000000007</v>
      </c>
      <c r="F12" s="265">
        <v>-9.8239999999999981</v>
      </c>
      <c r="G12" s="265">
        <v>-13.499000000000001</v>
      </c>
      <c r="H12" s="265">
        <v>-8.1549999999999994</v>
      </c>
      <c r="I12" s="265">
        <v>-6.5579999999999998</v>
      </c>
      <c r="J12" s="265">
        <v>-7.7799999999999976</v>
      </c>
      <c r="K12" s="265">
        <v>-6.5439999999999996</v>
      </c>
      <c r="L12" s="265">
        <v>-6.9630000000000001</v>
      </c>
      <c r="M12" s="265">
        <v>-7.0750000000000011</v>
      </c>
      <c r="N12" s="265">
        <v>-16.537999999999997</v>
      </c>
      <c r="O12" s="265">
        <v>-7.8419999999999996</v>
      </c>
      <c r="P12" s="265">
        <v>-10.654</v>
      </c>
      <c r="Q12" s="265">
        <v>-12.286000000000001</v>
      </c>
      <c r="R12" s="265">
        <v>-11.487000000000002</v>
      </c>
      <c r="S12" s="265">
        <v>-10.968999999999999</v>
      </c>
      <c r="T12" s="265">
        <v>-12</v>
      </c>
      <c r="U12" s="265">
        <v>-15</v>
      </c>
      <c r="V12" s="265">
        <v>-11.146000000000001</v>
      </c>
      <c r="W12" s="265">
        <v>-12.417999999999999</v>
      </c>
      <c r="X12" s="265">
        <v>-11</v>
      </c>
      <c r="Y12" s="265">
        <f>-35-SUM(W12:X12)</f>
        <v>-11.582000000000001</v>
      </c>
      <c r="Z12" s="325">
        <v>-11.991999999999997</v>
      </c>
      <c r="AA12" s="325">
        <v>-11.242000000000001</v>
      </c>
      <c r="AB12" s="325">
        <v>-6</v>
      </c>
      <c r="AC12" s="325">
        <v>-12</v>
      </c>
      <c r="AD12" s="325">
        <v>-12</v>
      </c>
      <c r="AE12" s="325">
        <v>-11</v>
      </c>
      <c r="AF12" s="325">
        <v>-11</v>
      </c>
      <c r="AG12" s="325">
        <v>-12</v>
      </c>
      <c r="AH12" s="325">
        <v>-17</v>
      </c>
      <c r="AI12" s="50"/>
      <c r="AJ12" s="271"/>
      <c r="AK12" s="265">
        <v>-35.951999999999998</v>
      </c>
      <c r="AL12" s="265">
        <v>-35.991999999999997</v>
      </c>
      <c r="AM12" s="265">
        <v>-37.119999999999997</v>
      </c>
      <c r="AN12" s="265">
        <v>-42.269000000000005</v>
      </c>
      <c r="AO12" s="265">
        <v>-49.115000000000002</v>
      </c>
      <c r="AP12" s="265">
        <v>-46.991999999999997</v>
      </c>
      <c r="AQ12" s="265">
        <f>SUM(AA12:AD12)</f>
        <v>-41.242000000000004</v>
      </c>
      <c r="AR12" s="265">
        <f t="shared" ref="AR12:AR34" si="11">SUM(AE12:AH12)</f>
        <v>-51</v>
      </c>
    </row>
    <row r="13" spans="2:44">
      <c r="B13" s="123" t="s">
        <v>132</v>
      </c>
      <c r="C13" s="325">
        <v>-44.281999999999996</v>
      </c>
      <c r="D13" s="325">
        <v>-42.942999999999998</v>
      </c>
      <c r="E13" s="325">
        <v>-49.739000000000004</v>
      </c>
      <c r="F13" s="325">
        <v>-60.191000000000003</v>
      </c>
      <c r="G13" s="325">
        <v>-46.762</v>
      </c>
      <c r="H13" s="325">
        <v>-54.456000000000003</v>
      </c>
      <c r="I13" s="325">
        <v>-51.575000000000003</v>
      </c>
      <c r="J13" s="325">
        <v>-61.204000000000008</v>
      </c>
      <c r="K13" s="325">
        <v>-57.158999999999999</v>
      </c>
      <c r="L13" s="325">
        <v>-56.387999999999998</v>
      </c>
      <c r="M13" s="325">
        <v>-62.12700000000001</v>
      </c>
      <c r="N13" s="325">
        <v>-108.22799999999998</v>
      </c>
      <c r="O13" s="325">
        <v>-69.278000000000006</v>
      </c>
      <c r="P13" s="325">
        <v>-81.471999999999994</v>
      </c>
      <c r="Q13" s="325">
        <v>-73.536999999999992</v>
      </c>
      <c r="R13" s="325">
        <v>-113.74000000000001</v>
      </c>
      <c r="S13" s="325">
        <v>-85.308999999999997</v>
      </c>
      <c r="T13" s="325">
        <v>-113</v>
      </c>
      <c r="U13" s="325">
        <v>-91</v>
      </c>
      <c r="V13" s="325">
        <v>-116</v>
      </c>
      <c r="W13" s="325">
        <v>-95.468000000000004</v>
      </c>
      <c r="X13" s="325">
        <v>-109</v>
      </c>
      <c r="Y13" s="325">
        <f>-285-SUM(W13:X13)</f>
        <v>-80.531999999999982</v>
      </c>
      <c r="Z13" s="325">
        <v>-104.58999999999997</v>
      </c>
      <c r="AA13" s="325">
        <v>-92.43</v>
      </c>
      <c r="AB13" s="325">
        <v>-117</v>
      </c>
      <c r="AC13" s="325">
        <v>-90</v>
      </c>
      <c r="AD13" s="325">
        <v>-129</v>
      </c>
      <c r="AE13" s="325">
        <v>-103</v>
      </c>
      <c r="AF13" s="325">
        <v>-118</v>
      </c>
      <c r="AG13" s="325">
        <v>-114</v>
      </c>
      <c r="AH13" s="325">
        <v>-126</v>
      </c>
      <c r="AJ13" s="269"/>
      <c r="AK13" s="325">
        <v>-197.155</v>
      </c>
      <c r="AL13" s="325">
        <v>-213.99700000000001</v>
      </c>
      <c r="AM13" s="325">
        <v>-283.90199999999999</v>
      </c>
      <c r="AN13" s="325">
        <v>-338.02699999999999</v>
      </c>
      <c r="AO13" s="325">
        <v>-405.30899999999997</v>
      </c>
      <c r="AP13" s="325">
        <v>-389.59</v>
      </c>
      <c r="AQ13" s="325">
        <f>SUM(AA13:AD13)</f>
        <v>-428.43</v>
      </c>
      <c r="AR13" s="325">
        <f t="shared" si="11"/>
        <v>-461</v>
      </c>
    </row>
    <row r="14" spans="2:44">
      <c r="B14" s="121" t="s">
        <v>133</v>
      </c>
      <c r="C14" s="265">
        <v>1.292</v>
      </c>
      <c r="D14" s="326">
        <v>80.564999999999998</v>
      </c>
      <c r="E14" s="326">
        <v>-51.912999999999997</v>
      </c>
      <c r="F14" s="326">
        <v>-65.251000000000005</v>
      </c>
      <c r="G14" s="326">
        <v>-14.734999999999999</v>
      </c>
      <c r="H14" s="326">
        <v>24.038</v>
      </c>
      <c r="I14" s="326">
        <v>-66.097999999999999</v>
      </c>
      <c r="J14" s="326">
        <v>-120.95100000000001</v>
      </c>
      <c r="K14" s="326">
        <v>340.53100000000001</v>
      </c>
      <c r="L14" s="326">
        <v>34</v>
      </c>
      <c r="M14" s="326">
        <v>-120.589</v>
      </c>
      <c r="N14" s="326">
        <v>-79.181000000000012</v>
      </c>
      <c r="O14" s="326">
        <v>-231.56800000000001</v>
      </c>
      <c r="P14" s="326">
        <v>135.06900000000002</v>
      </c>
      <c r="Q14" s="326">
        <v>-39.013999999999982</v>
      </c>
      <c r="R14" s="326">
        <v>233.31199999999998</v>
      </c>
      <c r="S14" s="326">
        <v>-61.026000000000003</v>
      </c>
      <c r="T14" s="326">
        <v>152</v>
      </c>
      <c r="U14" s="326">
        <v>-30</v>
      </c>
      <c r="V14" s="326">
        <v>-109.973</v>
      </c>
      <c r="W14" s="326">
        <v>151.90199999999999</v>
      </c>
      <c r="X14" s="326">
        <v>-120</v>
      </c>
      <c r="Y14" s="326">
        <f>130-SUM(W14:X14)-1</f>
        <v>97.098000000000013</v>
      </c>
      <c r="Z14" s="325">
        <v>-722</v>
      </c>
      <c r="AA14" s="325">
        <v>138.244</v>
      </c>
      <c r="AB14" s="325">
        <v>57</v>
      </c>
      <c r="AC14" s="325">
        <v>-148</v>
      </c>
      <c r="AD14" s="325">
        <v>93</v>
      </c>
      <c r="AE14" s="325">
        <v>154</v>
      </c>
      <c r="AF14" s="325">
        <v>21</v>
      </c>
      <c r="AG14" s="325">
        <v>139</v>
      </c>
      <c r="AH14" s="325">
        <v>-98</v>
      </c>
      <c r="AJ14" s="269"/>
      <c r="AK14" s="326">
        <v>-35.307000000000002</v>
      </c>
      <c r="AL14" s="326">
        <v>-177.74600000000001</v>
      </c>
      <c r="AM14" s="326">
        <v>174.761</v>
      </c>
      <c r="AN14" s="326">
        <v>97.799000000000007</v>
      </c>
      <c r="AO14" s="326">
        <v>-48.999000000000009</v>
      </c>
      <c r="AP14" s="326">
        <v>-593</v>
      </c>
      <c r="AQ14" s="326">
        <f>SUM(AA14:AD14)</f>
        <v>140.244</v>
      </c>
      <c r="AR14" s="326">
        <f t="shared" si="11"/>
        <v>216</v>
      </c>
    </row>
    <row r="15" spans="2:44" s="53" customFormat="1" ht="14.4" thickBot="1">
      <c r="B15" s="116" t="s">
        <v>134</v>
      </c>
      <c r="C15" s="322">
        <v>165.47999999999996</v>
      </c>
      <c r="D15" s="322">
        <v>296.51999999999987</v>
      </c>
      <c r="E15" s="322">
        <v>154.96599999999995</v>
      </c>
      <c r="F15" s="322">
        <v>64.051999999999737</v>
      </c>
      <c r="G15" s="322">
        <v>132.80199999999999</v>
      </c>
      <c r="H15" s="322">
        <v>150.70199999999986</v>
      </c>
      <c r="I15" s="322">
        <v>17.086999999999762</v>
      </c>
      <c r="J15" s="322">
        <v>-70.758999999999162</v>
      </c>
      <c r="K15" s="322">
        <v>424.97200000000004</v>
      </c>
      <c r="L15" s="322">
        <v>34.601999999999748</v>
      </c>
      <c r="M15" s="322">
        <v>-1.1239999999998531</v>
      </c>
      <c r="N15" s="322">
        <v>-24.461999999999875</v>
      </c>
      <c r="O15" s="322">
        <v>135.09799999999984</v>
      </c>
      <c r="P15" s="322">
        <v>429.06499999999966</v>
      </c>
      <c r="Q15" s="322">
        <v>185.20700000000079</v>
      </c>
      <c r="R15" s="322">
        <v>591.84099999999989</v>
      </c>
      <c r="S15" s="322">
        <v>396.64600000000007</v>
      </c>
      <c r="T15" s="322">
        <v>689.21799999999985</v>
      </c>
      <c r="U15" s="322">
        <v>195</v>
      </c>
      <c r="V15" s="322">
        <v>-134.119</v>
      </c>
      <c r="W15" s="322">
        <v>104.03099999999986</v>
      </c>
      <c r="X15" s="322">
        <v>-213</v>
      </c>
      <c r="Y15" s="322">
        <f t="shared" ref="Y15:AH15" si="12">SUM(Y11,Y9)</f>
        <v>-12.557387081199408</v>
      </c>
      <c r="Z15" s="322">
        <f t="shared" si="12"/>
        <v>-830.96779310192517</v>
      </c>
      <c r="AA15" s="322">
        <f t="shared" si="12"/>
        <v>112.93994648999988</v>
      </c>
      <c r="AB15" s="322">
        <f t="shared" si="12"/>
        <v>191.42084285102442</v>
      </c>
      <c r="AC15" s="322">
        <f t="shared" si="12"/>
        <v>113</v>
      </c>
      <c r="AD15" s="322">
        <f>SUM(AD11,AD9)</f>
        <v>112</v>
      </c>
      <c r="AE15" s="322">
        <f t="shared" si="12"/>
        <v>466</v>
      </c>
      <c r="AF15" s="322">
        <f t="shared" si="12"/>
        <v>-89</v>
      </c>
      <c r="AG15" s="322">
        <f t="shared" si="12"/>
        <v>212</v>
      </c>
      <c r="AH15" s="322">
        <f t="shared" si="12"/>
        <v>-142</v>
      </c>
      <c r="AI15" s="50"/>
      <c r="AJ15" s="268"/>
      <c r="AK15" s="322">
        <v>681.01799999999957</v>
      </c>
      <c r="AL15" s="322">
        <v>229.83200000000045</v>
      </c>
      <c r="AM15" s="322">
        <v>433.98800000000006</v>
      </c>
      <c r="AN15" s="322">
        <v>1341.2110000000002</v>
      </c>
      <c r="AO15" s="322">
        <v>1145.8389999999999</v>
      </c>
      <c r="AP15" s="322">
        <v>-954.58199999999988</v>
      </c>
      <c r="AQ15" s="322">
        <f>SUM(AQ11,AQ9)</f>
        <v>529.36078934102432</v>
      </c>
      <c r="AR15" s="322">
        <f>SUM(AR11,AR9)</f>
        <v>447</v>
      </c>
    </row>
    <row r="16" spans="2:44" s="186" customFormat="1" ht="14.4" thickBot="1">
      <c r="B16" s="120" t="s">
        <v>135</v>
      </c>
      <c r="C16" s="324">
        <v>1.3029999999999999</v>
      </c>
      <c r="D16" s="324">
        <v>-19.989999999999998</v>
      </c>
      <c r="E16" s="324">
        <v>-8.3290000000000006</v>
      </c>
      <c r="F16" s="324">
        <v>-2.1000000000000796E-2</v>
      </c>
      <c r="G16" s="324">
        <v>-0.35099999999999998</v>
      </c>
      <c r="H16" s="324">
        <v>4.992</v>
      </c>
      <c r="I16" s="324">
        <v>1.9610000000000001</v>
      </c>
      <c r="J16" s="324">
        <v>7.8949999999999996</v>
      </c>
      <c r="K16" s="324">
        <v>-26.245000000000001</v>
      </c>
      <c r="L16" s="324">
        <v>7.7720000000000002</v>
      </c>
      <c r="M16" s="324">
        <v>5.1269999999999998</v>
      </c>
      <c r="N16" s="324">
        <v>10.3</v>
      </c>
      <c r="O16" s="324">
        <v>-17.169</v>
      </c>
      <c r="P16" s="324">
        <v>17.065000000000001</v>
      </c>
      <c r="Q16" s="324">
        <v>-17.646999999999998</v>
      </c>
      <c r="R16" s="324">
        <v>30.474999999999998</v>
      </c>
      <c r="S16" s="324">
        <v>19.192</v>
      </c>
      <c r="T16" s="324">
        <v>-15</v>
      </c>
      <c r="U16" s="324">
        <v>-11</v>
      </c>
      <c r="V16" s="324">
        <v>-6.2949999999999999</v>
      </c>
      <c r="W16" s="324">
        <v>18.428000000000001</v>
      </c>
      <c r="X16" s="324">
        <v>26</v>
      </c>
      <c r="Y16" s="324">
        <f t="shared" ref="Y16:AH16" si="13">Y17</f>
        <v>11.572000000000003</v>
      </c>
      <c r="Z16" s="324">
        <f t="shared" si="13"/>
        <v>11.212000000000003</v>
      </c>
      <c r="AA16" s="324">
        <f t="shared" si="13"/>
        <v>32.139000000000003</v>
      </c>
      <c r="AB16" s="324">
        <f t="shared" si="13"/>
        <v>31</v>
      </c>
      <c r="AC16" s="324">
        <f t="shared" si="13"/>
        <v>34.200000000000003</v>
      </c>
      <c r="AD16" s="324">
        <f>AD17</f>
        <v>31</v>
      </c>
      <c r="AE16" s="324">
        <f t="shared" si="13"/>
        <v>32</v>
      </c>
      <c r="AF16" s="324">
        <f t="shared" si="13"/>
        <v>29</v>
      </c>
      <c r="AG16" s="324">
        <f t="shared" si="13"/>
        <v>36</v>
      </c>
      <c r="AH16" s="324">
        <f t="shared" si="13"/>
        <v>37</v>
      </c>
      <c r="AI16" s="50"/>
      <c r="AJ16" s="272"/>
      <c r="AK16" s="324">
        <v>-27.036999999999999</v>
      </c>
      <c r="AL16" s="324">
        <v>14.497</v>
      </c>
      <c r="AM16" s="324">
        <v>-3.0459999999999994</v>
      </c>
      <c r="AN16" s="324">
        <v>12.724</v>
      </c>
      <c r="AO16" s="324">
        <v>-13.103</v>
      </c>
      <c r="AP16" s="324">
        <v>67.212000000000003</v>
      </c>
      <c r="AQ16" s="324">
        <f>AQ17</f>
        <v>128.339</v>
      </c>
      <c r="AR16" s="324">
        <f>AR17</f>
        <v>134</v>
      </c>
    </row>
    <row r="17" spans="2:44" s="122" customFormat="1">
      <c r="B17" s="125" t="s">
        <v>136</v>
      </c>
      <c r="C17" s="187">
        <v>1.3029999999999999</v>
      </c>
      <c r="D17" s="187">
        <v>-19.989999999999998</v>
      </c>
      <c r="E17" s="187">
        <v>-8.3290000000000006</v>
      </c>
      <c r="F17" s="187">
        <v>-2.1000000000000796E-2</v>
      </c>
      <c r="G17" s="187">
        <v>-0.35099999999999998</v>
      </c>
      <c r="H17" s="187">
        <v>4.992</v>
      </c>
      <c r="I17" s="187">
        <v>1.9610000000000001</v>
      </c>
      <c r="J17" s="187">
        <v>7.8949999999999996</v>
      </c>
      <c r="K17" s="187">
        <v>-26.245000000000001</v>
      </c>
      <c r="L17" s="187">
        <v>7.7720000000000002</v>
      </c>
      <c r="M17" s="187">
        <v>5.1269999999999998</v>
      </c>
      <c r="N17" s="187">
        <v>10.3</v>
      </c>
      <c r="O17" s="187">
        <v>-17.169</v>
      </c>
      <c r="P17" s="187">
        <v>17.065000000000001</v>
      </c>
      <c r="Q17" s="187">
        <v>-17.646999999999998</v>
      </c>
      <c r="R17" s="187">
        <v>30.474999999999998</v>
      </c>
      <c r="S17" s="187">
        <v>19.192</v>
      </c>
      <c r="T17" s="187">
        <v>-15</v>
      </c>
      <c r="U17" s="187">
        <v>-11</v>
      </c>
      <c r="V17" s="187">
        <v>-6.2949999999999999</v>
      </c>
      <c r="W17" s="187">
        <v>18.428000000000001</v>
      </c>
      <c r="X17" s="187">
        <v>26</v>
      </c>
      <c r="Y17" s="187">
        <f>56-SUM(W17:X17)</f>
        <v>11.572000000000003</v>
      </c>
      <c r="Z17" s="187">
        <v>11.212000000000003</v>
      </c>
      <c r="AA17" s="187">
        <v>32.139000000000003</v>
      </c>
      <c r="AB17" s="548">
        <v>31</v>
      </c>
      <c r="AC17" s="548">
        <v>34.200000000000003</v>
      </c>
      <c r="AD17" s="548">
        <v>31</v>
      </c>
      <c r="AE17" s="548">
        <v>32</v>
      </c>
      <c r="AF17" s="559">
        <v>29</v>
      </c>
      <c r="AG17" s="559">
        <v>36</v>
      </c>
      <c r="AH17" s="559">
        <v>37</v>
      </c>
      <c r="AI17" s="50"/>
      <c r="AJ17" s="271"/>
      <c r="AK17" s="187">
        <v>-27.036999999999999</v>
      </c>
      <c r="AL17" s="187">
        <v>14.497</v>
      </c>
      <c r="AM17" s="187">
        <v>-3.0459999999999994</v>
      </c>
      <c r="AN17" s="187">
        <v>12.724</v>
      </c>
      <c r="AO17" s="187">
        <v>-13.103</v>
      </c>
      <c r="AP17" s="187">
        <v>67.212000000000003</v>
      </c>
      <c r="AQ17" s="187">
        <f>SUM(AA17:AD17)</f>
        <v>128.339</v>
      </c>
      <c r="AR17" s="187">
        <f t="shared" si="11"/>
        <v>134</v>
      </c>
    </row>
    <row r="18" spans="2:44">
      <c r="B18" s="126" t="s">
        <v>137</v>
      </c>
      <c r="C18" s="327">
        <v>-58.606000000000009</v>
      </c>
      <c r="D18" s="327">
        <v>-326.72500000000002</v>
      </c>
      <c r="E18" s="327">
        <v>-159.70700000000002</v>
      </c>
      <c r="F18" s="327">
        <v>18.997000000000057</v>
      </c>
      <c r="G18" s="327">
        <v>-82.067000000000007</v>
      </c>
      <c r="H18" s="327">
        <v>-155.08900000000006</v>
      </c>
      <c r="I18" s="327">
        <v>-99.825999999999937</v>
      </c>
      <c r="J18" s="327">
        <v>89</v>
      </c>
      <c r="K18" s="327">
        <v>-281.11599999999999</v>
      </c>
      <c r="L18" s="327">
        <v>-20.513000000000019</v>
      </c>
      <c r="M18" s="327">
        <v>-174.54599999999996</v>
      </c>
      <c r="N18" s="327">
        <v>-16.298999999999964</v>
      </c>
      <c r="O18" s="327">
        <v>-244.70599999999999</v>
      </c>
      <c r="P18" s="327">
        <v>131.68599999999998</v>
      </c>
      <c r="Q18" s="327">
        <v>-254.91500000000002</v>
      </c>
      <c r="R18" s="327">
        <v>-128.59199999999998</v>
      </c>
      <c r="S18" s="327">
        <v>166.542</v>
      </c>
      <c r="T18" s="327">
        <v>-128</v>
      </c>
      <c r="U18" s="327">
        <v>-28</v>
      </c>
      <c r="V18" s="327">
        <v>-13.404999999999999</v>
      </c>
      <c r="W18" s="327">
        <v>-0.49400000000001398</v>
      </c>
      <c r="X18" s="327">
        <f t="shared" ref="X18:AH18" si="14">SUM(X19:X22)</f>
        <v>184</v>
      </c>
      <c r="Y18" s="327">
        <f t="shared" si="14"/>
        <v>-274.50599999999997</v>
      </c>
      <c r="Z18" s="327">
        <f t="shared" si="14"/>
        <v>-2.7379999999999995</v>
      </c>
      <c r="AA18" s="327">
        <f t="shared" si="14"/>
        <v>-144.40299999999999</v>
      </c>
      <c r="AB18" s="327">
        <f t="shared" si="14"/>
        <v>-350.44399999999996</v>
      </c>
      <c r="AC18" s="327">
        <f t="shared" si="14"/>
        <v>-106.06800000000001</v>
      </c>
      <c r="AD18" s="327">
        <f t="shared" si="14"/>
        <v>-418</v>
      </c>
      <c r="AE18" s="327">
        <f t="shared" si="14"/>
        <v>-20</v>
      </c>
      <c r="AF18" s="327">
        <f t="shared" si="14"/>
        <v>-2</v>
      </c>
      <c r="AG18" s="327">
        <f t="shared" si="14"/>
        <v>-51</v>
      </c>
      <c r="AH18" s="327">
        <f t="shared" si="14"/>
        <v>-152</v>
      </c>
      <c r="AJ18" s="269"/>
      <c r="AK18" s="327">
        <v>-526.04099999999994</v>
      </c>
      <c r="AL18" s="327">
        <v>-248</v>
      </c>
      <c r="AM18" s="327">
        <v>-492.47399999999993</v>
      </c>
      <c r="AN18" s="327">
        <v>-496.52700000000004</v>
      </c>
      <c r="AO18" s="327">
        <v>-2.8629999999999978</v>
      </c>
      <c r="AP18" s="327">
        <v>-93.738</v>
      </c>
      <c r="AQ18" s="327">
        <f>SUM(AQ19:AQ22)</f>
        <v>-1018.915</v>
      </c>
      <c r="AR18" s="327">
        <f>SUM(AR19:AR22)</f>
        <v>-225</v>
      </c>
    </row>
    <row r="19" spans="2:44">
      <c r="B19" s="89" t="s">
        <v>138</v>
      </c>
      <c r="C19" s="328">
        <v>59.723999999999997</v>
      </c>
      <c r="D19" s="328">
        <v>22.262999999999998</v>
      </c>
      <c r="E19" s="328">
        <v>17.463999999999999</v>
      </c>
      <c r="F19" s="328">
        <v>52.314000000000007</v>
      </c>
      <c r="G19" s="328">
        <v>12.944000000000001</v>
      </c>
      <c r="H19" s="328">
        <v>83.039000000000001</v>
      </c>
      <c r="I19" s="328">
        <v>32.853000000000009</v>
      </c>
      <c r="J19" s="328">
        <v>184</v>
      </c>
      <c r="K19" s="328">
        <v>13.736000000000001</v>
      </c>
      <c r="L19" s="328">
        <v>97.522999999999996</v>
      </c>
      <c r="M19" s="328">
        <v>8.3089999999999975</v>
      </c>
      <c r="N19" s="328">
        <v>17.046000000000006</v>
      </c>
      <c r="O19" s="328">
        <v>8.3569999999999993</v>
      </c>
      <c r="P19" s="328">
        <v>9.0929999999999964</v>
      </c>
      <c r="Q19" s="328">
        <v>33.314</v>
      </c>
      <c r="R19" s="328">
        <v>59.052000000000007</v>
      </c>
      <c r="S19" s="328">
        <v>41.81</v>
      </c>
      <c r="T19" s="328">
        <v>90</v>
      </c>
      <c r="U19" s="328">
        <v>79</v>
      </c>
      <c r="V19" s="328">
        <v>59</v>
      </c>
      <c r="W19" s="328">
        <v>45.631999999999998</v>
      </c>
      <c r="X19" s="328">
        <v>49</v>
      </c>
      <c r="Y19" s="328">
        <f>170-SUM(W19:X19)</f>
        <v>75.367999999999995</v>
      </c>
      <c r="Z19" s="328">
        <v>52</v>
      </c>
      <c r="AA19" s="328">
        <v>49.148000000000003</v>
      </c>
      <c r="AB19" s="328">
        <v>57.960999999999999</v>
      </c>
      <c r="AC19" s="328">
        <v>73.125</v>
      </c>
      <c r="AD19" s="328">
        <v>66</v>
      </c>
      <c r="AE19" s="328">
        <v>41</v>
      </c>
      <c r="AF19" s="328">
        <v>42</v>
      </c>
      <c r="AG19" s="328">
        <v>44</v>
      </c>
      <c r="AH19" s="328">
        <v>117</v>
      </c>
      <c r="AJ19" s="269"/>
      <c r="AK19" s="328">
        <v>151.76499999999999</v>
      </c>
      <c r="AL19" s="328">
        <v>313</v>
      </c>
      <c r="AM19" s="328">
        <v>136.614</v>
      </c>
      <c r="AN19" s="328">
        <v>109.816</v>
      </c>
      <c r="AO19" s="328">
        <v>269.81</v>
      </c>
      <c r="AP19" s="328">
        <v>222</v>
      </c>
      <c r="AQ19" s="328">
        <f t="shared" ref="AQ19:AQ22" si="15">SUM(AA19:AD19)</f>
        <v>246.23400000000001</v>
      </c>
      <c r="AR19" s="328">
        <f t="shared" si="11"/>
        <v>244</v>
      </c>
    </row>
    <row r="20" spans="2:44">
      <c r="B20" s="90" t="s">
        <v>139</v>
      </c>
      <c r="C20" s="325">
        <v>-108.456</v>
      </c>
      <c r="D20" s="325">
        <v>-110.009</v>
      </c>
      <c r="E20" s="325">
        <v>-95.792000000000002</v>
      </c>
      <c r="F20" s="325">
        <v>-80.274000000000001</v>
      </c>
      <c r="G20" s="325">
        <v>-82.736000000000004</v>
      </c>
      <c r="H20" s="325">
        <v>-238.44100000000003</v>
      </c>
      <c r="I20" s="325">
        <v>-76.477999999999952</v>
      </c>
      <c r="J20" s="325">
        <v>-117.37599999999998</v>
      </c>
      <c r="K20" s="325">
        <v>-67.361000000000004</v>
      </c>
      <c r="L20" s="325">
        <v>-78.826000000000008</v>
      </c>
      <c r="M20" s="325">
        <v>-147.34399999999999</v>
      </c>
      <c r="N20" s="325">
        <v>-121.02299999999997</v>
      </c>
      <c r="O20" s="325">
        <v>-71.680999999999997</v>
      </c>
      <c r="P20" s="325">
        <v>-122.124</v>
      </c>
      <c r="Q20" s="325">
        <v>-117.307</v>
      </c>
      <c r="R20" s="325">
        <v>-150.38799999999998</v>
      </c>
      <c r="S20" s="325">
        <v>-154.23699999999999</v>
      </c>
      <c r="T20" s="325">
        <v>-161</v>
      </c>
      <c r="U20" s="325">
        <v>-107</v>
      </c>
      <c r="V20" s="325">
        <v>-90</v>
      </c>
      <c r="W20" s="325">
        <v>-114.295</v>
      </c>
      <c r="X20" s="325">
        <v>-123</v>
      </c>
      <c r="Y20" s="325">
        <f>-486-SUM(W20:X20)</f>
        <v>-248.70499999999998</v>
      </c>
      <c r="Z20" s="328">
        <v>-147</v>
      </c>
      <c r="AA20" s="328">
        <v>-121.855</v>
      </c>
      <c r="AB20" s="328">
        <v>-150.81899999999999</v>
      </c>
      <c r="AC20" s="328">
        <v>-198.41200000000003</v>
      </c>
      <c r="AD20" s="328">
        <v>-235</v>
      </c>
      <c r="AE20" s="328">
        <v>-162</v>
      </c>
      <c r="AF20" s="328">
        <v>-136</v>
      </c>
      <c r="AG20" s="328">
        <v>-177</v>
      </c>
      <c r="AH20" s="328">
        <v>-228</v>
      </c>
      <c r="AJ20" s="269"/>
      <c r="AK20" s="325">
        <v>-394.53100000000001</v>
      </c>
      <c r="AL20" s="325">
        <v>-515.03099999999995</v>
      </c>
      <c r="AM20" s="325">
        <v>-414.55399999999997</v>
      </c>
      <c r="AN20" s="325">
        <v>-461.5</v>
      </c>
      <c r="AO20" s="325">
        <v>-512.23699999999997</v>
      </c>
      <c r="AP20" s="325">
        <v>-633</v>
      </c>
      <c r="AQ20" s="325">
        <f t="shared" si="15"/>
        <v>-706.08600000000001</v>
      </c>
      <c r="AR20" s="325">
        <f t="shared" si="11"/>
        <v>-703</v>
      </c>
    </row>
    <row r="21" spans="2:44">
      <c r="B21" s="91" t="s">
        <v>140</v>
      </c>
      <c r="C21" s="329">
        <v>0</v>
      </c>
      <c r="D21" s="329">
        <v>0</v>
      </c>
      <c r="E21" s="329">
        <v>0</v>
      </c>
      <c r="F21" s="329">
        <v>0</v>
      </c>
      <c r="G21" s="329">
        <v>0</v>
      </c>
      <c r="H21" s="329">
        <v>0</v>
      </c>
      <c r="I21" s="329">
        <v>0</v>
      </c>
      <c r="J21" s="329">
        <v>0</v>
      </c>
      <c r="K21" s="329">
        <v>0</v>
      </c>
      <c r="L21" s="329">
        <v>0</v>
      </c>
      <c r="M21" s="329">
        <v>0</v>
      </c>
      <c r="N21" s="329">
        <v>0</v>
      </c>
      <c r="O21" s="329">
        <v>-92.358999999999995</v>
      </c>
      <c r="P21" s="329">
        <v>103.18799999999999</v>
      </c>
      <c r="Q21" s="329">
        <v>-75.509</v>
      </c>
      <c r="R21" s="329">
        <v>-5.6089999999999947</v>
      </c>
      <c r="S21" s="329">
        <v>197.541</v>
      </c>
      <c r="T21" s="329">
        <v>-28</v>
      </c>
      <c r="U21" s="329">
        <v>16</v>
      </c>
      <c r="V21" s="329">
        <v>9</v>
      </c>
      <c r="W21" s="329">
        <v>43.250999999999998</v>
      </c>
      <c r="X21" s="329">
        <v>197</v>
      </c>
      <c r="Y21" s="329">
        <f>189-SUM(W21:X21)</f>
        <v>-51.251000000000005</v>
      </c>
      <c r="Z21" s="328">
        <v>58.519000000000005</v>
      </c>
      <c r="AA21" s="328">
        <v>-22.850999999999999</v>
      </c>
      <c r="AB21" s="328">
        <v>-97.98299999999999</v>
      </c>
      <c r="AC21" s="328">
        <v>-8.92</v>
      </c>
      <c r="AD21" s="328">
        <v>-141</v>
      </c>
      <c r="AE21" s="328">
        <v>83</v>
      </c>
      <c r="AF21" s="328">
        <v>59</v>
      </c>
      <c r="AG21" s="328">
        <v>53</v>
      </c>
      <c r="AH21" s="328">
        <v>-13</v>
      </c>
      <c r="AJ21" s="269"/>
      <c r="AK21" s="329">
        <v>0</v>
      </c>
      <c r="AL21" s="329">
        <v>0</v>
      </c>
      <c r="AM21" s="329">
        <v>0</v>
      </c>
      <c r="AN21" s="329">
        <v>-70.289000000000001</v>
      </c>
      <c r="AO21" s="329">
        <v>194.541</v>
      </c>
      <c r="AP21" s="329">
        <v>247.51900000000001</v>
      </c>
      <c r="AQ21" s="329">
        <f t="shared" si="15"/>
        <v>-270.75400000000002</v>
      </c>
      <c r="AR21" s="329">
        <f t="shared" si="11"/>
        <v>182</v>
      </c>
    </row>
    <row r="22" spans="2:44">
      <c r="B22" s="91" t="s">
        <v>141</v>
      </c>
      <c r="C22" s="329">
        <v>-9.8740000000000006</v>
      </c>
      <c r="D22" s="329">
        <v>-238.97900000000001</v>
      </c>
      <c r="E22" s="329">
        <v>-81.379000000000019</v>
      </c>
      <c r="F22" s="329">
        <v>46.95700000000005</v>
      </c>
      <c r="G22" s="329">
        <v>-12.275</v>
      </c>
      <c r="H22" s="329">
        <v>0.31300000000000061</v>
      </c>
      <c r="I22" s="329">
        <v>-56.200999999999993</v>
      </c>
      <c r="J22" s="329">
        <v>22.552</v>
      </c>
      <c r="K22" s="329">
        <v>-227.49100000000001</v>
      </c>
      <c r="L22" s="329">
        <v>-39.210000000000008</v>
      </c>
      <c r="M22" s="329">
        <v>-35.510999999999967</v>
      </c>
      <c r="N22" s="329">
        <v>87.677999999999997</v>
      </c>
      <c r="O22" s="329">
        <v>-89.022999999999996</v>
      </c>
      <c r="P22" s="329">
        <v>141.529</v>
      </c>
      <c r="Q22" s="329">
        <v>-95.412999999999997</v>
      </c>
      <c r="R22" s="329">
        <v>-31.647000000000006</v>
      </c>
      <c r="S22" s="329">
        <v>81.427999999999997</v>
      </c>
      <c r="T22" s="329">
        <v>-29</v>
      </c>
      <c r="U22" s="329">
        <v>-16</v>
      </c>
      <c r="V22" s="329">
        <v>9</v>
      </c>
      <c r="W22" s="329">
        <v>24.917999999999999</v>
      </c>
      <c r="X22" s="329">
        <v>61</v>
      </c>
      <c r="Y22" s="329">
        <f>36-SUM(W22:X22)</f>
        <v>-49.918000000000006</v>
      </c>
      <c r="Z22" s="328">
        <v>33.742999999999995</v>
      </c>
      <c r="AA22" s="328">
        <v>-48.844999999999999</v>
      </c>
      <c r="AB22" s="328">
        <v>-159.60300000000001</v>
      </c>
      <c r="AC22" s="328">
        <v>28.13900000000001</v>
      </c>
      <c r="AD22" s="328">
        <v>-108</v>
      </c>
      <c r="AE22" s="328">
        <v>18</v>
      </c>
      <c r="AF22" s="328">
        <v>33</v>
      </c>
      <c r="AG22" s="328">
        <v>29</v>
      </c>
      <c r="AH22" s="328">
        <v>-28</v>
      </c>
      <c r="AJ22" s="269"/>
      <c r="AK22" s="329">
        <v>-283.27499999999998</v>
      </c>
      <c r="AL22" s="329">
        <v>-45.610999999999997</v>
      </c>
      <c r="AM22" s="329">
        <v>-214.53399999999999</v>
      </c>
      <c r="AN22" s="329">
        <v>-74.554000000000002</v>
      </c>
      <c r="AO22" s="329">
        <v>45.427999999999997</v>
      </c>
      <c r="AP22" s="329">
        <v>69.742999999999995</v>
      </c>
      <c r="AQ22" s="329">
        <f t="shared" si="15"/>
        <v>-288.30899999999997</v>
      </c>
      <c r="AR22" s="329">
        <f t="shared" si="11"/>
        <v>52</v>
      </c>
    </row>
    <row r="23" spans="2:44" ht="14.4" thickBot="1">
      <c r="B23" s="92" t="s">
        <v>142</v>
      </c>
      <c r="C23" s="330">
        <v>108.17699999999995</v>
      </c>
      <c r="D23" s="330">
        <v>-50.195000000000149</v>
      </c>
      <c r="E23" s="330">
        <v>-13.070000000000071</v>
      </c>
      <c r="F23" s="330">
        <v>83.027999999999793</v>
      </c>
      <c r="G23" s="330">
        <v>50.383999999999986</v>
      </c>
      <c r="H23" s="330">
        <v>0.60499999999980059</v>
      </c>
      <c r="I23" s="330">
        <v>-80.778000000000176</v>
      </c>
      <c r="J23" s="330">
        <v>26</v>
      </c>
      <c r="K23" s="330">
        <v>117.61100000000005</v>
      </c>
      <c r="L23" s="330">
        <v>21.860999999999727</v>
      </c>
      <c r="M23" s="330">
        <v>-170.54299999999981</v>
      </c>
      <c r="N23" s="330">
        <v>-30.460999999999839</v>
      </c>
      <c r="O23" s="330">
        <v>-126.77700000000014</v>
      </c>
      <c r="P23" s="330">
        <v>577.81599999999958</v>
      </c>
      <c r="Q23" s="330">
        <v>-87.354999999999222</v>
      </c>
      <c r="R23" s="330">
        <v>493.72399999999993</v>
      </c>
      <c r="S23" s="330">
        <v>582.38000000000011</v>
      </c>
      <c r="T23" s="330">
        <v>546.21799999999985</v>
      </c>
      <c r="U23" s="330">
        <v>156</v>
      </c>
      <c r="V23" s="330">
        <v>-153.81899999999999</v>
      </c>
      <c r="W23" s="330">
        <v>121.96499999999985</v>
      </c>
      <c r="X23" s="330">
        <v>-3</v>
      </c>
      <c r="Y23" s="330">
        <f t="shared" ref="Y23:AG23" si="16">SUM(Y18,Y16,Y15)</f>
        <v>-275.49138708119938</v>
      </c>
      <c r="Z23" s="330">
        <f t="shared" si="16"/>
        <v>-822.49379310192512</v>
      </c>
      <c r="AA23" s="330">
        <f t="shared" si="16"/>
        <v>0.6759464899999017</v>
      </c>
      <c r="AB23" s="330">
        <f t="shared" si="16"/>
        <v>-128.02315714897554</v>
      </c>
      <c r="AC23" s="330">
        <f t="shared" si="16"/>
        <v>41.131999999999991</v>
      </c>
      <c r="AD23" s="330">
        <v>-275</v>
      </c>
      <c r="AE23" s="330">
        <f t="shared" si="16"/>
        <v>478</v>
      </c>
      <c r="AF23" s="330">
        <f t="shared" si="16"/>
        <v>-62</v>
      </c>
      <c r="AG23" s="330">
        <f t="shared" si="16"/>
        <v>197</v>
      </c>
      <c r="AH23" s="330">
        <f t="shared" ref="AH23" si="17">SUM(AH18,AH16,AH15)</f>
        <v>-257</v>
      </c>
      <c r="AJ23" s="269"/>
      <c r="AK23" s="330">
        <v>127.93999999999951</v>
      </c>
      <c r="AL23" s="330">
        <v>-3</v>
      </c>
      <c r="AM23" s="330">
        <v>-61.531999999999869</v>
      </c>
      <c r="AN23" s="330">
        <v>857.40800000000013</v>
      </c>
      <c r="AO23" s="330">
        <v>1129.873</v>
      </c>
      <c r="AP23" s="330">
        <v>-981.10799999999983</v>
      </c>
      <c r="AQ23" s="330">
        <f>SUM(AQ18,AQ16,AQ15)</f>
        <v>-361.21521065897571</v>
      </c>
      <c r="AR23" s="330">
        <f>SUM(AR18,AR16,AR15)</f>
        <v>356</v>
      </c>
    </row>
    <row r="24" spans="2:44" ht="14.4" thickBot="1">
      <c r="B24" s="93" t="s">
        <v>143</v>
      </c>
      <c r="C24" s="331">
        <v>-44.497</v>
      </c>
      <c r="D24" s="331">
        <v>-59.894999999999996</v>
      </c>
      <c r="E24" s="331">
        <v>48.356999999999999</v>
      </c>
      <c r="F24" s="331">
        <v>-17.420999999999999</v>
      </c>
      <c r="G24" s="331">
        <v>-20.832999999999998</v>
      </c>
      <c r="H24" s="331">
        <v>-140.65</v>
      </c>
      <c r="I24" s="331">
        <v>32.15</v>
      </c>
      <c r="J24" s="331">
        <v>97.885999999999996</v>
      </c>
      <c r="K24" s="331">
        <v>-70.579000000000008</v>
      </c>
      <c r="L24" s="331">
        <v>8.5509999999999966</v>
      </c>
      <c r="M24" s="331">
        <v>-288.66099999999994</v>
      </c>
      <c r="N24" s="331">
        <v>-467.79000000000008</v>
      </c>
      <c r="O24" s="331">
        <v>-6.4359999999999999</v>
      </c>
      <c r="P24" s="331">
        <v>-181.46600000000001</v>
      </c>
      <c r="Q24" s="331">
        <v>46.932000000000002</v>
      </c>
      <c r="R24" s="331">
        <v>121.289</v>
      </c>
      <c r="S24" s="331">
        <v>-156.29900000000001</v>
      </c>
      <c r="T24" s="331">
        <v>-35</v>
      </c>
      <c r="U24" s="331">
        <v>-55</v>
      </c>
      <c r="V24" s="331">
        <v>58.013999999999996</v>
      </c>
      <c r="W24" s="331">
        <f t="shared" ref="W24:AG24" si="18">SUM(W25:W26)</f>
        <v>-32.664000000000001</v>
      </c>
      <c r="X24" s="331">
        <f t="shared" si="18"/>
        <v>-47</v>
      </c>
      <c r="Y24" s="331">
        <f t="shared" si="18"/>
        <v>54.664000000000001</v>
      </c>
      <c r="Z24" s="331">
        <f t="shared" si="18"/>
        <v>195.334</v>
      </c>
      <c r="AA24" s="331">
        <f t="shared" si="18"/>
        <v>-30.353999999999999</v>
      </c>
      <c r="AB24" s="331">
        <f t="shared" si="18"/>
        <v>53.504999999999995</v>
      </c>
      <c r="AC24" s="331">
        <f t="shared" si="18"/>
        <v>45</v>
      </c>
      <c r="AD24" s="331">
        <f t="shared" si="18"/>
        <v>217.62500000000003</v>
      </c>
      <c r="AE24" s="331">
        <f t="shared" si="18"/>
        <v>-143</v>
      </c>
      <c r="AF24" s="331">
        <f t="shared" si="18"/>
        <v>-11</v>
      </c>
      <c r="AG24" s="331">
        <f t="shared" si="18"/>
        <v>-64</v>
      </c>
      <c r="AH24" s="331">
        <f t="shared" ref="AH24" si="19">SUM(AH25:AH26)</f>
        <v>95</v>
      </c>
      <c r="AJ24" s="269"/>
      <c r="AK24" s="331">
        <v>-73.455999999999989</v>
      </c>
      <c r="AL24" s="331">
        <v>-31.447000000000003</v>
      </c>
      <c r="AM24" s="331">
        <v>-818.47900000000004</v>
      </c>
      <c r="AN24" s="331">
        <v>-19.681000000000026</v>
      </c>
      <c r="AO24" s="331">
        <v>-188.28500000000003</v>
      </c>
      <c r="AP24" s="331">
        <v>170.334</v>
      </c>
      <c r="AQ24" s="331">
        <f t="shared" ref="AQ24:AR24" si="20">SUM(AQ25:AQ26)</f>
        <v>285.77600000000001</v>
      </c>
      <c r="AR24" s="331">
        <f t="shared" si="20"/>
        <v>-123</v>
      </c>
    </row>
    <row r="25" spans="2:44">
      <c r="B25" s="91" t="s">
        <v>144</v>
      </c>
      <c r="C25" s="329">
        <v>-11.459</v>
      </c>
      <c r="D25" s="329">
        <v>-8.5079999999999991</v>
      </c>
      <c r="E25" s="329">
        <v>-6.7770000000000001</v>
      </c>
      <c r="F25" s="329">
        <v>0.53000000000000114</v>
      </c>
      <c r="G25" s="329">
        <v>-12.228999999999999</v>
      </c>
      <c r="H25" s="329">
        <v>-11.280000000000001</v>
      </c>
      <c r="I25" s="329">
        <v>-8.9619999999999962</v>
      </c>
      <c r="J25" s="329">
        <v>-9.6390000000000029</v>
      </c>
      <c r="K25" s="329">
        <v>-11.555999999999999</v>
      </c>
      <c r="L25" s="329">
        <v>-13.303000000000003</v>
      </c>
      <c r="M25" s="329">
        <v>-15.476999999999997</v>
      </c>
      <c r="N25" s="329">
        <v>-12.143000000000001</v>
      </c>
      <c r="O25" s="329">
        <v>-18.064</v>
      </c>
      <c r="P25" s="329">
        <v>-59.929000000000002</v>
      </c>
      <c r="Q25" s="329">
        <v>-60.959000000000003</v>
      </c>
      <c r="R25" s="329">
        <v>70.951999999999998</v>
      </c>
      <c r="S25" s="329">
        <v>-72.143000000000001</v>
      </c>
      <c r="T25" s="329">
        <v>-113</v>
      </c>
      <c r="U25" s="329">
        <v>-22</v>
      </c>
      <c r="V25" s="329">
        <v>8.0429999999999993</v>
      </c>
      <c r="W25" s="329">
        <v>-7.3369999999999997</v>
      </c>
      <c r="X25" s="329">
        <v>-7</v>
      </c>
      <c r="Y25" s="329">
        <f>-21-SUM(W25:X25)</f>
        <v>-6.6630000000000003</v>
      </c>
      <c r="Z25" s="329">
        <v>0.33399999999999963</v>
      </c>
      <c r="AA25" s="329">
        <v>-5.5609999999999999</v>
      </c>
      <c r="AB25" s="329">
        <v>-0.17899999999999999</v>
      </c>
      <c r="AC25" s="329">
        <v>-4</v>
      </c>
      <c r="AD25" s="329">
        <v>-7.697000000000001</v>
      </c>
      <c r="AE25" s="329">
        <v>-16</v>
      </c>
      <c r="AF25" s="329">
        <v>1</v>
      </c>
      <c r="AG25" s="329">
        <v>-7</v>
      </c>
      <c r="AH25" s="329">
        <v>-9</v>
      </c>
      <c r="AJ25" s="269"/>
      <c r="AK25" s="329">
        <v>-26.213999999999999</v>
      </c>
      <c r="AL25" s="329">
        <v>-42.11</v>
      </c>
      <c r="AM25" s="329">
        <v>-52.478999999999999</v>
      </c>
      <c r="AN25" s="329">
        <v>-68</v>
      </c>
      <c r="AO25" s="329">
        <v>-199.1</v>
      </c>
      <c r="AP25" s="329">
        <v>-20.666</v>
      </c>
      <c r="AQ25" s="329">
        <f t="shared" ref="AQ25:AQ26" si="21">SUM(AA25:AD25)</f>
        <v>-17.437000000000001</v>
      </c>
      <c r="AR25" s="329">
        <f t="shared" si="11"/>
        <v>-31</v>
      </c>
    </row>
    <row r="26" spans="2:44">
      <c r="B26" s="94" t="s">
        <v>145</v>
      </c>
      <c r="C26" s="326">
        <v>-33.037999999999997</v>
      </c>
      <c r="D26" s="326">
        <v>-51.387</v>
      </c>
      <c r="E26" s="326">
        <v>55.134</v>
      </c>
      <c r="F26" s="326">
        <v>-17.951000000000001</v>
      </c>
      <c r="G26" s="326">
        <v>-8.6039999999999992</v>
      </c>
      <c r="H26" s="326">
        <v>-129.37</v>
      </c>
      <c r="I26" s="326">
        <v>41.111999999999995</v>
      </c>
      <c r="J26" s="326">
        <v>107.52499999999999</v>
      </c>
      <c r="K26" s="326">
        <v>-59.023000000000003</v>
      </c>
      <c r="L26" s="326">
        <v>21.853999999999999</v>
      </c>
      <c r="M26" s="326">
        <v>-273.18399999999997</v>
      </c>
      <c r="N26" s="326">
        <v>-455.64700000000005</v>
      </c>
      <c r="O26" s="326">
        <v>11.628</v>
      </c>
      <c r="P26" s="326">
        <v>-121.53700000000001</v>
      </c>
      <c r="Q26" s="326">
        <v>107.89100000000001</v>
      </c>
      <c r="R26" s="326">
        <v>50.337000000000003</v>
      </c>
      <c r="S26" s="326">
        <v>-84.156000000000006</v>
      </c>
      <c r="T26" s="326">
        <v>78</v>
      </c>
      <c r="U26" s="326">
        <v>-33</v>
      </c>
      <c r="V26" s="326">
        <v>49.970999999999997</v>
      </c>
      <c r="W26" s="326">
        <v>-25.327000000000002</v>
      </c>
      <c r="X26" s="326">
        <v>-40</v>
      </c>
      <c r="Y26" s="326">
        <f>-4-SUM(W26:X26)</f>
        <v>61.326999999999998</v>
      </c>
      <c r="Z26" s="326">
        <v>195</v>
      </c>
      <c r="AA26" s="326">
        <v>-24.792999999999999</v>
      </c>
      <c r="AB26" s="329">
        <v>53.683999999999997</v>
      </c>
      <c r="AC26" s="329">
        <v>49</v>
      </c>
      <c r="AD26" s="329">
        <v>225.32200000000003</v>
      </c>
      <c r="AE26" s="329">
        <v>-127</v>
      </c>
      <c r="AF26" s="329">
        <v>-12</v>
      </c>
      <c r="AG26" s="329">
        <v>-57</v>
      </c>
      <c r="AH26" s="329">
        <v>104</v>
      </c>
      <c r="AJ26" s="269"/>
      <c r="AK26" s="326">
        <v>-47.241999999999997</v>
      </c>
      <c r="AL26" s="326">
        <v>10.662999999999997</v>
      </c>
      <c r="AM26" s="326">
        <v>-766</v>
      </c>
      <c r="AN26" s="326">
        <v>48.319000000000003</v>
      </c>
      <c r="AO26" s="326">
        <v>10.814999999999991</v>
      </c>
      <c r="AP26" s="326">
        <v>191</v>
      </c>
      <c r="AQ26" s="326">
        <f t="shared" si="21"/>
        <v>303.21300000000002</v>
      </c>
      <c r="AR26" s="326">
        <f t="shared" si="11"/>
        <v>-92</v>
      </c>
    </row>
    <row r="27" spans="2:44" s="53" customFormat="1" ht="14.4" hidden="1" thickBot="1">
      <c r="B27" s="116" t="s">
        <v>332</v>
      </c>
      <c r="C27" s="322">
        <f t="shared" ref="C27:AF27" si="22">C23+C24</f>
        <v>63.67999999999995</v>
      </c>
      <c r="D27" s="322">
        <f t="shared" si="22"/>
        <v>-110.09000000000015</v>
      </c>
      <c r="E27" s="322">
        <f t="shared" si="22"/>
        <v>35.286999999999928</v>
      </c>
      <c r="F27" s="322">
        <f t="shared" si="22"/>
        <v>65.6069999999998</v>
      </c>
      <c r="G27" s="322">
        <f t="shared" si="22"/>
        <v>29.550999999999988</v>
      </c>
      <c r="H27" s="322">
        <f t="shared" si="22"/>
        <v>-140.04500000000021</v>
      </c>
      <c r="I27" s="322">
        <f t="shared" si="22"/>
        <v>-48.628000000000178</v>
      </c>
      <c r="J27" s="322">
        <f t="shared" si="22"/>
        <v>123.886</v>
      </c>
      <c r="K27" s="322">
        <f t="shared" si="22"/>
        <v>47.032000000000039</v>
      </c>
      <c r="L27" s="322">
        <f t="shared" si="22"/>
        <v>30.411999999999722</v>
      </c>
      <c r="M27" s="322">
        <f t="shared" si="22"/>
        <v>-459.20399999999972</v>
      </c>
      <c r="N27" s="322">
        <f t="shared" si="22"/>
        <v>-498.25099999999992</v>
      </c>
      <c r="O27" s="322">
        <f t="shared" si="22"/>
        <v>-133.21300000000014</v>
      </c>
      <c r="P27" s="322">
        <f t="shared" si="22"/>
        <v>396.34999999999957</v>
      </c>
      <c r="Q27" s="322">
        <f t="shared" si="22"/>
        <v>-40.42299999999922</v>
      </c>
      <c r="R27" s="322">
        <f t="shared" si="22"/>
        <v>615.01299999999992</v>
      </c>
      <c r="S27" s="322">
        <f t="shared" si="22"/>
        <v>426.08100000000013</v>
      </c>
      <c r="T27" s="322">
        <f t="shared" si="22"/>
        <v>511.21799999999985</v>
      </c>
      <c r="U27" s="322">
        <f t="shared" si="22"/>
        <v>101</v>
      </c>
      <c r="V27" s="322">
        <f t="shared" si="22"/>
        <v>-95.804999999999993</v>
      </c>
      <c r="W27" s="322">
        <f t="shared" si="22"/>
        <v>89.300999999999846</v>
      </c>
      <c r="X27" s="322">
        <f t="shared" si="22"/>
        <v>-50</v>
      </c>
      <c r="Y27" s="322">
        <f t="shared" si="22"/>
        <v>-220.82738708119939</v>
      </c>
      <c r="Z27" s="322">
        <f t="shared" si="22"/>
        <v>-627.15979310192506</v>
      </c>
      <c r="AA27" s="322">
        <f t="shared" si="22"/>
        <v>-29.678053510000098</v>
      </c>
      <c r="AB27" s="322">
        <f t="shared" si="22"/>
        <v>-74.518157148975547</v>
      </c>
      <c r="AC27" s="322">
        <f t="shared" si="22"/>
        <v>86.131999999999991</v>
      </c>
      <c r="AD27" s="322">
        <f t="shared" si="22"/>
        <v>-57.374999999999972</v>
      </c>
      <c r="AE27" s="322">
        <f t="shared" si="22"/>
        <v>335</v>
      </c>
      <c r="AF27" s="322">
        <f t="shared" si="22"/>
        <v>-73</v>
      </c>
      <c r="AG27" s="322">
        <f t="shared" ref="AG27:AH27" si="23">AG23+AG24</f>
        <v>133</v>
      </c>
      <c r="AH27" s="322">
        <f t="shared" si="23"/>
        <v>-162</v>
      </c>
      <c r="AI27" s="50"/>
      <c r="AJ27" s="268"/>
      <c r="AK27" s="322"/>
      <c r="AL27" s="322"/>
      <c r="AM27" s="322"/>
      <c r="AN27" s="322"/>
      <c r="AO27" s="322">
        <v>941.58799999999997</v>
      </c>
      <c r="AP27" s="322">
        <v>-810.77399999999989</v>
      </c>
      <c r="AQ27" s="322">
        <f>AQ23+AQ24</f>
        <v>-75.439210658975696</v>
      </c>
      <c r="AR27" s="322">
        <f>AR23+AR24</f>
        <v>233</v>
      </c>
    </row>
    <row r="28" spans="2:44" s="53" customFormat="1" hidden="1">
      <c r="B28" s="94" t="s">
        <v>333</v>
      </c>
      <c r="C28" s="326"/>
      <c r="D28" s="326"/>
      <c r="E28" s="326"/>
      <c r="F28" s="326"/>
      <c r="G28" s="326"/>
      <c r="H28" s="326"/>
      <c r="I28" s="326"/>
      <c r="J28" s="326"/>
      <c r="K28" s="326"/>
      <c r="L28" s="326"/>
      <c r="M28" s="326"/>
      <c r="N28" s="326"/>
      <c r="O28" s="326"/>
      <c r="P28" s="326"/>
      <c r="Q28" s="326"/>
      <c r="R28" s="326"/>
      <c r="S28" s="326"/>
      <c r="T28" s="326"/>
      <c r="U28" s="326"/>
      <c r="V28" s="326">
        <v>16.259</v>
      </c>
      <c r="W28" s="326"/>
      <c r="X28" s="326"/>
      <c r="Y28" s="326"/>
      <c r="Z28" s="326"/>
      <c r="AA28" s="326"/>
      <c r="AB28" s="344"/>
      <c r="AC28" s="344"/>
      <c r="AD28" s="344"/>
      <c r="AE28" s="344"/>
      <c r="AF28" s="344"/>
      <c r="AG28" s="344"/>
      <c r="AH28" s="344"/>
      <c r="AI28" s="50"/>
      <c r="AJ28" s="268"/>
      <c r="AK28" s="326"/>
      <c r="AL28" s="326"/>
      <c r="AM28" s="326"/>
      <c r="AN28" s="326"/>
      <c r="AO28" s="326">
        <v>16.259</v>
      </c>
      <c r="AP28" s="326">
        <v>0</v>
      </c>
      <c r="AQ28" s="326"/>
      <c r="AR28" s="326">
        <f t="shared" si="11"/>
        <v>0</v>
      </c>
    </row>
    <row r="29" spans="2:44" s="53" customFormat="1" ht="14.4" thickBot="1">
      <c r="B29" s="116" t="s">
        <v>146</v>
      </c>
      <c r="C29" s="322">
        <f t="shared" ref="C29:AF29" si="24">SUM(C30:C31)</f>
        <v>63.8</v>
      </c>
      <c r="D29" s="322">
        <f t="shared" si="24"/>
        <v>-109.998</v>
      </c>
      <c r="E29" s="322">
        <f t="shared" si="24"/>
        <v>35.287000000000006</v>
      </c>
      <c r="F29" s="322">
        <f t="shared" si="24"/>
        <v>64.977000000000004</v>
      </c>
      <c r="G29" s="322">
        <f t="shared" si="24"/>
        <v>29.550999999999998</v>
      </c>
      <c r="H29" s="322">
        <f t="shared" si="24"/>
        <v>-140.04500000000002</v>
      </c>
      <c r="I29" s="322">
        <f t="shared" si="24"/>
        <v>-48.648000000000003</v>
      </c>
      <c r="J29" s="322">
        <f t="shared" si="24"/>
        <v>124.59700000000001</v>
      </c>
      <c r="K29" s="322">
        <f t="shared" si="24"/>
        <v>47.031999999999996</v>
      </c>
      <c r="L29" s="322">
        <f t="shared" si="24"/>
        <v>30.335000000000001</v>
      </c>
      <c r="M29" s="322">
        <f t="shared" si="24"/>
        <v>-458.59800000000001</v>
      </c>
      <c r="N29" s="322">
        <f t="shared" si="24"/>
        <v>-498.77599999999995</v>
      </c>
      <c r="O29" s="322">
        <f t="shared" si="24"/>
        <v>-133.21299999999999</v>
      </c>
      <c r="P29" s="322">
        <f t="shared" si="24"/>
        <v>396.584</v>
      </c>
      <c r="Q29" s="322">
        <f t="shared" si="24"/>
        <v>-40.5</v>
      </c>
      <c r="R29" s="322">
        <f t="shared" si="24"/>
        <v>615.40499999999997</v>
      </c>
      <c r="S29" s="322">
        <f t="shared" si="24"/>
        <v>426.08100000000002</v>
      </c>
      <c r="T29" s="322">
        <f t="shared" si="24"/>
        <v>511</v>
      </c>
      <c r="U29" s="322">
        <f t="shared" si="24"/>
        <v>100</v>
      </c>
      <c r="V29" s="322">
        <f t="shared" si="24"/>
        <v>-79</v>
      </c>
      <c r="W29" s="322">
        <f t="shared" si="24"/>
        <v>89.301000000000002</v>
      </c>
      <c r="X29" s="322">
        <f t="shared" si="24"/>
        <v>-50</v>
      </c>
      <c r="Y29" s="322">
        <f t="shared" si="24"/>
        <v>-263.30100000000004</v>
      </c>
      <c r="Z29" s="322">
        <f t="shared" si="24"/>
        <v>-587</v>
      </c>
      <c r="AA29" s="322">
        <f t="shared" si="24"/>
        <v>-29.544</v>
      </c>
      <c r="AB29" s="322">
        <f t="shared" si="24"/>
        <v>-74.428999999999988</v>
      </c>
      <c r="AC29" s="322">
        <f t="shared" si="24"/>
        <v>87</v>
      </c>
      <c r="AD29" s="322">
        <f t="shared" si="24"/>
        <v>-56</v>
      </c>
      <c r="AE29" s="322">
        <f t="shared" si="24"/>
        <v>335</v>
      </c>
      <c r="AF29" s="322">
        <f t="shared" si="24"/>
        <v>-73</v>
      </c>
      <c r="AG29" s="322">
        <f t="shared" ref="AG29:AH29" si="25">SUM(AG30:AG31)</f>
        <v>131</v>
      </c>
      <c r="AH29" s="322">
        <f t="shared" si="25"/>
        <v>-163</v>
      </c>
      <c r="AI29" s="50"/>
      <c r="AJ29" s="268"/>
      <c r="AK29" s="322">
        <v>54.483999999999533</v>
      </c>
      <c r="AL29" s="322">
        <v>-35</v>
      </c>
      <c r="AM29" s="322">
        <v>-880.01099999999997</v>
      </c>
      <c r="AN29" s="322">
        <v>837.72700000000009</v>
      </c>
      <c r="AO29" s="322">
        <v>957.84699999999998</v>
      </c>
      <c r="AP29" s="322">
        <v>-811</v>
      </c>
      <c r="AQ29" s="322">
        <f>SUM(AQ30:AQ31)</f>
        <v>-72.972999999999985</v>
      </c>
      <c r="AR29" s="322">
        <f>SUM(AR30:AR31)</f>
        <v>230</v>
      </c>
    </row>
    <row r="30" spans="2:44" ht="13.5" customHeight="1">
      <c r="B30" s="127" t="s">
        <v>515</v>
      </c>
      <c r="C30" s="332">
        <v>64.628</v>
      </c>
      <c r="D30" s="332">
        <v>-114.116</v>
      </c>
      <c r="E30" s="332">
        <v>37.328000000000003</v>
      </c>
      <c r="F30" s="332">
        <v>55.355000000000004</v>
      </c>
      <c r="G30" s="332">
        <v>19.158999999999999</v>
      </c>
      <c r="H30" s="332">
        <v>-143.489</v>
      </c>
      <c r="I30" s="332">
        <v>-57.164000000000001</v>
      </c>
      <c r="J30" s="332">
        <v>117.26900000000001</v>
      </c>
      <c r="K30" s="332">
        <v>35.451999999999998</v>
      </c>
      <c r="L30" s="332">
        <v>19.21</v>
      </c>
      <c r="M30" s="332">
        <v>-473.59800000000001</v>
      </c>
      <c r="N30" s="332">
        <v>-510.06399999999996</v>
      </c>
      <c r="O30" s="332">
        <v>-150.536</v>
      </c>
      <c r="P30" s="332">
        <v>384.33800000000002</v>
      </c>
      <c r="Q30" s="332">
        <v>-47.308999999999997</v>
      </c>
      <c r="R30" s="332">
        <v>557</v>
      </c>
      <c r="S30" s="332">
        <v>406.17500000000001</v>
      </c>
      <c r="T30" s="332">
        <v>490</v>
      </c>
      <c r="U30" s="332">
        <v>78</v>
      </c>
      <c r="V30" s="332">
        <v>-106</v>
      </c>
      <c r="W30" s="332">
        <v>67.040000000000006</v>
      </c>
      <c r="X30" s="332">
        <v>-61</v>
      </c>
      <c r="Y30" s="332">
        <f>-283-SUM(W30:X30)</f>
        <v>-289.04000000000002</v>
      </c>
      <c r="Z30" s="332">
        <v>-625</v>
      </c>
      <c r="AA30" s="332">
        <v>-56.399000000000001</v>
      </c>
      <c r="AB30" s="332">
        <v>-101.59299999999999</v>
      </c>
      <c r="AC30" s="332">
        <v>58</v>
      </c>
      <c r="AD30" s="332">
        <v>-81</v>
      </c>
      <c r="AE30" s="332">
        <v>305</v>
      </c>
      <c r="AF30" s="332">
        <v>-94</v>
      </c>
      <c r="AG30" s="332">
        <v>103</v>
      </c>
      <c r="AH30" s="332">
        <v>-193</v>
      </c>
      <c r="AJ30" s="269"/>
      <c r="AK30" s="332">
        <v>43.195000000000007</v>
      </c>
      <c r="AL30" s="332">
        <v>-64.225000000000023</v>
      </c>
      <c r="AM30" s="332">
        <v>-929</v>
      </c>
      <c r="AN30" s="332">
        <v>743</v>
      </c>
      <c r="AO30" s="332">
        <v>868.17499999999995</v>
      </c>
      <c r="AP30" s="332">
        <v>-908</v>
      </c>
      <c r="AQ30" s="332">
        <f t="shared" ref="AQ30:AQ31" si="26">SUM(AA30:AD30)</f>
        <v>-180.99199999999999</v>
      </c>
      <c r="AR30" s="332">
        <f t="shared" si="11"/>
        <v>121</v>
      </c>
    </row>
    <row r="31" spans="2:44">
      <c r="B31" s="128" t="s">
        <v>147</v>
      </c>
      <c r="C31" s="333">
        <v>-0.82799999999999996</v>
      </c>
      <c r="D31" s="333">
        <v>4.1180000000000003</v>
      </c>
      <c r="E31" s="333">
        <v>-2.0409999999999999</v>
      </c>
      <c r="F31" s="333">
        <v>9.6219999999999999</v>
      </c>
      <c r="G31" s="333">
        <v>10.391999999999999</v>
      </c>
      <c r="H31" s="333">
        <v>3.4440000000000008</v>
      </c>
      <c r="I31" s="333">
        <v>8.516</v>
      </c>
      <c r="J31" s="333">
        <v>7.3279999999999994</v>
      </c>
      <c r="K31" s="333">
        <v>11.58</v>
      </c>
      <c r="L31" s="333">
        <v>11.124999999999998</v>
      </c>
      <c r="M31" s="333">
        <v>15</v>
      </c>
      <c r="N31" s="329">
        <v>11.288000000000004</v>
      </c>
      <c r="O31" s="333">
        <v>17.323</v>
      </c>
      <c r="P31" s="333">
        <v>12.246</v>
      </c>
      <c r="Q31" s="333">
        <v>6.8090000000000002</v>
      </c>
      <c r="R31" s="333">
        <v>58.405000000000001</v>
      </c>
      <c r="S31" s="333">
        <v>19.905999999999999</v>
      </c>
      <c r="T31" s="333">
        <v>21</v>
      </c>
      <c r="U31" s="333">
        <v>22</v>
      </c>
      <c r="V31" s="333">
        <v>27</v>
      </c>
      <c r="W31" s="333">
        <v>22.260999999999999</v>
      </c>
      <c r="X31" s="333">
        <v>11</v>
      </c>
      <c r="Y31" s="333">
        <f>60-SUM(W31:X31)-1</f>
        <v>25.739000000000004</v>
      </c>
      <c r="Z31" s="333">
        <v>38</v>
      </c>
      <c r="AA31" s="333">
        <v>26.855</v>
      </c>
      <c r="AB31" s="333">
        <v>27.164000000000001</v>
      </c>
      <c r="AC31" s="333">
        <v>29</v>
      </c>
      <c r="AD31" s="333">
        <v>25</v>
      </c>
      <c r="AE31" s="333">
        <v>30</v>
      </c>
      <c r="AF31" s="333">
        <v>21</v>
      </c>
      <c r="AG31" s="333">
        <v>28</v>
      </c>
      <c r="AH31" s="333">
        <v>30</v>
      </c>
      <c r="AJ31" s="269"/>
      <c r="AK31" s="333">
        <v>10.871</v>
      </c>
      <c r="AL31" s="333">
        <v>29.68</v>
      </c>
      <c r="AM31" s="333">
        <v>48.993000000000002</v>
      </c>
      <c r="AN31" s="333">
        <v>94.783000000000001</v>
      </c>
      <c r="AO31" s="333">
        <v>89.906000000000006</v>
      </c>
      <c r="AP31" s="333">
        <v>97</v>
      </c>
      <c r="AQ31" s="333">
        <f t="shared" si="26"/>
        <v>108.01900000000001</v>
      </c>
      <c r="AR31" s="333">
        <f t="shared" si="11"/>
        <v>109</v>
      </c>
    </row>
    <row r="32" spans="2:44">
      <c r="B32" s="117"/>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513"/>
      <c r="AC32" s="513"/>
      <c r="AD32" s="513"/>
      <c r="AE32" s="513"/>
      <c r="AF32" s="513"/>
      <c r="AG32" s="513"/>
      <c r="AH32" s="513"/>
      <c r="AJ32" s="269"/>
      <c r="AK32" s="326"/>
      <c r="AL32" s="326"/>
      <c r="AM32" s="326"/>
      <c r="AN32" s="326"/>
      <c r="AO32" s="326"/>
      <c r="AP32" s="326"/>
      <c r="AQ32" s="326"/>
      <c r="AR32" s="326">
        <f t="shared" si="11"/>
        <v>0</v>
      </c>
    </row>
    <row r="33" spans="2:44">
      <c r="B33" s="117" t="s">
        <v>148</v>
      </c>
      <c r="C33" s="326">
        <v>74.691999999999993</v>
      </c>
      <c r="D33" s="326">
        <v>78.035000000000011</v>
      </c>
      <c r="E33" s="326">
        <v>74.794999999999987</v>
      </c>
      <c r="F33" s="326">
        <v>75.680000000000007</v>
      </c>
      <c r="G33" s="326">
        <v>96.887</v>
      </c>
      <c r="H33" s="326">
        <v>141.75299999999999</v>
      </c>
      <c r="I33" s="326">
        <v>89.732000000000028</v>
      </c>
      <c r="J33" s="326">
        <v>134.16899999999998</v>
      </c>
      <c r="K33" s="326">
        <v>91.376000000000005</v>
      </c>
      <c r="L33" s="326">
        <v>110.422</v>
      </c>
      <c r="M33" s="326">
        <v>103.39999999999998</v>
      </c>
      <c r="N33" s="326">
        <v>126.28300000000002</v>
      </c>
      <c r="O33" s="326">
        <v>113.1</v>
      </c>
      <c r="P33" s="326">
        <v>126.14100000000002</v>
      </c>
      <c r="Q33" s="326">
        <v>137.14399999999998</v>
      </c>
      <c r="R33" s="326">
        <v>119.66000000000003</v>
      </c>
      <c r="S33" s="326">
        <v>128.72800000000001</v>
      </c>
      <c r="T33" s="326">
        <v>124</v>
      </c>
      <c r="U33" s="326">
        <v>137</v>
      </c>
      <c r="V33" s="326">
        <v>150</v>
      </c>
      <c r="W33" s="326">
        <v>134.69200000000001</v>
      </c>
      <c r="X33" s="326">
        <v>145</v>
      </c>
      <c r="Y33" s="326">
        <f>422-SUM(W33:X33)</f>
        <v>142.30799999999999</v>
      </c>
      <c r="Z33" s="326">
        <v>148.29200000000003</v>
      </c>
      <c r="AA33" s="326">
        <v>144.215</v>
      </c>
      <c r="AB33" s="326">
        <v>144.18199999999999</v>
      </c>
      <c r="AC33" s="326">
        <v>158</v>
      </c>
      <c r="AD33" s="326">
        <v>196</v>
      </c>
      <c r="AE33" s="326">
        <v>174</v>
      </c>
      <c r="AF33" s="326">
        <v>165</v>
      </c>
      <c r="AG33" s="326">
        <v>198</v>
      </c>
      <c r="AH33" s="326">
        <v>221</v>
      </c>
      <c r="AJ33" s="269"/>
      <c r="AK33" s="326">
        <v>303.202</v>
      </c>
      <c r="AL33" s="326">
        <v>462.541</v>
      </c>
      <c r="AM33" s="326">
        <v>431.48099999999999</v>
      </c>
      <c r="AN33" s="326">
        <v>496.04500000000002</v>
      </c>
      <c r="AO33" s="326">
        <v>539.72800000000007</v>
      </c>
      <c r="AP33" s="326">
        <v>570.29200000000003</v>
      </c>
      <c r="AQ33" s="326">
        <f t="shared" ref="AQ33:AQ34" si="27">SUM(AA33:AD33)</f>
        <v>642.39699999999993</v>
      </c>
      <c r="AR33" s="326">
        <f t="shared" si="11"/>
        <v>758</v>
      </c>
    </row>
    <row r="34" spans="2:44">
      <c r="B34" s="117" t="s">
        <v>149</v>
      </c>
      <c r="C34" s="265">
        <v>-1.056</v>
      </c>
      <c r="D34" s="265">
        <v>-111.926</v>
      </c>
      <c r="E34" s="265">
        <v>-0.96399999999999864</v>
      </c>
      <c r="F34" s="265">
        <v>108.664</v>
      </c>
      <c r="G34" s="265">
        <v>-0.63100000000000001</v>
      </c>
      <c r="H34" s="265">
        <v>52.575999999999993</v>
      </c>
      <c r="I34" s="265">
        <v>22.417000000000002</v>
      </c>
      <c r="J34" s="265">
        <v>221.471</v>
      </c>
      <c r="K34" s="265">
        <v>-354.52199999999999</v>
      </c>
      <c r="L34" s="265">
        <v>26.965999999999951</v>
      </c>
      <c r="M34" s="265">
        <v>56.835000000000036</v>
      </c>
      <c r="N34" s="265">
        <v>67.099999999999937</v>
      </c>
      <c r="O34" s="265">
        <v>112.223</v>
      </c>
      <c r="P34" s="265">
        <v>-192.066</v>
      </c>
      <c r="Q34" s="265">
        <v>-8.6329999999999956</v>
      </c>
      <c r="R34" s="265">
        <v>-210.82300000000001</v>
      </c>
      <c r="S34" s="265">
        <v>26.960999999999999</v>
      </c>
      <c r="T34" s="265">
        <v>-172</v>
      </c>
      <c r="U34" s="265">
        <v>-1</v>
      </c>
      <c r="V34" s="265">
        <v>87</v>
      </c>
      <c r="W34" s="265">
        <v>-154.41293010000001</v>
      </c>
      <c r="X34" s="265">
        <v>142</v>
      </c>
      <c r="Y34" s="265">
        <f>-54-SUM(W34:X34)</f>
        <v>-41.587069899999989</v>
      </c>
      <c r="Z34" s="265">
        <v>745</v>
      </c>
      <c r="AA34" s="265">
        <v>-111.089</v>
      </c>
      <c r="AB34" s="265">
        <v>3.15</v>
      </c>
      <c r="AC34" s="265">
        <v>137</v>
      </c>
      <c r="AD34" s="265">
        <v>177</v>
      </c>
      <c r="AE34" s="265">
        <v>-210</v>
      </c>
      <c r="AF34" s="265">
        <v>113</v>
      </c>
      <c r="AG34" s="265">
        <v>-174</v>
      </c>
      <c r="AH34" s="265">
        <v>179</v>
      </c>
      <c r="AJ34" s="269"/>
      <c r="AK34" s="265">
        <v>-5.2819999999999965</v>
      </c>
      <c r="AL34" s="265">
        <v>295.83299999999997</v>
      </c>
      <c r="AM34" s="265">
        <v>-203.62100000000007</v>
      </c>
      <c r="AN34" s="265">
        <v>-299.29899999999998</v>
      </c>
      <c r="AO34" s="265">
        <v>-58.145000000000003</v>
      </c>
      <c r="AP34" s="265">
        <v>691</v>
      </c>
      <c r="AQ34" s="265">
        <f t="shared" si="27"/>
        <v>206.06100000000001</v>
      </c>
      <c r="AR34" s="265">
        <f t="shared" si="11"/>
        <v>-92</v>
      </c>
    </row>
    <row r="35" spans="2:44" s="53" customFormat="1" ht="14.4" thickBot="1">
      <c r="B35" s="116" t="s">
        <v>150</v>
      </c>
      <c r="C35" s="323">
        <v>239.11599999999996</v>
      </c>
      <c r="D35" s="323">
        <v>262.62899999999991</v>
      </c>
      <c r="E35" s="323">
        <v>228.79799999999992</v>
      </c>
      <c r="F35" s="323">
        <v>248.39600000000019</v>
      </c>
      <c r="G35" s="323">
        <v>229.05799999999999</v>
      </c>
      <c r="H35" s="323">
        <v>345.03099999999984</v>
      </c>
      <c r="I35" s="323">
        <v>129.21600000000026</v>
      </c>
      <c r="J35" s="323">
        <v>284.9009999999999</v>
      </c>
      <c r="K35" s="323">
        <v>161.82600000000008</v>
      </c>
      <c r="L35" s="323">
        <v>171.9899999999997</v>
      </c>
      <c r="M35" s="323">
        <v>159.11100000000044</v>
      </c>
      <c r="N35" s="323">
        <v>168.92099999999962</v>
      </c>
      <c r="O35" s="323">
        <v>360.42100000000011</v>
      </c>
      <c r="P35" s="323">
        <v>362.67900000000003</v>
      </c>
      <c r="Q35" s="323">
        <v>313.71800000000081</v>
      </c>
      <c r="R35" s="323">
        <v>500.678</v>
      </c>
      <c r="S35" s="323">
        <v>552.33500000000004</v>
      </c>
      <c r="T35" s="323">
        <v>641</v>
      </c>
      <c r="U35" s="323">
        <v>331</v>
      </c>
      <c r="V35" s="323">
        <v>102.881</v>
      </c>
      <c r="W35" s="323">
        <v>84.31006989999986</v>
      </c>
      <c r="X35" s="323">
        <f>X29-X24-X18-X16+X33+X34</f>
        <v>74</v>
      </c>
      <c r="Y35" s="323">
        <f>Y29-Y24-Y18-Y16+Y33+Y34</f>
        <v>45.689930099999941</v>
      </c>
      <c r="Z35" s="323">
        <f t="shared" ref="Z35:AA35" si="28">Z29-Z24-Z18-Z16+Z33+Z34</f>
        <v>102.48400000000004</v>
      </c>
      <c r="AA35" s="323">
        <f t="shared" si="28"/>
        <v>146.19999999999999</v>
      </c>
      <c r="AB35" s="323">
        <f>AB29-AB24-AB18-AB16+AB33+AB34</f>
        <v>338.84199999999998</v>
      </c>
      <c r="AC35" s="323">
        <v>409.46800000000002</v>
      </c>
      <c r="AD35" s="323">
        <f>AD29-AD24-AD18-AD16+AD33+AD34</f>
        <v>486.375</v>
      </c>
      <c r="AE35" s="323">
        <f t="shared" ref="AE35" si="29">AE29-AE24-AE18-AE16+AE33+AE34</f>
        <v>430</v>
      </c>
      <c r="AF35" s="323">
        <f>AF29-AF24-AF18-AF16+AF33+AF34</f>
        <v>189</v>
      </c>
      <c r="AG35" s="323">
        <f>AG29-AG24-AG18-AG16+AG33+AG34</f>
        <v>234</v>
      </c>
      <c r="AH35" s="323">
        <f>AH29-AH24-AH18-AH16+AH33+AH34</f>
        <v>257</v>
      </c>
      <c r="AI35" s="50"/>
      <c r="AJ35" s="268"/>
      <c r="AK35" s="323">
        <v>978.93899999999996</v>
      </c>
      <c r="AL35" s="323">
        <v>988.2059999999999</v>
      </c>
      <c r="AM35" s="323">
        <v>661.84799999999984</v>
      </c>
      <c r="AN35" s="323">
        <v>1538.496000000001</v>
      </c>
      <c r="AO35" s="323">
        <v>1627.4220000000003</v>
      </c>
      <c r="AP35" s="323">
        <v>306.48400000000004</v>
      </c>
      <c r="AQ35" s="323">
        <f>AQ29-AQ24-AQ18-AQ16+AQ33+AQ34</f>
        <v>1380.2849999999999</v>
      </c>
      <c r="AR35" s="323">
        <f>AR29-AR24-AR18-AR16+AR33+AR34</f>
        <v>1110</v>
      </c>
    </row>
    <row r="36" spans="2:44" s="88" customFormat="1" ht="14.4">
      <c r="B36" s="119" t="s">
        <v>151</v>
      </c>
      <c r="C36" s="169">
        <v>0.20523428273229144</v>
      </c>
      <c r="D36" s="169">
        <v>0.1994153356694596</v>
      </c>
      <c r="E36" s="169">
        <v>0.15901603796402086</v>
      </c>
      <c r="F36" s="169">
        <v>0.16597830887831222</v>
      </c>
      <c r="G36" s="169">
        <v>0.17260313817037268</v>
      </c>
      <c r="H36" s="169">
        <v>0.2525934255472731</v>
      </c>
      <c r="I36" s="169">
        <v>9.8393910688885547E-2</v>
      </c>
      <c r="J36" s="169">
        <v>0.22657962985496219</v>
      </c>
      <c r="K36" s="169">
        <v>0.12917784883990113</v>
      </c>
      <c r="L36" s="169">
        <v>0.1560823945157441</v>
      </c>
      <c r="M36" s="169">
        <v>0.1071006669938029</v>
      </c>
      <c r="N36" s="169">
        <v>0.10751732061192576</v>
      </c>
      <c r="O36" s="169">
        <v>0.20103534981682539</v>
      </c>
      <c r="P36" s="169">
        <v>0.18957818893472533</v>
      </c>
      <c r="Q36" s="169">
        <v>0.13639652111003125</v>
      </c>
      <c r="R36" s="169">
        <v>0.20712899238301066</v>
      </c>
      <c r="S36" s="169">
        <v>0.24101908437751593</v>
      </c>
      <c r="T36" s="169">
        <v>0.274989274989275</v>
      </c>
      <c r="U36" s="169">
        <v>0.14743875278396437</v>
      </c>
      <c r="V36" s="169">
        <v>5.2570771589167092E-2</v>
      </c>
      <c r="W36" s="547">
        <f t="shared" ref="W36" si="30">W35/W7</f>
        <v>4.4007325274464791E-2</v>
      </c>
      <c r="X36" s="547">
        <f>X35/X7</f>
        <v>4.4444444444444446E-2</v>
      </c>
      <c r="Y36" s="547">
        <f>Y35/Y7</f>
        <v>2.4511765075107265E-2</v>
      </c>
      <c r="Z36" s="547">
        <f>Z35/Z7</f>
        <v>5.382563025210086E-2</v>
      </c>
      <c r="AA36" s="547">
        <f>AA35/AA7</f>
        <v>8.6311431955066104E-2</v>
      </c>
      <c r="AB36" s="547">
        <f t="shared" ref="AB36:AD36" si="31">AB35/AB7</f>
        <v>0.16408813559322033</v>
      </c>
      <c r="AC36" s="547">
        <f t="shared" si="31"/>
        <v>0.19178829039812648</v>
      </c>
      <c r="AD36" s="547">
        <f t="shared" si="31"/>
        <v>0.21332236842105262</v>
      </c>
      <c r="AE36" s="547">
        <f t="shared" ref="AE36" si="32">AE35/AE7</f>
        <v>0.18391787852865696</v>
      </c>
      <c r="AF36" s="547">
        <f t="shared" ref="AF36:AH36" si="33">AF35/AF7</f>
        <v>9.4264339152119694E-2</v>
      </c>
      <c r="AG36" s="547">
        <f t="shared" si="33"/>
        <v>0.10390763765541741</v>
      </c>
      <c r="AH36" s="547">
        <f t="shared" si="33"/>
        <v>0.11713764813126709</v>
      </c>
      <c r="AI36" s="50"/>
      <c r="AK36" s="169">
        <v>0.18070020061002581</v>
      </c>
      <c r="AL36" s="169">
        <v>0.18774037347226766</v>
      </c>
      <c r="AM36" s="169">
        <v>0.12230664920717109</v>
      </c>
      <c r="AN36" s="169">
        <v>0.18265025797857828</v>
      </c>
      <c r="AO36" s="169">
        <v>0.1844104249291785</v>
      </c>
      <c r="AP36" s="169">
        <v>4.1709853021230273E-2</v>
      </c>
      <c r="AQ36" s="547">
        <f>AQ35/AQ7</f>
        <v>0.16886562613089079</v>
      </c>
      <c r="AR36" s="547">
        <f>AR35/AR7</f>
        <v>0.12629423142564569</v>
      </c>
    </row>
    <row r="37" spans="2:44">
      <c r="B37" s="125"/>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K37" s="129"/>
      <c r="AL37" s="129"/>
      <c r="AM37" s="129"/>
      <c r="AN37" s="129"/>
    </row>
    <row r="38" spans="2:44" ht="18" customHeight="1" thickBot="1">
      <c r="B38" s="75" t="s">
        <v>152</v>
      </c>
      <c r="C38" s="76" t="s">
        <v>94</v>
      </c>
      <c r="D38" s="76" t="s">
        <v>95</v>
      </c>
      <c r="E38" s="76" t="s">
        <v>96</v>
      </c>
      <c r="F38" s="76" t="s">
        <v>97</v>
      </c>
      <c r="G38" s="76" t="s">
        <v>79</v>
      </c>
      <c r="H38" s="76" t="s">
        <v>80</v>
      </c>
      <c r="I38" s="76" t="s">
        <v>81</v>
      </c>
      <c r="J38" s="76" t="s">
        <v>82</v>
      </c>
      <c r="K38" s="76" t="s">
        <v>83</v>
      </c>
      <c r="L38" s="76" t="s">
        <v>84</v>
      </c>
      <c r="M38" s="76" t="s">
        <v>85</v>
      </c>
      <c r="N38" s="76" t="s">
        <v>86</v>
      </c>
      <c r="O38" s="76" t="s">
        <v>87</v>
      </c>
      <c r="P38" s="76" t="s">
        <v>88</v>
      </c>
      <c r="Q38" s="76" t="s">
        <v>89</v>
      </c>
      <c r="R38" s="76" t="s">
        <v>90</v>
      </c>
      <c r="S38" s="76" t="s">
        <v>91</v>
      </c>
      <c r="T38" s="76" t="s">
        <v>92</v>
      </c>
      <c r="U38" s="76" t="s">
        <v>93</v>
      </c>
      <c r="V38" s="321" t="s">
        <v>331</v>
      </c>
      <c r="W38" s="321" t="s">
        <v>341</v>
      </c>
      <c r="X38" s="321" t="s">
        <v>374</v>
      </c>
      <c r="Y38" s="321" t="s">
        <v>382</v>
      </c>
      <c r="Z38" s="321" t="s">
        <v>384</v>
      </c>
      <c r="AA38" s="321" t="s">
        <v>461</v>
      </c>
      <c r="AB38" s="76" t="str">
        <f t="shared" ref="AB38:AF38" si="34">AB5</f>
        <v>2Q24</v>
      </c>
      <c r="AC38" s="76" t="str">
        <f t="shared" si="34"/>
        <v>3Q24</v>
      </c>
      <c r="AD38" s="76" t="str">
        <f t="shared" si="34"/>
        <v>4Q24</v>
      </c>
      <c r="AE38" s="76" t="str">
        <f t="shared" si="34"/>
        <v>1Q25</v>
      </c>
      <c r="AF38" s="76" t="str">
        <f t="shared" si="34"/>
        <v>2Q25</v>
      </c>
      <c r="AG38" s="321" t="str">
        <f>AG5</f>
        <v>3Q25</v>
      </c>
      <c r="AH38" s="321" t="str">
        <f>AH5</f>
        <v>4Q25</v>
      </c>
      <c r="AK38" s="232"/>
      <c r="AL38" s="232"/>
      <c r="AM38" s="232"/>
      <c r="AN38" s="232"/>
      <c r="AO38" s="122"/>
      <c r="AP38" s="122"/>
      <c r="AQ38" s="122"/>
    </row>
    <row r="39" spans="2:44" ht="7.5" customHeight="1" thickTop="1">
      <c r="B39" s="130"/>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K39" s="131"/>
      <c r="AL39" s="131"/>
      <c r="AM39" s="131"/>
      <c r="AN39" s="131"/>
      <c r="AO39" s="122"/>
      <c r="AP39" s="122"/>
      <c r="AQ39" s="122"/>
    </row>
    <row r="40" spans="2:44">
      <c r="B40" s="126"/>
      <c r="C40" s="118"/>
      <c r="D40" s="118"/>
      <c r="E40" s="118"/>
      <c r="F40" s="118"/>
      <c r="G40" s="118"/>
      <c r="H40" s="118"/>
      <c r="I40" s="118"/>
      <c r="J40" s="118"/>
      <c r="K40" s="118"/>
      <c r="L40" s="118"/>
      <c r="M40" s="118"/>
      <c r="N40" s="118"/>
      <c r="O40" s="122"/>
      <c r="P40" s="122"/>
      <c r="Q40" s="122"/>
      <c r="R40" s="122"/>
      <c r="S40" s="122"/>
      <c r="T40" s="122"/>
      <c r="U40" s="122"/>
      <c r="V40" s="122"/>
      <c r="W40" s="122"/>
      <c r="X40" s="122"/>
      <c r="Y40" s="122"/>
      <c r="Z40" s="122"/>
      <c r="AA40" s="122"/>
      <c r="AB40" s="122"/>
      <c r="AC40" s="122"/>
      <c r="AD40" s="122"/>
      <c r="AE40" s="122"/>
      <c r="AF40" s="122"/>
      <c r="AG40" s="122"/>
      <c r="AH40" s="122"/>
      <c r="AK40" s="122"/>
      <c r="AL40" s="122"/>
      <c r="AM40" s="122"/>
      <c r="AN40" s="122"/>
      <c r="AO40" s="122"/>
      <c r="AP40" s="122"/>
      <c r="AQ40" s="122"/>
    </row>
    <row r="41" spans="2:44" ht="14.4" thickBot="1">
      <c r="B41" s="132" t="s">
        <v>153</v>
      </c>
      <c r="C41" s="171">
        <v>2832.0549999999998</v>
      </c>
      <c r="D41" s="171">
        <v>2654.9590000000003</v>
      </c>
      <c r="E41" s="171">
        <v>2646.402</v>
      </c>
      <c r="F41" s="171">
        <v>2581.4180000000001</v>
      </c>
      <c r="G41" s="171">
        <v>2456.7450000000003</v>
      </c>
      <c r="H41" s="171">
        <v>2782.2065663538724</v>
      </c>
      <c r="I41" s="171">
        <v>2706.3770181844852</v>
      </c>
      <c r="J41" s="171">
        <v>2669.2290000000003</v>
      </c>
      <c r="K41" s="171">
        <v>3092.0460000000003</v>
      </c>
      <c r="L41" s="171">
        <v>2780.74</v>
      </c>
      <c r="M41" s="171">
        <v>3091.7239999999997</v>
      </c>
      <c r="N41" s="171">
        <v>3405.3719999999994</v>
      </c>
      <c r="O41" s="171">
        <v>3233.8740000000007</v>
      </c>
      <c r="P41" s="171">
        <v>3621</v>
      </c>
      <c r="Q41" s="171">
        <v>4297.0249999999996</v>
      </c>
      <c r="R41" s="171">
        <v>4454.9830000000002</v>
      </c>
      <c r="S41" s="171">
        <v>4327.2749999999996</v>
      </c>
      <c r="T41" s="171">
        <v>4506</v>
      </c>
      <c r="U41" s="171">
        <v>4898.8609999999999</v>
      </c>
      <c r="V41" s="171">
        <v>4270</v>
      </c>
      <c r="W41" s="171">
        <v>4879.74</v>
      </c>
      <c r="X41" s="171">
        <v>5188</v>
      </c>
      <c r="Y41" s="171">
        <v>4913</v>
      </c>
      <c r="Z41" s="171">
        <v>4862.3969999999999</v>
      </c>
      <c r="AA41" s="171">
        <v>4564.0930000000008</v>
      </c>
      <c r="AB41" s="171">
        <v>4928.2159999999994</v>
      </c>
      <c r="AC41" s="171">
        <v>4623</v>
      </c>
      <c r="AD41" s="171">
        <f>SUM(AD42:AD50)</f>
        <v>4562.2839999999997</v>
      </c>
      <c r="AE41" s="171">
        <f>SUM(AE42:AE50)</f>
        <v>4185</v>
      </c>
      <c r="AF41" s="171">
        <f>SUM(AF42:AF50)</f>
        <v>4200</v>
      </c>
      <c r="AG41" s="171">
        <f t="shared" ref="AG41:AH41" si="35">SUM(AG42:AG50)</f>
        <v>4602</v>
      </c>
      <c r="AH41" s="171">
        <f t="shared" si="35"/>
        <v>4468</v>
      </c>
      <c r="AI41" s="238"/>
      <c r="AK41" s="233"/>
      <c r="AL41" s="233"/>
      <c r="AM41" s="233"/>
      <c r="AN41" s="233"/>
      <c r="AO41" s="122"/>
      <c r="AP41" s="122"/>
      <c r="AQ41" s="122"/>
    </row>
    <row r="42" spans="2:44" ht="14.25" customHeight="1">
      <c r="B42" s="125" t="s">
        <v>154</v>
      </c>
      <c r="C42" s="129">
        <v>46.537999999999997</v>
      </c>
      <c r="D42" s="129">
        <v>48.152999999999999</v>
      </c>
      <c r="E42" s="129">
        <v>32.043999999999997</v>
      </c>
      <c r="F42" s="172">
        <v>116.81100000000001</v>
      </c>
      <c r="G42" s="129">
        <v>76.706000000000003</v>
      </c>
      <c r="H42" s="129">
        <v>59.725000000000001</v>
      </c>
      <c r="I42" s="129">
        <v>87.718000000000004</v>
      </c>
      <c r="J42" s="129">
        <v>190.321</v>
      </c>
      <c r="K42" s="129">
        <v>193.85400000000001</v>
      </c>
      <c r="L42" s="129">
        <v>172.03899999999999</v>
      </c>
      <c r="M42" s="129">
        <v>458</v>
      </c>
      <c r="N42" s="129">
        <v>632.43799999999999</v>
      </c>
      <c r="O42" s="129">
        <v>514.62400000000002</v>
      </c>
      <c r="P42" s="129">
        <v>296</v>
      </c>
      <c r="Q42" s="129">
        <v>686</v>
      </c>
      <c r="R42" s="129">
        <v>1449.345</v>
      </c>
      <c r="S42" s="129">
        <v>1263.009</v>
      </c>
      <c r="T42" s="129">
        <v>1126</v>
      </c>
      <c r="U42" s="129">
        <v>1177</v>
      </c>
      <c r="V42" s="129">
        <v>849</v>
      </c>
      <c r="W42" s="129">
        <v>886.06299999999999</v>
      </c>
      <c r="X42" s="129">
        <v>1028</v>
      </c>
      <c r="Y42" s="129">
        <v>937</v>
      </c>
      <c r="Z42" s="129">
        <v>1350.229</v>
      </c>
      <c r="AA42" s="129">
        <v>1072.8920000000001</v>
      </c>
      <c r="AB42" s="129">
        <v>1580.2940000000001</v>
      </c>
      <c r="AC42" s="129">
        <v>1284</v>
      </c>
      <c r="AD42" s="129">
        <v>1141.9649999999999</v>
      </c>
      <c r="AE42" s="129">
        <v>653</v>
      </c>
      <c r="AF42" s="172">
        <v>580</v>
      </c>
      <c r="AG42" s="172">
        <v>1100</v>
      </c>
      <c r="AH42" s="172">
        <v>1268</v>
      </c>
      <c r="AI42" s="238"/>
      <c r="AK42" s="129"/>
      <c r="AL42" s="129"/>
      <c r="AM42" s="129"/>
      <c r="AN42" s="129"/>
      <c r="AO42" s="122"/>
      <c r="AP42" s="122"/>
      <c r="AQ42" s="122"/>
    </row>
    <row r="43" spans="2:44" ht="14.25" customHeight="1">
      <c r="B43" s="133" t="s">
        <v>155</v>
      </c>
      <c r="C43" s="173">
        <v>913.65599999999995</v>
      </c>
      <c r="D43" s="173">
        <v>777.80899999999997</v>
      </c>
      <c r="E43" s="173">
        <v>551.45399999999995</v>
      </c>
      <c r="F43" s="174">
        <v>453.15800000000002</v>
      </c>
      <c r="G43" s="173">
        <v>499.66500000000002</v>
      </c>
      <c r="H43" s="173">
        <v>580.65200000000004</v>
      </c>
      <c r="I43" s="173">
        <v>631.47500000000002</v>
      </c>
      <c r="J43" s="173">
        <v>416.34500000000003</v>
      </c>
      <c r="K43" s="173">
        <v>411.22899999999998</v>
      </c>
      <c r="L43" s="173">
        <v>374.20400000000001</v>
      </c>
      <c r="M43" s="173">
        <v>548.524</v>
      </c>
      <c r="N43" s="173">
        <v>616.93600000000004</v>
      </c>
      <c r="O43" s="173">
        <v>338.976</v>
      </c>
      <c r="P43" s="173">
        <v>424</v>
      </c>
      <c r="Q43" s="173">
        <v>693</v>
      </c>
      <c r="R43" s="173">
        <v>337.35</v>
      </c>
      <c r="S43" s="173">
        <v>321.81200000000001</v>
      </c>
      <c r="T43" s="173">
        <v>356</v>
      </c>
      <c r="U43" s="173">
        <v>457</v>
      </c>
      <c r="V43" s="173">
        <v>340</v>
      </c>
      <c r="W43" s="173">
        <v>410.37099999999998</v>
      </c>
      <c r="X43" s="173">
        <v>344</v>
      </c>
      <c r="Y43" s="173">
        <v>390</v>
      </c>
      <c r="Z43" s="173">
        <v>379.04199999999997</v>
      </c>
      <c r="AA43" s="173">
        <v>366.35199999999998</v>
      </c>
      <c r="AB43" s="173">
        <v>383.52800000000002</v>
      </c>
      <c r="AC43" s="173">
        <v>381</v>
      </c>
      <c r="AD43" s="173">
        <v>385.12200000000001</v>
      </c>
      <c r="AE43" s="173">
        <v>205</v>
      </c>
      <c r="AF43" s="174">
        <v>93</v>
      </c>
      <c r="AG43" s="174">
        <v>109</v>
      </c>
      <c r="AH43" s="174">
        <v>57</v>
      </c>
      <c r="AI43" s="238"/>
      <c r="AK43" s="129"/>
      <c r="AL43" s="129"/>
      <c r="AM43" s="129"/>
      <c r="AN43" s="129"/>
      <c r="AO43" s="122"/>
      <c r="AP43" s="122"/>
      <c r="AQ43" s="122"/>
    </row>
    <row r="44" spans="2:44" ht="14.25" customHeight="1">
      <c r="B44" s="133" t="s">
        <v>156</v>
      </c>
      <c r="C44" s="173">
        <v>35.11</v>
      </c>
      <c r="D44" s="173">
        <v>25.463000000000001</v>
      </c>
      <c r="E44" s="173">
        <v>59.433</v>
      </c>
      <c r="F44" s="174">
        <v>168.31200000000001</v>
      </c>
      <c r="G44" s="173">
        <v>103.854</v>
      </c>
      <c r="H44" s="173">
        <v>79.854566353871988</v>
      </c>
      <c r="I44" s="173">
        <v>42.476018184485532</v>
      </c>
      <c r="J44" s="173">
        <v>42.262999999999998</v>
      </c>
      <c r="K44" s="173">
        <v>178.762</v>
      </c>
      <c r="L44" s="173">
        <v>146.15100000000001</v>
      </c>
      <c r="M44" s="173">
        <v>44.146000000000001</v>
      </c>
      <c r="N44" s="173">
        <v>115.253</v>
      </c>
      <c r="O44" s="173">
        <v>15.547000000000001</v>
      </c>
      <c r="P44" s="173">
        <v>151</v>
      </c>
      <c r="Q44" s="173">
        <v>30</v>
      </c>
      <c r="R44" s="173">
        <v>10.749000000000001</v>
      </c>
      <c r="S44" s="173">
        <v>45.183999999999997</v>
      </c>
      <c r="T44" s="173">
        <v>19</v>
      </c>
      <c r="U44" s="173">
        <v>25</v>
      </c>
      <c r="V44" s="173">
        <v>33</v>
      </c>
      <c r="W44" s="173">
        <v>222</v>
      </c>
      <c r="X44" s="173">
        <v>224</v>
      </c>
      <c r="Y44" s="173">
        <v>215</v>
      </c>
      <c r="Z44" s="173">
        <v>240.76</v>
      </c>
      <c r="AA44" s="173">
        <v>167.077</v>
      </c>
      <c r="AB44" s="173">
        <v>73.463999999999999</v>
      </c>
      <c r="AC44" s="173">
        <v>9</v>
      </c>
      <c r="AD44" s="173">
        <v>48</v>
      </c>
      <c r="AE44" s="173">
        <v>57</v>
      </c>
      <c r="AF44" s="174">
        <v>104</v>
      </c>
      <c r="AG44" s="174">
        <v>154</v>
      </c>
      <c r="AH44" s="174">
        <v>145</v>
      </c>
      <c r="AI44" s="238"/>
      <c r="AK44" s="129"/>
      <c r="AL44" s="129"/>
      <c r="AM44" s="129"/>
      <c r="AN44" s="129"/>
      <c r="AO44" s="122"/>
      <c r="AP44" s="122"/>
      <c r="AQ44" s="122"/>
    </row>
    <row r="45" spans="2:44" ht="14.25" customHeight="1">
      <c r="B45" s="133" t="s">
        <v>157</v>
      </c>
      <c r="C45" s="173">
        <v>409.36599999999999</v>
      </c>
      <c r="D45" s="173">
        <v>450.74299999999999</v>
      </c>
      <c r="E45" s="173">
        <v>530.66999999999996</v>
      </c>
      <c r="F45" s="174">
        <v>489.70800000000003</v>
      </c>
      <c r="G45" s="173">
        <v>525.09400000000005</v>
      </c>
      <c r="H45" s="173">
        <v>598.84100000000001</v>
      </c>
      <c r="I45" s="173">
        <v>501.78899999999999</v>
      </c>
      <c r="J45" s="173">
        <v>404.29599999999999</v>
      </c>
      <c r="K45" s="173">
        <v>544.07799999999997</v>
      </c>
      <c r="L45" s="173">
        <v>511.23</v>
      </c>
      <c r="M45" s="173">
        <v>611.29999999999995</v>
      </c>
      <c r="N45" s="173">
        <v>474.71499999999997</v>
      </c>
      <c r="O45" s="173">
        <v>643.79300000000001</v>
      </c>
      <c r="P45" s="173">
        <v>667</v>
      </c>
      <c r="Q45" s="173">
        <v>758</v>
      </c>
      <c r="R45" s="173">
        <v>698.24900000000002</v>
      </c>
      <c r="S45" s="173">
        <v>684.94799999999998</v>
      </c>
      <c r="T45" s="173">
        <v>571</v>
      </c>
      <c r="U45" s="173">
        <v>526.62800000000004</v>
      </c>
      <c r="V45" s="173">
        <v>496</v>
      </c>
      <c r="W45" s="173">
        <v>544.83500000000004</v>
      </c>
      <c r="X45" s="173">
        <v>518</v>
      </c>
      <c r="Y45" s="173">
        <v>502</v>
      </c>
      <c r="Z45" s="173">
        <v>382.44299999999998</v>
      </c>
      <c r="AA45" s="173">
        <v>429.21499999999997</v>
      </c>
      <c r="AB45" s="173">
        <v>463.17500000000001</v>
      </c>
      <c r="AC45" s="173">
        <v>518</v>
      </c>
      <c r="AD45" s="173">
        <v>493.53500000000003</v>
      </c>
      <c r="AE45" s="173">
        <v>639</v>
      </c>
      <c r="AF45" s="174">
        <v>669</v>
      </c>
      <c r="AG45" s="174">
        <v>645</v>
      </c>
      <c r="AH45" s="174">
        <v>632</v>
      </c>
      <c r="AI45" s="238"/>
      <c r="AK45" s="129"/>
      <c r="AL45" s="129"/>
      <c r="AM45" s="129"/>
      <c r="AN45" s="129"/>
      <c r="AO45" s="122"/>
      <c r="AP45" s="122"/>
      <c r="AQ45" s="122"/>
    </row>
    <row r="46" spans="2:44" ht="14.25" customHeight="1">
      <c r="B46" s="134" t="s">
        <v>158</v>
      </c>
      <c r="C46" s="173">
        <v>661.90200000000004</v>
      </c>
      <c r="D46" s="173">
        <v>768.14200000000005</v>
      </c>
      <c r="E46" s="173">
        <v>929.98099999999999</v>
      </c>
      <c r="F46" s="174">
        <v>827.46699999999998</v>
      </c>
      <c r="G46" s="173">
        <v>788.16200000000003</v>
      </c>
      <c r="H46" s="173">
        <v>896.423</v>
      </c>
      <c r="I46" s="173">
        <v>930.60900000000004</v>
      </c>
      <c r="J46" s="173">
        <v>928.14200000000005</v>
      </c>
      <c r="K46" s="173">
        <v>1108.298</v>
      </c>
      <c r="L46" s="173">
        <v>1161.558</v>
      </c>
      <c r="M46" s="173">
        <v>1036.377</v>
      </c>
      <c r="N46" s="173">
        <v>1069.8800000000001</v>
      </c>
      <c r="O46" s="173">
        <v>1243.9280000000001</v>
      </c>
      <c r="P46" s="173">
        <v>1579</v>
      </c>
      <c r="Q46" s="173">
        <v>1631</v>
      </c>
      <c r="R46" s="173">
        <v>1592.3119999999999</v>
      </c>
      <c r="S46" s="173">
        <v>1640.8630000000001</v>
      </c>
      <c r="T46" s="173">
        <v>1797</v>
      </c>
      <c r="U46" s="173">
        <v>1865.2329999999999</v>
      </c>
      <c r="V46" s="173">
        <v>1881</v>
      </c>
      <c r="W46" s="173">
        <v>2088.605</v>
      </c>
      <c r="X46" s="173">
        <v>2322</v>
      </c>
      <c r="Y46" s="173">
        <v>2137</v>
      </c>
      <c r="Z46" s="173">
        <v>1937.2539999999999</v>
      </c>
      <c r="AA46" s="173">
        <v>1920.1790000000001</v>
      </c>
      <c r="AB46" s="173">
        <v>1865.4949999999999</v>
      </c>
      <c r="AC46" s="173">
        <v>1940</v>
      </c>
      <c r="AD46" s="173">
        <v>2162.5970000000002</v>
      </c>
      <c r="AE46" s="173">
        <v>2306</v>
      </c>
      <c r="AF46" s="174">
        <v>2354</v>
      </c>
      <c r="AG46" s="174">
        <v>2232</v>
      </c>
      <c r="AH46" s="174">
        <v>2046</v>
      </c>
      <c r="AI46" s="238"/>
      <c r="AK46" s="129"/>
      <c r="AL46" s="129"/>
      <c r="AM46" s="129"/>
      <c r="AN46" s="129"/>
      <c r="AO46" s="122"/>
      <c r="AP46" s="122"/>
      <c r="AQ46" s="122"/>
    </row>
    <row r="47" spans="2:44" ht="14.25" customHeight="1">
      <c r="B47" s="125" t="s">
        <v>159</v>
      </c>
      <c r="C47" s="129">
        <v>384.16699999999997</v>
      </c>
      <c r="D47" s="129">
        <v>397.065</v>
      </c>
      <c r="E47" s="129">
        <v>369.84500000000003</v>
      </c>
      <c r="F47" s="172">
        <v>357.01799999999997</v>
      </c>
      <c r="G47" s="129">
        <v>334.39100000000002</v>
      </c>
      <c r="H47" s="129">
        <v>470.78399999999999</v>
      </c>
      <c r="I47" s="129">
        <v>422.83499999999998</v>
      </c>
      <c r="J47" s="129">
        <v>640.19000000000005</v>
      </c>
      <c r="K47" s="173">
        <v>619.98500000000001</v>
      </c>
      <c r="L47" s="129">
        <v>364.767</v>
      </c>
      <c r="M47" s="129">
        <v>324.01900000000001</v>
      </c>
      <c r="N47" s="129">
        <v>442.36500000000001</v>
      </c>
      <c r="O47" s="129">
        <v>431.71300000000002</v>
      </c>
      <c r="P47" s="129">
        <v>441</v>
      </c>
      <c r="Q47" s="129">
        <v>425</v>
      </c>
      <c r="R47" s="129">
        <v>294.43400000000003</v>
      </c>
      <c r="S47" s="129">
        <v>312.41800000000001</v>
      </c>
      <c r="T47" s="129">
        <v>541</v>
      </c>
      <c r="U47" s="129">
        <v>670</v>
      </c>
      <c r="V47" s="129">
        <v>420</v>
      </c>
      <c r="W47" s="129">
        <v>467.62599999999998</v>
      </c>
      <c r="X47" s="129">
        <v>478</v>
      </c>
      <c r="Y47" s="129">
        <v>444</v>
      </c>
      <c r="Z47" s="129">
        <v>360.96800000000002</v>
      </c>
      <c r="AA47" s="129">
        <v>365.43</v>
      </c>
      <c r="AB47" s="129">
        <v>357.75900000000001</v>
      </c>
      <c r="AC47" s="129">
        <v>291</v>
      </c>
      <c r="AD47" s="129">
        <v>247.779</v>
      </c>
      <c r="AE47" s="129">
        <v>261</v>
      </c>
      <c r="AF47" s="172">
        <v>287</v>
      </c>
      <c r="AG47" s="172">
        <v>245</v>
      </c>
      <c r="AH47" s="172">
        <v>226</v>
      </c>
      <c r="AI47" s="238"/>
      <c r="AK47" s="129"/>
      <c r="AL47" s="129"/>
      <c r="AM47" s="129"/>
      <c r="AN47" s="129"/>
      <c r="AO47" s="122"/>
      <c r="AP47" s="122"/>
      <c r="AQ47" s="122"/>
    </row>
    <row r="48" spans="2:44" ht="14.25" customHeight="1">
      <c r="B48" s="134" t="s">
        <v>160</v>
      </c>
      <c r="C48" s="173">
        <v>5.7279999999999998</v>
      </c>
      <c r="D48" s="175">
        <v>0.41599999999999998</v>
      </c>
      <c r="E48" s="175">
        <v>0.41599999999999998</v>
      </c>
      <c r="F48" s="175">
        <v>0.41599999999999998</v>
      </c>
      <c r="G48" s="175">
        <v>0.41599999999999998</v>
      </c>
      <c r="H48" s="176">
        <v>0</v>
      </c>
      <c r="I48" s="173">
        <v>23.782</v>
      </c>
      <c r="J48" s="173">
        <v>6.2949999999999999</v>
      </c>
      <c r="K48" s="173">
        <v>6.2949999999999999</v>
      </c>
      <c r="L48" s="173">
        <v>6.2949999999999999</v>
      </c>
      <c r="M48" s="173">
        <v>11.189</v>
      </c>
      <c r="N48" s="173">
        <v>0.25</v>
      </c>
      <c r="O48" s="173">
        <v>2.5000000000000001E-2</v>
      </c>
      <c r="P48" s="173">
        <v>0</v>
      </c>
      <c r="Q48" s="173">
        <v>2.5000000000000001E-2</v>
      </c>
      <c r="R48" s="173">
        <v>0.66400000000000003</v>
      </c>
      <c r="S48" s="173">
        <v>0.66400000000000003</v>
      </c>
      <c r="T48" s="173">
        <v>0</v>
      </c>
      <c r="U48" s="173">
        <v>0</v>
      </c>
      <c r="V48" s="173">
        <v>13</v>
      </c>
      <c r="W48" s="173">
        <v>43.280999999999999</v>
      </c>
      <c r="X48" s="173">
        <v>93</v>
      </c>
      <c r="Y48" s="173">
        <v>42</v>
      </c>
      <c r="Z48" s="173">
        <v>1E-3</v>
      </c>
      <c r="AA48" s="173">
        <v>33.284999999999997</v>
      </c>
      <c r="AB48" s="173">
        <v>78.86</v>
      </c>
      <c r="AC48" s="173">
        <v>38</v>
      </c>
      <c r="AD48" s="173">
        <v>10.84</v>
      </c>
      <c r="AE48" s="173">
        <v>11</v>
      </c>
      <c r="AF48" s="174">
        <v>64</v>
      </c>
      <c r="AG48" s="174">
        <v>25</v>
      </c>
      <c r="AH48" s="174">
        <v>10</v>
      </c>
      <c r="AI48" s="238"/>
      <c r="AK48" s="129"/>
      <c r="AL48" s="129"/>
      <c r="AM48" s="129"/>
      <c r="AN48" s="129"/>
      <c r="AO48" s="122"/>
      <c r="AP48" s="122"/>
      <c r="AQ48" s="122"/>
    </row>
    <row r="49" spans="2:43" ht="14.25" customHeight="1">
      <c r="B49" s="134" t="s">
        <v>161</v>
      </c>
      <c r="C49" s="173">
        <v>115.65300000000001</v>
      </c>
      <c r="D49" s="173">
        <v>124.696</v>
      </c>
      <c r="E49" s="173">
        <v>117.69</v>
      </c>
      <c r="F49" s="174">
        <v>116.17400000000001</v>
      </c>
      <c r="G49" s="173">
        <v>88.251000000000005</v>
      </c>
      <c r="H49" s="173">
        <v>44.953000000000003</v>
      </c>
      <c r="I49" s="173">
        <v>15.019</v>
      </c>
      <c r="J49" s="176">
        <v>0</v>
      </c>
      <c r="K49" s="176">
        <v>0</v>
      </c>
      <c r="L49" s="176">
        <v>0</v>
      </c>
      <c r="M49" s="173">
        <v>58.168999999999997</v>
      </c>
      <c r="N49" s="176">
        <v>0</v>
      </c>
      <c r="O49" s="176">
        <v>0</v>
      </c>
      <c r="P49" s="176">
        <v>0</v>
      </c>
      <c r="Q49" s="176">
        <v>0</v>
      </c>
      <c r="R49" s="176">
        <v>0</v>
      </c>
      <c r="S49" s="176">
        <v>0</v>
      </c>
      <c r="T49" s="176">
        <v>0</v>
      </c>
      <c r="U49" s="173">
        <v>0</v>
      </c>
      <c r="V49" s="173">
        <v>0</v>
      </c>
      <c r="W49" s="173">
        <v>0</v>
      </c>
      <c r="X49" s="173">
        <v>0</v>
      </c>
      <c r="Y49" s="173">
        <v>0</v>
      </c>
      <c r="Z49" s="173">
        <v>0</v>
      </c>
      <c r="AA49" s="173">
        <v>0</v>
      </c>
      <c r="AB49" s="537">
        <v>0</v>
      </c>
      <c r="AC49" s="537">
        <v>0</v>
      </c>
      <c r="AD49" s="537" t="s">
        <v>342</v>
      </c>
      <c r="AE49" s="537">
        <v>0</v>
      </c>
      <c r="AF49" s="515">
        <v>0</v>
      </c>
      <c r="AG49" s="261">
        <v>0</v>
      </c>
      <c r="AH49" s="261">
        <v>0</v>
      </c>
      <c r="AI49" s="238"/>
      <c r="AK49" s="234"/>
      <c r="AL49" s="234"/>
      <c r="AM49" s="234"/>
      <c r="AN49" s="234"/>
      <c r="AO49" s="122"/>
      <c r="AP49" s="122"/>
      <c r="AQ49" s="122"/>
    </row>
    <row r="50" spans="2:43" ht="14.25" customHeight="1">
      <c r="B50" s="134" t="s">
        <v>162</v>
      </c>
      <c r="C50" s="129">
        <v>259.935</v>
      </c>
      <c r="D50" s="129">
        <v>62.472000000000001</v>
      </c>
      <c r="E50" s="129">
        <v>54.869</v>
      </c>
      <c r="F50" s="172">
        <v>52.353999999999999</v>
      </c>
      <c r="G50" s="129">
        <v>40.206000000000003</v>
      </c>
      <c r="H50" s="129">
        <v>50.973999999999997</v>
      </c>
      <c r="I50" s="129">
        <v>50.673999999999999</v>
      </c>
      <c r="J50" s="129">
        <v>41.377000000000002</v>
      </c>
      <c r="K50" s="129">
        <v>29.545000000000002</v>
      </c>
      <c r="L50" s="129">
        <v>44.496000000000002</v>
      </c>
      <c r="M50" s="129">
        <v>0</v>
      </c>
      <c r="N50" s="129">
        <v>53.534999999999997</v>
      </c>
      <c r="O50" s="129">
        <v>45.268000000000001</v>
      </c>
      <c r="P50" s="129">
        <v>63</v>
      </c>
      <c r="Q50" s="129">
        <v>74</v>
      </c>
      <c r="R50" s="129">
        <v>71.88</v>
      </c>
      <c r="S50" s="129">
        <v>58.377000000000002</v>
      </c>
      <c r="T50" s="129">
        <v>96</v>
      </c>
      <c r="U50" s="129">
        <v>178</v>
      </c>
      <c r="V50" s="129">
        <v>238</v>
      </c>
      <c r="W50" s="129">
        <v>216.959</v>
      </c>
      <c r="X50" s="129">
        <v>181</v>
      </c>
      <c r="Y50" s="129">
        <v>246</v>
      </c>
      <c r="Z50" s="129">
        <v>211.7</v>
      </c>
      <c r="AA50" s="129">
        <v>209.66300000000001</v>
      </c>
      <c r="AB50" s="129">
        <v>125.64100000000001</v>
      </c>
      <c r="AC50" s="129">
        <v>162</v>
      </c>
      <c r="AD50" s="129">
        <v>72.445999999999998</v>
      </c>
      <c r="AE50" s="129">
        <v>53</v>
      </c>
      <c r="AF50" s="172">
        <v>49</v>
      </c>
      <c r="AG50" s="172">
        <v>92</v>
      </c>
      <c r="AH50" s="172">
        <v>84</v>
      </c>
      <c r="AI50" s="238"/>
      <c r="AK50" s="129"/>
      <c r="AL50" s="129"/>
      <c r="AM50" s="129"/>
      <c r="AN50" s="129"/>
      <c r="AO50" s="122"/>
      <c r="AP50" s="122"/>
      <c r="AQ50" s="122"/>
    </row>
    <row r="51" spans="2:43" s="53" customFormat="1" ht="14.4" thickBot="1">
      <c r="B51" s="116" t="s">
        <v>163</v>
      </c>
      <c r="C51" s="171">
        <v>8391.3820000000014</v>
      </c>
      <c r="D51" s="171">
        <v>7077.1779999999999</v>
      </c>
      <c r="E51" s="171">
        <v>7135.0899999999992</v>
      </c>
      <c r="F51" s="171">
        <v>7122.2370000000001</v>
      </c>
      <c r="G51" s="171">
        <v>7118.9119999999994</v>
      </c>
      <c r="H51" s="171">
        <v>6892.6933153521395</v>
      </c>
      <c r="I51" s="171">
        <v>6997.2883914116564</v>
      </c>
      <c r="J51" s="171">
        <v>7147.0868869189926</v>
      </c>
      <c r="K51" s="171">
        <v>7518.2399091442521</v>
      </c>
      <c r="L51" s="171">
        <v>7871.8892241334061</v>
      </c>
      <c r="M51" s="171">
        <v>7590.4471371328491</v>
      </c>
      <c r="N51" s="171">
        <v>7805.7979999999998</v>
      </c>
      <c r="O51" s="171">
        <v>7007.5389999999998</v>
      </c>
      <c r="P51" s="171">
        <v>6883</v>
      </c>
      <c r="Q51" s="171">
        <v>6993</v>
      </c>
      <c r="R51" s="171">
        <v>7510.1799999999994</v>
      </c>
      <c r="S51" s="171">
        <v>7569.0170000000007</v>
      </c>
      <c r="T51" s="171">
        <v>7734</v>
      </c>
      <c r="U51" s="171">
        <v>7717</v>
      </c>
      <c r="V51" s="171">
        <v>8005.3760000000002</v>
      </c>
      <c r="W51" s="323">
        <v>8283.9140000000007</v>
      </c>
      <c r="X51" s="323">
        <v>8418</v>
      </c>
      <c r="Y51" s="323">
        <v>8582</v>
      </c>
      <c r="Z51" s="323">
        <v>8699.5349999999999</v>
      </c>
      <c r="AA51" s="511">
        <v>8768.64</v>
      </c>
      <c r="AB51" s="511">
        <v>8848.6119999999992</v>
      </c>
      <c r="AC51" s="511">
        <v>8934</v>
      </c>
      <c r="AD51" s="511">
        <f>SUM(AD52:AD66)</f>
        <v>9271.110999999999</v>
      </c>
      <c r="AE51" s="511">
        <f>SUM(AE52:AE66)</f>
        <v>9175</v>
      </c>
      <c r="AF51" s="511">
        <f>SUM(AF52:AF66)</f>
        <v>9139</v>
      </c>
      <c r="AG51" s="511">
        <f t="shared" ref="AG51:AH51" si="36">SUM(AG52:AG66)</f>
        <v>9275</v>
      </c>
      <c r="AH51" s="511">
        <f t="shared" si="36"/>
        <v>9498</v>
      </c>
      <c r="AI51" s="54"/>
      <c r="AK51" s="235"/>
      <c r="AL51" s="235"/>
      <c r="AM51" s="235"/>
      <c r="AN51" s="235"/>
      <c r="AO51" s="186"/>
      <c r="AP51" s="186"/>
      <c r="AQ51" s="186"/>
    </row>
    <row r="52" spans="2:43" s="53" customFormat="1">
      <c r="B52" s="364" t="s">
        <v>340</v>
      </c>
      <c r="C52" s="129"/>
      <c r="D52" s="129"/>
      <c r="E52" s="129"/>
      <c r="F52" s="172"/>
      <c r="G52" s="129"/>
      <c r="H52" s="129"/>
      <c r="I52" s="129"/>
      <c r="J52" s="129"/>
      <c r="K52" s="129"/>
      <c r="L52" s="129"/>
      <c r="M52" s="129"/>
      <c r="N52" s="129"/>
      <c r="O52" s="129"/>
      <c r="P52" s="129"/>
      <c r="Q52" s="129"/>
      <c r="R52" s="129"/>
      <c r="S52" s="129"/>
      <c r="T52" s="129"/>
      <c r="U52" s="129"/>
      <c r="V52" s="129">
        <v>78</v>
      </c>
      <c r="W52" s="383">
        <v>78.137</v>
      </c>
      <c r="X52" s="383">
        <v>210</v>
      </c>
      <c r="Y52" s="383">
        <v>312</v>
      </c>
      <c r="Z52" s="383">
        <v>245.768</v>
      </c>
      <c r="AA52" s="514">
        <v>248.107</v>
      </c>
      <c r="AB52" s="514">
        <v>113.288</v>
      </c>
      <c r="AC52" s="514">
        <v>111</v>
      </c>
      <c r="AD52" s="514">
        <v>0</v>
      </c>
      <c r="AE52" s="514">
        <v>0</v>
      </c>
      <c r="AF52" s="514">
        <v>0</v>
      </c>
      <c r="AG52" s="514">
        <v>0</v>
      </c>
      <c r="AH52" s="514">
        <v>0</v>
      </c>
      <c r="AI52" s="54"/>
      <c r="AK52" s="235"/>
      <c r="AL52" s="235"/>
      <c r="AM52" s="235"/>
      <c r="AN52" s="235"/>
      <c r="AO52" s="186"/>
      <c r="AP52" s="186"/>
      <c r="AQ52" s="186"/>
    </row>
    <row r="53" spans="2:43" s="53" customFormat="1">
      <c r="B53" s="125" t="s">
        <v>164</v>
      </c>
      <c r="C53" s="173"/>
      <c r="D53" s="173"/>
      <c r="E53" s="173"/>
      <c r="F53" s="174"/>
      <c r="G53" s="173"/>
      <c r="H53" s="173"/>
      <c r="I53" s="173"/>
      <c r="J53" s="173"/>
      <c r="K53" s="173"/>
      <c r="L53" s="173"/>
      <c r="M53" s="173"/>
      <c r="N53" s="173"/>
      <c r="O53" s="173"/>
      <c r="P53" s="173"/>
      <c r="Q53" s="173"/>
      <c r="R53" s="173"/>
      <c r="S53" s="173"/>
      <c r="T53" s="173"/>
      <c r="U53" s="173"/>
      <c r="V53" s="173"/>
      <c r="W53" s="177"/>
      <c r="X53" s="177"/>
      <c r="Y53" s="177"/>
      <c r="Z53" s="177"/>
      <c r="AA53" s="177"/>
      <c r="AB53" s="177"/>
      <c r="AC53" s="177"/>
      <c r="AD53" s="177"/>
      <c r="AE53" s="177"/>
      <c r="AF53" s="177"/>
      <c r="AG53" s="177"/>
      <c r="AH53" s="177"/>
      <c r="AK53" s="177"/>
      <c r="AL53" s="177"/>
      <c r="AM53" s="177"/>
      <c r="AN53" s="177"/>
      <c r="AO53" s="186"/>
      <c r="AP53" s="186"/>
      <c r="AQ53" s="186"/>
    </row>
    <row r="54" spans="2:43" s="53" customFormat="1">
      <c r="B54" s="123" t="s">
        <v>155</v>
      </c>
      <c r="C54" s="174">
        <v>6.4000000000000001E-2</v>
      </c>
      <c r="D54" s="174">
        <v>2.4169999999999998</v>
      </c>
      <c r="E54" s="174">
        <v>2.4500000000000002</v>
      </c>
      <c r="F54" s="174">
        <v>2.3940000000000001</v>
      </c>
      <c r="G54" s="174">
        <v>2.395</v>
      </c>
      <c r="H54" s="174">
        <v>2.4260000000000002</v>
      </c>
      <c r="I54" s="174">
        <v>2.371</v>
      </c>
      <c r="J54" s="178">
        <v>2.0939999999999999</v>
      </c>
      <c r="K54" s="178">
        <v>6.4000000000000001E-2</v>
      </c>
      <c r="L54" s="178">
        <v>6.4000000000000001E-2</v>
      </c>
      <c r="M54" s="178">
        <v>6.4000000000000001E-2</v>
      </c>
      <c r="N54" s="178">
        <v>6.4000000000000001E-2</v>
      </c>
      <c r="O54" s="178">
        <v>0</v>
      </c>
      <c r="P54" s="178">
        <v>0</v>
      </c>
      <c r="Q54" s="178">
        <v>0</v>
      </c>
      <c r="R54" s="178">
        <v>0</v>
      </c>
      <c r="S54" s="178">
        <v>0</v>
      </c>
      <c r="T54" s="178">
        <v>0</v>
      </c>
      <c r="U54" s="178">
        <v>0</v>
      </c>
      <c r="V54" s="178">
        <v>0</v>
      </c>
      <c r="W54" s="178">
        <v>0</v>
      </c>
      <c r="X54" s="178">
        <v>0</v>
      </c>
      <c r="Y54" s="178">
        <v>0</v>
      </c>
      <c r="Z54" s="178"/>
      <c r="AA54" s="178"/>
      <c r="AB54" s="538"/>
      <c r="AC54" s="538"/>
      <c r="AD54" s="538"/>
      <c r="AE54" s="538">
        <v>0</v>
      </c>
      <c r="AF54" s="560">
        <v>0</v>
      </c>
      <c r="AG54" s="560">
        <v>0</v>
      </c>
      <c r="AH54" s="560">
        <v>52</v>
      </c>
      <c r="AI54" s="238"/>
      <c r="AK54" s="236"/>
      <c r="AL54" s="236"/>
      <c r="AM54" s="236"/>
      <c r="AN54" s="236"/>
      <c r="AO54" s="186"/>
      <c r="AP54" s="186"/>
      <c r="AQ54" s="186"/>
    </row>
    <row r="55" spans="2:43">
      <c r="B55" s="123" t="s">
        <v>156</v>
      </c>
      <c r="C55" s="174">
        <v>0</v>
      </c>
      <c r="D55" s="174">
        <v>4.4480000000000004</v>
      </c>
      <c r="E55" s="174">
        <v>2.2229999999999999</v>
      </c>
      <c r="F55" s="174">
        <v>0</v>
      </c>
      <c r="G55" s="174">
        <v>0</v>
      </c>
      <c r="H55" s="174">
        <v>0.46876255242072512</v>
      </c>
      <c r="I55" s="174">
        <v>3.0265996973221192</v>
      </c>
      <c r="J55" s="173">
        <v>6.8383104000000019</v>
      </c>
      <c r="K55" s="173">
        <v>6.0392758875901347</v>
      </c>
      <c r="L55" s="173">
        <v>21.726525074753138</v>
      </c>
      <c r="M55" s="173">
        <v>5.9289947538143606</v>
      </c>
      <c r="N55" s="173">
        <v>864.48599999999999</v>
      </c>
      <c r="O55" s="173">
        <v>21.553000000000001</v>
      </c>
      <c r="P55" s="173">
        <v>165</v>
      </c>
      <c r="Q55" s="173">
        <v>30</v>
      </c>
      <c r="R55" s="173">
        <v>28.984999999999999</v>
      </c>
      <c r="S55" s="173">
        <v>137.28100000000001</v>
      </c>
      <c r="T55" s="173">
        <v>97</v>
      </c>
      <c r="U55" s="173">
        <v>104</v>
      </c>
      <c r="V55" s="173">
        <v>104</v>
      </c>
      <c r="W55" s="173">
        <v>137</v>
      </c>
      <c r="X55" s="173">
        <v>220</v>
      </c>
      <c r="Y55" s="173">
        <v>175</v>
      </c>
      <c r="Z55" s="173">
        <v>224.053</v>
      </c>
      <c r="AA55" s="173">
        <v>206.82499999999999</v>
      </c>
      <c r="AB55" s="173">
        <v>218.584</v>
      </c>
      <c r="AC55" s="173">
        <v>204</v>
      </c>
      <c r="AD55" s="173">
        <v>131</v>
      </c>
      <c r="AE55" s="173">
        <v>174</v>
      </c>
      <c r="AF55" s="174">
        <v>296</v>
      </c>
      <c r="AG55" s="174">
        <v>422</v>
      </c>
      <c r="AH55" s="174">
        <v>402</v>
      </c>
      <c r="AI55" s="238"/>
      <c r="AK55" s="129"/>
      <c r="AL55" s="129"/>
      <c r="AM55" s="129"/>
      <c r="AN55" s="129"/>
      <c r="AO55" s="122"/>
      <c r="AP55" s="122"/>
      <c r="AQ55" s="122"/>
    </row>
    <row r="56" spans="2:43">
      <c r="B56" s="95" t="s">
        <v>161</v>
      </c>
      <c r="C56" s="174">
        <v>77.141000000000005</v>
      </c>
      <c r="D56" s="174">
        <v>55.706000000000003</v>
      </c>
      <c r="E56" s="174">
        <v>27.641999999999999</v>
      </c>
      <c r="F56" s="174">
        <v>0</v>
      </c>
      <c r="G56" s="174">
        <v>0</v>
      </c>
      <c r="H56" s="174">
        <v>0</v>
      </c>
      <c r="I56" s="174">
        <v>0</v>
      </c>
      <c r="J56" s="174">
        <v>0</v>
      </c>
      <c r="K56" s="174">
        <v>0</v>
      </c>
      <c r="L56" s="174">
        <v>0</v>
      </c>
      <c r="M56" s="174">
        <v>0</v>
      </c>
      <c r="N56" s="174">
        <v>0</v>
      </c>
      <c r="O56" s="174">
        <v>0</v>
      </c>
      <c r="P56" s="174">
        <v>0</v>
      </c>
      <c r="Q56" s="174"/>
      <c r="R56" s="174">
        <v>0</v>
      </c>
      <c r="S56" s="174">
        <v>0</v>
      </c>
      <c r="T56" s="174">
        <v>0</v>
      </c>
      <c r="U56" s="174"/>
      <c r="V56" s="174"/>
      <c r="W56" s="174">
        <v>0</v>
      </c>
      <c r="X56" s="174">
        <v>0</v>
      </c>
      <c r="Y56" s="174">
        <v>0</v>
      </c>
      <c r="Z56" s="174">
        <v>0</v>
      </c>
      <c r="AA56" s="174">
        <v>0</v>
      </c>
      <c r="AB56" s="173">
        <v>0</v>
      </c>
      <c r="AC56" s="173">
        <v>0</v>
      </c>
      <c r="AD56" s="173">
        <v>0</v>
      </c>
      <c r="AE56" s="173">
        <v>0</v>
      </c>
      <c r="AF56" s="174">
        <v>0</v>
      </c>
      <c r="AG56" s="174">
        <v>0</v>
      </c>
      <c r="AH56" s="174">
        <v>0</v>
      </c>
      <c r="AI56" s="238"/>
      <c r="AK56" s="172"/>
      <c r="AL56" s="172"/>
      <c r="AM56" s="172"/>
      <c r="AN56" s="172"/>
      <c r="AO56" s="122"/>
      <c r="AP56" s="122"/>
      <c r="AQ56" s="122"/>
    </row>
    <row r="57" spans="2:43" s="53" customFormat="1">
      <c r="B57" s="96" t="s">
        <v>159</v>
      </c>
      <c r="C57" s="174">
        <v>564.80799999999999</v>
      </c>
      <c r="D57" s="174">
        <v>537.19899999999996</v>
      </c>
      <c r="E57" s="174">
        <v>602.77300000000002</v>
      </c>
      <c r="F57" s="174">
        <v>656.18700000000001</v>
      </c>
      <c r="G57" s="174">
        <v>667.51300000000003</v>
      </c>
      <c r="H57" s="174">
        <v>639.029</v>
      </c>
      <c r="I57" s="174">
        <v>687.12800000000004</v>
      </c>
      <c r="J57" s="178">
        <v>737.34</v>
      </c>
      <c r="K57" s="178">
        <v>763.45399999999995</v>
      </c>
      <c r="L57" s="178">
        <v>1170.0709999999999</v>
      </c>
      <c r="M57" s="178">
        <v>1109.4580000000001</v>
      </c>
      <c r="N57" s="178">
        <v>848.125</v>
      </c>
      <c r="O57" s="178">
        <v>814.21199999999999</v>
      </c>
      <c r="P57" s="178">
        <v>779</v>
      </c>
      <c r="Q57" s="178">
        <v>764</v>
      </c>
      <c r="R57" s="178">
        <v>685.46500000000003</v>
      </c>
      <c r="S57" s="178">
        <v>691.69</v>
      </c>
      <c r="T57" s="178">
        <v>586</v>
      </c>
      <c r="U57" s="178">
        <v>557</v>
      </c>
      <c r="V57" s="178">
        <v>691</v>
      </c>
      <c r="W57" s="178">
        <v>689.99599999999998</v>
      </c>
      <c r="X57" s="178">
        <v>666</v>
      </c>
      <c r="Y57" s="178">
        <v>674</v>
      </c>
      <c r="Z57" s="178">
        <v>671.76099999999997</v>
      </c>
      <c r="AA57" s="178">
        <v>658.98800000000006</v>
      </c>
      <c r="AB57" s="178">
        <v>656.02</v>
      </c>
      <c r="AC57" s="178">
        <v>655</v>
      </c>
      <c r="AD57" s="178">
        <v>645.524</v>
      </c>
      <c r="AE57" s="178">
        <v>659</v>
      </c>
      <c r="AF57" s="561">
        <v>625</v>
      </c>
      <c r="AG57" s="561">
        <v>601</v>
      </c>
      <c r="AH57" s="561">
        <v>603</v>
      </c>
      <c r="AI57" s="238"/>
      <c r="AK57" s="236"/>
      <c r="AL57" s="236"/>
      <c r="AM57" s="236"/>
      <c r="AN57" s="236"/>
      <c r="AO57" s="186"/>
      <c r="AP57" s="186"/>
      <c r="AQ57" s="186"/>
    </row>
    <row r="58" spans="2:43">
      <c r="B58" s="121" t="s">
        <v>165</v>
      </c>
      <c r="C58" s="174">
        <v>827.83600000000001</v>
      </c>
      <c r="D58" s="174">
        <v>830.30799999999999</v>
      </c>
      <c r="E58" s="174">
        <v>867.971</v>
      </c>
      <c r="F58" s="174">
        <v>781.71</v>
      </c>
      <c r="G58" s="174">
        <v>790.27700000000004</v>
      </c>
      <c r="H58" s="174">
        <v>628.37855279971859</v>
      </c>
      <c r="I58" s="174">
        <v>710.90479171433265</v>
      </c>
      <c r="J58" s="129">
        <v>805.55957651899269</v>
      </c>
      <c r="K58" s="129">
        <v>988.05163325666229</v>
      </c>
      <c r="L58" s="129">
        <v>1087.3286990586528</v>
      </c>
      <c r="M58" s="129">
        <v>891.64714237903434</v>
      </c>
      <c r="N58" s="129">
        <v>175.768</v>
      </c>
      <c r="O58" s="129">
        <v>316.20499999999998</v>
      </c>
      <c r="P58" s="129">
        <v>50</v>
      </c>
      <c r="Q58" s="129">
        <v>247</v>
      </c>
      <c r="R58" s="129">
        <v>253.94300000000001</v>
      </c>
      <c r="S58" s="129">
        <v>24.138000000000002</v>
      </c>
      <c r="T58" s="129">
        <v>145</v>
      </c>
      <c r="U58" s="129">
        <v>129</v>
      </c>
      <c r="V58" s="129">
        <v>156</v>
      </c>
      <c r="W58" s="129">
        <v>114.91800000000001</v>
      </c>
      <c r="X58" s="129">
        <v>46</v>
      </c>
      <c r="Y58" s="129">
        <v>158</v>
      </c>
      <c r="Z58" s="129">
        <v>302.334</v>
      </c>
      <c r="AA58" s="129">
        <v>324.30900000000003</v>
      </c>
      <c r="AB58" s="129">
        <v>523.803</v>
      </c>
      <c r="AC58" s="129">
        <v>567</v>
      </c>
      <c r="AD58" s="129">
        <v>875.02200000000005</v>
      </c>
      <c r="AE58" s="129">
        <v>653</v>
      </c>
      <c r="AF58" s="172">
        <v>551</v>
      </c>
      <c r="AG58" s="172">
        <v>462</v>
      </c>
      <c r="AH58" s="172">
        <v>564</v>
      </c>
      <c r="AI58" s="238"/>
      <c r="AK58" s="129"/>
      <c r="AL58" s="129"/>
      <c r="AM58" s="129"/>
      <c r="AN58" s="129"/>
      <c r="AO58" s="122"/>
      <c r="AP58" s="122"/>
      <c r="AQ58" s="122"/>
    </row>
    <row r="59" spans="2:43">
      <c r="B59" s="123" t="s">
        <v>166</v>
      </c>
      <c r="C59" s="174">
        <v>1222.0740000000001</v>
      </c>
      <c r="D59" s="174">
        <v>0.92300000000000004</v>
      </c>
      <c r="E59" s="174">
        <v>0.92300000000000004</v>
      </c>
      <c r="F59" s="174">
        <v>0.52900000000000003</v>
      </c>
      <c r="G59" s="174">
        <v>0.52900000000000003</v>
      </c>
      <c r="H59" s="174">
        <v>22.478999999999999</v>
      </c>
      <c r="I59" s="174">
        <v>27.79</v>
      </c>
      <c r="J59" s="173">
        <v>28.042999999999999</v>
      </c>
      <c r="K59" s="173">
        <v>28.120999999999999</v>
      </c>
      <c r="L59" s="173">
        <v>17.25</v>
      </c>
      <c r="M59" s="173">
        <v>17.329999999999998</v>
      </c>
      <c r="N59" s="173">
        <v>16.913</v>
      </c>
      <c r="O59" s="173">
        <v>16.562999999999999</v>
      </c>
      <c r="P59" s="173">
        <v>12</v>
      </c>
      <c r="Q59" s="173">
        <v>56</v>
      </c>
      <c r="R59" s="173">
        <v>57.323</v>
      </c>
      <c r="S59" s="173">
        <v>59.726999999999997</v>
      </c>
      <c r="T59" s="173">
        <v>57</v>
      </c>
      <c r="U59" s="173">
        <v>59</v>
      </c>
      <c r="V59" s="173">
        <v>61</v>
      </c>
      <c r="W59" s="173">
        <v>62.427999999999997</v>
      </c>
      <c r="X59" s="173">
        <v>60</v>
      </c>
      <c r="Y59" s="173">
        <v>55</v>
      </c>
      <c r="Z59" s="173">
        <v>53.847999999999999</v>
      </c>
      <c r="AA59" s="173">
        <v>54.259</v>
      </c>
      <c r="AB59" s="173">
        <v>54.595999999999997</v>
      </c>
      <c r="AC59" s="173">
        <v>55</v>
      </c>
      <c r="AD59" s="173">
        <v>55.115000000000002</v>
      </c>
      <c r="AE59" s="173">
        <v>55</v>
      </c>
      <c r="AF59" s="174">
        <v>56</v>
      </c>
      <c r="AG59" s="174">
        <v>60</v>
      </c>
      <c r="AH59" s="174">
        <v>57</v>
      </c>
      <c r="AI59" s="238"/>
      <c r="AK59" s="129"/>
      <c r="AL59" s="129"/>
      <c r="AM59" s="129"/>
      <c r="AN59" s="129"/>
      <c r="AO59" s="122"/>
      <c r="AP59" s="122"/>
      <c r="AQ59" s="122"/>
    </row>
    <row r="60" spans="2:43">
      <c r="B60" s="95" t="s">
        <v>167</v>
      </c>
      <c r="C60" s="174">
        <v>119.617</v>
      </c>
      <c r="D60" s="174">
        <v>119.788</v>
      </c>
      <c r="E60" s="174">
        <v>120.10599999999999</v>
      </c>
      <c r="F60" s="174">
        <v>128.107</v>
      </c>
      <c r="G60" s="174">
        <v>128.65600000000001</v>
      </c>
      <c r="H60" s="174">
        <v>136.136</v>
      </c>
      <c r="I60" s="174">
        <v>120.468</v>
      </c>
      <c r="J60" s="129">
        <v>115.259</v>
      </c>
      <c r="K60" s="129">
        <v>111.824</v>
      </c>
      <c r="L60" s="129">
        <v>15.516999999999999</v>
      </c>
      <c r="M60" s="129">
        <v>15.606999999999999</v>
      </c>
      <c r="N60" s="129">
        <v>15.141</v>
      </c>
      <c r="O60" s="129">
        <v>15.163</v>
      </c>
      <c r="P60" s="129">
        <v>16</v>
      </c>
      <c r="Q60" s="129">
        <v>17</v>
      </c>
      <c r="R60" s="129">
        <v>16.655999999999999</v>
      </c>
      <c r="S60" s="129">
        <v>16.917000000000002</v>
      </c>
      <c r="T60" s="129">
        <v>18</v>
      </c>
      <c r="U60" s="129">
        <v>18</v>
      </c>
      <c r="V60" s="129">
        <v>18</v>
      </c>
      <c r="W60" s="129">
        <v>18.132999999999999</v>
      </c>
      <c r="X60" s="129">
        <v>50</v>
      </c>
      <c r="Y60" s="129">
        <v>21</v>
      </c>
      <c r="Z60" s="129">
        <v>20.952000000000002</v>
      </c>
      <c r="AA60" s="129">
        <v>23.062999999999999</v>
      </c>
      <c r="AB60" s="129">
        <v>18.797000000000001</v>
      </c>
      <c r="AC60" s="129">
        <v>19</v>
      </c>
      <c r="AD60" s="129">
        <v>19.295000000000002</v>
      </c>
      <c r="AE60" s="129">
        <v>19</v>
      </c>
      <c r="AF60" s="172">
        <v>22</v>
      </c>
      <c r="AG60" s="172">
        <v>21</v>
      </c>
      <c r="AH60" s="172">
        <v>22</v>
      </c>
      <c r="AI60" s="238"/>
      <c r="AK60" s="129"/>
      <c r="AL60" s="129"/>
      <c r="AM60" s="129"/>
      <c r="AN60" s="129"/>
      <c r="AO60" s="122"/>
      <c r="AP60" s="122"/>
      <c r="AQ60" s="122"/>
    </row>
    <row r="61" spans="2:43">
      <c r="B61" s="96" t="s">
        <v>162</v>
      </c>
      <c r="C61" s="174">
        <v>36.222000000000001</v>
      </c>
      <c r="D61" s="174">
        <v>27.684999999999999</v>
      </c>
      <c r="E61" s="174">
        <v>25.978999999999999</v>
      </c>
      <c r="F61" s="174">
        <v>21.827000000000002</v>
      </c>
      <c r="G61" s="174">
        <v>21.529</v>
      </c>
      <c r="H61" s="174">
        <v>20.126000000000001</v>
      </c>
      <c r="I61" s="174">
        <v>14.43</v>
      </c>
      <c r="J61" s="173">
        <v>17.715</v>
      </c>
      <c r="K61" s="173">
        <v>29.885999999999999</v>
      </c>
      <c r="L61" s="173">
        <v>25.091999999999999</v>
      </c>
      <c r="M61" s="173">
        <v>20.041</v>
      </c>
      <c r="N61" s="173">
        <v>33.527999999999999</v>
      </c>
      <c r="O61" s="173">
        <v>17.138999999999999</v>
      </c>
      <c r="P61" s="173">
        <v>10</v>
      </c>
      <c r="Q61" s="173">
        <v>6</v>
      </c>
      <c r="R61" s="173">
        <v>69.768000000000001</v>
      </c>
      <c r="S61" s="173">
        <v>53.881999999999998</v>
      </c>
      <c r="T61" s="173">
        <v>51</v>
      </c>
      <c r="U61" s="173">
        <v>53</v>
      </c>
      <c r="V61" s="173">
        <v>50</v>
      </c>
      <c r="W61" s="173">
        <v>64.8</v>
      </c>
      <c r="X61" s="173">
        <v>83</v>
      </c>
      <c r="Y61" s="173">
        <v>35</v>
      </c>
      <c r="Z61" s="173">
        <v>25.677</v>
      </c>
      <c r="AA61" s="173">
        <v>50.804000000000002</v>
      </c>
      <c r="AB61" s="173">
        <v>31.442</v>
      </c>
      <c r="AC61" s="173">
        <v>7</v>
      </c>
      <c r="AD61" s="173">
        <v>14.419</v>
      </c>
      <c r="AE61" s="173">
        <v>8</v>
      </c>
      <c r="AF61" s="174">
        <v>2</v>
      </c>
      <c r="AG61" s="174">
        <v>6</v>
      </c>
      <c r="AH61" s="174">
        <v>54</v>
      </c>
      <c r="AI61" s="238"/>
      <c r="AK61" s="129"/>
      <c r="AL61" s="129"/>
      <c r="AM61" s="129"/>
      <c r="AN61" s="129"/>
      <c r="AO61" s="122"/>
      <c r="AP61" s="122"/>
      <c r="AQ61" s="122"/>
    </row>
    <row r="62" spans="2:43">
      <c r="B62" s="128" t="s">
        <v>168</v>
      </c>
      <c r="C62" s="174">
        <v>219.58199999999999</v>
      </c>
      <c r="D62" s="174">
        <v>204.904</v>
      </c>
      <c r="E62" s="174">
        <v>196.578</v>
      </c>
      <c r="F62" s="174">
        <v>196.87899999999999</v>
      </c>
      <c r="G62" s="174">
        <v>196.52799999999999</v>
      </c>
      <c r="H62" s="174">
        <v>201.52</v>
      </c>
      <c r="I62" s="174">
        <v>203.48099999999999</v>
      </c>
      <c r="J62" s="179">
        <v>205.08099999999999</v>
      </c>
      <c r="K62" s="179">
        <v>178.83600000000001</v>
      </c>
      <c r="L62" s="179">
        <v>186.608</v>
      </c>
      <c r="M62" s="179">
        <v>184.94300000000001</v>
      </c>
      <c r="N62" s="179">
        <v>198.774</v>
      </c>
      <c r="O62" s="179">
        <v>174.85300000000001</v>
      </c>
      <c r="P62" s="179">
        <v>198</v>
      </c>
      <c r="Q62" s="179">
        <v>176</v>
      </c>
      <c r="R62" s="179">
        <v>204.97200000000001</v>
      </c>
      <c r="S62" s="179">
        <v>234.29599999999999</v>
      </c>
      <c r="T62" s="179">
        <v>216</v>
      </c>
      <c r="U62" s="179">
        <v>207</v>
      </c>
      <c r="V62" s="179">
        <v>360.59199999999998</v>
      </c>
      <c r="W62" s="179">
        <v>360.83300000000003</v>
      </c>
      <c r="X62" s="179">
        <v>301</v>
      </c>
      <c r="Y62" s="179">
        <v>243</v>
      </c>
      <c r="Z62" s="179">
        <v>277.13299999999998</v>
      </c>
      <c r="AA62" s="179">
        <v>275.98599999999999</v>
      </c>
      <c r="AB62" s="179">
        <v>204.73599999999999</v>
      </c>
      <c r="AC62" s="179">
        <v>238</v>
      </c>
      <c r="AD62" s="179">
        <v>237.791</v>
      </c>
      <c r="AE62" s="179">
        <v>270</v>
      </c>
      <c r="AF62" s="562">
        <v>182</v>
      </c>
      <c r="AG62" s="562">
        <v>218</v>
      </c>
      <c r="AH62" s="562">
        <v>221</v>
      </c>
      <c r="AI62" s="238"/>
      <c r="AK62" s="129"/>
      <c r="AL62" s="129"/>
      <c r="AM62" s="129"/>
      <c r="AN62" s="129"/>
      <c r="AO62" s="122"/>
      <c r="AP62" s="122"/>
      <c r="AQ62" s="122"/>
    </row>
    <row r="63" spans="2:43" s="122" customFormat="1">
      <c r="B63" s="133" t="s">
        <v>169</v>
      </c>
      <c r="C63" s="174">
        <v>0</v>
      </c>
      <c r="D63" s="174">
        <v>0</v>
      </c>
      <c r="E63" s="174">
        <v>0</v>
      </c>
      <c r="F63" s="174">
        <v>0</v>
      </c>
      <c r="G63" s="174">
        <v>0</v>
      </c>
      <c r="H63" s="174">
        <v>0</v>
      </c>
      <c r="I63" s="174">
        <v>0</v>
      </c>
      <c r="J63" s="174">
        <v>0</v>
      </c>
      <c r="K63" s="174">
        <v>0</v>
      </c>
      <c r="L63" s="174">
        <v>0</v>
      </c>
      <c r="M63" s="174">
        <v>0</v>
      </c>
      <c r="N63" s="174">
        <v>0</v>
      </c>
      <c r="O63" s="174">
        <v>0</v>
      </c>
      <c r="P63" s="174">
        <v>0</v>
      </c>
      <c r="Q63" s="174">
        <v>0</v>
      </c>
      <c r="R63" s="174">
        <v>0</v>
      </c>
      <c r="S63" s="174">
        <v>0</v>
      </c>
      <c r="T63" s="174">
        <v>0</v>
      </c>
      <c r="U63" s="179">
        <v>26</v>
      </c>
      <c r="V63" s="179">
        <v>0</v>
      </c>
      <c r="W63" s="179">
        <v>0</v>
      </c>
      <c r="X63" s="179">
        <v>0</v>
      </c>
      <c r="Y63" s="179">
        <v>0</v>
      </c>
      <c r="Z63" s="179">
        <v>0</v>
      </c>
      <c r="AA63" s="179">
        <v>0</v>
      </c>
      <c r="AB63" s="174">
        <v>0</v>
      </c>
      <c r="AC63" s="174">
        <v>0</v>
      </c>
      <c r="AD63" s="174"/>
      <c r="AE63" s="174">
        <v>0</v>
      </c>
      <c r="AF63" s="174">
        <v>0</v>
      </c>
      <c r="AG63" s="174">
        <v>0</v>
      </c>
      <c r="AH63" s="174">
        <v>0</v>
      </c>
      <c r="AI63" s="273"/>
      <c r="AK63" s="129"/>
      <c r="AL63" s="129"/>
      <c r="AM63" s="129"/>
      <c r="AN63" s="129"/>
    </row>
    <row r="64" spans="2:43">
      <c r="B64" s="133" t="s">
        <v>198</v>
      </c>
      <c r="C64" s="174">
        <v>4785.9179999999997</v>
      </c>
      <c r="D64" s="174">
        <v>4758.3649999999998</v>
      </c>
      <c r="E64" s="174">
        <v>4755.5379999999996</v>
      </c>
      <c r="F64" s="174">
        <v>4800.2650000000003</v>
      </c>
      <c r="G64" s="174">
        <v>4751.8620000000001</v>
      </c>
      <c r="H64" s="174">
        <v>4721.2910000000002</v>
      </c>
      <c r="I64" s="174">
        <v>4714.0730000000003</v>
      </c>
      <c r="J64" s="179">
        <v>4722.1130000000003</v>
      </c>
      <c r="K64" s="179">
        <v>4903.518</v>
      </c>
      <c r="L64" s="179">
        <v>4847.6120000000001</v>
      </c>
      <c r="M64" s="179">
        <v>4800.018</v>
      </c>
      <c r="N64" s="179">
        <v>5106.4960000000001</v>
      </c>
      <c r="O64" s="179">
        <v>4937.7849999999999</v>
      </c>
      <c r="P64" s="179">
        <v>4943</v>
      </c>
      <c r="Q64" s="179">
        <v>4991</v>
      </c>
      <c r="R64" s="179">
        <v>5152.0079999999998</v>
      </c>
      <c r="S64" s="179">
        <v>5215.1149999999998</v>
      </c>
      <c r="T64" s="179">
        <v>5442</v>
      </c>
      <c r="U64" s="179">
        <v>5468</v>
      </c>
      <c r="V64" s="179">
        <v>5499</v>
      </c>
      <c r="W64" s="179">
        <v>5787.326</v>
      </c>
      <c r="X64" s="179">
        <v>5823</v>
      </c>
      <c r="Y64" s="179">
        <v>5958</v>
      </c>
      <c r="Z64" s="179">
        <v>5928.1180000000004</v>
      </c>
      <c r="AA64" s="179">
        <v>5994.6080000000002</v>
      </c>
      <c r="AB64" s="179">
        <v>6095.6419999999998</v>
      </c>
      <c r="AC64" s="179">
        <v>6146</v>
      </c>
      <c r="AD64" s="179">
        <v>6253.3819999999996</v>
      </c>
      <c r="AE64" s="179">
        <v>6293</v>
      </c>
      <c r="AF64" s="562">
        <v>6367</v>
      </c>
      <c r="AG64" s="562">
        <v>6453</v>
      </c>
      <c r="AH64" s="562">
        <v>6449</v>
      </c>
      <c r="AI64" s="238"/>
      <c r="AK64" s="129"/>
      <c r="AL64" s="129"/>
      <c r="AM64" s="129"/>
      <c r="AN64" s="129"/>
      <c r="AO64" s="122"/>
      <c r="AP64" s="122"/>
      <c r="AQ64" s="122"/>
    </row>
    <row r="65" spans="2:43">
      <c r="B65" s="134" t="s">
        <v>170</v>
      </c>
      <c r="C65" s="174">
        <v>538.12</v>
      </c>
      <c r="D65" s="174">
        <v>535.43499999999995</v>
      </c>
      <c r="E65" s="174">
        <v>532.90700000000004</v>
      </c>
      <c r="F65" s="174">
        <v>534.33900000000006</v>
      </c>
      <c r="G65" s="174">
        <v>536.35699999999997</v>
      </c>
      <c r="H65" s="174">
        <v>500.96100000000001</v>
      </c>
      <c r="I65" s="174">
        <v>496.42200000000003</v>
      </c>
      <c r="J65" s="173">
        <v>491.738</v>
      </c>
      <c r="K65" s="173">
        <v>493.30500000000001</v>
      </c>
      <c r="L65" s="173">
        <v>487.90199999999999</v>
      </c>
      <c r="M65" s="173">
        <v>533.27200000000005</v>
      </c>
      <c r="N65" s="173">
        <v>531.26300000000003</v>
      </c>
      <c r="O65" s="173">
        <v>674.02200000000005</v>
      </c>
      <c r="P65" s="173">
        <v>668</v>
      </c>
      <c r="Q65" s="173">
        <v>659</v>
      </c>
      <c r="R65" s="173">
        <v>997.923</v>
      </c>
      <c r="S65" s="173">
        <v>1096.172</v>
      </c>
      <c r="T65" s="173">
        <v>1083</v>
      </c>
      <c r="U65" s="173">
        <v>1065</v>
      </c>
      <c r="V65" s="173">
        <v>956.78399999999999</v>
      </c>
      <c r="W65" s="173">
        <v>943.52099999999996</v>
      </c>
      <c r="X65" s="173">
        <v>931</v>
      </c>
      <c r="Y65" s="173">
        <v>915</v>
      </c>
      <c r="Z65" s="173">
        <v>901.31500000000005</v>
      </c>
      <c r="AA65" s="173">
        <v>889.57</v>
      </c>
      <c r="AB65" s="173">
        <v>892.13900000000001</v>
      </c>
      <c r="AC65" s="173">
        <v>875</v>
      </c>
      <c r="AD65" s="173">
        <v>868.14499999999998</v>
      </c>
      <c r="AE65" s="173">
        <v>875</v>
      </c>
      <c r="AF65" s="174">
        <v>874</v>
      </c>
      <c r="AG65" s="174">
        <v>863</v>
      </c>
      <c r="AH65" s="174">
        <v>873</v>
      </c>
      <c r="AI65" s="238"/>
      <c r="AK65" s="129"/>
      <c r="AL65" s="129"/>
      <c r="AM65" s="129"/>
      <c r="AN65" s="129"/>
      <c r="AO65" s="122"/>
      <c r="AP65" s="122"/>
      <c r="AQ65" s="122"/>
    </row>
    <row r="66" spans="2:43">
      <c r="B66" s="125" t="s">
        <v>171</v>
      </c>
      <c r="C66" s="174">
        <v>0</v>
      </c>
      <c r="D66" s="174">
        <v>0</v>
      </c>
      <c r="E66" s="174">
        <v>0</v>
      </c>
      <c r="F66" s="174">
        <v>0</v>
      </c>
      <c r="G66" s="174">
        <v>23.265999999999998</v>
      </c>
      <c r="H66" s="174">
        <v>19.878</v>
      </c>
      <c r="I66" s="174">
        <v>17.193999999999999</v>
      </c>
      <c r="J66" s="129">
        <v>15.305999999999999</v>
      </c>
      <c r="K66" s="129">
        <v>15.141</v>
      </c>
      <c r="L66" s="129">
        <v>12.718</v>
      </c>
      <c r="M66" s="129">
        <v>12.138</v>
      </c>
      <c r="N66" s="129">
        <v>15.24</v>
      </c>
      <c r="O66" s="129">
        <v>20.044</v>
      </c>
      <c r="P66" s="129">
        <v>42</v>
      </c>
      <c r="Q66" s="129">
        <v>47</v>
      </c>
      <c r="R66" s="129">
        <v>43.137</v>
      </c>
      <c r="S66" s="129">
        <v>39.798999999999999</v>
      </c>
      <c r="T66" s="129">
        <v>39</v>
      </c>
      <c r="U66" s="129">
        <v>31</v>
      </c>
      <c r="V66" s="129">
        <v>31</v>
      </c>
      <c r="W66" s="129">
        <v>26.821999999999999</v>
      </c>
      <c r="X66" s="129">
        <v>28</v>
      </c>
      <c r="Y66" s="129">
        <v>36</v>
      </c>
      <c r="Z66" s="129">
        <v>48.576000000000001</v>
      </c>
      <c r="AA66" s="129">
        <v>42.121000000000002</v>
      </c>
      <c r="AB66" s="129">
        <v>39.564999999999998</v>
      </c>
      <c r="AC66" s="129">
        <v>57</v>
      </c>
      <c r="AD66" s="129">
        <v>171.41800000000001</v>
      </c>
      <c r="AE66" s="129">
        <v>169</v>
      </c>
      <c r="AF66" s="172">
        <v>164</v>
      </c>
      <c r="AG66" s="172">
        <v>169</v>
      </c>
      <c r="AH66" s="172">
        <v>201</v>
      </c>
      <c r="AI66" s="238"/>
      <c r="AK66" s="129"/>
      <c r="AL66" s="129"/>
      <c r="AM66" s="129"/>
      <c r="AN66" s="129"/>
      <c r="AO66" s="122"/>
      <c r="AP66" s="122"/>
      <c r="AQ66" s="122"/>
    </row>
    <row r="67" spans="2:43" s="53" customFormat="1" ht="14.4" thickBot="1">
      <c r="B67" s="132" t="s">
        <v>172</v>
      </c>
      <c r="C67" s="168">
        <v>11223.437000000002</v>
      </c>
      <c r="D67" s="168">
        <v>9732.1370000000006</v>
      </c>
      <c r="E67" s="168">
        <v>9781.4919999999984</v>
      </c>
      <c r="F67" s="168">
        <v>9703.6550000000007</v>
      </c>
      <c r="G67" s="168">
        <v>9575.6569999999992</v>
      </c>
      <c r="H67" s="168">
        <v>9674.8998817060128</v>
      </c>
      <c r="I67" s="168">
        <v>9703.6654095961421</v>
      </c>
      <c r="J67" s="168">
        <v>9816.3158869189938</v>
      </c>
      <c r="K67" s="168">
        <v>10610.285909144251</v>
      </c>
      <c r="L67" s="168">
        <v>10652.629224133405</v>
      </c>
      <c r="M67" s="168">
        <v>10682.171137132849</v>
      </c>
      <c r="N67" s="168">
        <v>11211.169999999998</v>
      </c>
      <c r="O67" s="168">
        <v>10241.413</v>
      </c>
      <c r="P67" s="168">
        <v>10504</v>
      </c>
      <c r="Q67" s="168">
        <v>11290.025</v>
      </c>
      <c r="R67" s="168">
        <v>11965.163</v>
      </c>
      <c r="S67" s="168">
        <v>11896.292000000001</v>
      </c>
      <c r="T67" s="168">
        <v>12240</v>
      </c>
      <c r="U67" s="168">
        <v>12615.861000000001</v>
      </c>
      <c r="V67" s="323">
        <v>12275.376</v>
      </c>
      <c r="W67" s="323">
        <v>13163.654</v>
      </c>
      <c r="X67" s="323">
        <v>13606</v>
      </c>
      <c r="Y67" s="323">
        <v>13495</v>
      </c>
      <c r="Z67" s="323">
        <v>13561.932000000001</v>
      </c>
      <c r="AA67" s="511">
        <v>13332.733</v>
      </c>
      <c r="AB67" s="511">
        <v>13776.827999999998</v>
      </c>
      <c r="AC67" s="511">
        <v>13557</v>
      </c>
      <c r="AD67" s="323">
        <f t="shared" ref="AD67:AH67" si="37">SUM(AD51,AD41)</f>
        <v>13833.394999999999</v>
      </c>
      <c r="AE67" s="323">
        <f t="shared" si="37"/>
        <v>13360</v>
      </c>
      <c r="AF67" s="323">
        <f t="shared" si="37"/>
        <v>13339</v>
      </c>
      <c r="AG67" s="323">
        <f t="shared" si="37"/>
        <v>13877</v>
      </c>
      <c r="AH67" s="323">
        <f t="shared" si="37"/>
        <v>13966</v>
      </c>
      <c r="AI67" s="54"/>
      <c r="AK67" s="235"/>
      <c r="AL67" s="235"/>
      <c r="AM67" s="235"/>
      <c r="AN67" s="235"/>
      <c r="AO67" s="186"/>
      <c r="AP67" s="186"/>
      <c r="AQ67" s="186"/>
    </row>
    <row r="68" spans="2:43">
      <c r="B68" s="130"/>
      <c r="C68" s="118"/>
      <c r="D68" s="118"/>
      <c r="E68" s="118"/>
      <c r="F68" s="118"/>
      <c r="G68" s="118"/>
      <c r="H68" s="118"/>
      <c r="I68" s="118"/>
      <c r="J68" s="118"/>
      <c r="K68" s="118"/>
      <c r="L68" s="118"/>
      <c r="M68" s="118"/>
      <c r="N68" s="118"/>
      <c r="O68" s="118"/>
      <c r="P68" s="118"/>
      <c r="Q68" s="118"/>
      <c r="R68" s="118"/>
      <c r="S68" s="118"/>
      <c r="T68" s="118"/>
      <c r="U68" s="118"/>
      <c r="X68" s="265"/>
      <c r="Y68" s="265"/>
      <c r="Z68" s="265"/>
      <c r="AA68" s="510"/>
      <c r="AB68" s="510"/>
      <c r="AC68" s="510"/>
      <c r="AD68" s="510"/>
      <c r="AE68" s="510"/>
      <c r="AF68" s="510"/>
      <c r="AG68" s="510"/>
      <c r="AH68" s="510"/>
      <c r="AK68" s="118"/>
      <c r="AL68" s="118"/>
      <c r="AM68" s="118"/>
      <c r="AN68" s="118"/>
      <c r="AO68" s="122"/>
      <c r="AP68" s="122"/>
      <c r="AQ68" s="122"/>
    </row>
    <row r="69" spans="2:43">
      <c r="B69" s="126"/>
      <c r="C69" s="118"/>
      <c r="D69" s="118"/>
      <c r="E69" s="118"/>
      <c r="F69" s="118"/>
      <c r="G69" s="118"/>
      <c r="H69" s="118"/>
      <c r="I69" s="118"/>
      <c r="J69" s="118"/>
      <c r="K69" s="118"/>
      <c r="L69" s="118"/>
      <c r="M69" s="118"/>
      <c r="N69" s="118"/>
      <c r="O69" s="118"/>
      <c r="P69" s="118"/>
      <c r="Q69" s="118"/>
      <c r="R69" s="118"/>
      <c r="S69" s="118"/>
      <c r="T69" s="118"/>
      <c r="U69" s="118"/>
      <c r="V69" s="265"/>
      <c r="W69" s="265"/>
      <c r="X69" s="265"/>
      <c r="Y69" s="265"/>
      <c r="Z69" s="265"/>
      <c r="AA69" s="510"/>
      <c r="AB69" s="510"/>
      <c r="AC69" s="510"/>
      <c r="AD69" s="510"/>
      <c r="AE69" s="510"/>
      <c r="AF69" s="510"/>
      <c r="AG69" s="510"/>
      <c r="AH69" s="510"/>
      <c r="AK69" s="118"/>
      <c r="AL69" s="118"/>
      <c r="AM69" s="118"/>
      <c r="AN69" s="118"/>
      <c r="AO69" s="122"/>
      <c r="AP69" s="122"/>
      <c r="AQ69" s="122"/>
    </row>
    <row r="70" spans="2:43" ht="14.4" thickBot="1">
      <c r="B70" s="116" t="s">
        <v>173</v>
      </c>
      <c r="C70" s="167">
        <f>SUM(C71:C87)</f>
        <v>1427.873</v>
      </c>
      <c r="D70" s="167">
        <f t="shared" ref="D70:AH70" si="38">SUM(D71:D87)</f>
        <v>1493.3719999999998</v>
      </c>
      <c r="E70" s="167">
        <f t="shared" si="38"/>
        <v>1506.248</v>
      </c>
      <c r="F70" s="167">
        <f t="shared" si="38"/>
        <v>1332.4649999999999</v>
      </c>
      <c r="G70" s="167">
        <f t="shared" si="38"/>
        <v>1218.8489999999999</v>
      </c>
      <c r="H70" s="167">
        <f t="shared" si="38"/>
        <v>1401.3614659621855</v>
      </c>
      <c r="I70" s="167">
        <f t="shared" si="38"/>
        <v>1389.9093766210444</v>
      </c>
      <c r="J70" s="167">
        <f t="shared" si="38"/>
        <v>1233.8945746135075</v>
      </c>
      <c r="K70" s="167">
        <f t="shared" si="38"/>
        <v>1624.2482467242435</v>
      </c>
      <c r="L70" s="167">
        <f t="shared" si="38"/>
        <v>1547.5579460457982</v>
      </c>
      <c r="M70" s="167">
        <f t="shared" si="38"/>
        <v>1749.6914815602122</v>
      </c>
      <c r="N70" s="167">
        <f t="shared" si="38"/>
        <v>1990.6629999999998</v>
      </c>
      <c r="O70" s="167">
        <f t="shared" si="38"/>
        <v>2262.6780000000008</v>
      </c>
      <c r="P70" s="167">
        <f t="shared" si="38"/>
        <v>2232</v>
      </c>
      <c r="Q70" s="167">
        <f t="shared" si="38"/>
        <v>2329</v>
      </c>
      <c r="R70" s="167">
        <f t="shared" si="38"/>
        <v>2159.634</v>
      </c>
      <c r="S70" s="167">
        <f t="shared" si="38"/>
        <v>1778.6399999999999</v>
      </c>
      <c r="T70" s="167">
        <f t="shared" si="38"/>
        <v>1754</v>
      </c>
      <c r="U70" s="167">
        <f t="shared" si="38"/>
        <v>2022.5720000000001</v>
      </c>
      <c r="V70" s="167">
        <f t="shared" si="38"/>
        <v>2188</v>
      </c>
      <c r="W70" s="167">
        <f t="shared" si="38"/>
        <v>2205.0119999999997</v>
      </c>
      <c r="X70" s="167">
        <f t="shared" si="38"/>
        <v>2451</v>
      </c>
      <c r="Y70" s="167">
        <f t="shared" si="38"/>
        <v>2174</v>
      </c>
      <c r="Z70" s="167">
        <f t="shared" si="38"/>
        <v>2181.4940000000001</v>
      </c>
      <c r="AA70" s="167">
        <f t="shared" si="38"/>
        <v>2157.9209999999998</v>
      </c>
      <c r="AB70" s="167">
        <f t="shared" si="38"/>
        <v>1987.665</v>
      </c>
      <c r="AC70" s="167">
        <f t="shared" si="38"/>
        <v>2002</v>
      </c>
      <c r="AD70" s="167">
        <f t="shared" si="38"/>
        <v>2345.7809999999999</v>
      </c>
      <c r="AE70" s="167">
        <f t="shared" si="38"/>
        <v>2368</v>
      </c>
      <c r="AF70" s="167">
        <f t="shared" si="38"/>
        <v>2255</v>
      </c>
      <c r="AG70" s="167">
        <f t="shared" si="38"/>
        <v>2285</v>
      </c>
      <c r="AH70" s="167">
        <f t="shared" si="38"/>
        <v>2429</v>
      </c>
      <c r="AI70" s="238"/>
      <c r="AK70" s="180"/>
      <c r="AL70" s="180"/>
      <c r="AM70" s="180"/>
      <c r="AN70" s="180"/>
      <c r="AO70" s="122"/>
      <c r="AP70" s="122"/>
      <c r="AQ70" s="122"/>
    </row>
    <row r="71" spans="2:43">
      <c r="B71" s="71" t="s">
        <v>174</v>
      </c>
      <c r="C71" s="118">
        <v>238.93799999999999</v>
      </c>
      <c r="D71" s="118">
        <v>193.37700000000001</v>
      </c>
      <c r="E71" s="118">
        <v>163.18899999999999</v>
      </c>
      <c r="F71" s="118">
        <v>118.095</v>
      </c>
      <c r="G71" s="118">
        <v>135.06100000000001</v>
      </c>
      <c r="H71" s="118">
        <v>124.26902001798319</v>
      </c>
      <c r="I71" s="118">
        <v>144.9937248166915</v>
      </c>
      <c r="J71" s="118">
        <v>126.56036483350766</v>
      </c>
      <c r="K71" s="118">
        <v>158.99118751278539</v>
      </c>
      <c r="L71" s="118">
        <v>127.53195661799795</v>
      </c>
      <c r="M71" s="118">
        <v>161.8117794433341</v>
      </c>
      <c r="N71" s="118">
        <v>63.838999999999999</v>
      </c>
      <c r="O71" s="265">
        <v>89.61</v>
      </c>
      <c r="P71" s="265">
        <v>60</v>
      </c>
      <c r="Q71" s="265">
        <v>87</v>
      </c>
      <c r="R71" s="265">
        <v>69.382999999999996</v>
      </c>
      <c r="S71" s="265">
        <v>92.506</v>
      </c>
      <c r="T71" s="265">
        <v>68</v>
      </c>
      <c r="U71" s="265">
        <v>126</v>
      </c>
      <c r="V71" s="265">
        <v>108</v>
      </c>
      <c r="W71" s="265">
        <v>124.751</v>
      </c>
      <c r="X71" s="265">
        <v>116</v>
      </c>
      <c r="Y71" s="265">
        <v>108</v>
      </c>
      <c r="Z71" s="265">
        <v>103.107</v>
      </c>
      <c r="AA71" s="265">
        <v>274.98</v>
      </c>
      <c r="AB71" s="342">
        <v>277.38099999999997</v>
      </c>
      <c r="AC71" s="342">
        <v>272</v>
      </c>
      <c r="AD71" s="342">
        <v>117.289</v>
      </c>
      <c r="AE71" s="342">
        <v>95</v>
      </c>
      <c r="AF71" s="342">
        <v>105</v>
      </c>
      <c r="AG71" s="342">
        <v>121</v>
      </c>
      <c r="AH71" s="342">
        <v>136</v>
      </c>
      <c r="AI71" s="238"/>
      <c r="AK71" s="118"/>
      <c r="AL71" s="118"/>
      <c r="AM71" s="118"/>
      <c r="AN71" s="118"/>
      <c r="AO71" s="122"/>
      <c r="AP71" s="122"/>
      <c r="AQ71" s="122"/>
    </row>
    <row r="72" spans="2:43">
      <c r="B72" s="74" t="s">
        <v>156</v>
      </c>
      <c r="C72" s="135">
        <v>13.459</v>
      </c>
      <c r="D72" s="135">
        <v>180.791</v>
      </c>
      <c r="E72" s="135">
        <v>163.62</v>
      </c>
      <c r="F72" s="135">
        <v>57.786000000000001</v>
      </c>
      <c r="G72" s="135">
        <v>24.167999999999999</v>
      </c>
      <c r="H72" s="135">
        <v>0.39244594420231987</v>
      </c>
      <c r="I72" s="135">
        <v>5.2436518043528721</v>
      </c>
      <c r="J72" s="135">
        <v>17.986209779999999</v>
      </c>
      <c r="K72" s="135">
        <v>245.24705921145792</v>
      </c>
      <c r="L72" s="135">
        <v>284.15198942780034</v>
      </c>
      <c r="M72" s="135">
        <v>336.27670211687837</v>
      </c>
      <c r="N72" s="135">
        <v>398.78199999999998</v>
      </c>
      <c r="O72" s="261">
        <v>594.61400000000003</v>
      </c>
      <c r="P72" s="261">
        <v>527</v>
      </c>
      <c r="Q72" s="261">
        <v>552</v>
      </c>
      <c r="R72" s="261">
        <v>231.28899999999999</v>
      </c>
      <c r="S72" s="261">
        <v>122.902</v>
      </c>
      <c r="T72" s="261">
        <v>4</v>
      </c>
      <c r="U72" s="261">
        <v>5</v>
      </c>
      <c r="V72" s="261">
        <v>4</v>
      </c>
      <c r="W72" s="261">
        <v>3</v>
      </c>
      <c r="X72" s="261">
        <v>2</v>
      </c>
      <c r="Y72" s="261">
        <v>3</v>
      </c>
      <c r="Z72" s="261">
        <v>2.3050000000000002</v>
      </c>
      <c r="AA72" s="261">
        <v>2.89</v>
      </c>
      <c r="AB72" s="261">
        <v>4.9569999999999999</v>
      </c>
      <c r="AC72" s="261">
        <v>4</v>
      </c>
      <c r="AD72" s="261">
        <v>197</v>
      </c>
      <c r="AE72" s="261">
        <v>190</v>
      </c>
      <c r="AF72" s="261">
        <v>94</v>
      </c>
      <c r="AG72" s="261">
        <v>95</v>
      </c>
      <c r="AH72" s="261">
        <v>139</v>
      </c>
      <c r="AI72" s="238"/>
      <c r="AK72" s="118"/>
      <c r="AL72" s="118"/>
      <c r="AM72" s="118"/>
      <c r="AN72" s="118"/>
      <c r="AO72" s="122"/>
      <c r="AP72" s="122"/>
      <c r="AQ72" s="122"/>
    </row>
    <row r="73" spans="2:43">
      <c r="B73" s="71" t="s">
        <v>175</v>
      </c>
      <c r="C73" s="180">
        <v>0</v>
      </c>
      <c r="D73" s="180">
        <v>0</v>
      </c>
      <c r="E73" s="180">
        <v>0</v>
      </c>
      <c r="F73" s="180">
        <v>0</v>
      </c>
      <c r="G73" s="118">
        <v>11.413</v>
      </c>
      <c r="H73" s="118">
        <v>11.202</v>
      </c>
      <c r="I73" s="118">
        <v>7.7060000000000004</v>
      </c>
      <c r="J73" s="118">
        <v>9.2769999999999992</v>
      </c>
      <c r="K73" s="118">
        <v>7.7930000000000001</v>
      </c>
      <c r="L73" s="118">
        <v>6.2190000000000003</v>
      </c>
      <c r="M73" s="118">
        <v>6.5570000000000004</v>
      </c>
      <c r="N73" s="118">
        <v>8.8049999999999997</v>
      </c>
      <c r="O73" s="265">
        <v>10.862</v>
      </c>
      <c r="P73" s="265">
        <v>23</v>
      </c>
      <c r="Q73" s="265">
        <v>25</v>
      </c>
      <c r="R73" s="265">
        <v>27.126000000000001</v>
      </c>
      <c r="S73" s="265">
        <v>27.766999999999999</v>
      </c>
      <c r="T73" s="265">
        <v>25</v>
      </c>
      <c r="U73" s="265">
        <v>20</v>
      </c>
      <c r="V73" s="265">
        <v>16</v>
      </c>
      <c r="W73" s="265">
        <v>10.513</v>
      </c>
      <c r="X73" s="265">
        <v>9</v>
      </c>
      <c r="Y73" s="265">
        <v>15</v>
      </c>
      <c r="Z73" s="265">
        <v>20.582000000000001</v>
      </c>
      <c r="AA73" s="265">
        <v>17.495999999999999</v>
      </c>
      <c r="AB73" s="342">
        <v>18.751000000000001</v>
      </c>
      <c r="AC73" s="342">
        <v>30</v>
      </c>
      <c r="AD73" s="342">
        <v>42.390999999999998</v>
      </c>
      <c r="AE73" s="342">
        <v>41</v>
      </c>
      <c r="AF73" s="342">
        <v>34</v>
      </c>
      <c r="AG73" s="342">
        <v>37</v>
      </c>
      <c r="AH73" s="342">
        <v>50</v>
      </c>
      <c r="AI73" s="238"/>
      <c r="AK73" s="118"/>
      <c r="AL73" s="118"/>
      <c r="AM73" s="118"/>
      <c r="AN73" s="118"/>
      <c r="AO73" s="122"/>
      <c r="AP73" s="122"/>
      <c r="AQ73" s="122"/>
    </row>
    <row r="74" spans="2:43">
      <c r="B74" s="74" t="s">
        <v>176</v>
      </c>
      <c r="C74" s="135">
        <v>44.372</v>
      </c>
      <c r="D74" s="135">
        <v>28.062000000000001</v>
      </c>
      <c r="E74" s="135">
        <v>158.61799999999999</v>
      </c>
      <c r="F74" s="135">
        <v>256.64499999999998</v>
      </c>
      <c r="G74" s="135">
        <v>260.55500000000001</v>
      </c>
      <c r="H74" s="135">
        <v>387.101</v>
      </c>
      <c r="I74" s="135">
        <v>360.32799999999997</v>
      </c>
      <c r="J74" s="135">
        <v>335.13</v>
      </c>
      <c r="K74" s="135">
        <v>416.798</v>
      </c>
      <c r="L74" s="135">
        <v>347.41199999999998</v>
      </c>
      <c r="M74" s="135">
        <v>412.73500000000001</v>
      </c>
      <c r="N74" s="135">
        <v>594.58100000000002</v>
      </c>
      <c r="O74" s="261">
        <v>589.87900000000002</v>
      </c>
      <c r="P74" s="261">
        <v>614</v>
      </c>
      <c r="Q74" s="261">
        <v>387</v>
      </c>
      <c r="R74" s="261">
        <v>558.01700000000005</v>
      </c>
      <c r="S74" s="261">
        <v>272.87900000000002</v>
      </c>
      <c r="T74" s="261">
        <v>109</v>
      </c>
      <c r="U74" s="261">
        <v>120.425</v>
      </c>
      <c r="V74" s="261">
        <v>210</v>
      </c>
      <c r="W74" s="261">
        <v>275.65600000000001</v>
      </c>
      <c r="X74" s="261">
        <v>267</v>
      </c>
      <c r="Y74" s="261">
        <v>118</v>
      </c>
      <c r="Z74" s="261">
        <v>248.81200000000001</v>
      </c>
      <c r="AA74" s="261">
        <v>134.15299999999999</v>
      </c>
      <c r="AB74" s="261">
        <v>150.428</v>
      </c>
      <c r="AC74" s="261">
        <v>98</v>
      </c>
      <c r="AD74" s="261">
        <v>178.46700000000001</v>
      </c>
      <c r="AE74" s="261">
        <v>131</v>
      </c>
      <c r="AF74" s="261">
        <v>157</v>
      </c>
      <c r="AG74" s="261">
        <v>145</v>
      </c>
      <c r="AH74" s="261">
        <v>218</v>
      </c>
      <c r="AI74" s="238"/>
      <c r="AK74" s="118"/>
      <c r="AL74" s="118"/>
      <c r="AM74" s="118"/>
      <c r="AN74" s="118"/>
      <c r="AO74" s="122"/>
      <c r="AP74" s="122"/>
      <c r="AQ74" s="122"/>
    </row>
    <row r="75" spans="2:43">
      <c r="B75" s="71" t="s">
        <v>177</v>
      </c>
      <c r="C75" s="118">
        <v>454.84100000000001</v>
      </c>
      <c r="D75" s="118">
        <v>564.04399999999998</v>
      </c>
      <c r="E75" s="118">
        <v>533.87199999999996</v>
      </c>
      <c r="F75" s="118">
        <v>390.81599999999997</v>
      </c>
      <c r="G75" s="118">
        <v>396.88499999999999</v>
      </c>
      <c r="H75" s="118">
        <v>423.47500000000002</v>
      </c>
      <c r="I75" s="118">
        <v>424.26799999999997</v>
      </c>
      <c r="J75" s="118">
        <v>407.21499999999997</v>
      </c>
      <c r="K75" s="118">
        <v>518.76700000000005</v>
      </c>
      <c r="L75" s="118">
        <v>442.89100000000002</v>
      </c>
      <c r="M75" s="118">
        <v>460.11799999999999</v>
      </c>
      <c r="N75" s="118">
        <v>425.95100000000002</v>
      </c>
      <c r="O75" s="265">
        <v>511.291</v>
      </c>
      <c r="P75" s="265">
        <v>523</v>
      </c>
      <c r="Q75" s="265">
        <v>640</v>
      </c>
      <c r="R75" s="265">
        <v>655.62599999999998</v>
      </c>
      <c r="S75" s="265">
        <v>646.98299999999995</v>
      </c>
      <c r="T75" s="265">
        <v>748</v>
      </c>
      <c r="U75" s="265">
        <v>929.14700000000005</v>
      </c>
      <c r="V75" s="265">
        <v>1009</v>
      </c>
      <c r="W75" s="265">
        <v>1013.263</v>
      </c>
      <c r="X75" s="265">
        <v>989</v>
      </c>
      <c r="Y75" s="265">
        <v>881</v>
      </c>
      <c r="Z75" s="265">
        <v>956.88099999999997</v>
      </c>
      <c r="AA75" s="265">
        <v>889.31500000000005</v>
      </c>
      <c r="AB75" s="342">
        <v>796.21400000000006</v>
      </c>
      <c r="AC75" s="342">
        <v>958</v>
      </c>
      <c r="AD75" s="342">
        <v>1123.9939999999999</v>
      </c>
      <c r="AE75" s="342">
        <v>1267</v>
      </c>
      <c r="AF75" s="342">
        <v>1153</v>
      </c>
      <c r="AG75" s="342">
        <v>1135</v>
      </c>
      <c r="AH75" s="342">
        <v>1087</v>
      </c>
      <c r="AI75" s="238"/>
      <c r="AK75" s="118"/>
      <c r="AL75" s="118"/>
      <c r="AM75" s="118"/>
      <c r="AN75" s="118"/>
      <c r="AO75" s="122"/>
      <c r="AP75" s="122"/>
      <c r="AQ75" s="122"/>
    </row>
    <row r="76" spans="2:43">
      <c r="B76" s="74" t="s">
        <v>178</v>
      </c>
      <c r="C76" s="135">
        <v>82.474999999999994</v>
      </c>
      <c r="D76" s="135">
        <v>100.065</v>
      </c>
      <c r="E76" s="135">
        <v>126.708</v>
      </c>
      <c r="F76" s="135">
        <v>118.724</v>
      </c>
      <c r="G76" s="135">
        <v>82.093999999999994</v>
      </c>
      <c r="H76" s="135">
        <v>102.691</v>
      </c>
      <c r="I76" s="135">
        <v>124.592</v>
      </c>
      <c r="J76" s="135">
        <v>123.054</v>
      </c>
      <c r="K76" s="135">
        <v>94.290999999999997</v>
      </c>
      <c r="L76" s="135">
        <v>141.66900000000001</v>
      </c>
      <c r="M76" s="135">
        <v>155.59200000000001</v>
      </c>
      <c r="N76" s="135">
        <v>175.666</v>
      </c>
      <c r="O76" s="261">
        <v>110.849</v>
      </c>
      <c r="P76" s="261">
        <v>131</v>
      </c>
      <c r="Q76" s="261">
        <v>161</v>
      </c>
      <c r="R76" s="261">
        <v>162.24299999999999</v>
      </c>
      <c r="S76" s="261">
        <v>120.797</v>
      </c>
      <c r="T76" s="261">
        <v>143</v>
      </c>
      <c r="U76" s="261">
        <v>177</v>
      </c>
      <c r="V76" s="261">
        <v>171</v>
      </c>
      <c r="W76" s="261">
        <v>125.004</v>
      </c>
      <c r="X76" s="261">
        <v>156</v>
      </c>
      <c r="Y76" s="261">
        <v>190</v>
      </c>
      <c r="Z76" s="261">
        <v>198.72300000000001</v>
      </c>
      <c r="AA76" s="261">
        <v>125.65</v>
      </c>
      <c r="AB76" s="261">
        <v>165.94300000000001</v>
      </c>
      <c r="AC76" s="261">
        <v>200</v>
      </c>
      <c r="AD76" s="261">
        <v>220.92400000000001</v>
      </c>
      <c r="AE76" s="261">
        <v>142</v>
      </c>
      <c r="AF76" s="261">
        <v>175</v>
      </c>
      <c r="AG76" s="261">
        <v>213</v>
      </c>
      <c r="AH76" s="261">
        <v>208</v>
      </c>
      <c r="AI76" s="238"/>
      <c r="AK76" s="118"/>
      <c r="AL76" s="118"/>
      <c r="AM76" s="118"/>
      <c r="AN76" s="118"/>
      <c r="AO76" s="122"/>
      <c r="AP76" s="122"/>
      <c r="AQ76" s="122"/>
    </row>
    <row r="77" spans="2:43">
      <c r="B77" s="71" t="s">
        <v>179</v>
      </c>
      <c r="C77" s="118">
        <v>24.885000000000002</v>
      </c>
      <c r="D77" s="118">
        <v>45.412999999999997</v>
      </c>
      <c r="E77" s="118">
        <v>31.765999999999998</v>
      </c>
      <c r="F77" s="118">
        <v>32.335999999999999</v>
      </c>
      <c r="G77" s="118">
        <v>25.975999999999999</v>
      </c>
      <c r="H77" s="118">
        <v>32.475000000000001</v>
      </c>
      <c r="I77" s="118">
        <v>42.601999999999997</v>
      </c>
      <c r="J77" s="118">
        <v>41.926000000000002</v>
      </c>
      <c r="K77" s="118">
        <v>33.655000000000001</v>
      </c>
      <c r="L77" s="118">
        <v>44.085999999999999</v>
      </c>
      <c r="M77" s="118">
        <v>65.549000000000007</v>
      </c>
      <c r="N77" s="118">
        <v>74.165999999999997</v>
      </c>
      <c r="O77" s="265">
        <v>37.198</v>
      </c>
      <c r="P77" s="265">
        <v>79</v>
      </c>
      <c r="Q77" s="265">
        <v>158</v>
      </c>
      <c r="R77" s="265">
        <v>78.275000000000006</v>
      </c>
      <c r="S77" s="265">
        <v>114.28700000000001</v>
      </c>
      <c r="T77" s="265">
        <v>222</v>
      </c>
      <c r="U77" s="265">
        <v>240</v>
      </c>
      <c r="V77" s="265">
        <v>34</v>
      </c>
      <c r="W77" s="265">
        <v>26.728999999999999</v>
      </c>
      <c r="X77" s="265">
        <v>29</v>
      </c>
      <c r="Y77" s="265">
        <v>45</v>
      </c>
      <c r="Z77" s="265">
        <v>41.473999999999997</v>
      </c>
      <c r="AA77" s="265">
        <v>48.015000000000001</v>
      </c>
      <c r="AB77" s="342">
        <v>41.277999999999999</v>
      </c>
      <c r="AC77" s="342">
        <v>53</v>
      </c>
      <c r="AD77" s="342">
        <v>37.357999999999997</v>
      </c>
      <c r="AE77" s="342">
        <v>42</v>
      </c>
      <c r="AF77" s="342">
        <v>47</v>
      </c>
      <c r="AG77" s="342">
        <v>57</v>
      </c>
      <c r="AH77" s="342">
        <v>60</v>
      </c>
      <c r="AI77" s="238"/>
      <c r="AK77" s="118"/>
      <c r="AL77" s="118"/>
      <c r="AM77" s="118"/>
      <c r="AN77" s="118"/>
      <c r="AO77" s="122"/>
      <c r="AP77" s="122"/>
      <c r="AQ77" s="122"/>
    </row>
    <row r="78" spans="2:43">
      <c r="B78" s="74" t="s">
        <v>180</v>
      </c>
      <c r="C78" s="135">
        <v>239.203</v>
      </c>
      <c r="D78" s="135">
        <v>50.499000000000002</v>
      </c>
      <c r="E78" s="135">
        <v>24.135000000000002</v>
      </c>
      <c r="F78" s="135">
        <v>29.048999999999999</v>
      </c>
      <c r="G78" s="135">
        <v>33.161999999999999</v>
      </c>
      <c r="H78" s="135">
        <v>40.073</v>
      </c>
      <c r="I78" s="135">
        <v>37.033999999999999</v>
      </c>
      <c r="J78" s="135">
        <v>20.413</v>
      </c>
      <c r="K78" s="135">
        <v>24.975999999999999</v>
      </c>
      <c r="L78" s="135">
        <v>34.151000000000003</v>
      </c>
      <c r="M78" s="135">
        <v>23.337</v>
      </c>
      <c r="N78" s="135">
        <v>31.861999999999998</v>
      </c>
      <c r="O78" s="261">
        <v>42.584000000000003</v>
      </c>
      <c r="P78" s="261">
        <v>45</v>
      </c>
      <c r="Q78" s="261">
        <v>71</v>
      </c>
      <c r="R78" s="261">
        <v>47.662999999999997</v>
      </c>
      <c r="S78" s="261">
        <v>52.831000000000003</v>
      </c>
      <c r="T78" s="261">
        <v>59</v>
      </c>
      <c r="U78" s="261">
        <v>28</v>
      </c>
      <c r="V78" s="261">
        <v>31</v>
      </c>
      <c r="W78" s="261">
        <v>15.178000000000001</v>
      </c>
      <c r="X78" s="261">
        <v>46</v>
      </c>
      <c r="Y78" s="261">
        <v>27</v>
      </c>
      <c r="Z78" s="261">
        <v>18.324999999999999</v>
      </c>
      <c r="AA78" s="261">
        <v>100.81100000000001</v>
      </c>
      <c r="AB78" s="261">
        <v>89.552000000000007</v>
      </c>
      <c r="AC78" s="261">
        <v>110</v>
      </c>
      <c r="AD78" s="261">
        <v>22.885999999999999</v>
      </c>
      <c r="AE78" s="261">
        <v>25</v>
      </c>
      <c r="AF78" s="261">
        <v>0</v>
      </c>
      <c r="AG78" s="261">
        <v>0</v>
      </c>
      <c r="AH78" s="261">
        <v>0</v>
      </c>
      <c r="AI78" s="238"/>
      <c r="AK78" s="118"/>
      <c r="AL78" s="118"/>
      <c r="AM78" s="118"/>
      <c r="AN78" s="118"/>
      <c r="AO78" s="122"/>
      <c r="AP78" s="122"/>
      <c r="AQ78" s="122"/>
    </row>
    <row r="79" spans="2:43">
      <c r="B79" s="74" t="s">
        <v>464</v>
      </c>
      <c r="C79" s="118"/>
      <c r="D79" s="118"/>
      <c r="E79" s="118"/>
      <c r="F79" s="118"/>
      <c r="G79" s="118"/>
      <c r="H79" s="118"/>
      <c r="I79" s="118"/>
      <c r="J79" s="118"/>
      <c r="K79" s="118"/>
      <c r="L79" s="118"/>
      <c r="M79" s="118"/>
      <c r="N79" s="118"/>
      <c r="O79" s="261"/>
      <c r="P79" s="261"/>
      <c r="Q79" s="261"/>
      <c r="R79" s="261"/>
      <c r="S79" s="261"/>
      <c r="T79" s="261"/>
      <c r="U79" s="261"/>
      <c r="V79" s="261"/>
      <c r="W79" s="261"/>
      <c r="X79" s="261"/>
      <c r="Y79" s="261"/>
      <c r="Z79" s="261"/>
      <c r="AA79" s="261">
        <v>14.609</v>
      </c>
      <c r="AB79" s="261">
        <v>0</v>
      </c>
      <c r="AC79" s="261">
        <v>0</v>
      </c>
      <c r="AD79" s="261">
        <v>0</v>
      </c>
      <c r="AE79" s="261">
        <v>0</v>
      </c>
      <c r="AF79" s="261">
        <v>0</v>
      </c>
      <c r="AG79" s="261">
        <v>0</v>
      </c>
      <c r="AH79" s="261">
        <v>0</v>
      </c>
      <c r="AI79" s="238"/>
      <c r="AK79" s="118"/>
      <c r="AL79" s="118"/>
      <c r="AM79" s="118"/>
      <c r="AN79" s="118"/>
      <c r="AO79" s="122"/>
      <c r="AP79" s="122"/>
      <c r="AQ79" s="122"/>
    </row>
    <row r="80" spans="2:43" s="122" customFormat="1">
      <c r="B80" s="71" t="s">
        <v>181</v>
      </c>
      <c r="C80" s="135">
        <v>12.797000000000001</v>
      </c>
      <c r="D80" s="135">
        <v>7.9000000000000001E-2</v>
      </c>
      <c r="E80" s="135">
        <v>7.9000000000000001E-2</v>
      </c>
      <c r="F80" s="135">
        <v>12.651999999999999</v>
      </c>
      <c r="G80" s="135">
        <v>12.653</v>
      </c>
      <c r="H80" s="135">
        <v>67.400000000000006</v>
      </c>
      <c r="I80" s="135">
        <v>72.37</v>
      </c>
      <c r="J80" s="135">
        <v>14.071999999999999</v>
      </c>
      <c r="K80" s="135">
        <v>23.923999999999999</v>
      </c>
      <c r="L80" s="135">
        <v>1.2609999999999999</v>
      </c>
      <c r="M80" s="135">
        <v>7.9000000000000001E-2</v>
      </c>
      <c r="N80" s="135">
        <v>33.81</v>
      </c>
      <c r="O80" s="265">
        <v>29.111000000000001</v>
      </c>
      <c r="P80" s="265">
        <v>60</v>
      </c>
      <c r="Q80" s="265">
        <v>67</v>
      </c>
      <c r="R80" s="265">
        <v>142.191</v>
      </c>
      <c r="S80" s="265">
        <v>118.511</v>
      </c>
      <c r="T80" s="265">
        <v>52</v>
      </c>
      <c r="U80" s="265">
        <v>52</v>
      </c>
      <c r="V80" s="265">
        <v>227</v>
      </c>
      <c r="W80" s="265">
        <v>227.11600000000001</v>
      </c>
      <c r="X80" s="265">
        <v>263</v>
      </c>
      <c r="Y80" s="265">
        <v>264</v>
      </c>
      <c r="Z80" s="265">
        <v>6.1139999999999999</v>
      </c>
      <c r="AA80" s="265">
        <v>6.1150000000000002</v>
      </c>
      <c r="AB80" s="342">
        <v>58.831000000000003</v>
      </c>
      <c r="AC80" s="342">
        <v>0</v>
      </c>
      <c r="AD80" s="342">
        <v>0</v>
      </c>
      <c r="AE80" s="342">
        <v>29</v>
      </c>
      <c r="AF80" s="342">
        <v>48</v>
      </c>
      <c r="AG80" s="342">
        <v>40</v>
      </c>
      <c r="AH80" s="342">
        <v>47</v>
      </c>
      <c r="AI80" s="273"/>
      <c r="AK80" s="118"/>
      <c r="AL80" s="118"/>
      <c r="AM80" s="118"/>
      <c r="AN80" s="118"/>
    </row>
    <row r="81" spans="2:43">
      <c r="B81" s="74" t="s">
        <v>182</v>
      </c>
      <c r="C81" s="118">
        <v>39.155000000000001</v>
      </c>
      <c r="D81" s="118">
        <v>39.387</v>
      </c>
      <c r="E81" s="118">
        <v>39.466999999999999</v>
      </c>
      <c r="F81" s="118">
        <v>44.155999999999999</v>
      </c>
      <c r="G81" s="135">
        <v>42.173000000000002</v>
      </c>
      <c r="H81" s="118">
        <v>42.34</v>
      </c>
      <c r="I81" s="118">
        <v>42.433</v>
      </c>
      <c r="J81" s="181">
        <v>44.878</v>
      </c>
      <c r="K81" s="181">
        <v>44.923999999999999</v>
      </c>
      <c r="L81" s="181">
        <v>47.177</v>
      </c>
      <c r="M81" s="181">
        <v>47.734000000000002</v>
      </c>
      <c r="N81" s="181">
        <v>47.703000000000003</v>
      </c>
      <c r="O81" s="261">
        <v>47.703000000000003</v>
      </c>
      <c r="P81" s="261">
        <v>52</v>
      </c>
      <c r="Q81" s="261">
        <v>54</v>
      </c>
      <c r="R81" s="261">
        <v>74.313999999999993</v>
      </c>
      <c r="S81" s="261">
        <v>74.97</v>
      </c>
      <c r="T81" s="261">
        <v>76</v>
      </c>
      <c r="U81" s="261">
        <v>74</v>
      </c>
      <c r="V81" s="261">
        <v>56</v>
      </c>
      <c r="W81" s="261">
        <v>78.617999999999995</v>
      </c>
      <c r="X81" s="261">
        <v>79</v>
      </c>
      <c r="Y81" s="261">
        <v>78</v>
      </c>
      <c r="Z81" s="261">
        <v>78.795000000000002</v>
      </c>
      <c r="AA81" s="261">
        <v>78.885999999999996</v>
      </c>
      <c r="AB81" s="261">
        <v>79.207999999999998</v>
      </c>
      <c r="AC81" s="261">
        <v>79</v>
      </c>
      <c r="AD81" s="261">
        <v>82.233999999999995</v>
      </c>
      <c r="AE81" s="261">
        <v>83</v>
      </c>
      <c r="AF81" s="261">
        <v>83</v>
      </c>
      <c r="AG81" s="261">
        <v>83</v>
      </c>
      <c r="AH81" s="261">
        <v>84</v>
      </c>
      <c r="AI81" s="238"/>
      <c r="AK81" s="181"/>
      <c r="AL81" s="181"/>
      <c r="AM81" s="181"/>
      <c r="AN81" s="181"/>
      <c r="AO81" s="122"/>
      <c r="AP81" s="122"/>
      <c r="AQ81" s="122"/>
    </row>
    <row r="82" spans="2:43">
      <c r="B82" s="71" t="s">
        <v>183</v>
      </c>
      <c r="C82" s="135">
        <v>0</v>
      </c>
      <c r="D82" s="135">
        <v>0</v>
      </c>
      <c r="E82" s="135">
        <v>0</v>
      </c>
      <c r="F82" s="135">
        <v>0</v>
      </c>
      <c r="G82" s="135">
        <v>0</v>
      </c>
      <c r="H82" s="135">
        <v>0</v>
      </c>
      <c r="I82" s="135">
        <v>0</v>
      </c>
      <c r="J82" s="175">
        <v>16.635999999999999</v>
      </c>
      <c r="K82" s="175">
        <v>10.967000000000001</v>
      </c>
      <c r="L82" s="175">
        <v>22.667000000000002</v>
      </c>
      <c r="M82" s="175">
        <v>36.165999999999997</v>
      </c>
      <c r="N82" s="175">
        <v>65.489999999999995</v>
      </c>
      <c r="O82" s="334">
        <v>62.637</v>
      </c>
      <c r="P82" s="334">
        <v>2</v>
      </c>
      <c r="Q82" s="334">
        <v>6</v>
      </c>
      <c r="R82" s="334">
        <v>11.141999999999999</v>
      </c>
      <c r="S82" s="334">
        <v>20.321000000000002</v>
      </c>
      <c r="T82" s="334">
        <v>47</v>
      </c>
      <c r="U82" s="334">
        <v>94</v>
      </c>
      <c r="V82" s="334">
        <v>95</v>
      </c>
      <c r="W82" s="334">
        <v>121.693</v>
      </c>
      <c r="X82" s="334">
        <v>174</v>
      </c>
      <c r="Y82" s="334">
        <v>71</v>
      </c>
      <c r="Z82" s="334">
        <v>154.518</v>
      </c>
      <c r="AA82" s="334">
        <v>124.53100000000001</v>
      </c>
      <c r="AB82" s="570">
        <v>89.119</v>
      </c>
      <c r="AC82" s="570">
        <v>57</v>
      </c>
      <c r="AD82" s="570">
        <v>113.38800000000001</v>
      </c>
      <c r="AE82" s="570">
        <v>27</v>
      </c>
      <c r="AF82" s="570">
        <v>55</v>
      </c>
      <c r="AG82" s="570">
        <v>30</v>
      </c>
      <c r="AH82" s="570">
        <v>81</v>
      </c>
      <c r="AI82" s="238"/>
      <c r="AK82" s="181"/>
      <c r="AL82" s="181"/>
      <c r="AM82" s="181"/>
      <c r="AN82" s="181"/>
      <c r="AO82" s="122"/>
      <c r="AP82" s="122"/>
      <c r="AQ82" s="122"/>
    </row>
    <row r="83" spans="2:43">
      <c r="B83" s="74" t="s">
        <v>166</v>
      </c>
      <c r="C83" s="170">
        <v>223.36799999999999</v>
      </c>
      <c r="D83" s="170">
        <v>250.20599999999999</v>
      </c>
      <c r="E83" s="170">
        <v>223.55199999999999</v>
      </c>
      <c r="F83" s="170">
        <v>223.369</v>
      </c>
      <c r="G83" s="135">
        <v>173.23500000000001</v>
      </c>
      <c r="H83" s="170">
        <v>146.86500000000001</v>
      </c>
      <c r="I83" s="170">
        <v>83.191999999999993</v>
      </c>
      <c r="J83" s="170">
        <v>27.201000000000001</v>
      </c>
      <c r="K83" s="170">
        <v>0.63600000000000001</v>
      </c>
      <c r="L83" s="170">
        <v>0.56100000000000005</v>
      </c>
      <c r="M83" s="170">
        <v>0.56100000000000005</v>
      </c>
      <c r="N83" s="170">
        <v>0.56100000000000005</v>
      </c>
      <c r="O83" s="335">
        <v>16.405000000000001</v>
      </c>
      <c r="P83" s="335">
        <v>1</v>
      </c>
      <c r="Q83" s="335">
        <v>1</v>
      </c>
      <c r="R83" s="335">
        <v>0.35</v>
      </c>
      <c r="S83" s="335">
        <v>0.35</v>
      </c>
      <c r="T83" s="335">
        <v>1</v>
      </c>
      <c r="U83" s="335">
        <v>0</v>
      </c>
      <c r="V83" s="335">
        <v>1</v>
      </c>
      <c r="W83" s="335">
        <v>0</v>
      </c>
      <c r="X83" s="335">
        <v>0</v>
      </c>
      <c r="Y83" s="335">
        <v>0</v>
      </c>
      <c r="Z83" s="335">
        <v>0</v>
      </c>
      <c r="AA83" s="335">
        <v>0</v>
      </c>
      <c r="AB83" s="335">
        <v>0</v>
      </c>
      <c r="AC83" s="335">
        <v>0</v>
      </c>
      <c r="AD83" s="335"/>
      <c r="AE83" s="335">
        <v>0</v>
      </c>
      <c r="AF83" s="335">
        <v>0</v>
      </c>
      <c r="AG83" s="335">
        <v>0</v>
      </c>
      <c r="AH83" s="335">
        <v>0</v>
      </c>
      <c r="AI83" s="238"/>
      <c r="AK83" s="118"/>
      <c r="AL83" s="118"/>
      <c r="AM83" s="118"/>
      <c r="AN83" s="118"/>
      <c r="AO83" s="122"/>
      <c r="AP83" s="122"/>
      <c r="AQ83" s="122"/>
    </row>
    <row r="84" spans="2:43">
      <c r="B84" s="74" t="s">
        <v>184</v>
      </c>
      <c r="C84" s="170">
        <v>0</v>
      </c>
      <c r="D84" s="170">
        <v>0</v>
      </c>
      <c r="E84" s="170">
        <v>0</v>
      </c>
      <c r="F84" s="170">
        <v>0</v>
      </c>
      <c r="G84" s="135">
        <v>0</v>
      </c>
      <c r="H84" s="170">
        <v>0</v>
      </c>
      <c r="I84" s="170">
        <v>0</v>
      </c>
      <c r="J84" s="170">
        <v>0</v>
      </c>
      <c r="K84" s="170">
        <v>0</v>
      </c>
      <c r="L84" s="170">
        <v>0</v>
      </c>
      <c r="M84" s="170">
        <v>0.751</v>
      </c>
      <c r="N84" s="170">
        <v>0.52200000000000002</v>
      </c>
      <c r="O84" s="333">
        <v>16.431999999999999</v>
      </c>
      <c r="P84" s="333">
        <v>16</v>
      </c>
      <c r="Q84" s="333">
        <v>18</v>
      </c>
      <c r="R84" s="333">
        <v>29.218</v>
      </c>
      <c r="S84" s="333">
        <v>21.190999999999999</v>
      </c>
      <c r="T84" s="333">
        <v>83</v>
      </c>
      <c r="U84" s="333">
        <v>66</v>
      </c>
      <c r="V84" s="333">
        <v>93</v>
      </c>
      <c r="W84" s="333">
        <v>101.139</v>
      </c>
      <c r="X84" s="333">
        <v>82</v>
      </c>
      <c r="Y84" s="333">
        <v>116</v>
      </c>
      <c r="Z84" s="333">
        <v>141.46100000000001</v>
      </c>
      <c r="AA84" s="333">
        <v>153.62899999999999</v>
      </c>
      <c r="AB84" s="333">
        <v>166.24799999999999</v>
      </c>
      <c r="AC84" s="333">
        <v>99</v>
      </c>
      <c r="AD84" s="333">
        <v>167</v>
      </c>
      <c r="AE84" s="333">
        <v>214</v>
      </c>
      <c r="AF84" s="333">
        <v>143</v>
      </c>
      <c r="AG84" s="333">
        <v>150</v>
      </c>
      <c r="AH84" s="333">
        <v>158</v>
      </c>
      <c r="AI84" s="238"/>
      <c r="AK84" s="118"/>
      <c r="AL84" s="118"/>
      <c r="AM84" s="118"/>
      <c r="AN84" s="118"/>
      <c r="AO84" s="122"/>
      <c r="AP84" s="122"/>
      <c r="AQ84" s="122"/>
    </row>
    <row r="85" spans="2:43">
      <c r="B85" s="74" t="s">
        <v>378</v>
      </c>
      <c r="C85" s="170"/>
      <c r="D85" s="170"/>
      <c r="E85" s="170"/>
      <c r="F85" s="170"/>
      <c r="G85" s="170"/>
      <c r="H85" s="170"/>
      <c r="I85" s="170"/>
      <c r="J85" s="170"/>
      <c r="K85" s="170"/>
      <c r="L85" s="170"/>
      <c r="M85" s="170"/>
      <c r="N85" s="170"/>
      <c r="O85" s="265"/>
      <c r="P85" s="265"/>
      <c r="Q85" s="265"/>
      <c r="R85" s="265"/>
      <c r="S85" s="265"/>
      <c r="T85" s="265"/>
      <c r="U85" s="265"/>
      <c r="V85" s="265"/>
      <c r="W85" s="265">
        <v>0</v>
      </c>
      <c r="X85" s="265">
        <v>0</v>
      </c>
      <c r="Y85" s="265">
        <v>0</v>
      </c>
      <c r="Z85" s="265">
        <v>0</v>
      </c>
      <c r="AA85" s="265">
        <v>0</v>
      </c>
      <c r="AB85" s="342">
        <v>0</v>
      </c>
      <c r="AC85" s="342">
        <v>0</v>
      </c>
      <c r="AD85" s="342">
        <v>0</v>
      </c>
      <c r="AE85" s="342">
        <v>0</v>
      </c>
      <c r="AF85" s="333">
        <v>36</v>
      </c>
      <c r="AG85" s="333">
        <v>30</v>
      </c>
      <c r="AH85" s="333">
        <v>51</v>
      </c>
      <c r="AI85" s="238"/>
      <c r="AK85" s="118"/>
      <c r="AL85" s="118"/>
      <c r="AM85" s="118"/>
      <c r="AN85" s="118"/>
      <c r="AO85" s="122"/>
      <c r="AP85" s="122"/>
      <c r="AQ85" s="122"/>
    </row>
    <row r="86" spans="2:43">
      <c r="B86" s="74" t="s">
        <v>185</v>
      </c>
      <c r="C86" s="170">
        <v>54.38</v>
      </c>
      <c r="D86" s="170">
        <v>41.448999999999998</v>
      </c>
      <c r="E86" s="170">
        <v>41.241999999999997</v>
      </c>
      <c r="F86" s="170">
        <v>48.837000000000003</v>
      </c>
      <c r="G86" s="170">
        <v>21.474</v>
      </c>
      <c r="H86" s="170">
        <v>23.077999999999999</v>
      </c>
      <c r="I86" s="170">
        <v>45.146999999999998</v>
      </c>
      <c r="J86" s="170">
        <v>49.545999999999999</v>
      </c>
      <c r="K86" s="170">
        <v>43.279000000000003</v>
      </c>
      <c r="L86" s="170">
        <v>47.78</v>
      </c>
      <c r="M86" s="170">
        <v>42.423999999999999</v>
      </c>
      <c r="N86" s="170">
        <v>68.924999999999997</v>
      </c>
      <c r="O86" s="261">
        <v>103.503</v>
      </c>
      <c r="P86" s="261">
        <v>99</v>
      </c>
      <c r="Q86" s="261">
        <v>102</v>
      </c>
      <c r="R86" s="261">
        <v>72.796999999999997</v>
      </c>
      <c r="S86" s="261">
        <v>92.344999999999999</v>
      </c>
      <c r="T86" s="261">
        <v>117</v>
      </c>
      <c r="U86" s="261">
        <v>91</v>
      </c>
      <c r="V86" s="261">
        <v>133</v>
      </c>
      <c r="W86" s="261">
        <v>82.352000000000004</v>
      </c>
      <c r="X86" s="261">
        <v>126</v>
      </c>
      <c r="Y86" s="261">
        <v>145</v>
      </c>
      <c r="Z86" s="261">
        <v>85.138000000000005</v>
      </c>
      <c r="AA86" s="261">
        <v>61.82</v>
      </c>
      <c r="AB86" s="261">
        <v>49.755000000000003</v>
      </c>
      <c r="AC86" s="261">
        <v>42</v>
      </c>
      <c r="AD86" s="261">
        <v>42.85</v>
      </c>
      <c r="AE86" s="261">
        <v>82</v>
      </c>
      <c r="AF86" s="325">
        <v>125</v>
      </c>
      <c r="AG86" s="325">
        <v>149</v>
      </c>
      <c r="AH86" s="325">
        <v>110</v>
      </c>
      <c r="AI86" s="238"/>
      <c r="AK86" s="118"/>
      <c r="AL86" s="118"/>
      <c r="AM86" s="118"/>
      <c r="AN86" s="118"/>
      <c r="AO86" s="122"/>
      <c r="AP86" s="122"/>
      <c r="AQ86" s="122"/>
    </row>
    <row r="87" spans="2:43">
      <c r="B87" s="73" t="s">
        <v>527</v>
      </c>
      <c r="C87" s="170"/>
      <c r="D87" s="170"/>
      <c r="E87" s="170"/>
      <c r="F87" s="170"/>
      <c r="G87" s="170"/>
      <c r="H87" s="170"/>
      <c r="I87" s="170"/>
      <c r="J87" s="170"/>
      <c r="K87" s="170"/>
      <c r="L87" s="170"/>
      <c r="M87" s="170"/>
      <c r="N87" s="170"/>
      <c r="O87" s="264"/>
      <c r="P87" s="264"/>
      <c r="Q87" s="264"/>
      <c r="R87" s="264"/>
      <c r="S87" s="264"/>
      <c r="T87" s="264"/>
      <c r="U87" s="264"/>
      <c r="V87" s="264"/>
      <c r="W87" s="335"/>
      <c r="X87" s="335">
        <v>113</v>
      </c>
      <c r="Y87" s="335">
        <v>113</v>
      </c>
      <c r="Z87" s="335">
        <v>125.259</v>
      </c>
      <c r="AA87" s="335">
        <v>125.021</v>
      </c>
      <c r="AB87" s="335">
        <v>0</v>
      </c>
      <c r="AC87" s="335">
        <v>0</v>
      </c>
      <c r="AD87" s="335">
        <v>0</v>
      </c>
      <c r="AE87" s="335">
        <v>0</v>
      </c>
      <c r="AF87" s="335">
        <v>0</v>
      </c>
      <c r="AG87" s="264">
        <v>0</v>
      </c>
      <c r="AH87" s="264">
        <v>0</v>
      </c>
      <c r="AI87" s="238"/>
      <c r="AK87" s="118"/>
      <c r="AL87" s="118"/>
      <c r="AM87" s="118"/>
      <c r="AN87" s="118"/>
      <c r="AO87" s="122"/>
      <c r="AP87" s="122"/>
      <c r="AQ87" s="122"/>
    </row>
    <row r="88" spans="2:43" s="53" customFormat="1" ht="14.4" thickBot="1">
      <c r="B88" s="116" t="s">
        <v>186</v>
      </c>
      <c r="C88" s="167">
        <v>3961.56</v>
      </c>
      <c r="D88" s="167">
        <v>3246.2530000000002</v>
      </c>
      <c r="E88" s="167">
        <v>3212.5699999999997</v>
      </c>
      <c r="F88" s="167">
        <v>3124.6609999999996</v>
      </c>
      <c r="G88" s="167">
        <v>3114.0590000000002</v>
      </c>
      <c r="H88" s="167">
        <v>3146.8563711785741</v>
      </c>
      <c r="I88" s="167">
        <v>3316.1998639499766</v>
      </c>
      <c r="J88" s="167">
        <v>3454.0544438399997</v>
      </c>
      <c r="K88" s="167">
        <v>4279.4637740358821</v>
      </c>
      <c r="L88" s="167">
        <v>4564.39822331911</v>
      </c>
      <c r="M88" s="167">
        <v>5003.7691672495848</v>
      </c>
      <c r="N88" s="167">
        <v>5480.1490000000003</v>
      </c>
      <c r="O88" s="167">
        <v>5053.9840000000004</v>
      </c>
      <c r="P88" s="167">
        <v>4696</v>
      </c>
      <c r="Q88" s="167">
        <v>4939</v>
      </c>
      <c r="R88" s="167">
        <v>5089.6120000000001</v>
      </c>
      <c r="S88" s="167">
        <v>4699.7509999999993</v>
      </c>
      <c r="T88" s="167">
        <v>4825.2870000000003</v>
      </c>
      <c r="U88" s="167">
        <v>4867</v>
      </c>
      <c r="V88" s="322">
        <v>4763</v>
      </c>
      <c r="W88" s="322">
        <v>5531.2150000000001</v>
      </c>
      <c r="X88" s="322">
        <v>5763</v>
      </c>
      <c r="Y88" s="322">
        <v>6294</v>
      </c>
      <c r="Z88" s="322">
        <v>6676.2860000000001</v>
      </c>
      <c r="AA88" s="509">
        <v>6587.7180000000017</v>
      </c>
      <c r="AB88" s="509">
        <v>7613.9260000000013</v>
      </c>
      <c r="AC88" s="509">
        <v>7284</v>
      </c>
      <c r="AD88" s="322">
        <f t="shared" ref="AD88:AH88" si="39">SUM(AD89:AD98)</f>
        <v>7475.8160000000016</v>
      </c>
      <c r="AE88" s="322">
        <f t="shared" si="39"/>
        <v>6484</v>
      </c>
      <c r="AF88" s="322">
        <f t="shared" si="39"/>
        <v>6505</v>
      </c>
      <c r="AG88" s="322">
        <f t="shared" si="39"/>
        <v>6863</v>
      </c>
      <c r="AH88" s="322">
        <f t="shared" si="39"/>
        <v>7022</v>
      </c>
      <c r="AI88" s="54"/>
      <c r="AK88" s="180"/>
      <c r="AL88" s="180"/>
      <c r="AM88" s="180"/>
      <c r="AN88" s="180"/>
      <c r="AO88" s="186"/>
      <c r="AP88" s="186"/>
      <c r="AQ88" s="186"/>
    </row>
    <row r="89" spans="2:43">
      <c r="B89" s="117" t="s">
        <v>174</v>
      </c>
      <c r="C89" s="118">
        <v>2571.6379999999999</v>
      </c>
      <c r="D89" s="118">
        <v>1969.777</v>
      </c>
      <c r="E89" s="118">
        <v>1992.5550000000001</v>
      </c>
      <c r="F89" s="118">
        <v>1940.7719999999999</v>
      </c>
      <c r="G89" s="118">
        <v>1930.1010000000001</v>
      </c>
      <c r="H89" s="118">
        <v>1953.2140004</v>
      </c>
      <c r="I89" s="118">
        <v>2130.1550003999996</v>
      </c>
      <c r="J89" s="118">
        <v>2053.9435004000002</v>
      </c>
      <c r="K89" s="118">
        <v>2822.2581347951018</v>
      </c>
      <c r="L89" s="118">
        <v>2982.8553897949596</v>
      </c>
      <c r="M89" s="118">
        <v>3230.6062217404219</v>
      </c>
      <c r="N89" s="118">
        <v>2882.6660000000002</v>
      </c>
      <c r="O89" s="118">
        <v>3116.6350000000002</v>
      </c>
      <c r="P89" s="118">
        <v>2752</v>
      </c>
      <c r="Q89" s="118">
        <v>2946</v>
      </c>
      <c r="R89" s="118">
        <v>3036.6819999999998</v>
      </c>
      <c r="S89" s="118">
        <v>2637.21</v>
      </c>
      <c r="T89" s="118">
        <v>2809.8389999999999</v>
      </c>
      <c r="U89" s="118">
        <v>2917</v>
      </c>
      <c r="V89" s="265">
        <v>2861</v>
      </c>
      <c r="W89" s="265">
        <v>3510.4549999999999</v>
      </c>
      <c r="X89" s="265">
        <v>3849</v>
      </c>
      <c r="Y89" s="265">
        <v>4328</v>
      </c>
      <c r="Z89" s="265">
        <v>4241.3850000000002</v>
      </c>
      <c r="AA89" s="510">
        <v>4214.2120000000004</v>
      </c>
      <c r="AB89" s="510">
        <v>5055.1220000000003</v>
      </c>
      <c r="AC89" s="510">
        <v>4512</v>
      </c>
      <c r="AD89" s="510">
        <v>4512.0889999999999</v>
      </c>
      <c r="AE89" s="510">
        <v>3767</v>
      </c>
      <c r="AF89" s="510">
        <v>3646</v>
      </c>
      <c r="AG89" s="510">
        <v>4068</v>
      </c>
      <c r="AH89" s="510">
        <v>4139</v>
      </c>
      <c r="AK89" s="118"/>
      <c r="AL89" s="118"/>
      <c r="AM89" s="118"/>
      <c r="AN89" s="118"/>
      <c r="AO89" s="122"/>
      <c r="AP89" s="122"/>
      <c r="AQ89" s="122"/>
    </row>
    <row r="90" spans="2:43">
      <c r="B90" s="73" t="s">
        <v>156</v>
      </c>
      <c r="C90" s="135">
        <v>0</v>
      </c>
      <c r="D90" s="135">
        <v>2.1320000000000001</v>
      </c>
      <c r="E90" s="135">
        <v>0</v>
      </c>
      <c r="F90" s="135">
        <v>0</v>
      </c>
      <c r="G90" s="135">
        <v>0</v>
      </c>
      <c r="H90" s="135">
        <v>1.640370778573677</v>
      </c>
      <c r="I90" s="135">
        <v>11.287863549977075</v>
      </c>
      <c r="J90" s="135">
        <v>7.6799434400000024</v>
      </c>
      <c r="K90" s="135">
        <v>49.983639240780846</v>
      </c>
      <c r="L90" s="135">
        <v>120.22383352415054</v>
      </c>
      <c r="M90" s="135">
        <v>144.78794550916342</v>
      </c>
      <c r="N90" s="135">
        <v>905.08399999999995</v>
      </c>
      <c r="O90" s="135">
        <v>110.32899999999999</v>
      </c>
      <c r="P90" s="135">
        <v>154</v>
      </c>
      <c r="Q90" s="135">
        <v>99</v>
      </c>
      <c r="R90" s="135">
        <v>109.6</v>
      </c>
      <c r="S90" s="135">
        <v>26.306999999999999</v>
      </c>
      <c r="T90" s="135">
        <v>33.756999999999998</v>
      </c>
      <c r="U90" s="135">
        <v>30</v>
      </c>
      <c r="V90" s="261">
        <v>29</v>
      </c>
      <c r="W90" s="261">
        <v>210</v>
      </c>
      <c r="X90" s="261">
        <v>120</v>
      </c>
      <c r="Y90" s="261">
        <v>228</v>
      </c>
      <c r="Z90" s="261">
        <v>159.71</v>
      </c>
      <c r="AA90" s="515">
        <v>187.559</v>
      </c>
      <c r="AB90" s="515">
        <v>459.02300000000002</v>
      </c>
      <c r="AC90" s="515">
        <v>424</v>
      </c>
      <c r="AD90" s="515">
        <v>609.4</v>
      </c>
      <c r="AE90" s="515">
        <v>429</v>
      </c>
      <c r="AF90" s="515">
        <v>525</v>
      </c>
      <c r="AG90" s="515">
        <v>594</v>
      </c>
      <c r="AH90" s="515">
        <v>589</v>
      </c>
      <c r="AK90" s="118"/>
      <c r="AL90" s="118"/>
      <c r="AM90" s="118"/>
      <c r="AN90" s="118"/>
      <c r="AO90" s="122"/>
      <c r="AP90" s="122"/>
      <c r="AQ90" s="122"/>
    </row>
    <row r="91" spans="2:43">
      <c r="B91" s="74" t="s">
        <v>187</v>
      </c>
      <c r="C91" s="135">
        <v>0</v>
      </c>
      <c r="D91" s="135">
        <v>0</v>
      </c>
      <c r="E91" s="135">
        <v>0</v>
      </c>
      <c r="F91" s="135">
        <v>0</v>
      </c>
      <c r="G91" s="135">
        <v>14.226000000000001</v>
      </c>
      <c r="H91" s="135">
        <v>9.61</v>
      </c>
      <c r="I91" s="135">
        <v>7.9850000000000003</v>
      </c>
      <c r="J91" s="135">
        <v>6.5060000000000002</v>
      </c>
      <c r="K91" s="135">
        <v>5.593</v>
      </c>
      <c r="L91" s="135">
        <v>4.7300000000000004</v>
      </c>
      <c r="M91" s="135">
        <v>6.1280000000000001</v>
      </c>
      <c r="N91" s="135">
        <v>7.11</v>
      </c>
      <c r="O91" s="135">
        <v>9.8940000000000001</v>
      </c>
      <c r="P91" s="135">
        <v>21</v>
      </c>
      <c r="Q91" s="135">
        <v>22</v>
      </c>
      <c r="R91" s="135">
        <v>17.562999999999999</v>
      </c>
      <c r="S91" s="135">
        <v>13.712</v>
      </c>
      <c r="T91" s="135">
        <v>16.111000000000001</v>
      </c>
      <c r="U91" s="135">
        <v>11</v>
      </c>
      <c r="V91" s="261">
        <v>15</v>
      </c>
      <c r="W91" s="261">
        <v>14.233000000000001</v>
      </c>
      <c r="X91" s="261">
        <v>16</v>
      </c>
      <c r="Y91" s="261">
        <v>19</v>
      </c>
      <c r="Z91" s="261">
        <v>27.890999999999998</v>
      </c>
      <c r="AA91" s="515">
        <v>23.706</v>
      </c>
      <c r="AB91" s="515">
        <v>21.385999999999999</v>
      </c>
      <c r="AC91" s="515">
        <v>30</v>
      </c>
      <c r="AD91" s="515">
        <v>141.435</v>
      </c>
      <c r="AE91" s="515">
        <v>140</v>
      </c>
      <c r="AF91" s="515">
        <v>144</v>
      </c>
      <c r="AG91" s="515">
        <v>148</v>
      </c>
      <c r="AH91" s="515">
        <v>169</v>
      </c>
      <c r="AK91" s="118"/>
      <c r="AL91" s="118"/>
      <c r="AM91" s="118"/>
      <c r="AN91" s="118"/>
      <c r="AO91" s="122"/>
      <c r="AP91" s="122"/>
      <c r="AQ91" s="122"/>
    </row>
    <row r="92" spans="2:43">
      <c r="B92" s="74" t="s">
        <v>166</v>
      </c>
      <c r="C92" s="135">
        <v>259.80900000000003</v>
      </c>
      <c r="D92" s="135">
        <v>127.246</v>
      </c>
      <c r="E92" s="135">
        <v>69.284000000000006</v>
      </c>
      <c r="F92" s="135">
        <v>13.287000000000001</v>
      </c>
      <c r="G92" s="135">
        <v>10.994</v>
      </c>
      <c r="H92" s="135">
        <v>9.8819999999999997</v>
      </c>
      <c r="I92" s="135">
        <v>2.33</v>
      </c>
      <c r="J92" s="135">
        <v>2.33</v>
      </c>
      <c r="K92" s="135">
        <v>3.1179999999999999</v>
      </c>
      <c r="L92" s="135">
        <v>25.452999999999999</v>
      </c>
      <c r="M92" s="135">
        <v>25.367000000000001</v>
      </c>
      <c r="N92" s="135">
        <v>2.0339999999999998</v>
      </c>
      <c r="O92" s="135">
        <v>14.1</v>
      </c>
      <c r="P92" s="135">
        <v>3</v>
      </c>
      <c r="Q92" s="135">
        <v>59</v>
      </c>
      <c r="R92" s="135">
        <v>61.8</v>
      </c>
      <c r="S92" s="135">
        <v>65.754999999999995</v>
      </c>
      <c r="T92" s="135">
        <v>68.962000000000003</v>
      </c>
      <c r="U92" s="135">
        <v>71</v>
      </c>
      <c r="V92" s="261">
        <v>73</v>
      </c>
      <c r="W92" s="261">
        <v>63.334000000000003</v>
      </c>
      <c r="X92" s="261">
        <v>62</v>
      </c>
      <c r="Y92" s="261">
        <v>63</v>
      </c>
      <c r="Z92" s="261">
        <v>65.384</v>
      </c>
      <c r="AA92" s="515">
        <v>52.52</v>
      </c>
      <c r="AB92" s="515">
        <v>51</v>
      </c>
      <c r="AC92" s="515">
        <v>68</v>
      </c>
      <c r="AD92" s="515">
        <v>72.344999999999999</v>
      </c>
      <c r="AE92" s="515">
        <v>57</v>
      </c>
      <c r="AF92" s="515">
        <v>59</v>
      </c>
      <c r="AG92" s="515">
        <v>61</v>
      </c>
      <c r="AH92" s="515">
        <v>64</v>
      </c>
      <c r="AK92" s="118"/>
      <c r="AL92" s="118"/>
      <c r="AM92" s="118"/>
      <c r="AN92" s="118"/>
      <c r="AO92" s="122"/>
      <c r="AP92" s="122"/>
      <c r="AQ92" s="122"/>
    </row>
    <row r="93" spans="2:43">
      <c r="B93" s="74" t="s">
        <v>184</v>
      </c>
      <c r="C93" s="135">
        <v>479.68</v>
      </c>
      <c r="D93" s="135">
        <v>477.63400000000001</v>
      </c>
      <c r="E93" s="135">
        <v>481.71100000000001</v>
      </c>
      <c r="F93" s="135">
        <v>475.387</v>
      </c>
      <c r="G93" s="135">
        <v>483.78300000000002</v>
      </c>
      <c r="H93" s="135">
        <v>493.03199999999998</v>
      </c>
      <c r="I93" s="135">
        <v>499.54399999999998</v>
      </c>
      <c r="J93" s="135">
        <v>683.60400000000004</v>
      </c>
      <c r="K93" s="135">
        <v>677.84699999999998</v>
      </c>
      <c r="L93" s="135">
        <v>672.84199999999998</v>
      </c>
      <c r="M93" s="135">
        <v>748.423</v>
      </c>
      <c r="N93" s="135">
        <v>760.947</v>
      </c>
      <c r="O93" s="135">
        <v>897.42100000000005</v>
      </c>
      <c r="P93" s="135">
        <v>962</v>
      </c>
      <c r="Q93" s="135">
        <v>988</v>
      </c>
      <c r="R93" s="135">
        <v>790.72900000000004</v>
      </c>
      <c r="S93" s="135">
        <v>823.00199999999995</v>
      </c>
      <c r="T93" s="135">
        <v>760.52700000000004</v>
      </c>
      <c r="U93" s="135">
        <v>730</v>
      </c>
      <c r="V93" s="261">
        <v>711</v>
      </c>
      <c r="W93" s="261">
        <v>703.10799999999995</v>
      </c>
      <c r="X93" s="261">
        <v>708</v>
      </c>
      <c r="Y93" s="261">
        <v>676</v>
      </c>
      <c r="Z93" s="261">
        <v>628.61599999999999</v>
      </c>
      <c r="AA93" s="515">
        <v>647.99099999999999</v>
      </c>
      <c r="AB93" s="515">
        <v>683.83500000000004</v>
      </c>
      <c r="AC93" s="515">
        <v>805</v>
      </c>
      <c r="AD93" s="515">
        <v>681.43</v>
      </c>
      <c r="AE93" s="515">
        <v>721</v>
      </c>
      <c r="AF93" s="515">
        <v>331</v>
      </c>
      <c r="AG93" s="515">
        <v>347</v>
      </c>
      <c r="AH93" s="515">
        <v>320</v>
      </c>
      <c r="AK93" s="118"/>
      <c r="AL93" s="118"/>
      <c r="AM93" s="118"/>
      <c r="AN93" s="118"/>
      <c r="AO93" s="122"/>
      <c r="AP93" s="122"/>
      <c r="AQ93" s="122"/>
    </row>
    <row r="94" spans="2:43">
      <c r="B94" s="73" t="s">
        <v>182</v>
      </c>
      <c r="C94" s="118">
        <v>538.63599999999997</v>
      </c>
      <c r="D94" s="118">
        <v>558.95600000000002</v>
      </c>
      <c r="E94" s="118">
        <v>573.64599999999996</v>
      </c>
      <c r="F94" s="118">
        <v>559.43200000000002</v>
      </c>
      <c r="G94" s="118">
        <v>568.45799999999997</v>
      </c>
      <c r="H94" s="118">
        <v>577.91200000000003</v>
      </c>
      <c r="I94" s="118">
        <v>569.90200000000004</v>
      </c>
      <c r="J94" s="118">
        <v>580.08000000000004</v>
      </c>
      <c r="K94" s="118">
        <v>585.60500000000002</v>
      </c>
      <c r="L94" s="118">
        <v>597.19600000000003</v>
      </c>
      <c r="M94" s="118">
        <v>658.53599999999994</v>
      </c>
      <c r="N94" s="118">
        <v>715.71299999999997</v>
      </c>
      <c r="O94" s="118">
        <v>707.49300000000005</v>
      </c>
      <c r="P94" s="118">
        <v>749</v>
      </c>
      <c r="Q94" s="118">
        <v>758</v>
      </c>
      <c r="R94" s="118">
        <v>943.8</v>
      </c>
      <c r="S94" s="118">
        <v>967.80700000000002</v>
      </c>
      <c r="T94" s="118">
        <v>994.40899999999999</v>
      </c>
      <c r="U94" s="118">
        <v>990</v>
      </c>
      <c r="V94" s="265">
        <v>975</v>
      </c>
      <c r="W94" s="265">
        <v>957.91499999999996</v>
      </c>
      <c r="X94" s="265">
        <v>944</v>
      </c>
      <c r="Y94" s="265">
        <v>921</v>
      </c>
      <c r="Z94" s="265">
        <v>955.12599999999998</v>
      </c>
      <c r="AA94" s="510">
        <v>945.29499999999996</v>
      </c>
      <c r="AB94" s="515">
        <v>947.93899999999996</v>
      </c>
      <c r="AC94" s="515">
        <v>955</v>
      </c>
      <c r="AD94" s="515">
        <v>968.78800000000001</v>
      </c>
      <c r="AE94" s="515">
        <v>977</v>
      </c>
      <c r="AF94" s="515">
        <v>978</v>
      </c>
      <c r="AG94" s="515">
        <v>964</v>
      </c>
      <c r="AH94" s="515">
        <v>960</v>
      </c>
      <c r="AK94" s="118"/>
      <c r="AL94" s="118"/>
      <c r="AM94" s="118"/>
      <c r="AN94" s="118"/>
      <c r="AO94" s="122"/>
      <c r="AP94" s="122"/>
      <c r="AQ94" s="122"/>
    </row>
    <row r="95" spans="2:43">
      <c r="B95" s="74" t="s">
        <v>183</v>
      </c>
      <c r="C95" s="135">
        <v>49.95</v>
      </c>
      <c r="D95" s="135">
        <v>47.392000000000003</v>
      </c>
      <c r="E95" s="135">
        <v>32.805</v>
      </c>
      <c r="F95" s="135">
        <v>82.284000000000006</v>
      </c>
      <c r="G95" s="135">
        <v>54.71</v>
      </c>
      <c r="H95" s="135">
        <v>49.158999999999999</v>
      </c>
      <c r="I95" s="135">
        <v>42.274000000000001</v>
      </c>
      <c r="J95" s="135">
        <v>76.641999999999996</v>
      </c>
      <c r="K95" s="135">
        <v>94.578000000000003</v>
      </c>
      <c r="L95" s="135">
        <v>109.947</v>
      </c>
      <c r="M95" s="135">
        <v>136.63300000000001</v>
      </c>
      <c r="N95" s="135">
        <v>153.01</v>
      </c>
      <c r="O95" s="135">
        <v>145.143</v>
      </c>
      <c r="P95" s="135">
        <v>3</v>
      </c>
      <c r="Q95" s="135">
        <v>13</v>
      </c>
      <c r="R95" s="135">
        <v>24.253</v>
      </c>
      <c r="S95" s="135">
        <v>39.463999999999999</v>
      </c>
      <c r="T95" s="135">
        <v>35.185000000000002</v>
      </c>
      <c r="U95" s="135">
        <v>28</v>
      </c>
      <c r="V95" s="261">
        <v>27</v>
      </c>
      <c r="W95" s="261">
        <v>0</v>
      </c>
      <c r="X95" s="261">
        <v>0</v>
      </c>
      <c r="Y95" s="261">
        <v>0</v>
      </c>
      <c r="Z95" s="261">
        <v>555.66800000000001</v>
      </c>
      <c r="AA95" s="515">
        <v>473.55399999999997</v>
      </c>
      <c r="AB95" s="515">
        <v>356.90300000000002</v>
      </c>
      <c r="AC95" s="515">
        <v>446</v>
      </c>
      <c r="AD95" s="515">
        <v>437.577</v>
      </c>
      <c r="AE95" s="515">
        <v>331</v>
      </c>
      <c r="AF95" s="515">
        <v>304</v>
      </c>
      <c r="AG95" s="515">
        <v>144</v>
      </c>
      <c r="AH95" s="515">
        <v>176</v>
      </c>
      <c r="AK95" s="118"/>
      <c r="AL95" s="118"/>
      <c r="AM95" s="118"/>
      <c r="AN95" s="118"/>
      <c r="AO95" s="122"/>
      <c r="AP95" s="122"/>
      <c r="AQ95" s="122"/>
    </row>
    <row r="96" spans="2:43">
      <c r="B96" s="74" t="s">
        <v>188</v>
      </c>
      <c r="C96" s="135">
        <v>0</v>
      </c>
      <c r="D96" s="135">
        <v>0</v>
      </c>
      <c r="E96" s="135">
        <v>0</v>
      </c>
      <c r="F96" s="135">
        <v>0</v>
      </c>
      <c r="G96" s="135">
        <v>0</v>
      </c>
      <c r="H96" s="135">
        <v>0</v>
      </c>
      <c r="I96" s="135">
        <v>0</v>
      </c>
      <c r="J96" s="135">
        <v>0</v>
      </c>
      <c r="K96" s="135">
        <v>0</v>
      </c>
      <c r="L96" s="135">
        <v>0</v>
      </c>
      <c r="M96" s="135">
        <v>0</v>
      </c>
      <c r="N96" s="135">
        <v>0</v>
      </c>
      <c r="O96" s="135">
        <v>0</v>
      </c>
      <c r="P96" s="135">
        <v>0</v>
      </c>
      <c r="Q96" s="135">
        <v>0</v>
      </c>
      <c r="R96" s="135">
        <v>39.636000000000003</v>
      </c>
      <c r="S96" s="135">
        <v>40.253999999999998</v>
      </c>
      <c r="T96" s="135">
        <v>40.71</v>
      </c>
      <c r="U96" s="135">
        <v>41</v>
      </c>
      <c r="V96" s="261">
        <v>13</v>
      </c>
      <c r="W96" s="261">
        <v>12.894</v>
      </c>
      <c r="X96" s="261">
        <v>13</v>
      </c>
      <c r="Y96" s="261">
        <v>12</v>
      </c>
      <c r="Z96" s="261">
        <v>11.888</v>
      </c>
      <c r="AA96" s="515">
        <v>11.657999999999999</v>
      </c>
      <c r="AB96" s="515">
        <v>11.401999999999999</v>
      </c>
      <c r="AC96" s="515">
        <v>11</v>
      </c>
      <c r="AD96" s="515">
        <v>16.402999999999999</v>
      </c>
      <c r="AE96" s="515">
        <v>21</v>
      </c>
      <c r="AF96" s="515">
        <v>20</v>
      </c>
      <c r="AG96" s="515">
        <v>17</v>
      </c>
      <c r="AH96" s="515">
        <v>11</v>
      </c>
      <c r="AK96" s="118"/>
      <c r="AL96" s="118"/>
      <c r="AM96" s="118"/>
      <c r="AN96" s="118"/>
      <c r="AO96" s="122"/>
      <c r="AP96" s="122"/>
      <c r="AQ96" s="122"/>
    </row>
    <row r="97" spans="2:44">
      <c r="B97" s="74" t="s">
        <v>520</v>
      </c>
      <c r="C97" s="135"/>
      <c r="D97" s="135"/>
      <c r="E97" s="135"/>
      <c r="F97" s="135"/>
      <c r="G97" s="135"/>
      <c r="H97" s="135"/>
      <c r="I97" s="135"/>
      <c r="J97" s="135"/>
      <c r="K97" s="135"/>
      <c r="L97" s="135"/>
      <c r="M97" s="135"/>
      <c r="N97" s="135"/>
      <c r="O97" s="135"/>
      <c r="P97" s="135"/>
      <c r="Q97" s="135"/>
      <c r="R97" s="135"/>
      <c r="S97" s="135"/>
      <c r="T97" s="135"/>
      <c r="U97" s="135"/>
      <c r="V97" s="261"/>
      <c r="W97" s="261"/>
      <c r="X97" s="261"/>
      <c r="Y97" s="261"/>
      <c r="Z97" s="261"/>
      <c r="AA97" s="515"/>
      <c r="AB97" s="515"/>
      <c r="AC97" s="515"/>
      <c r="AD97" s="515"/>
      <c r="AE97" s="515"/>
      <c r="AF97" s="515">
        <v>461</v>
      </c>
      <c r="AG97" s="515">
        <v>479</v>
      </c>
      <c r="AH97" s="515">
        <v>478</v>
      </c>
      <c r="AK97" s="118"/>
      <c r="AL97" s="118"/>
      <c r="AM97" s="118"/>
      <c r="AN97" s="118"/>
      <c r="AO97" s="122"/>
      <c r="AP97" s="122"/>
      <c r="AQ97" s="122"/>
    </row>
    <row r="98" spans="2:44">
      <c r="B98" s="117" t="s">
        <v>185</v>
      </c>
      <c r="C98" s="135">
        <v>61.847000000000001</v>
      </c>
      <c r="D98" s="135">
        <v>63.116</v>
      </c>
      <c r="E98" s="135">
        <v>62.569000000000003</v>
      </c>
      <c r="F98" s="135">
        <v>53.499000000000002</v>
      </c>
      <c r="G98" s="135">
        <v>51.786999999999999</v>
      </c>
      <c r="H98" s="135">
        <v>52.406999999999996</v>
      </c>
      <c r="I98" s="135">
        <v>52.722000000000001</v>
      </c>
      <c r="J98" s="135">
        <v>43.268999999999998</v>
      </c>
      <c r="K98" s="135">
        <v>40.481000000000002</v>
      </c>
      <c r="L98" s="135">
        <v>51.151000000000003</v>
      </c>
      <c r="M98" s="135">
        <v>53.287999999999997</v>
      </c>
      <c r="N98" s="135">
        <v>53.585000000000001</v>
      </c>
      <c r="O98" s="135">
        <v>52.969000000000001</v>
      </c>
      <c r="P98" s="135">
        <v>52</v>
      </c>
      <c r="Q98" s="135">
        <v>54</v>
      </c>
      <c r="R98" s="135">
        <v>65.549000000000007</v>
      </c>
      <c r="S98" s="135">
        <v>86.24</v>
      </c>
      <c r="T98" s="135">
        <v>65.787000000000006</v>
      </c>
      <c r="U98" s="135">
        <v>49</v>
      </c>
      <c r="V98" s="261">
        <v>59</v>
      </c>
      <c r="W98" s="261">
        <v>59.276000000000003</v>
      </c>
      <c r="X98" s="261">
        <v>51</v>
      </c>
      <c r="Y98" s="261">
        <v>47</v>
      </c>
      <c r="Z98" s="261">
        <v>30.617999999999999</v>
      </c>
      <c r="AA98" s="515">
        <v>31.222999999999999</v>
      </c>
      <c r="AB98" s="515">
        <v>27.315999999999999</v>
      </c>
      <c r="AC98" s="515">
        <v>33</v>
      </c>
      <c r="AD98" s="515">
        <v>36.348999999999997</v>
      </c>
      <c r="AE98" s="515">
        <v>41</v>
      </c>
      <c r="AF98" s="515">
        <v>37</v>
      </c>
      <c r="AG98" s="515">
        <v>41</v>
      </c>
      <c r="AH98" s="515">
        <v>116</v>
      </c>
      <c r="AK98" s="118"/>
      <c r="AL98" s="118"/>
      <c r="AM98" s="118"/>
      <c r="AN98" s="118"/>
      <c r="AO98" s="122"/>
      <c r="AP98" s="122"/>
      <c r="AQ98" s="122"/>
    </row>
    <row r="99" spans="2:44" s="53" customFormat="1" ht="14.4" thickBot="1">
      <c r="B99" s="116" t="s">
        <v>189</v>
      </c>
      <c r="C99" s="167">
        <v>5834.0039999999999</v>
      </c>
      <c r="D99" s="167">
        <v>4992.6120000000001</v>
      </c>
      <c r="E99" s="167">
        <v>5062.6740000000009</v>
      </c>
      <c r="F99" s="167">
        <v>5246.5290000000005</v>
      </c>
      <c r="G99" s="167">
        <v>5242.7490000000007</v>
      </c>
      <c r="H99" s="167">
        <v>5126.682044565252</v>
      </c>
      <c r="I99" s="167">
        <v>4997.5561690251197</v>
      </c>
      <c r="J99" s="167">
        <v>5128.3670573454847</v>
      </c>
      <c r="K99" s="167">
        <v>4706.5738883841268</v>
      </c>
      <c r="L99" s="167">
        <v>4540.6730547684974</v>
      </c>
      <c r="M99" s="167">
        <v>3928.7104883230513</v>
      </c>
      <c r="N99" s="167">
        <v>3740.1330000000003</v>
      </c>
      <c r="O99" s="167">
        <v>2924.8159999999998</v>
      </c>
      <c r="P99" s="167">
        <v>3576</v>
      </c>
      <c r="Q99" s="167">
        <v>4022</v>
      </c>
      <c r="R99" s="167">
        <v>4715.9809999999998</v>
      </c>
      <c r="S99" s="167">
        <v>5417.9650000000001</v>
      </c>
      <c r="T99" s="167">
        <v>5661</v>
      </c>
      <c r="U99" s="167">
        <v>5726</v>
      </c>
      <c r="V99" s="322">
        <v>5324</v>
      </c>
      <c r="W99" s="322">
        <v>5427.2190000000001</v>
      </c>
      <c r="X99" s="322">
        <v>5392</v>
      </c>
      <c r="Y99" s="322">
        <v>5027</v>
      </c>
      <c r="Z99" s="322">
        <v>4704.152</v>
      </c>
      <c r="AA99" s="509">
        <v>4587.0940000000001</v>
      </c>
      <c r="AB99" s="509">
        <v>4175.2370000000001</v>
      </c>
      <c r="AC99" s="509">
        <v>4271</v>
      </c>
      <c r="AD99" s="322">
        <f t="shared" ref="AD99:AH99" si="40">SUM(AD105:AD106)</f>
        <v>4011</v>
      </c>
      <c r="AE99" s="322">
        <f t="shared" si="40"/>
        <v>4508</v>
      </c>
      <c r="AF99" s="322">
        <f t="shared" si="40"/>
        <v>4580</v>
      </c>
      <c r="AG99" s="322">
        <f t="shared" si="40"/>
        <v>4729</v>
      </c>
      <c r="AH99" s="322">
        <f t="shared" si="40"/>
        <v>4515</v>
      </c>
      <c r="AI99" s="54"/>
      <c r="AK99" s="180"/>
      <c r="AL99" s="180"/>
      <c r="AM99" s="180"/>
      <c r="AN99" s="180"/>
      <c r="AO99" s="186"/>
      <c r="AP99" s="186"/>
      <c r="AQ99" s="186"/>
    </row>
    <row r="100" spans="2:44">
      <c r="B100" s="74" t="s">
        <v>190</v>
      </c>
      <c r="C100" s="118">
        <v>5637.299</v>
      </c>
      <c r="D100" s="118">
        <v>4950.0950000000003</v>
      </c>
      <c r="E100" s="118">
        <v>4950.0950000000003</v>
      </c>
      <c r="F100" s="118">
        <v>4950.0950000000003</v>
      </c>
      <c r="G100" s="118">
        <v>4950.0950000000003</v>
      </c>
      <c r="H100" s="118">
        <v>4950.0950000000003</v>
      </c>
      <c r="I100" s="118">
        <v>4950.0950000000003</v>
      </c>
      <c r="J100" s="118">
        <v>4950.0950000000003</v>
      </c>
      <c r="K100" s="118">
        <v>4950.0950000000003</v>
      </c>
      <c r="L100" s="118">
        <v>4950.0950000000003</v>
      </c>
      <c r="M100" s="118">
        <v>4950.0950000000003</v>
      </c>
      <c r="N100" s="118">
        <v>4950.0950000000003</v>
      </c>
      <c r="O100" s="118">
        <v>4049.46</v>
      </c>
      <c r="P100" s="118">
        <v>4049</v>
      </c>
      <c r="Q100" s="118">
        <v>4706</v>
      </c>
      <c r="R100" s="118">
        <v>4705.3090000000002</v>
      </c>
      <c r="S100" s="118">
        <v>4705.2569999999996</v>
      </c>
      <c r="T100" s="118">
        <v>4705</v>
      </c>
      <c r="U100" s="118">
        <v>4705</v>
      </c>
      <c r="V100" s="265">
        <v>4705</v>
      </c>
      <c r="W100" s="265">
        <v>4705.0469999999996</v>
      </c>
      <c r="X100" s="265">
        <v>4705</v>
      </c>
      <c r="Y100" s="265">
        <v>4705</v>
      </c>
      <c r="Z100" s="265">
        <v>4890.2190000000001</v>
      </c>
      <c r="AA100" s="510">
        <v>4911.09</v>
      </c>
      <c r="AB100" s="510">
        <v>4911.09</v>
      </c>
      <c r="AC100" s="510">
        <v>4911.09</v>
      </c>
      <c r="AD100" s="510">
        <v>4911</v>
      </c>
      <c r="AE100" s="510">
        <v>4911</v>
      </c>
      <c r="AF100" s="510">
        <v>4510</v>
      </c>
      <c r="AG100" s="510">
        <v>4510</v>
      </c>
      <c r="AH100" s="510">
        <v>4510</v>
      </c>
      <c r="AI100" s="238"/>
      <c r="AK100" s="118"/>
      <c r="AL100" s="118"/>
      <c r="AM100" s="118"/>
      <c r="AN100" s="118"/>
      <c r="AO100" s="122"/>
      <c r="AP100" s="122"/>
      <c r="AQ100" s="122"/>
    </row>
    <row r="101" spans="2:44">
      <c r="B101" s="71" t="s">
        <v>191</v>
      </c>
      <c r="C101" s="135"/>
      <c r="D101" s="135"/>
      <c r="E101" s="135"/>
      <c r="F101" s="135"/>
      <c r="G101" s="135"/>
      <c r="H101" s="135"/>
      <c r="I101" s="135"/>
      <c r="J101" s="135"/>
      <c r="K101" s="135"/>
      <c r="L101" s="135"/>
      <c r="M101" s="135"/>
      <c r="N101" s="135"/>
      <c r="O101" s="135"/>
      <c r="P101" s="135"/>
      <c r="Q101" s="135"/>
      <c r="R101" s="135">
        <v>183.38399999999999</v>
      </c>
      <c r="S101" s="135">
        <v>183.38399999999999</v>
      </c>
      <c r="T101" s="135">
        <v>69</v>
      </c>
      <c r="U101" s="135">
        <v>69</v>
      </c>
      <c r="V101" s="135">
        <v>674</v>
      </c>
      <c r="W101" s="261">
        <v>673.53099999999995</v>
      </c>
      <c r="X101" s="261">
        <v>674</v>
      </c>
      <c r="Y101" s="261">
        <v>674</v>
      </c>
      <c r="Z101" s="261">
        <v>0</v>
      </c>
      <c r="AA101" s="515">
        <v>0</v>
      </c>
      <c r="AB101" s="515">
        <v>0</v>
      </c>
      <c r="AC101" s="515">
        <v>0</v>
      </c>
      <c r="AD101" s="515"/>
      <c r="AE101" s="515"/>
      <c r="AF101" s="515"/>
      <c r="AG101" s="515"/>
      <c r="AH101" s="515">
        <v>92</v>
      </c>
      <c r="AI101" s="238"/>
      <c r="AK101" s="118"/>
      <c r="AL101" s="118"/>
      <c r="AM101" s="118"/>
      <c r="AN101" s="118"/>
      <c r="AO101" s="122"/>
      <c r="AP101" s="122"/>
      <c r="AQ101" s="122"/>
    </row>
    <row r="102" spans="2:44">
      <c r="B102" s="74" t="s">
        <v>192</v>
      </c>
      <c r="C102" s="135">
        <v>68.61</v>
      </c>
      <c r="D102" s="135">
        <v>-45.506</v>
      </c>
      <c r="E102" s="135">
        <v>-8.1789999999999985</v>
      </c>
      <c r="F102" s="135">
        <v>36.927999999999997</v>
      </c>
      <c r="G102" s="135">
        <v>56.086999999999996</v>
      </c>
      <c r="H102" s="135">
        <v>-118.178</v>
      </c>
      <c r="I102" s="135">
        <v>-175.34200000000001</v>
      </c>
      <c r="J102" s="135">
        <v>-58.073</v>
      </c>
      <c r="K102" s="135">
        <v>-156.24199999999999</v>
      </c>
      <c r="L102" s="135">
        <v>-144.98400000000001</v>
      </c>
      <c r="M102" s="135">
        <v>-618.58199999999999</v>
      </c>
      <c r="N102" s="135">
        <v>-985.90099999999995</v>
      </c>
      <c r="O102" s="135">
        <v>-652.97500000000002</v>
      </c>
      <c r="P102" s="135">
        <v>-268</v>
      </c>
      <c r="Q102" s="135">
        <v>-316</v>
      </c>
      <c r="R102" s="135"/>
      <c r="S102" s="135">
        <v>406.17500000000001</v>
      </c>
      <c r="T102" s="135">
        <v>895</v>
      </c>
      <c r="U102" s="135">
        <v>974</v>
      </c>
      <c r="V102" s="135"/>
      <c r="W102" s="261">
        <v>67.040000000000006</v>
      </c>
      <c r="X102" s="261">
        <v>6</v>
      </c>
      <c r="Y102" s="261">
        <v>-283</v>
      </c>
      <c r="Z102" s="261">
        <v>-234.10599999999999</v>
      </c>
      <c r="AA102" s="515">
        <v>-290.50599999999997</v>
      </c>
      <c r="AB102" s="515">
        <v>-392.49799999999999</v>
      </c>
      <c r="AC102" s="515">
        <v>-335</v>
      </c>
      <c r="AD102" s="515">
        <v>-401</v>
      </c>
      <c r="AE102" s="515">
        <v>-96</v>
      </c>
      <c r="AF102" s="515">
        <v>211</v>
      </c>
      <c r="AG102" s="515">
        <v>314</v>
      </c>
      <c r="AH102" s="515">
        <v>0</v>
      </c>
      <c r="AI102" s="238"/>
      <c r="AK102" s="118"/>
      <c r="AL102" s="118"/>
      <c r="AM102" s="118"/>
      <c r="AN102" s="118"/>
      <c r="AO102" s="122"/>
      <c r="AP102" s="122"/>
      <c r="AQ102" s="122"/>
    </row>
    <row r="103" spans="2:44">
      <c r="B103" s="74" t="s">
        <v>504</v>
      </c>
      <c r="C103" s="135"/>
      <c r="D103" s="135"/>
      <c r="E103" s="135"/>
      <c r="F103" s="135"/>
      <c r="G103" s="135"/>
      <c r="H103" s="135"/>
      <c r="I103" s="135"/>
      <c r="J103" s="135"/>
      <c r="K103" s="135"/>
      <c r="L103" s="135"/>
      <c r="M103" s="135"/>
      <c r="N103" s="135"/>
      <c r="O103" s="135"/>
      <c r="P103" s="135"/>
      <c r="Q103" s="135"/>
      <c r="R103" s="135"/>
      <c r="S103" s="135"/>
      <c r="T103" s="135"/>
      <c r="U103" s="135"/>
      <c r="V103" s="135"/>
      <c r="W103" s="261"/>
      <c r="X103" s="261"/>
      <c r="Y103" s="261"/>
      <c r="Z103" s="261"/>
      <c r="AA103" s="515"/>
      <c r="AB103" s="515"/>
      <c r="AC103" s="515"/>
      <c r="AD103" s="515">
        <v>-70</v>
      </c>
      <c r="AE103" s="515">
        <v>-70</v>
      </c>
      <c r="AF103" s="515">
        <v>-70</v>
      </c>
      <c r="AG103" s="515">
        <v>-70</v>
      </c>
      <c r="AH103" s="515">
        <v>-70</v>
      </c>
      <c r="AI103" s="238"/>
      <c r="AK103" s="118"/>
      <c r="AL103" s="118"/>
      <c r="AM103" s="118"/>
      <c r="AN103" s="118"/>
      <c r="AO103" s="122"/>
      <c r="AP103" s="122"/>
      <c r="AQ103" s="122"/>
    </row>
    <row r="104" spans="2:44">
      <c r="B104" s="74" t="s">
        <v>193</v>
      </c>
      <c r="C104" s="118">
        <v>15.868</v>
      </c>
      <c r="D104" s="118">
        <v>-88.704999999999998</v>
      </c>
      <c r="E104" s="118">
        <v>-53.975999999999999</v>
      </c>
      <c r="F104" s="118">
        <v>77.393000000000001</v>
      </c>
      <c r="G104" s="118">
        <v>44.061999999999998</v>
      </c>
      <c r="H104" s="118">
        <v>105.54304456525215</v>
      </c>
      <c r="I104" s="118">
        <v>25.063169025118928</v>
      </c>
      <c r="J104" s="118">
        <v>50.411057345484949</v>
      </c>
      <c r="K104" s="118">
        <v>-284.79311161587384</v>
      </c>
      <c r="L104" s="118">
        <v>-427.13594523150277</v>
      </c>
      <c r="M104" s="118">
        <v>-579.47551167694894</v>
      </c>
      <c r="N104" s="118">
        <v>-400.79500000000002</v>
      </c>
      <c r="O104" s="118">
        <v>-664.82</v>
      </c>
      <c r="P104" s="118">
        <v>-376</v>
      </c>
      <c r="Q104" s="118">
        <v>-547</v>
      </c>
      <c r="R104" s="118">
        <v>-387.89400000000001</v>
      </c>
      <c r="S104" s="118">
        <v>-135.30699999999999</v>
      </c>
      <c r="T104" s="118">
        <v>-220</v>
      </c>
      <c r="U104" s="118">
        <v>-256</v>
      </c>
      <c r="V104" s="265">
        <v>-283</v>
      </c>
      <c r="W104" s="265">
        <v>-268.58499999999998</v>
      </c>
      <c r="X104" s="265">
        <v>-209</v>
      </c>
      <c r="Y104" s="265">
        <v>-311</v>
      </c>
      <c r="Z104" s="265">
        <v>-197.678</v>
      </c>
      <c r="AA104" s="510">
        <v>-288.87599999999998</v>
      </c>
      <c r="AB104" s="510">
        <v>-573.18799999999999</v>
      </c>
      <c r="AC104" s="510">
        <v>-564</v>
      </c>
      <c r="AD104" s="510">
        <v>-656</v>
      </c>
      <c r="AE104" s="510">
        <v>-464</v>
      </c>
      <c r="AF104" s="515">
        <v>-289</v>
      </c>
      <c r="AG104" s="515">
        <v>-232</v>
      </c>
      <c r="AH104" s="515">
        <v>-240</v>
      </c>
      <c r="AI104" s="238"/>
      <c r="AK104" s="118"/>
      <c r="AL104" s="118"/>
      <c r="AM104" s="118"/>
      <c r="AN104" s="118"/>
      <c r="AO104" s="122"/>
      <c r="AP104" s="122"/>
      <c r="AQ104" s="122"/>
    </row>
    <row r="105" spans="2:44">
      <c r="B105" s="71" t="s">
        <v>194</v>
      </c>
      <c r="C105" s="135">
        <v>5721.777</v>
      </c>
      <c r="D105" s="135">
        <v>4815.884</v>
      </c>
      <c r="E105" s="135">
        <v>4887.9400000000005</v>
      </c>
      <c r="F105" s="135">
        <v>5064.4160000000002</v>
      </c>
      <c r="G105" s="135">
        <v>5050.2440000000006</v>
      </c>
      <c r="H105" s="135">
        <v>4937.4600445652522</v>
      </c>
      <c r="I105" s="135">
        <v>4799.81616902512</v>
      </c>
      <c r="J105" s="135">
        <v>4942.4330573454845</v>
      </c>
      <c r="K105" s="135">
        <v>4509.0598883841267</v>
      </c>
      <c r="L105" s="135">
        <v>4377.9750547684971</v>
      </c>
      <c r="M105" s="135">
        <v>3752.0374883230511</v>
      </c>
      <c r="N105" s="135">
        <v>3563.3990000000003</v>
      </c>
      <c r="O105" s="135">
        <v>2731.665</v>
      </c>
      <c r="P105" s="135">
        <v>3405</v>
      </c>
      <c r="Q105" s="135">
        <v>3843</v>
      </c>
      <c r="R105" s="135">
        <v>4500.799</v>
      </c>
      <c r="S105" s="135">
        <v>5159.509</v>
      </c>
      <c r="T105" s="135">
        <v>5449</v>
      </c>
      <c r="U105" s="135">
        <v>5492</v>
      </c>
      <c r="V105" s="261">
        <v>5096</v>
      </c>
      <c r="W105" s="261">
        <v>5177.0330000000004</v>
      </c>
      <c r="X105" s="261">
        <v>5176</v>
      </c>
      <c r="Y105" s="261">
        <v>4785</v>
      </c>
      <c r="Z105" s="261">
        <v>4458.4350000000004</v>
      </c>
      <c r="AA105" s="515">
        <v>4331.7079999999996</v>
      </c>
      <c r="AB105" s="515">
        <v>3945.404</v>
      </c>
      <c r="AC105" s="515">
        <v>4012</v>
      </c>
      <c r="AD105" s="515">
        <v>3784</v>
      </c>
      <c r="AE105" s="515">
        <v>4281</v>
      </c>
      <c r="AF105" s="261">
        <v>4361</v>
      </c>
      <c r="AG105" s="261">
        <v>4522</v>
      </c>
      <c r="AH105" s="261">
        <v>4292</v>
      </c>
      <c r="AK105" s="118"/>
      <c r="AL105" s="118"/>
      <c r="AM105" s="118"/>
      <c r="AN105" s="118"/>
      <c r="AO105" s="122"/>
      <c r="AP105" s="122"/>
      <c r="AQ105" s="122"/>
    </row>
    <row r="106" spans="2:44">
      <c r="B106" s="134" t="s">
        <v>195</v>
      </c>
      <c r="C106" s="118">
        <v>112.227</v>
      </c>
      <c r="D106" s="118">
        <v>176.72800000000001</v>
      </c>
      <c r="E106" s="118">
        <v>174.73400000000001</v>
      </c>
      <c r="F106" s="118">
        <v>182.113</v>
      </c>
      <c r="G106" s="118">
        <v>192.505</v>
      </c>
      <c r="H106" s="118">
        <v>189.22200000000001</v>
      </c>
      <c r="I106" s="118">
        <v>197.74</v>
      </c>
      <c r="J106" s="118">
        <v>185.934</v>
      </c>
      <c r="K106" s="118">
        <v>197.51400000000001</v>
      </c>
      <c r="L106" s="118">
        <v>162.69800000000001</v>
      </c>
      <c r="M106" s="118">
        <v>176.673</v>
      </c>
      <c r="N106" s="118">
        <v>176.73400000000001</v>
      </c>
      <c r="O106" s="118">
        <v>193.15100000000001</v>
      </c>
      <c r="P106" s="118">
        <v>171</v>
      </c>
      <c r="Q106" s="118">
        <v>179</v>
      </c>
      <c r="R106" s="118">
        <v>215.18199999999999</v>
      </c>
      <c r="S106" s="118">
        <v>258.45600000000002</v>
      </c>
      <c r="T106" s="118">
        <v>212</v>
      </c>
      <c r="U106" s="118">
        <v>234</v>
      </c>
      <c r="V106" s="265">
        <v>228</v>
      </c>
      <c r="W106" s="265">
        <v>250.18600000000001</v>
      </c>
      <c r="X106" s="265">
        <v>216</v>
      </c>
      <c r="Y106" s="265">
        <v>242</v>
      </c>
      <c r="Z106" s="265">
        <v>245.71700000000001</v>
      </c>
      <c r="AA106" s="510">
        <v>255.386</v>
      </c>
      <c r="AB106" s="510">
        <v>229.833</v>
      </c>
      <c r="AC106" s="510">
        <v>259</v>
      </c>
      <c r="AD106" s="510">
        <v>227</v>
      </c>
      <c r="AE106" s="510">
        <v>227</v>
      </c>
      <c r="AF106" s="515">
        <v>219</v>
      </c>
      <c r="AG106" s="515">
        <v>207</v>
      </c>
      <c r="AH106" s="515">
        <v>223</v>
      </c>
      <c r="AI106" s="238"/>
      <c r="AK106" s="118"/>
      <c r="AL106" s="118"/>
      <c r="AM106" s="118"/>
      <c r="AN106" s="118"/>
      <c r="AO106" s="122"/>
      <c r="AP106" s="122"/>
      <c r="AQ106" s="122"/>
    </row>
    <row r="107" spans="2:44" s="53" customFormat="1" ht="14.4" thickBot="1">
      <c r="B107" s="116" t="s">
        <v>196</v>
      </c>
      <c r="C107" s="167">
        <v>11223.437</v>
      </c>
      <c r="D107" s="167">
        <v>9732.2369999999992</v>
      </c>
      <c r="E107" s="167">
        <v>9781.4920000000002</v>
      </c>
      <c r="F107" s="167">
        <v>9703.6550000000007</v>
      </c>
      <c r="G107" s="167">
        <v>9575.6570000000011</v>
      </c>
      <c r="H107" s="167">
        <v>9674.899881706011</v>
      </c>
      <c r="I107" s="167">
        <v>9703.6654095961403</v>
      </c>
      <c r="J107" s="167">
        <v>9816.3160757989917</v>
      </c>
      <c r="K107" s="167">
        <v>10610.285909144251</v>
      </c>
      <c r="L107" s="167">
        <v>10652.629224133405</v>
      </c>
      <c r="M107" s="167">
        <v>10682.171137132847</v>
      </c>
      <c r="N107" s="167">
        <v>11210.945000000002</v>
      </c>
      <c r="O107" s="167">
        <v>10241.478000000001</v>
      </c>
      <c r="P107" s="167">
        <v>10504</v>
      </c>
      <c r="Q107" s="167">
        <v>11290</v>
      </c>
      <c r="R107" s="167">
        <v>11965.227000000001</v>
      </c>
      <c r="S107" s="167">
        <v>11896.356</v>
      </c>
      <c r="T107" s="167">
        <v>12240.287</v>
      </c>
      <c r="U107" s="167">
        <v>12615.572</v>
      </c>
      <c r="V107" s="322">
        <v>12275</v>
      </c>
      <c r="W107" s="322">
        <v>13163.446</v>
      </c>
      <c r="X107" s="322">
        <v>13606</v>
      </c>
      <c r="Y107" s="322">
        <v>13495</v>
      </c>
      <c r="Z107" s="322">
        <v>13561.932000000001</v>
      </c>
      <c r="AA107" s="509">
        <v>13332.733000000002</v>
      </c>
      <c r="AB107" s="509">
        <v>13776.828000000001</v>
      </c>
      <c r="AC107" s="509">
        <v>13557</v>
      </c>
      <c r="AD107" s="322">
        <f t="shared" ref="AD107:AF107" si="41">SUM(AD99,AD88,AD70)</f>
        <v>13832.597000000002</v>
      </c>
      <c r="AE107" s="322">
        <f t="shared" si="41"/>
        <v>13360</v>
      </c>
      <c r="AF107" s="322">
        <f t="shared" si="41"/>
        <v>13340</v>
      </c>
      <c r="AG107" s="322">
        <f>SUM(AG99,AG88,AG70)</f>
        <v>13877</v>
      </c>
      <c r="AH107" s="322">
        <f>SUM(AH99,AH88,AH70)</f>
        <v>13966</v>
      </c>
      <c r="AI107" s="54"/>
      <c r="AK107" s="180"/>
      <c r="AL107" s="180"/>
      <c r="AM107" s="180"/>
      <c r="AN107" s="180"/>
      <c r="AO107" s="186"/>
      <c r="AP107" s="186"/>
      <c r="AQ107" s="186"/>
    </row>
    <row r="108" spans="2:44" ht="14.4">
      <c r="B108" s="126"/>
      <c r="C108" s="118">
        <v>0</v>
      </c>
      <c r="D108" s="118">
        <v>0</v>
      </c>
      <c r="E108" s="118">
        <v>0</v>
      </c>
      <c r="F108" s="118">
        <v>0</v>
      </c>
      <c r="G108" s="118">
        <v>0</v>
      </c>
      <c r="H108" s="118">
        <v>0</v>
      </c>
      <c r="I108" s="118">
        <v>0</v>
      </c>
      <c r="J108" s="118">
        <v>0</v>
      </c>
      <c r="K108" s="118">
        <v>0</v>
      </c>
      <c r="L108" s="118">
        <v>0</v>
      </c>
      <c r="M108" s="118">
        <v>0</v>
      </c>
      <c r="N108" s="118">
        <v>0</v>
      </c>
      <c r="O108" s="118"/>
      <c r="P108" s="118"/>
      <c r="Q108" s="118"/>
      <c r="R108" s="118"/>
      <c r="S108" s="118"/>
      <c r="T108" s="118"/>
      <c r="U108" s="118"/>
      <c r="V108" s="265"/>
      <c r="W108" s="265"/>
      <c r="X108" s="265"/>
      <c r="Y108" s="265"/>
      <c r="Z108" s="265"/>
      <c r="AA108" s="510"/>
      <c r="AB108" s="539"/>
      <c r="AC108" s="539"/>
      <c r="AD108" s="539"/>
      <c r="AE108" s="539"/>
      <c r="AF108" s="88"/>
      <c r="AG108" s="88"/>
      <c r="AH108" s="88"/>
      <c r="AK108" s="136"/>
      <c r="AL108" s="136"/>
      <c r="AM108" s="136"/>
      <c r="AN108" s="136"/>
      <c r="AO108" s="122"/>
      <c r="AP108" s="122"/>
      <c r="AQ108" s="122"/>
    </row>
    <row r="109" spans="2:44" s="88" customFormat="1" ht="14.4">
      <c r="B109" s="137" t="s">
        <v>290</v>
      </c>
      <c r="C109" s="139">
        <v>3.24</v>
      </c>
      <c r="D109" s="139">
        <v>3.61</v>
      </c>
      <c r="E109" s="139">
        <v>3.95</v>
      </c>
      <c r="F109" s="139">
        <v>3.81</v>
      </c>
      <c r="G109" s="139">
        <v>3.77</v>
      </c>
      <c r="H109" s="139">
        <v>3.92</v>
      </c>
      <c r="I109" s="139">
        <v>3.97</v>
      </c>
      <c r="J109" s="139">
        <v>4.12</v>
      </c>
      <c r="K109" s="139">
        <v>4.47</v>
      </c>
      <c r="L109" s="139">
        <v>5.39</v>
      </c>
      <c r="M109" s="139">
        <v>5.38</v>
      </c>
      <c r="N109" s="139">
        <v>5.39</v>
      </c>
      <c r="O109" s="139">
        <v>5.48</v>
      </c>
      <c r="P109" s="139">
        <v>5.29</v>
      </c>
      <c r="Q109" s="139">
        <v>5.23</v>
      </c>
      <c r="R109" s="139">
        <v>5.59</v>
      </c>
      <c r="S109" s="139">
        <v>5.23</v>
      </c>
      <c r="T109" s="139">
        <v>4.93</v>
      </c>
      <c r="U109" s="139">
        <v>5.25</v>
      </c>
      <c r="V109" s="337">
        <v>5.26</v>
      </c>
      <c r="W109" s="337">
        <v>5.2</v>
      </c>
      <c r="X109" s="337">
        <v>4.95</v>
      </c>
      <c r="Y109" s="337">
        <v>4.88</v>
      </c>
      <c r="Z109" s="337">
        <v>4.95</v>
      </c>
      <c r="AA109" s="517">
        <v>4.95</v>
      </c>
      <c r="AB109" s="336">
        <v>5.21</v>
      </c>
      <c r="AC109" s="336">
        <v>5.55</v>
      </c>
      <c r="AD109" s="336">
        <v>5.84</v>
      </c>
      <c r="AE109" s="336">
        <v>5.85</v>
      </c>
      <c r="AF109" s="336">
        <v>5.67</v>
      </c>
      <c r="AG109" s="336">
        <v>5.45</v>
      </c>
      <c r="AH109" s="336">
        <f>'10 - Results by Business'!AH48</f>
        <v>5.4</v>
      </c>
      <c r="AK109" s="138">
        <v>3.6557843999999999</v>
      </c>
      <c r="AL109" s="138">
        <v>3.9461185770751004</v>
      </c>
      <c r="AM109" s="138">
        <v>5.157772908366538</v>
      </c>
      <c r="AN109" s="138">
        <v>5.3955605577689196</v>
      </c>
      <c r="AO109" s="88">
        <v>5.17</v>
      </c>
      <c r="AP109" s="336">
        <v>4.994497770275216</v>
      </c>
      <c r="AQ109" s="336">
        <v>5.388891666666666</v>
      </c>
      <c r="AR109" s="580">
        <f>AVERAGE(AE109:AH109)</f>
        <v>5.5924999999999994</v>
      </c>
    </row>
    <row r="110" spans="2:44" s="88" customFormat="1" ht="14.4">
      <c r="B110" s="137" t="s">
        <v>292</v>
      </c>
      <c r="C110" s="532">
        <v>3.32</v>
      </c>
      <c r="D110" s="532">
        <v>3.86</v>
      </c>
      <c r="E110" s="532">
        <v>4</v>
      </c>
      <c r="F110" s="532">
        <v>3.87</v>
      </c>
      <c r="G110" s="532">
        <v>3.9</v>
      </c>
      <c r="H110" s="532">
        <v>3.83</v>
      </c>
      <c r="I110" s="532">
        <v>4.16</v>
      </c>
      <c r="J110" s="532">
        <v>4.03</v>
      </c>
      <c r="K110" s="532">
        <v>5.2</v>
      </c>
      <c r="L110" s="532">
        <v>5.48</v>
      </c>
      <c r="M110" s="532">
        <v>5.64</v>
      </c>
      <c r="N110" s="532">
        <v>5.2</v>
      </c>
      <c r="O110" s="532">
        <v>5.7</v>
      </c>
      <c r="P110" s="532">
        <v>5</v>
      </c>
      <c r="Q110" s="532">
        <v>5.44</v>
      </c>
      <c r="R110" s="532">
        <v>5.58</v>
      </c>
      <c r="S110" s="532">
        <v>4.74</v>
      </c>
      <c r="T110" s="532">
        <v>5.24</v>
      </c>
      <c r="U110" s="532">
        <v>5.41</v>
      </c>
      <c r="V110" s="533">
        <v>5.22</v>
      </c>
      <c r="W110" s="533">
        <v>5.08</v>
      </c>
      <c r="X110" s="533">
        <v>4.82</v>
      </c>
      <c r="Y110" s="533">
        <v>5.01</v>
      </c>
      <c r="Z110" s="533">
        <v>4.84</v>
      </c>
      <c r="AA110" s="534">
        <v>5</v>
      </c>
      <c r="AB110" s="337">
        <v>5.56</v>
      </c>
      <c r="AC110" s="337">
        <v>5.45</v>
      </c>
      <c r="AD110" s="337">
        <v>6.19</v>
      </c>
      <c r="AE110" s="337">
        <v>5.78</v>
      </c>
      <c r="AF110" s="337">
        <v>5.46</v>
      </c>
      <c r="AG110" s="337">
        <v>5.32</v>
      </c>
      <c r="AH110" s="336">
        <f>'10 - Results by Business'!AH49</f>
        <v>5.5</v>
      </c>
      <c r="AK110" s="139">
        <v>3.8748</v>
      </c>
      <c r="AL110" s="139">
        <v>4.0307000000000004</v>
      </c>
      <c r="AM110" s="139">
        <v>5.1966999999999999</v>
      </c>
      <c r="AN110" s="139">
        <v>5.58</v>
      </c>
      <c r="AO110" s="139">
        <v>5.22</v>
      </c>
      <c r="AP110" s="337">
        <f>Z110</f>
        <v>4.84</v>
      </c>
      <c r="AQ110" s="337">
        <v>6.1923000000000004</v>
      </c>
      <c r="AR110" s="580">
        <f t="shared" ref="AR110:AR111" si="42">AVERAGE(AE110:AH110)</f>
        <v>5.5150000000000006</v>
      </c>
    </row>
    <row r="111" spans="2:44" ht="14.4">
      <c r="B111" s="140" t="s">
        <v>293</v>
      </c>
      <c r="C111" s="269">
        <v>2159</v>
      </c>
      <c r="D111" s="269">
        <v>2259</v>
      </c>
      <c r="E111" s="269">
        <v>2057</v>
      </c>
      <c r="F111" s="269">
        <v>1971</v>
      </c>
      <c r="G111" s="269">
        <v>1859</v>
      </c>
      <c r="H111" s="269">
        <v>1793</v>
      </c>
      <c r="I111" s="269">
        <v>1762</v>
      </c>
      <c r="J111" s="269">
        <v>1752</v>
      </c>
      <c r="K111" s="269">
        <v>1690</v>
      </c>
      <c r="L111" s="269">
        <v>1497</v>
      </c>
      <c r="M111" s="269">
        <v>1704</v>
      </c>
      <c r="N111" s="269">
        <v>1916</v>
      </c>
      <c r="O111" s="269">
        <v>2096</v>
      </c>
      <c r="P111" s="269">
        <v>2400</v>
      </c>
      <c r="Q111" s="269">
        <v>2648</v>
      </c>
      <c r="R111" s="269">
        <v>2762</v>
      </c>
      <c r="S111" s="269">
        <v>3280</v>
      </c>
      <c r="T111" s="269">
        <v>2875</v>
      </c>
      <c r="U111" s="269">
        <v>2354</v>
      </c>
      <c r="V111" s="269">
        <v>2324</v>
      </c>
      <c r="W111" s="269">
        <v>2395</v>
      </c>
      <c r="X111" s="535">
        <v>2258</v>
      </c>
      <c r="Y111" s="535">
        <v>2154</v>
      </c>
      <c r="Z111" s="535">
        <v>2190</v>
      </c>
      <c r="AA111" s="536">
        <v>2199</v>
      </c>
      <c r="AB111" s="338">
        <v>2520</v>
      </c>
      <c r="AC111" s="338">
        <v>2382</v>
      </c>
      <c r="AD111" s="338">
        <v>2575</v>
      </c>
      <c r="AE111" s="338">
        <v>2627</v>
      </c>
      <c r="AF111" s="338">
        <v>2448</v>
      </c>
      <c r="AG111" s="338">
        <v>2618</v>
      </c>
      <c r="AH111" s="336">
        <f>'10 - Results by Business'!AH50</f>
        <v>2827</v>
      </c>
      <c r="AK111" s="188">
        <v>2110.084980237154</v>
      </c>
      <c r="AL111" s="188">
        <v>1791.1304347826087</v>
      </c>
      <c r="AM111" s="188">
        <v>1704.017716535433</v>
      </c>
      <c r="AN111" s="188">
        <v>2479.620553359684</v>
      </c>
      <c r="AO111" s="188">
        <v>2703</v>
      </c>
      <c r="AP111" s="338">
        <v>2251.5628114794563</v>
      </c>
      <c r="AQ111" s="338">
        <v>2419</v>
      </c>
      <c r="AR111" s="581">
        <f t="shared" si="42"/>
        <v>2630</v>
      </c>
    </row>
    <row r="112" spans="2:44" ht="14.4">
      <c r="V112" s="337"/>
      <c r="W112" s="337"/>
      <c r="X112" s="337"/>
      <c r="Y112" s="337"/>
      <c r="Z112" s="337"/>
      <c r="AA112" s="517"/>
      <c r="AB112" s="517"/>
      <c r="AC112" s="517"/>
      <c r="AD112" s="517"/>
      <c r="AE112" s="517"/>
    </row>
    <row r="113" spans="22:34" ht="14.4">
      <c r="V113" s="338"/>
      <c r="W113" s="338"/>
      <c r="X113" s="338"/>
      <c r="Y113" s="338"/>
      <c r="Z113" s="338"/>
      <c r="AA113" s="518"/>
      <c r="AB113" s="518"/>
      <c r="AC113" s="518"/>
      <c r="AD113" s="518"/>
      <c r="AE113" s="518"/>
      <c r="AF113" s="518"/>
      <c r="AG113" s="518"/>
      <c r="AH113" s="518"/>
    </row>
  </sheetData>
  <phoneticPr fontId="72" type="noConversion"/>
  <pageMargins left="0.19685039370078741" right="0.19685039370078741" top="0.19685039370078741" bottom="0.19685039370078741" header="0.51181102362204722" footer="0.51181102362204722"/>
  <pageSetup paperSize="9" fitToHeight="2" orientation="landscape" r:id="rId1"/>
  <headerFooter alignWithMargins="0"/>
  <ignoredErrors>
    <ignoredError sqref="AN5:AN6 AQ7:AQ36"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58"/>
  <sheetViews>
    <sheetView showGridLines="0" zoomScale="80" zoomScaleNormal="80" workbookViewId="0">
      <pane xSplit="2" ySplit="6" topLeftCell="C7" activePane="bottomRight" state="frozen"/>
      <selection activeCell="S25" sqref="S25"/>
      <selection pane="topRight" activeCell="S25" sqref="S25"/>
      <selection pane="bottomLeft" activeCell="S25" sqref="S25"/>
      <selection pane="bottomRight" activeCell="AV45" sqref="AV45"/>
    </sheetView>
  </sheetViews>
  <sheetFormatPr defaultColWidth="9.21875" defaultRowHeight="13.8" outlineLevelRow="1" outlineLevelCol="1"/>
  <cols>
    <col min="1" max="1" width="2.21875" style="38" customWidth="1"/>
    <col min="2" max="2" width="37.21875" style="38" customWidth="1"/>
    <col min="3" max="14" width="9.77734375" style="38" hidden="1" customWidth="1" outlineLevel="1"/>
    <col min="15" max="15" width="9.77734375" style="38" hidden="1" customWidth="1" outlineLevel="1" collapsed="1"/>
    <col min="16" max="22" width="9.77734375" style="38" hidden="1" customWidth="1" outlineLevel="1"/>
    <col min="23" max="23" width="9.77734375" style="38" customWidth="1" collapsed="1"/>
    <col min="24" max="34" width="9.77734375" style="38" customWidth="1"/>
    <col min="35" max="36" width="9.21875" style="38"/>
    <col min="37" max="40" width="0" style="38" hidden="1" customWidth="1" outlineLevel="1"/>
    <col min="41" max="41" width="8.77734375" style="38" hidden="1" customWidth="1" outlineLevel="1"/>
    <col min="42" max="42" width="8.77734375" style="38" bestFit="1" customWidth="1" collapsed="1"/>
    <col min="43" max="16384" width="9.21875" style="38"/>
  </cols>
  <sheetData>
    <row r="1" spans="1:44" ht="14.25" customHeight="1"/>
    <row r="2" spans="1:44" ht="14.25" customHeight="1"/>
    <row r="3" spans="1:44" ht="14.25" customHeight="1"/>
    <row r="4" spans="1:44" ht="14.25" customHeight="1"/>
    <row r="5" spans="1:44" ht="14.25" customHeight="1">
      <c r="A5" s="51"/>
      <c r="B5" s="51"/>
    </row>
    <row r="6" spans="1:44" s="50" customFormat="1" ht="14.25" customHeight="1" thickBot="1">
      <c r="B6" s="75" t="s">
        <v>199</v>
      </c>
      <c r="C6" s="76" t="s">
        <v>94</v>
      </c>
      <c r="D6" s="76" t="s">
        <v>95</v>
      </c>
      <c r="E6" s="76" t="s">
        <v>96</v>
      </c>
      <c r="F6" s="76" t="s">
        <v>97</v>
      </c>
      <c r="G6" s="76" t="s">
        <v>79</v>
      </c>
      <c r="H6" s="76" t="s">
        <v>80</v>
      </c>
      <c r="I6" s="76" t="s">
        <v>81</v>
      </c>
      <c r="J6" s="76" t="s">
        <v>82</v>
      </c>
      <c r="K6" s="76" t="s">
        <v>83</v>
      </c>
      <c r="L6" s="76" t="s">
        <v>84</v>
      </c>
      <c r="M6" s="76" t="s">
        <v>85</v>
      </c>
      <c r="N6" s="76" t="s">
        <v>86</v>
      </c>
      <c r="O6" s="76" t="s">
        <v>87</v>
      </c>
      <c r="P6" s="76" t="s">
        <v>88</v>
      </c>
      <c r="Q6" s="76" t="s">
        <v>89</v>
      </c>
      <c r="R6" s="76" t="s">
        <v>90</v>
      </c>
      <c r="S6" s="76" t="s">
        <v>91</v>
      </c>
      <c r="T6" s="76" t="s">
        <v>92</v>
      </c>
      <c r="U6" s="76" t="s">
        <v>93</v>
      </c>
      <c r="V6" s="339" t="s">
        <v>331</v>
      </c>
      <c r="W6" s="339" t="s">
        <v>341</v>
      </c>
      <c r="X6" s="339" t="s">
        <v>374</v>
      </c>
      <c r="Y6" s="339" t="s">
        <v>382</v>
      </c>
      <c r="Z6" s="339" t="s">
        <v>384</v>
      </c>
      <c r="AA6" s="339" t="s">
        <v>461</v>
      </c>
      <c r="AB6" s="339" t="s">
        <v>465</v>
      </c>
      <c r="AC6" s="339" t="s">
        <v>466</v>
      </c>
      <c r="AD6" s="339" t="s">
        <v>467</v>
      </c>
      <c r="AE6" s="339" t="s">
        <v>513</v>
      </c>
      <c r="AF6" s="339" t="s">
        <v>519</v>
      </c>
      <c r="AG6" s="339" t="s">
        <v>528</v>
      </c>
      <c r="AH6" s="339" t="s">
        <v>514</v>
      </c>
      <c r="AK6" s="76">
        <v>2018</v>
      </c>
      <c r="AL6" s="76">
        <v>2019</v>
      </c>
      <c r="AM6" s="76">
        <v>2020</v>
      </c>
      <c r="AN6" s="76">
        <v>2021</v>
      </c>
      <c r="AO6" s="339">
        <v>2022</v>
      </c>
      <c r="AP6" s="339">
        <v>2023</v>
      </c>
      <c r="AQ6" s="339">
        <v>2024</v>
      </c>
      <c r="AR6" s="339">
        <v>2025</v>
      </c>
    </row>
    <row r="7" spans="1:44" ht="4.5" customHeight="1" thickTop="1">
      <c r="A7" s="51"/>
      <c r="B7" s="46"/>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K7" s="52"/>
      <c r="AL7" s="52"/>
      <c r="AM7" s="52"/>
      <c r="AN7" s="52"/>
      <c r="AO7" s="52"/>
      <c r="AP7" s="52"/>
      <c r="AQ7" s="52"/>
      <c r="AR7" s="52"/>
    </row>
    <row r="8" spans="1:44" ht="14.55" customHeight="1" thickBot="1">
      <c r="A8" s="51"/>
      <c r="B8" s="72" t="s">
        <v>200</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K8" s="141"/>
      <c r="AL8" s="141"/>
      <c r="AM8" s="141"/>
      <c r="AN8" s="141"/>
      <c r="AO8" s="141"/>
      <c r="AP8" s="141"/>
      <c r="AQ8" s="141"/>
      <c r="AR8" s="141"/>
    </row>
    <row r="9" spans="1:44" s="71" customFormat="1">
      <c r="B9" s="74" t="s">
        <v>201</v>
      </c>
      <c r="C9" s="143">
        <f t="shared" ref="C9:N9" si="0">SUM(C19,C34,C42)</f>
        <v>1203</v>
      </c>
      <c r="D9" s="143">
        <f t="shared" si="0"/>
        <v>1355</v>
      </c>
      <c r="E9" s="143">
        <f t="shared" si="0"/>
        <v>1520</v>
      </c>
      <c r="F9" s="143">
        <f t="shared" si="0"/>
        <v>1556.4760000000001</v>
      </c>
      <c r="G9" s="143">
        <f t="shared" si="0"/>
        <v>1381</v>
      </c>
      <c r="H9" s="143">
        <f t="shared" si="0"/>
        <v>1435</v>
      </c>
      <c r="I9" s="143">
        <f t="shared" si="0"/>
        <v>1400</v>
      </c>
      <c r="J9" s="143">
        <f t="shared" si="0"/>
        <v>1355.3220000000001</v>
      </c>
      <c r="K9" s="143">
        <f t="shared" si="0"/>
        <v>1321.163</v>
      </c>
      <c r="L9" s="143">
        <f t="shared" si="0"/>
        <v>1173.9360026610798</v>
      </c>
      <c r="M9" s="143">
        <f t="shared" si="0"/>
        <v>1570.8990000000003</v>
      </c>
      <c r="N9" s="143">
        <f t="shared" si="0"/>
        <v>1650.3906564189203</v>
      </c>
      <c r="O9" s="143">
        <v>1871.433</v>
      </c>
      <c r="P9" s="143">
        <v>1989.5149999999999</v>
      </c>
      <c r="Q9" s="143">
        <v>2398.6770000000001</v>
      </c>
      <c r="R9" s="143">
        <v>2511.0509999999999</v>
      </c>
      <c r="S9" s="143">
        <v>2375.3920000000003</v>
      </c>
      <c r="T9" s="143">
        <v>2420</v>
      </c>
      <c r="U9" s="143">
        <v>2345</v>
      </c>
      <c r="V9" s="340">
        <v>2073.6079999999997</v>
      </c>
      <c r="W9" s="340">
        <v>1957.386450310235</v>
      </c>
      <c r="X9" s="340">
        <v>1706</v>
      </c>
      <c r="Y9" s="340">
        <v>1906.7746129188006</v>
      </c>
      <c r="Z9" s="340">
        <v>1942.4952068980749</v>
      </c>
      <c r="AA9" s="486">
        <v>1716.7748250999998</v>
      </c>
      <c r="AB9" s="340">
        <v>2088.4468428510245</v>
      </c>
      <c r="AC9" s="340">
        <v>2161</v>
      </c>
      <c r="AD9" s="340">
        <f t="shared" ref="AD9:AF9" si="1">SUM(AD19,AD34,AD42)</f>
        <v>2304.53570408</v>
      </c>
      <c r="AE9" s="340">
        <f t="shared" si="1"/>
        <v>2361</v>
      </c>
      <c r="AF9" s="340">
        <f t="shared" si="1"/>
        <v>2029</v>
      </c>
      <c r="AG9" s="340">
        <f>SUM(AG19,AG34,AG42)</f>
        <v>2282</v>
      </c>
      <c r="AH9" s="340">
        <v>2223</v>
      </c>
      <c r="AI9" s="256"/>
      <c r="AK9" s="143">
        <v>5634.4760000000006</v>
      </c>
      <c r="AL9" s="143">
        <v>5571.3220000000001</v>
      </c>
      <c r="AM9" s="143">
        <v>5716.3886590800003</v>
      </c>
      <c r="AN9" s="143">
        <v>8770.6759999999995</v>
      </c>
      <c r="AO9" s="340">
        <v>9212.259157847624</v>
      </c>
      <c r="AP9" s="340">
        <f>SUM(W9:Z9)</f>
        <v>7512.6562701271105</v>
      </c>
      <c r="AQ9" s="340">
        <f>SUM(AA9:AD9)</f>
        <v>8270.7573720310247</v>
      </c>
      <c r="AR9" s="340">
        <f>SUM(AE9:AH9)</f>
        <v>8895</v>
      </c>
    </row>
    <row r="10" spans="1:44" s="71" customFormat="1">
      <c r="B10" s="71" t="s">
        <v>202</v>
      </c>
      <c r="C10" s="135">
        <f>C11-C9</f>
        <v>-37.912000000000035</v>
      </c>
      <c r="D10" s="135">
        <f t="shared" ref="D10:N10" si="2">D11-D9</f>
        <v>-38.005000000000109</v>
      </c>
      <c r="E10" s="135">
        <f>E11-E9</f>
        <v>-81.163999999999987</v>
      </c>
      <c r="F10" s="135">
        <f t="shared" si="2"/>
        <v>-59.919000000000779</v>
      </c>
      <c r="G10" s="135">
        <f t="shared" si="2"/>
        <v>-53.921000000000049</v>
      </c>
      <c r="H10" s="135">
        <f t="shared" si="2"/>
        <v>-69.046000000000049</v>
      </c>
      <c r="I10" s="135">
        <f t="shared" si="2"/>
        <v>-86.748000000000502</v>
      </c>
      <c r="J10" s="135">
        <f t="shared" si="2"/>
        <v>-97.922999999998865</v>
      </c>
      <c r="K10" s="135">
        <f t="shared" si="2"/>
        <v>-68.424999999999955</v>
      </c>
      <c r="L10" s="135">
        <f t="shared" si="2"/>
        <v>-72.01800266107989</v>
      </c>
      <c r="M10" s="135">
        <f t="shared" si="2"/>
        <v>-85.278000000000475</v>
      </c>
      <c r="N10" s="135">
        <f t="shared" si="2"/>
        <v>-79.285656418920325</v>
      </c>
      <c r="O10" s="135">
        <v>-78.609000000000151</v>
      </c>
      <c r="P10" s="135">
        <v>-76.431000000000267</v>
      </c>
      <c r="Q10" s="135">
        <v>-98.632999999999356</v>
      </c>
      <c r="R10" s="135">
        <v>-93.87099999999964</v>
      </c>
      <c r="S10" s="135">
        <v>-83.781000000000006</v>
      </c>
      <c r="T10" s="135">
        <v>-89</v>
      </c>
      <c r="U10" s="135">
        <v>-100</v>
      </c>
      <c r="V10" s="261">
        <v>-115</v>
      </c>
      <c r="W10" s="261">
        <v>-41</v>
      </c>
      <c r="X10" s="261">
        <v>-41</v>
      </c>
      <c r="Y10" s="261">
        <v>-42.774612918800585</v>
      </c>
      <c r="Z10" s="261">
        <v>-38.495206898074912</v>
      </c>
      <c r="AA10" s="515">
        <v>-22.908825099999831</v>
      </c>
      <c r="AB10" s="261">
        <v>-23.446842851024485</v>
      </c>
      <c r="AC10" s="261">
        <v>-26</v>
      </c>
      <c r="AD10" s="261">
        <v>-24.11699999999999</v>
      </c>
      <c r="AE10" s="261">
        <f t="shared" ref="AE10" si="3">AE11-AE9</f>
        <v>-23</v>
      </c>
      <c r="AF10" s="261">
        <v>-24</v>
      </c>
      <c r="AG10" s="515">
        <f t="shared" ref="AG10" si="4">AG11-AG9</f>
        <v>-30</v>
      </c>
      <c r="AH10" s="515">
        <f>AH11-AH9</f>
        <v>-29</v>
      </c>
      <c r="AJ10" s="256"/>
      <c r="AK10" s="135">
        <v>-217.00000000000091</v>
      </c>
      <c r="AL10" s="135">
        <v>-307.63799999999947</v>
      </c>
      <c r="AM10" s="135">
        <v>-305.00665908000065</v>
      </c>
      <c r="AN10" s="135">
        <v>-347.54399999999941</v>
      </c>
      <c r="AO10" s="261">
        <v>-388</v>
      </c>
      <c r="AP10" s="261">
        <f>SUM(W10:Z10)</f>
        <v>-163.2698198168755</v>
      </c>
      <c r="AQ10" s="261">
        <f t="shared" ref="AQ10:AQ46" si="5">SUM(AA10:AD10)</f>
        <v>-96.472667951024306</v>
      </c>
      <c r="AR10" s="261">
        <f t="shared" ref="AR10:AR15" si="6">SUM(AE10:AH10)</f>
        <v>-106</v>
      </c>
    </row>
    <row r="11" spans="1:44">
      <c r="B11" s="74" t="s">
        <v>203</v>
      </c>
      <c r="C11" s="143">
        <f>'9 - Financial Statements'!C7</f>
        <v>1165.088</v>
      </c>
      <c r="D11" s="143">
        <f>'9 - Financial Statements'!D7</f>
        <v>1316.9949999999999</v>
      </c>
      <c r="E11" s="143">
        <f>'9 - Financial Statements'!E7</f>
        <v>1438.836</v>
      </c>
      <c r="F11" s="143">
        <f>'9 - Financial Statements'!F7</f>
        <v>1496.5569999999993</v>
      </c>
      <c r="G11" s="143">
        <f>'9 - Financial Statements'!G7</f>
        <v>1327.079</v>
      </c>
      <c r="H11" s="143">
        <f>'9 - Financial Statements'!H7</f>
        <v>1365.954</v>
      </c>
      <c r="I11" s="143">
        <f>'9 - Financial Statements'!I7</f>
        <v>1313.2519999999995</v>
      </c>
      <c r="J11" s="143">
        <f>'9 - Financial Statements'!J7</f>
        <v>1257.3990000000013</v>
      </c>
      <c r="K11" s="143">
        <f>'9 - Financial Statements'!K7</f>
        <v>1252.7380000000001</v>
      </c>
      <c r="L11" s="143">
        <f>'9 - Financial Statements'!L7</f>
        <v>1101.9179999999999</v>
      </c>
      <c r="M11" s="143">
        <f>'9 - Financial Statements'!M7</f>
        <v>1485.6209999999999</v>
      </c>
      <c r="N11" s="143">
        <f>'9 - Financial Statements'!N7</f>
        <v>1571.105</v>
      </c>
      <c r="O11" s="143">
        <v>1792.8239999999998</v>
      </c>
      <c r="P11" s="143">
        <v>1913.0839999999996</v>
      </c>
      <c r="Q11" s="143">
        <v>2300.0440000000008</v>
      </c>
      <c r="R11" s="143">
        <v>2417.2279999999996</v>
      </c>
      <c r="S11" s="143">
        <v>2291.665</v>
      </c>
      <c r="T11" s="143">
        <v>2331</v>
      </c>
      <c r="U11" s="143">
        <v>2245</v>
      </c>
      <c r="V11" s="340">
        <v>1957</v>
      </c>
      <c r="W11" s="340">
        <v>1915.819</v>
      </c>
      <c r="X11" s="340">
        <v>1665</v>
      </c>
      <c r="Y11" s="340">
        <v>1864</v>
      </c>
      <c r="Z11" s="340">
        <v>1904</v>
      </c>
      <c r="AA11" s="486">
        <v>1693.866</v>
      </c>
      <c r="AB11" s="340">
        <v>2065</v>
      </c>
      <c r="AC11" s="340">
        <v>2135</v>
      </c>
      <c r="AD11" s="340">
        <f>SUM(AD9:AD10)</f>
        <v>2280.4187040799998</v>
      </c>
      <c r="AE11" s="340">
        <v>2338</v>
      </c>
      <c r="AF11" s="340">
        <f>SUM(AF9:AF10)</f>
        <v>2005</v>
      </c>
      <c r="AG11" s="340">
        <v>2252</v>
      </c>
      <c r="AH11" s="340">
        <v>2194</v>
      </c>
      <c r="AI11" s="384"/>
      <c r="AK11" s="143">
        <v>5417.4759999999987</v>
      </c>
      <c r="AL11" s="143">
        <v>5263.6840000000011</v>
      </c>
      <c r="AM11" s="143">
        <v>5411.3819999999996</v>
      </c>
      <c r="AN11" s="143">
        <v>8423.18</v>
      </c>
      <c r="AO11" s="340">
        <v>8824.6650000000009</v>
      </c>
      <c r="AP11" s="340">
        <v>7348</v>
      </c>
      <c r="AQ11" s="340">
        <f t="shared" si="5"/>
        <v>8174.2847040799998</v>
      </c>
      <c r="AR11" s="340">
        <f t="shared" si="6"/>
        <v>8789</v>
      </c>
    </row>
    <row r="12" spans="1:44">
      <c r="B12" s="125" t="s">
        <v>345</v>
      </c>
      <c r="C12" s="261">
        <f t="shared" ref="C12:AF12" si="7">SUM(C27,C35,C43)-C10</f>
        <v>-946.08799999999997</v>
      </c>
      <c r="D12" s="261">
        <f t="shared" si="7"/>
        <v>-1050.9949999999999</v>
      </c>
      <c r="E12" s="261">
        <f t="shared" si="7"/>
        <v>-1172.836</v>
      </c>
      <c r="F12" s="261">
        <f t="shared" si="7"/>
        <v>-1298.1239999999993</v>
      </c>
      <c r="G12" s="261">
        <f t="shared" si="7"/>
        <v>-1118.079</v>
      </c>
      <c r="H12" s="261">
        <f t="shared" si="7"/>
        <v>-1177.954</v>
      </c>
      <c r="I12" s="261">
        <f t="shared" si="7"/>
        <v>-1172.2519999999995</v>
      </c>
      <c r="J12" s="261">
        <f t="shared" si="7"/>
        <v>-1137.8320000000012</v>
      </c>
      <c r="K12" s="261">
        <f t="shared" si="7"/>
        <v>-1104.5940000000003</v>
      </c>
      <c r="L12" s="261">
        <f t="shared" si="7"/>
        <v>-1038.1838075543237</v>
      </c>
      <c r="M12" s="261">
        <f t="shared" si="7"/>
        <v>-1294.789</v>
      </c>
      <c r="N12" s="261">
        <f t="shared" si="7"/>
        <v>-1393.1451398293966</v>
      </c>
      <c r="O12" s="261">
        <f t="shared" si="7"/>
        <v>-1349.038</v>
      </c>
      <c r="P12" s="261">
        <f t="shared" si="7"/>
        <v>-1526.7269999999996</v>
      </c>
      <c r="Q12" s="261">
        <f t="shared" si="7"/>
        <v>-1990.0780000000013</v>
      </c>
      <c r="R12" s="261">
        <f t="shared" si="7"/>
        <v>-1933.5809999999997</v>
      </c>
      <c r="S12" s="261">
        <f t="shared" si="7"/>
        <v>-1737.6610000000001</v>
      </c>
      <c r="T12" s="261">
        <f t="shared" si="7"/>
        <v>-1669</v>
      </c>
      <c r="U12" s="261">
        <f t="shared" si="7"/>
        <v>-1914.9459999999999</v>
      </c>
      <c r="V12" s="261">
        <f t="shared" si="7"/>
        <v>-1852.8711578476236</v>
      </c>
      <c r="W12" s="261">
        <f t="shared" si="7"/>
        <v>-1856.028</v>
      </c>
      <c r="X12" s="261">
        <f t="shared" si="7"/>
        <v>-1638</v>
      </c>
      <c r="Y12" s="261">
        <f>SUM(Y27,Y35,Y43)-Y10</f>
        <v>-1881.5413870811994</v>
      </c>
      <c r="Z12" s="261">
        <f t="shared" si="7"/>
        <v>-1896.3857931019252</v>
      </c>
      <c r="AA12" s="261">
        <f t="shared" si="7"/>
        <v>-1615.3641749000001</v>
      </c>
      <c r="AB12" s="261">
        <f t="shared" si="7"/>
        <v>-1807.5791571489756</v>
      </c>
      <c r="AC12" s="261">
        <f t="shared" si="7"/>
        <v>-1772</v>
      </c>
      <c r="AD12" s="261">
        <f t="shared" si="7"/>
        <v>-2120.2049999999999</v>
      </c>
      <c r="AE12" s="261">
        <f t="shared" si="7"/>
        <v>-1912</v>
      </c>
      <c r="AF12" s="261">
        <f t="shared" si="7"/>
        <v>-1986</v>
      </c>
      <c r="AG12" s="261">
        <f>SUM(AG27,AG35,AG43)-AG10</f>
        <v>-2053</v>
      </c>
      <c r="AH12" s="261">
        <f>SUM(AH27,AH35,AH43)-AH10</f>
        <v>-2095</v>
      </c>
      <c r="AJ12" s="384"/>
      <c r="AK12" s="261">
        <v>-4468.043999999999</v>
      </c>
      <c r="AL12" s="261">
        <v>-4606.1170000000002</v>
      </c>
      <c r="AM12" s="261">
        <v>-4831.1329999999998</v>
      </c>
      <c r="AN12" s="261">
        <v>-6799.4719999999998</v>
      </c>
      <c r="AO12" s="261">
        <v>-7175.6650000000009</v>
      </c>
      <c r="AP12" s="261">
        <f>SUM(W12:Z12)</f>
        <v>-7271.955180183124</v>
      </c>
      <c r="AQ12" s="261">
        <f t="shared" si="5"/>
        <v>-7315.1483320489751</v>
      </c>
      <c r="AR12" s="261">
        <f t="shared" si="6"/>
        <v>-8046</v>
      </c>
    </row>
    <row r="13" spans="1:44">
      <c r="B13" s="74" t="s">
        <v>204</v>
      </c>
      <c r="C13" s="143">
        <f>'9 - Financial Statements'!C9</f>
        <v>218.54999999999995</v>
      </c>
      <c r="D13" s="143">
        <f>'9 - Financial Statements'!D9</f>
        <v>266.05299999999988</v>
      </c>
      <c r="E13" s="143">
        <f>'9 - Financial Statements'!E9</f>
        <v>265.51099999999997</v>
      </c>
      <c r="F13" s="143">
        <f>'9 - Financial Statements'!F9</f>
        <v>199.31799999999976</v>
      </c>
      <c r="G13" s="143">
        <f>'9 - Financial Statements'!G9</f>
        <v>207.798</v>
      </c>
      <c r="H13" s="143">
        <f>'9 - Financial Statements'!H9</f>
        <v>189.27499999999986</v>
      </c>
      <c r="I13" s="143">
        <f>'9 - Financial Statements'!I9</f>
        <v>141.31799999999976</v>
      </c>
      <c r="J13" s="143">
        <f>'9 - Financial Statements'!J9</f>
        <v>119.17600000000084</v>
      </c>
      <c r="K13" s="143">
        <f>'9 - Financial Statements'!K9</f>
        <v>148.14400000000001</v>
      </c>
      <c r="L13" s="143">
        <f>'9 - Financial Statements'!L9</f>
        <v>63.952999999999747</v>
      </c>
      <c r="M13" s="143">
        <f>'9 - Financial Statements'!M9</f>
        <v>188.66700000000014</v>
      </c>
      <c r="N13" s="143">
        <f>'9 - Financial Statements'!N9</f>
        <v>179.48500000000013</v>
      </c>
      <c r="O13" s="143">
        <v>443.78599999999983</v>
      </c>
      <c r="P13" s="143">
        <v>386.12199999999962</v>
      </c>
      <c r="Q13" s="143">
        <v>310.04400000000078</v>
      </c>
      <c r="R13" s="143">
        <v>483.75599999999986</v>
      </c>
      <c r="S13" s="143">
        <v>553.95000000000005</v>
      </c>
      <c r="T13" s="143">
        <v>662.21799999999985</v>
      </c>
      <c r="U13" s="143">
        <v>331</v>
      </c>
      <c r="V13" s="340">
        <v>103</v>
      </c>
      <c r="W13" s="340">
        <f t="shared" ref="W13:AC13" si="8">SUM(W28,W36,W44)</f>
        <v>59.971999999999994</v>
      </c>
      <c r="X13" s="340">
        <f t="shared" si="8"/>
        <v>27</v>
      </c>
      <c r="Y13" s="340">
        <f t="shared" si="8"/>
        <v>-17.541387081199435</v>
      </c>
      <c r="Z13" s="340">
        <f t="shared" si="8"/>
        <v>7.614206898074988</v>
      </c>
      <c r="AA13" s="340">
        <f t="shared" si="8"/>
        <v>78.50182509999965</v>
      </c>
      <c r="AB13" s="340">
        <f t="shared" si="8"/>
        <v>257.42084285102482</v>
      </c>
      <c r="AC13" s="340">
        <f t="shared" si="8"/>
        <v>363</v>
      </c>
      <c r="AD13" s="340">
        <f>SUM(AD28,AD36,AD44)</f>
        <v>160.21370407999979</v>
      </c>
      <c r="AE13" s="340">
        <f>SUM(AE28,AE36,AE44)</f>
        <v>426</v>
      </c>
      <c r="AF13" s="340">
        <f>SUM(AF28,AF36,AF44)</f>
        <v>19</v>
      </c>
      <c r="AG13" s="340">
        <f>SUM(AG28,AG36,AG44)</f>
        <v>199</v>
      </c>
      <c r="AH13" s="340">
        <f>SUM(AH28,AH36,AH44)</f>
        <v>99</v>
      </c>
      <c r="AI13" s="71"/>
      <c r="AK13" s="143">
        <v>949.43199999999956</v>
      </c>
      <c r="AL13" s="143">
        <v>657.56700000000046</v>
      </c>
      <c r="AM13" s="143">
        <v>580.24900000000002</v>
      </c>
      <c r="AN13" s="143">
        <v>1623.7080000000001</v>
      </c>
      <c r="AO13" s="340">
        <v>1649</v>
      </c>
      <c r="AP13" s="340">
        <f>SUM(W13:Z13)</f>
        <v>77.044819816875545</v>
      </c>
      <c r="AQ13" s="340">
        <f t="shared" si="5"/>
        <v>859.13637203102417</v>
      </c>
      <c r="AR13" s="340">
        <f t="shared" si="6"/>
        <v>743</v>
      </c>
    </row>
    <row r="14" spans="1:44" ht="14.4">
      <c r="A14" s="55"/>
      <c r="B14" s="71" t="s">
        <v>150</v>
      </c>
      <c r="C14" s="144">
        <f>'9 - Financial Statements'!C35</f>
        <v>239.11599999999996</v>
      </c>
      <c r="D14" s="144">
        <f>'9 - Financial Statements'!D35</f>
        <v>262.62899999999991</v>
      </c>
      <c r="E14" s="144">
        <f>'9 - Financial Statements'!E35</f>
        <v>228.79799999999992</v>
      </c>
      <c r="F14" s="144">
        <f>'9 - Financial Statements'!F35</f>
        <v>248.39600000000019</v>
      </c>
      <c r="G14" s="144">
        <f>'9 - Financial Statements'!G35</f>
        <v>229.05799999999999</v>
      </c>
      <c r="H14" s="144">
        <f>'9 - Financial Statements'!H35</f>
        <v>345.03099999999984</v>
      </c>
      <c r="I14" s="144">
        <f>'9 - Financial Statements'!I35</f>
        <v>129.21600000000026</v>
      </c>
      <c r="J14" s="144">
        <f>'9 - Financial Statements'!J35</f>
        <v>284.9009999999999</v>
      </c>
      <c r="K14" s="144">
        <f>'9 - Financial Statements'!K35</f>
        <v>161.82600000000008</v>
      </c>
      <c r="L14" s="144">
        <f>'9 - Financial Statements'!L35</f>
        <v>171.9899999999997</v>
      </c>
      <c r="M14" s="144">
        <f>'9 - Financial Statements'!M35</f>
        <v>159.11100000000044</v>
      </c>
      <c r="N14" s="144">
        <f>'9 - Financial Statements'!N35</f>
        <v>168.92099999999962</v>
      </c>
      <c r="O14" s="144">
        <v>360.42100000000011</v>
      </c>
      <c r="P14" s="144">
        <v>362.67900000000003</v>
      </c>
      <c r="Q14" s="144">
        <v>313.71800000000081</v>
      </c>
      <c r="R14" s="144">
        <v>500.678</v>
      </c>
      <c r="S14" s="144">
        <v>552.33500000000004</v>
      </c>
      <c r="T14" s="144">
        <v>641</v>
      </c>
      <c r="U14" s="144">
        <v>331</v>
      </c>
      <c r="V14" s="341">
        <v>102.881</v>
      </c>
      <c r="W14" s="341">
        <v>84.31006989999986</v>
      </c>
      <c r="X14" s="341">
        <v>74</v>
      </c>
      <c r="Y14" s="341">
        <v>45.689930099999941</v>
      </c>
      <c r="Z14" s="341">
        <v>102.48400000000004</v>
      </c>
      <c r="AA14" s="519">
        <v>146.19999999999999</v>
      </c>
      <c r="AB14" s="341">
        <v>338.84199999999998</v>
      </c>
      <c r="AC14" s="341">
        <v>409.46800000000002</v>
      </c>
      <c r="AD14" s="341">
        <v>485.79300000000012</v>
      </c>
      <c r="AE14" s="341">
        <f>SUM(AE29,AE37,AE45)</f>
        <v>430</v>
      </c>
      <c r="AF14" s="340">
        <f t="shared" ref="AF14:AG15" si="9">SUM(AF29,AF37,AF45)</f>
        <v>189</v>
      </c>
      <c r="AG14" s="341">
        <f t="shared" si="9"/>
        <v>234</v>
      </c>
      <c r="AH14" s="341">
        <f t="shared" ref="AH14" si="10">SUM(AH29,AH37,AH45)</f>
        <v>257</v>
      </c>
      <c r="AI14" s="100"/>
      <c r="AJ14" s="71"/>
      <c r="AK14" s="144">
        <v>978.93899999999996</v>
      </c>
      <c r="AL14" s="144">
        <v>988.2059999999999</v>
      </c>
      <c r="AM14" s="144">
        <v>661.84799999999984</v>
      </c>
      <c r="AN14" s="144">
        <v>1537.496000000001</v>
      </c>
      <c r="AO14" s="341">
        <v>1627</v>
      </c>
      <c r="AP14" s="341">
        <f>SUM(W14:Z14)</f>
        <v>306.48399999999981</v>
      </c>
      <c r="AQ14" s="341">
        <f t="shared" si="5"/>
        <v>1380.3030000000001</v>
      </c>
      <c r="AR14" s="341">
        <f t="shared" si="6"/>
        <v>1110</v>
      </c>
    </row>
    <row r="15" spans="1:44">
      <c r="B15" s="74" t="s">
        <v>205</v>
      </c>
      <c r="C15" s="143">
        <f>'9 - Financial Statements'!C33</f>
        <v>74.691999999999993</v>
      </c>
      <c r="D15" s="143">
        <f>'9 - Financial Statements'!D33</f>
        <v>78.035000000000011</v>
      </c>
      <c r="E15" s="143">
        <f>'9 - Financial Statements'!E33</f>
        <v>74.794999999999987</v>
      </c>
      <c r="F15" s="143">
        <f>'9 - Financial Statements'!F33</f>
        <v>75.680000000000007</v>
      </c>
      <c r="G15" s="143">
        <f>'9 - Financial Statements'!G33</f>
        <v>96.887</v>
      </c>
      <c r="H15" s="143">
        <f>'9 - Financial Statements'!H33</f>
        <v>141.75299999999999</v>
      </c>
      <c r="I15" s="143">
        <f>'9 - Financial Statements'!I33</f>
        <v>89.732000000000028</v>
      </c>
      <c r="J15" s="143">
        <f>'9 - Financial Statements'!J33</f>
        <v>134.16899999999998</v>
      </c>
      <c r="K15" s="143">
        <f>'9 - Financial Statements'!K33</f>
        <v>91.376000000000005</v>
      </c>
      <c r="L15" s="143">
        <f>'9 - Financial Statements'!L33</f>
        <v>110.422</v>
      </c>
      <c r="M15" s="143">
        <f>'9 - Financial Statements'!M33</f>
        <v>103.39999999999998</v>
      </c>
      <c r="N15" s="143">
        <f>'9 - Financial Statements'!N33</f>
        <v>126.28300000000002</v>
      </c>
      <c r="O15" s="143">
        <v>113.1</v>
      </c>
      <c r="P15" s="143">
        <v>126.14100000000002</v>
      </c>
      <c r="Q15" s="143">
        <v>137.14399999999998</v>
      </c>
      <c r="R15" s="143">
        <v>119.66000000000003</v>
      </c>
      <c r="S15" s="143">
        <v>128.72800000000001</v>
      </c>
      <c r="T15" s="143">
        <v>124</v>
      </c>
      <c r="U15" s="143">
        <v>137</v>
      </c>
      <c r="V15" s="340">
        <v>150</v>
      </c>
      <c r="W15" s="340">
        <v>134.69200000000001</v>
      </c>
      <c r="X15" s="340">
        <v>145</v>
      </c>
      <c r="Y15" s="340">
        <v>142.30799999999999</v>
      </c>
      <c r="Z15" s="340">
        <v>148.29200000000003</v>
      </c>
      <c r="AA15" s="486">
        <v>144.215</v>
      </c>
      <c r="AB15" s="340">
        <v>144.18199999999999</v>
      </c>
      <c r="AC15" s="340">
        <v>158</v>
      </c>
      <c r="AD15" s="340">
        <v>196.93800000000005</v>
      </c>
      <c r="AE15" s="340">
        <f>SUM(AE30,AE38,AE46)</f>
        <v>174.172</v>
      </c>
      <c r="AF15" s="340">
        <f>SUM(AF30,AF38,AF46)</f>
        <v>165.44399999999999</v>
      </c>
      <c r="AG15" s="340">
        <f t="shared" si="9"/>
        <v>197.52300000000002</v>
      </c>
      <c r="AH15" s="340">
        <f t="shared" ref="AH15" si="11">SUM(AH30,AH38,AH46)</f>
        <v>220.91399999999999</v>
      </c>
      <c r="AI15" s="100"/>
      <c r="AJ15" s="100"/>
      <c r="AK15" s="143">
        <v>303.202</v>
      </c>
      <c r="AL15" s="143">
        <v>462.541</v>
      </c>
      <c r="AM15" s="143">
        <v>431.48099999999999</v>
      </c>
      <c r="AN15" s="143">
        <v>496.04500000000002</v>
      </c>
      <c r="AO15" s="340">
        <v>539.72800000000007</v>
      </c>
      <c r="AP15" s="340">
        <f>SUM(W15:Z15)</f>
        <v>570.29200000000003</v>
      </c>
      <c r="AQ15" s="340">
        <f t="shared" si="5"/>
        <v>643.33500000000004</v>
      </c>
      <c r="AR15" s="340">
        <f t="shared" si="6"/>
        <v>758.053</v>
      </c>
    </row>
    <row r="16" spans="1:44" ht="14.1" customHeight="1">
      <c r="B16" s="420" t="s">
        <v>206</v>
      </c>
      <c r="C16" s="142"/>
      <c r="D16" s="142"/>
      <c r="E16" s="142"/>
      <c r="F16" s="142"/>
      <c r="G16" s="142"/>
      <c r="H16" s="142"/>
      <c r="I16" s="142"/>
      <c r="J16" s="147"/>
      <c r="K16" s="147"/>
      <c r="L16" s="142"/>
      <c r="M16" s="142"/>
      <c r="N16" s="147"/>
      <c r="O16" s="147"/>
      <c r="P16" s="147"/>
      <c r="Q16" s="147"/>
      <c r="R16" s="147"/>
      <c r="S16" s="147"/>
      <c r="T16" s="147"/>
      <c r="U16" s="147"/>
      <c r="V16" s="342"/>
      <c r="W16" s="342"/>
      <c r="X16" s="342"/>
      <c r="Y16" s="342"/>
      <c r="Z16" s="342"/>
      <c r="AA16" s="510"/>
      <c r="AB16" s="342"/>
      <c r="AC16" s="342"/>
      <c r="AD16" s="342"/>
      <c r="AE16" s="342"/>
      <c r="AF16" s="342"/>
      <c r="AG16" s="343"/>
      <c r="AH16" s="343"/>
      <c r="AK16" s="237"/>
      <c r="AL16" s="237"/>
      <c r="AM16" s="237"/>
      <c r="AN16" s="237"/>
      <c r="AO16" s="237"/>
      <c r="AP16" s="237"/>
      <c r="AQ16" s="237"/>
      <c r="AR16" s="237"/>
    </row>
    <row r="17" spans="2:44">
      <c r="B17" s="71"/>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569"/>
      <c r="AH17" s="569"/>
      <c r="AI17" s="558"/>
      <c r="AK17" s="170"/>
      <c r="AL17" s="170"/>
      <c r="AM17" s="170"/>
      <c r="AN17" s="170"/>
      <c r="AO17" s="333"/>
      <c r="AP17" s="333"/>
      <c r="AQ17" s="333"/>
      <c r="AR17" s="333"/>
    </row>
    <row r="18" spans="2:44" ht="14.4" thickBot="1">
      <c r="B18" s="72" t="s">
        <v>207</v>
      </c>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row>
    <row r="19" spans="2:44">
      <c r="B19" s="125" t="s">
        <v>203</v>
      </c>
      <c r="C19" s="191">
        <v>934</v>
      </c>
      <c r="D19" s="191">
        <v>1064</v>
      </c>
      <c r="E19" s="191">
        <v>1188</v>
      </c>
      <c r="F19" s="191">
        <v>1253</v>
      </c>
      <c r="G19" s="191">
        <v>1071</v>
      </c>
      <c r="H19" s="191">
        <v>1091</v>
      </c>
      <c r="I19" s="191">
        <v>1032</v>
      </c>
      <c r="J19" s="142">
        <v>928.64400000000023</v>
      </c>
      <c r="K19" s="142">
        <v>1053.7750000000001</v>
      </c>
      <c r="L19" s="191">
        <v>1011.3179999999998</v>
      </c>
      <c r="M19" s="191">
        <v>1385.8990000000003</v>
      </c>
      <c r="N19" s="142">
        <v>1456.9356590800003</v>
      </c>
      <c r="O19" s="142">
        <v>1679.0550000000001</v>
      </c>
      <c r="P19" s="142">
        <v>1827.3509999999999</v>
      </c>
      <c r="Q19" s="142">
        <v>2185.5420000000004</v>
      </c>
      <c r="R19" s="142">
        <v>2326.4129999999996</v>
      </c>
      <c r="S19" s="142">
        <v>2220</v>
      </c>
      <c r="T19" s="142">
        <v>2251</v>
      </c>
      <c r="U19" s="142">
        <v>2176</v>
      </c>
      <c r="V19" s="343">
        <v>1912</v>
      </c>
      <c r="W19" s="343">
        <v>1816</v>
      </c>
      <c r="X19" s="343">
        <v>1551</v>
      </c>
      <c r="Y19" s="343">
        <v>1759.9506129188005</v>
      </c>
      <c r="Z19" s="343">
        <v>1829.4362068980749</v>
      </c>
      <c r="AA19" s="520">
        <v>1642.0758250999997</v>
      </c>
      <c r="AB19" s="343">
        <v>2014.3008428510248</v>
      </c>
      <c r="AC19" s="343">
        <v>2090</v>
      </c>
      <c r="AD19" s="343">
        <f t="shared" ref="AD19" si="12">SUM(AD20:AD26)</f>
        <v>2193.3667040800001</v>
      </c>
      <c r="AE19" s="343">
        <f>SUM(AE20:AE26)</f>
        <v>2265</v>
      </c>
      <c r="AF19" s="343">
        <f>SUM(AF20:AF26)</f>
        <v>1902</v>
      </c>
      <c r="AG19" s="343">
        <f>SUM(AG20:AG26)</f>
        <v>2129</v>
      </c>
      <c r="AH19" s="343">
        <v>2086</v>
      </c>
      <c r="AI19" s="100"/>
      <c r="AK19" s="142">
        <v>4439</v>
      </c>
      <c r="AL19" s="142">
        <v>4122.6440000000002</v>
      </c>
      <c r="AM19" s="142">
        <v>4907.92765908</v>
      </c>
      <c r="AN19" s="142">
        <v>8018.3609999999999</v>
      </c>
      <c r="AO19" s="343">
        <v>8557.259157847624</v>
      </c>
      <c r="AP19" s="343">
        <f t="shared" ref="AP19:AP30" si="13">SUM(W19:Z19)</f>
        <v>6956.3868198168748</v>
      </c>
      <c r="AQ19" s="343">
        <f t="shared" si="5"/>
        <v>7939.7433720310246</v>
      </c>
      <c r="AR19" s="343">
        <f t="shared" ref="AR19:AR30" si="14">SUM(AE19:AH19)</f>
        <v>8382</v>
      </c>
    </row>
    <row r="20" spans="2:44">
      <c r="B20" s="189" t="s">
        <v>98</v>
      </c>
      <c r="C20" s="124">
        <v>553.09609235057394</v>
      </c>
      <c r="D20" s="124">
        <v>557.05699913979527</v>
      </c>
      <c r="E20" s="124">
        <v>609.66926853851214</v>
      </c>
      <c r="F20" s="124">
        <v>567.94835937522396</v>
      </c>
      <c r="G20" s="124">
        <v>479.66249851867582</v>
      </c>
      <c r="H20" s="124">
        <v>487.42272902635767</v>
      </c>
      <c r="I20" s="124">
        <v>514.17413581776941</v>
      </c>
      <c r="J20" s="124">
        <v>450.5246699341136</v>
      </c>
      <c r="K20" s="124">
        <v>533.63734153864732</v>
      </c>
      <c r="L20" s="124">
        <v>484.44212498439589</v>
      </c>
      <c r="M20" s="124">
        <v>693.53169110106739</v>
      </c>
      <c r="N20" s="124">
        <v>756.01544101157367</v>
      </c>
      <c r="O20" s="124">
        <v>793.3901243185702</v>
      </c>
      <c r="P20" s="124">
        <v>899.24109472981183</v>
      </c>
      <c r="Q20" s="124">
        <v>963.03303052974729</v>
      </c>
      <c r="R20" s="124">
        <v>1093.7950000000001</v>
      </c>
      <c r="S20" s="124">
        <v>996</v>
      </c>
      <c r="T20" s="124">
        <v>1029</v>
      </c>
      <c r="U20" s="124">
        <v>1021</v>
      </c>
      <c r="V20" s="325">
        <v>922</v>
      </c>
      <c r="W20" s="325">
        <v>768</v>
      </c>
      <c r="X20" s="325">
        <v>712</v>
      </c>
      <c r="Y20" s="325">
        <v>815.93592684999953</v>
      </c>
      <c r="Z20" s="325">
        <v>948.42512397000007</v>
      </c>
      <c r="AA20" s="512">
        <v>805.13387861000001</v>
      </c>
      <c r="AB20" s="325">
        <v>1006.4893177900001</v>
      </c>
      <c r="AC20" s="325">
        <v>1031</v>
      </c>
      <c r="AD20" s="325">
        <v>1092.2509181600001</v>
      </c>
      <c r="AE20" s="325">
        <v>1117</v>
      </c>
      <c r="AF20" s="325">
        <v>1034</v>
      </c>
      <c r="AG20" s="325">
        <v>1166</v>
      </c>
      <c r="AH20" s="325">
        <v>1190</v>
      </c>
      <c r="AK20" s="124">
        <v>2287.7707194041054</v>
      </c>
      <c r="AL20" s="124">
        <v>1931.7840332969167</v>
      </c>
      <c r="AM20" s="124">
        <v>2467.6265986356843</v>
      </c>
      <c r="AN20" s="124">
        <v>3749.4592495781294</v>
      </c>
      <c r="AO20" s="325">
        <v>3968.4254412499999</v>
      </c>
      <c r="AP20" s="325">
        <f t="shared" si="13"/>
        <v>3244.3610508199995</v>
      </c>
      <c r="AQ20" s="325">
        <f t="shared" si="5"/>
        <v>3934.8741145599997</v>
      </c>
      <c r="AR20" s="325">
        <f t="shared" si="14"/>
        <v>4507</v>
      </c>
    </row>
    <row r="21" spans="2:44">
      <c r="B21" s="190" t="s">
        <v>100</v>
      </c>
      <c r="C21" s="146">
        <v>244.52542915447691</v>
      </c>
      <c r="D21" s="146">
        <v>251.04609711832529</v>
      </c>
      <c r="E21" s="146">
        <v>363.07774358114193</v>
      </c>
      <c r="F21" s="146">
        <v>370.13753624115282</v>
      </c>
      <c r="G21" s="146">
        <v>344.76802799711027</v>
      </c>
      <c r="H21" s="146">
        <v>307.56827956352578</v>
      </c>
      <c r="I21" s="146">
        <v>236.3104009677848</v>
      </c>
      <c r="J21" s="146">
        <v>227.78036486533057</v>
      </c>
      <c r="K21" s="146">
        <v>322.85502547547725</v>
      </c>
      <c r="L21" s="146">
        <v>373.21166363015732</v>
      </c>
      <c r="M21" s="146">
        <v>510.58879007435911</v>
      </c>
      <c r="N21" s="146">
        <v>544.81819778238605</v>
      </c>
      <c r="O21" s="146">
        <v>640.35427580787029</v>
      </c>
      <c r="P21" s="146">
        <v>694.20649913404839</v>
      </c>
      <c r="Q21" s="146">
        <v>797.67413062403568</v>
      </c>
      <c r="R21" s="146">
        <v>826.73078375000023</v>
      </c>
      <c r="S21" s="146">
        <v>839</v>
      </c>
      <c r="T21" s="146">
        <v>821</v>
      </c>
      <c r="U21" s="146">
        <v>776</v>
      </c>
      <c r="V21" s="344">
        <v>708</v>
      </c>
      <c r="W21" s="344">
        <v>702</v>
      </c>
      <c r="X21" s="344">
        <v>632</v>
      </c>
      <c r="Y21" s="344">
        <v>605.63158352000005</v>
      </c>
      <c r="Z21" s="344">
        <v>616.38123953999991</v>
      </c>
      <c r="AA21" s="513">
        <v>618.0075321999999</v>
      </c>
      <c r="AB21" s="344">
        <v>689.58252150999976</v>
      </c>
      <c r="AC21" s="344">
        <v>734</v>
      </c>
      <c r="AD21" s="344">
        <v>794.47408016000009</v>
      </c>
      <c r="AE21" s="344">
        <v>823</v>
      </c>
      <c r="AF21" s="344">
        <v>817</v>
      </c>
      <c r="AG21" s="344">
        <v>777</v>
      </c>
      <c r="AH21" s="344">
        <v>797</v>
      </c>
      <c r="AK21" s="146">
        <v>1228.7868060950968</v>
      </c>
      <c r="AL21" s="146">
        <v>1116.4270733937512</v>
      </c>
      <c r="AM21" s="146">
        <v>1751.4736769623798</v>
      </c>
      <c r="AN21" s="146">
        <v>2958.9656893159545</v>
      </c>
      <c r="AO21" s="344">
        <v>3143.5095124200002</v>
      </c>
      <c r="AP21" s="344">
        <f t="shared" si="13"/>
        <v>2556.0128230599998</v>
      </c>
      <c r="AQ21" s="344">
        <f t="shared" si="5"/>
        <v>2836.0641338699998</v>
      </c>
      <c r="AR21" s="344">
        <f t="shared" si="14"/>
        <v>3214</v>
      </c>
    </row>
    <row r="22" spans="2:44">
      <c r="B22" s="189" t="s">
        <v>103</v>
      </c>
      <c r="C22" s="124">
        <v>91.656178556542983</v>
      </c>
      <c r="D22" s="124">
        <v>97.760774404999523</v>
      </c>
      <c r="E22" s="124">
        <v>103.4260536606867</v>
      </c>
      <c r="F22" s="124">
        <v>85.583599629840393</v>
      </c>
      <c r="G22" s="124">
        <v>86.290924335432379</v>
      </c>
      <c r="H22" s="124">
        <v>79.645977411511495</v>
      </c>
      <c r="I22" s="124">
        <v>82.336609168492245</v>
      </c>
      <c r="J22" s="124">
        <v>84.132134038189548</v>
      </c>
      <c r="K22" s="124">
        <v>85.527169093439539</v>
      </c>
      <c r="L22" s="124">
        <v>55.059148784115429</v>
      </c>
      <c r="M22" s="124">
        <v>97.125249678607318</v>
      </c>
      <c r="N22" s="124">
        <v>109.50712615088079</v>
      </c>
      <c r="O22" s="124">
        <v>107.71612064208917</v>
      </c>
      <c r="P22" s="124">
        <v>125.0183261751495</v>
      </c>
      <c r="Q22" s="124">
        <v>134.3253569739685</v>
      </c>
      <c r="R22" s="124">
        <v>142.01752752484998</v>
      </c>
      <c r="S22" s="124">
        <v>217</v>
      </c>
      <c r="T22" s="124">
        <v>248</v>
      </c>
      <c r="U22" s="124">
        <v>270</v>
      </c>
      <c r="V22" s="325">
        <v>244</v>
      </c>
      <c r="W22" s="325">
        <v>207</v>
      </c>
      <c r="X22" s="325">
        <v>179</v>
      </c>
      <c r="Y22" s="325">
        <v>166.63127435880003</v>
      </c>
      <c r="Z22" s="325">
        <v>153.46471284807501</v>
      </c>
      <c r="AA22" s="512">
        <v>177.93737085000001</v>
      </c>
      <c r="AB22" s="325">
        <v>189.00214897102501</v>
      </c>
      <c r="AC22" s="325">
        <v>222</v>
      </c>
      <c r="AD22" s="325">
        <v>192.26300000000001</v>
      </c>
      <c r="AE22" s="325">
        <v>234</v>
      </c>
      <c r="AF22" s="325">
        <v>223</v>
      </c>
      <c r="AG22" s="325">
        <v>233</v>
      </c>
      <c r="AH22" s="325">
        <v>171</v>
      </c>
      <c r="AK22" s="124">
        <v>378.42660625206963</v>
      </c>
      <c r="AL22" s="124">
        <v>332.40564495362571</v>
      </c>
      <c r="AM22" s="124">
        <v>347.21869370704303</v>
      </c>
      <c r="AN22" s="124">
        <v>509.07733131605715</v>
      </c>
      <c r="AO22" s="325">
        <v>978.87875512912001</v>
      </c>
      <c r="AP22" s="325">
        <f t="shared" si="13"/>
        <v>706.09598720687507</v>
      </c>
      <c r="AQ22" s="325">
        <f t="shared" si="5"/>
        <v>781.20251982102502</v>
      </c>
      <c r="AR22" s="325">
        <f t="shared" si="14"/>
        <v>861</v>
      </c>
    </row>
    <row r="23" spans="2:44">
      <c r="B23" s="189" t="s">
        <v>106</v>
      </c>
      <c r="C23" s="124">
        <v>139.01577399840613</v>
      </c>
      <c r="D23" s="124">
        <v>293.09987845687999</v>
      </c>
      <c r="E23" s="124">
        <v>253.9535743096591</v>
      </c>
      <c r="F23" s="124">
        <v>316.96106933378292</v>
      </c>
      <c r="G23" s="124">
        <v>188.52993906878157</v>
      </c>
      <c r="H23" s="124">
        <v>217.87542634860483</v>
      </c>
      <c r="I23" s="124">
        <v>217.26705646595366</v>
      </c>
      <c r="J23" s="124">
        <v>223.87774960236661</v>
      </c>
      <c r="K23" s="124">
        <v>189.72239969243611</v>
      </c>
      <c r="L23" s="124">
        <v>179.84913223133114</v>
      </c>
      <c r="M23" s="124">
        <v>231.9677122559664</v>
      </c>
      <c r="N23" s="124">
        <v>268.12939486515972</v>
      </c>
      <c r="O23" s="124">
        <v>361.23134822147051</v>
      </c>
      <c r="P23" s="124">
        <v>365.03545369099038</v>
      </c>
      <c r="Q23" s="124">
        <v>610.1825691822487</v>
      </c>
      <c r="R23" s="124">
        <v>647.10507549514944</v>
      </c>
      <c r="S23" s="124">
        <v>439</v>
      </c>
      <c r="T23" s="124">
        <v>325</v>
      </c>
      <c r="U23" s="124">
        <v>272</v>
      </c>
      <c r="V23" s="325">
        <v>198</v>
      </c>
      <c r="W23" s="325">
        <v>291</v>
      </c>
      <c r="X23" s="325">
        <v>244</v>
      </c>
      <c r="Y23" s="325">
        <v>272.77870630000075</v>
      </c>
      <c r="Z23" s="325">
        <v>254.16513054000001</v>
      </c>
      <c r="AA23" s="512">
        <v>171.44503830000002</v>
      </c>
      <c r="AB23" s="325">
        <v>271.32460376</v>
      </c>
      <c r="AC23" s="325">
        <v>252</v>
      </c>
      <c r="AD23" s="325">
        <v>261.59100000000001</v>
      </c>
      <c r="AE23" s="325">
        <v>278</v>
      </c>
      <c r="AF23" s="325">
        <v>125</v>
      </c>
      <c r="AG23" s="325">
        <v>170</v>
      </c>
      <c r="AH23" s="325">
        <v>149</v>
      </c>
      <c r="AK23" s="124">
        <v>1003.0302960987282</v>
      </c>
      <c r="AL23" s="124">
        <v>847.55017148570676</v>
      </c>
      <c r="AM23" s="124">
        <v>869.66863904489333</v>
      </c>
      <c r="AN23" s="124">
        <v>1983.5544465898588</v>
      </c>
      <c r="AO23" s="325">
        <v>1232.3606595599963</v>
      </c>
      <c r="AP23" s="325">
        <f t="shared" si="13"/>
        <v>1061.9438368400008</v>
      </c>
      <c r="AQ23" s="325">
        <f t="shared" si="5"/>
        <v>956.36064206000003</v>
      </c>
      <c r="AR23" s="325">
        <f t="shared" si="14"/>
        <v>722</v>
      </c>
    </row>
    <row r="24" spans="2:44">
      <c r="B24" s="190" t="s">
        <v>523</v>
      </c>
      <c r="C24" s="124"/>
      <c r="D24" s="124"/>
      <c r="E24" s="124"/>
      <c r="F24" s="124"/>
      <c r="G24" s="124"/>
      <c r="H24" s="124"/>
      <c r="I24" s="124"/>
      <c r="J24" s="124"/>
      <c r="K24" s="124"/>
      <c r="L24" s="124"/>
      <c r="M24" s="124"/>
      <c r="N24" s="124"/>
      <c r="O24" s="124"/>
      <c r="P24" s="124"/>
      <c r="Q24" s="124"/>
      <c r="R24" s="124"/>
      <c r="S24" s="124"/>
      <c r="T24" s="124"/>
      <c r="U24" s="124"/>
      <c r="V24" s="325"/>
      <c r="W24" s="325"/>
      <c r="X24" s="325"/>
      <c r="Y24" s="325"/>
      <c r="Z24" s="325"/>
      <c r="AA24" s="512"/>
      <c r="AB24" s="325"/>
      <c r="AC24" s="325"/>
      <c r="AD24" s="325"/>
      <c r="AE24" s="325"/>
      <c r="AF24" s="325">
        <v>-93</v>
      </c>
      <c r="AG24" s="325">
        <v>0</v>
      </c>
      <c r="AH24" s="325">
        <v>-71</v>
      </c>
      <c r="AK24" s="124"/>
      <c r="AL24" s="124"/>
      <c r="AM24" s="124"/>
      <c r="AN24" s="124"/>
      <c r="AO24" s="325"/>
      <c r="AP24" s="325"/>
      <c r="AQ24" s="325"/>
      <c r="AR24" s="325">
        <f t="shared" si="14"/>
        <v>-164</v>
      </c>
    </row>
    <row r="25" spans="2:44">
      <c r="B25" s="189" t="s">
        <v>208</v>
      </c>
      <c r="C25" s="184">
        <v>-76.293474060000008</v>
      </c>
      <c r="D25" s="184">
        <v>-75.963749120000003</v>
      </c>
      <c r="E25" s="184">
        <v>-90.126640090000009</v>
      </c>
      <c r="F25" s="184">
        <v>-69.630564580000012</v>
      </c>
      <c r="G25" s="184">
        <v>-71.251389920000008</v>
      </c>
      <c r="H25" s="184">
        <v>-58.512412349999991</v>
      </c>
      <c r="I25" s="184">
        <v>-57.088202420000002</v>
      </c>
      <c r="J25" s="184">
        <v>-66.670918440000023</v>
      </c>
      <c r="K25" s="184">
        <v>-74.028900960000001</v>
      </c>
      <c r="L25" s="184">
        <v>-47.155250169999988</v>
      </c>
      <c r="M25" s="184">
        <v>-62.682487130000027</v>
      </c>
      <c r="N25" s="184">
        <v>-96.281826409999994</v>
      </c>
      <c r="O25" s="184">
        <v>-76.913868990000381</v>
      </c>
      <c r="P25" s="184">
        <v>-74.142633320000002</v>
      </c>
      <c r="Q25" s="184">
        <v>-91.204280699999984</v>
      </c>
      <c r="R25" s="184">
        <v>-102.72135132</v>
      </c>
      <c r="S25" s="184">
        <v>-150</v>
      </c>
      <c r="T25" s="124">
        <v>-154</v>
      </c>
      <c r="U25" s="124">
        <v>-163</v>
      </c>
      <c r="V25" s="325">
        <v>-160</v>
      </c>
      <c r="W25" s="325">
        <v>-152</v>
      </c>
      <c r="X25" s="325">
        <v>-216</v>
      </c>
      <c r="Y25" s="325">
        <v>-101.0268781099999</v>
      </c>
      <c r="Z25" s="325">
        <v>-143</v>
      </c>
      <c r="AA25" s="512">
        <v>-130.44799485999999</v>
      </c>
      <c r="AB25" s="325">
        <v>-142.09774918000005</v>
      </c>
      <c r="AC25" s="325">
        <v>-149</v>
      </c>
      <c r="AD25" s="325">
        <v>-147.21229423999989</v>
      </c>
      <c r="AE25" s="325">
        <v>-187</v>
      </c>
      <c r="AF25" s="325">
        <v>-204</v>
      </c>
      <c r="AG25" s="325">
        <v>-217</v>
      </c>
      <c r="AH25" s="325">
        <v>-150</v>
      </c>
      <c r="AK25" s="184">
        <v>-312.01442785</v>
      </c>
      <c r="AL25" s="184">
        <v>-253.52292313000004</v>
      </c>
      <c r="AM25" s="184">
        <v>-280.14846467000001</v>
      </c>
      <c r="AN25" s="184">
        <v>-344.98213433000035</v>
      </c>
      <c r="AO25" s="346">
        <v>-626.91521051149289</v>
      </c>
      <c r="AP25" s="346">
        <f t="shared" si="13"/>
        <v>-612.02687810999987</v>
      </c>
      <c r="AQ25" s="346">
        <f t="shared" si="5"/>
        <v>-568.75803827999994</v>
      </c>
      <c r="AR25" s="346">
        <f t="shared" si="14"/>
        <v>-758</v>
      </c>
    </row>
    <row r="26" spans="2:44" outlineLevel="1">
      <c r="B26" s="189" t="s">
        <v>22</v>
      </c>
      <c r="C26" s="184">
        <v>-18</v>
      </c>
      <c r="D26" s="184">
        <v>-59</v>
      </c>
      <c r="E26" s="184">
        <v>-52</v>
      </c>
      <c r="F26" s="184">
        <v>-18</v>
      </c>
      <c r="G26" s="184">
        <v>43</v>
      </c>
      <c r="H26" s="184">
        <v>57</v>
      </c>
      <c r="I26" s="184">
        <v>39</v>
      </c>
      <c r="J26" s="184">
        <v>9</v>
      </c>
      <c r="K26" s="184">
        <v>-3.9380348399999998</v>
      </c>
      <c r="L26" s="184">
        <v>-34.088819459999996</v>
      </c>
      <c r="M26" s="184">
        <v>-84.631955980000001</v>
      </c>
      <c r="N26" s="184">
        <v>-125.25267432</v>
      </c>
      <c r="O26" s="184">
        <v>-146.72300000000001</v>
      </c>
      <c r="P26" s="184">
        <v>-182.00774041000003</v>
      </c>
      <c r="Q26" s="184">
        <v>-228.46880660999994</v>
      </c>
      <c r="R26" s="184">
        <v>-280.51403544999999</v>
      </c>
      <c r="S26" s="184">
        <v>-121</v>
      </c>
      <c r="T26" s="124">
        <v>-18</v>
      </c>
      <c r="U26" s="124" t="s">
        <v>462</v>
      </c>
      <c r="V26" s="325" t="s">
        <v>462</v>
      </c>
      <c r="W26" s="325" t="s">
        <v>463</v>
      </c>
      <c r="X26" s="325">
        <v>0</v>
      </c>
      <c r="Y26" s="325">
        <v>0</v>
      </c>
      <c r="Z26" s="325">
        <v>0</v>
      </c>
      <c r="AA26" s="512">
        <v>0</v>
      </c>
      <c r="AB26" s="325">
        <v>0</v>
      </c>
      <c r="AC26" s="325">
        <v>0</v>
      </c>
      <c r="AD26" s="325"/>
      <c r="AE26" s="325">
        <v>0</v>
      </c>
      <c r="AF26" s="325">
        <v>0</v>
      </c>
      <c r="AG26" s="325">
        <v>0</v>
      </c>
      <c r="AH26" s="325">
        <v>0</v>
      </c>
      <c r="AK26" s="184">
        <v>-147</v>
      </c>
      <c r="AL26" s="184">
        <v>148</v>
      </c>
      <c r="AM26" s="184">
        <v>-247.91148459999999</v>
      </c>
      <c r="AN26" s="184">
        <v>-837.71358246999989</v>
      </c>
      <c r="AO26" s="346">
        <v>-139</v>
      </c>
      <c r="AP26" s="346"/>
      <c r="AQ26" s="346"/>
      <c r="AR26" s="346">
        <f t="shared" si="14"/>
        <v>0</v>
      </c>
    </row>
    <row r="27" spans="2:44">
      <c r="B27" s="125" t="s">
        <v>345</v>
      </c>
      <c r="C27" s="346">
        <v>-782</v>
      </c>
      <c r="D27" s="346">
        <v>-864</v>
      </c>
      <c r="E27" s="346">
        <v>-934</v>
      </c>
      <c r="F27" s="346">
        <v>-1037</v>
      </c>
      <c r="G27" s="346">
        <v>-929</v>
      </c>
      <c r="H27" s="346">
        <v>-925</v>
      </c>
      <c r="I27" s="346">
        <v>-908</v>
      </c>
      <c r="J27" s="346">
        <v>-844.01800000000026</v>
      </c>
      <c r="K27" s="346">
        <v>-952.44200000000012</v>
      </c>
      <c r="L27" s="346">
        <v>-930.40999999999974</v>
      </c>
      <c r="M27" s="346">
        <v>-1197.0670000000005</v>
      </c>
      <c r="N27" s="346">
        <v>-1267.8586064637209</v>
      </c>
      <c r="O27" s="346">
        <v>-1387.9670000000001</v>
      </c>
      <c r="P27" s="346">
        <v>-1431.7849999999999</v>
      </c>
      <c r="Q27" s="346">
        <v>-1827.1540000000005</v>
      </c>
      <c r="R27" s="346">
        <v>-1939.6299999999994</v>
      </c>
      <c r="S27" s="346">
        <v>-1608.2380000000001</v>
      </c>
      <c r="T27" s="346">
        <v>-1573</v>
      </c>
      <c r="U27" s="346">
        <v>-1824.9459999999999</v>
      </c>
      <c r="V27" s="346">
        <v>-1750.0751578476236</v>
      </c>
      <c r="W27" s="346">
        <v>-1663.1680000000001</v>
      </c>
      <c r="X27" s="346">
        <v>-1444</v>
      </c>
      <c r="Y27" s="346">
        <v>-1724.3389999999999</v>
      </c>
      <c r="Z27" s="346">
        <v>-1696</v>
      </c>
      <c r="AA27" s="521">
        <v>-1520.2840000000001</v>
      </c>
      <c r="AB27" s="346">
        <v>-1731.9059999999999</v>
      </c>
      <c r="AC27" s="346">
        <v>-1753</v>
      </c>
      <c r="AD27" s="346">
        <v>-1799.8140000000003</v>
      </c>
      <c r="AE27" s="346">
        <v>-1778</v>
      </c>
      <c r="AF27" s="261">
        <v>-1824</v>
      </c>
      <c r="AG27" s="261">
        <v>-1910</v>
      </c>
      <c r="AH27" s="261">
        <v>-1984</v>
      </c>
      <c r="AK27" s="346">
        <f t="shared" ref="AK27:AO27" si="15">AK28-AK19</f>
        <v>-3617</v>
      </c>
      <c r="AL27" s="346">
        <f t="shared" si="15"/>
        <v>-3606.018</v>
      </c>
      <c r="AM27" s="346">
        <f t="shared" si="15"/>
        <v>-4347.777606463721</v>
      </c>
      <c r="AN27" s="346">
        <f t="shared" si="15"/>
        <v>-6586.5360000000001</v>
      </c>
      <c r="AO27" s="346">
        <f t="shared" si="15"/>
        <v>-6756.259157847624</v>
      </c>
      <c r="AP27" s="346">
        <f t="shared" si="13"/>
        <v>-6527.5069999999996</v>
      </c>
      <c r="AQ27" s="346">
        <f t="shared" si="5"/>
        <v>-6805.0040000000008</v>
      </c>
      <c r="AR27" s="346">
        <f t="shared" si="14"/>
        <v>-7496</v>
      </c>
    </row>
    <row r="28" spans="2:44">
      <c r="B28" s="74" t="s">
        <v>204</v>
      </c>
      <c r="C28" s="124">
        <v>152</v>
      </c>
      <c r="D28" s="124">
        <v>200</v>
      </c>
      <c r="E28" s="124">
        <v>254</v>
      </c>
      <c r="F28" s="124">
        <v>216</v>
      </c>
      <c r="G28" s="124">
        <v>142</v>
      </c>
      <c r="H28" s="124">
        <v>166</v>
      </c>
      <c r="I28" s="124">
        <v>124</v>
      </c>
      <c r="J28" s="135">
        <v>84.625999999999976</v>
      </c>
      <c r="K28" s="135">
        <v>101.333</v>
      </c>
      <c r="L28" s="124">
        <v>80.908000000000015</v>
      </c>
      <c r="M28" s="124">
        <v>188.83199999999997</v>
      </c>
      <c r="N28" s="135">
        <v>189.07705261627933</v>
      </c>
      <c r="O28" s="135">
        <v>291.08800000000002</v>
      </c>
      <c r="P28" s="135">
        <v>395.56599999999997</v>
      </c>
      <c r="Q28" s="135">
        <v>358.38799999999986</v>
      </c>
      <c r="R28" s="135">
        <v>386.78300000000013</v>
      </c>
      <c r="S28" s="135">
        <v>611.76199999999994</v>
      </c>
      <c r="T28" s="135">
        <v>678</v>
      </c>
      <c r="U28" s="135">
        <v>351.05399999999997</v>
      </c>
      <c r="V28" s="261">
        <v>160.1840000000002</v>
      </c>
      <c r="W28" s="261">
        <v>152.83199999999999</v>
      </c>
      <c r="X28" s="261">
        <v>107</v>
      </c>
      <c r="Y28" s="261">
        <v>35.611612918800574</v>
      </c>
      <c r="Z28" s="261">
        <v>133.43620689807494</v>
      </c>
      <c r="AA28" s="515">
        <v>121.79182509999964</v>
      </c>
      <c r="AB28" s="261">
        <v>282.3948428510248</v>
      </c>
      <c r="AC28" s="261">
        <v>337</v>
      </c>
      <c r="AD28" s="261">
        <f t="shared" ref="AD28:AF28" si="16">SUM(AD27,AD19)</f>
        <v>393.55270407999978</v>
      </c>
      <c r="AE28" s="261">
        <f t="shared" si="16"/>
        <v>487</v>
      </c>
      <c r="AF28" s="261">
        <f t="shared" si="16"/>
        <v>78</v>
      </c>
      <c r="AG28" s="515">
        <v>219</v>
      </c>
      <c r="AH28" s="515">
        <v>102</v>
      </c>
      <c r="AI28" s="100"/>
      <c r="AJ28" s="245"/>
      <c r="AK28" s="135">
        <v>822</v>
      </c>
      <c r="AL28" s="135">
        <v>516.62599999999998</v>
      </c>
      <c r="AM28" s="135">
        <v>560.15005261627925</v>
      </c>
      <c r="AN28" s="135">
        <v>1431.825</v>
      </c>
      <c r="AO28" s="261">
        <v>1801</v>
      </c>
      <c r="AP28" s="261">
        <f t="shared" si="13"/>
        <v>428.87981981687551</v>
      </c>
      <c r="AQ28" s="261">
        <f t="shared" si="5"/>
        <v>1134.7393720310242</v>
      </c>
      <c r="AR28" s="261">
        <f t="shared" si="14"/>
        <v>886</v>
      </c>
    </row>
    <row r="29" spans="2:44">
      <c r="B29" s="71" t="s">
        <v>150</v>
      </c>
      <c r="C29" s="146">
        <v>230</v>
      </c>
      <c r="D29" s="146">
        <v>209</v>
      </c>
      <c r="E29" s="146">
        <v>246</v>
      </c>
      <c r="F29" s="146">
        <v>208.92999999999995</v>
      </c>
      <c r="G29" s="146">
        <v>171</v>
      </c>
      <c r="H29" s="146">
        <v>353</v>
      </c>
      <c r="I29" s="146">
        <v>133</v>
      </c>
      <c r="J29" s="148">
        <v>197.80700000000002</v>
      </c>
      <c r="K29" s="148">
        <v>115.73099999999999</v>
      </c>
      <c r="L29" s="146">
        <v>189.16899999999998</v>
      </c>
      <c r="M29" s="146">
        <v>193.32900000000001</v>
      </c>
      <c r="N29" s="148">
        <v>185.32234302000001</v>
      </c>
      <c r="O29" s="148">
        <v>208.874</v>
      </c>
      <c r="P29" s="148">
        <v>389.64</v>
      </c>
      <c r="Q29" s="148">
        <v>372.08000000000004</v>
      </c>
      <c r="R29" s="148">
        <v>411.81700000000001</v>
      </c>
      <c r="S29" s="148">
        <v>615.75300000000004</v>
      </c>
      <c r="T29" s="135">
        <v>680</v>
      </c>
      <c r="U29" s="135">
        <v>333.47800000000001</v>
      </c>
      <c r="V29" s="261">
        <v>185.76899999999978</v>
      </c>
      <c r="W29" s="261">
        <v>175.88399999999999</v>
      </c>
      <c r="X29" s="261">
        <v>110</v>
      </c>
      <c r="Y29" s="261">
        <v>89.668999999999997</v>
      </c>
      <c r="Z29" s="261">
        <v>145.62199999999996</v>
      </c>
      <c r="AA29" s="515">
        <v>153.87100000000001</v>
      </c>
      <c r="AB29" s="261">
        <v>295.125</v>
      </c>
      <c r="AC29" s="261">
        <v>343</v>
      </c>
      <c r="AD29" s="261">
        <v>425.70000000000005</v>
      </c>
      <c r="AE29" s="261">
        <v>517</v>
      </c>
      <c r="AF29" s="261">
        <v>214</v>
      </c>
      <c r="AG29" s="261">
        <v>262</v>
      </c>
      <c r="AH29" s="261">
        <v>245</v>
      </c>
      <c r="AI29" s="100"/>
      <c r="AJ29" s="245"/>
      <c r="AK29" s="148">
        <v>893.93</v>
      </c>
      <c r="AL29" s="148">
        <v>854.80700000000002</v>
      </c>
      <c r="AM29" s="148">
        <v>683.55134301999999</v>
      </c>
      <c r="AN29" s="148">
        <v>1382.4110000000001</v>
      </c>
      <c r="AO29" s="345">
        <v>1815</v>
      </c>
      <c r="AP29" s="345">
        <f t="shared" si="13"/>
        <v>521.17499999999995</v>
      </c>
      <c r="AQ29" s="345">
        <f t="shared" si="5"/>
        <v>1217.6959999999999</v>
      </c>
      <c r="AR29" s="345">
        <f t="shared" si="14"/>
        <v>1238</v>
      </c>
    </row>
    <row r="30" spans="2:44">
      <c r="B30" s="74" t="s">
        <v>205</v>
      </c>
      <c r="C30" s="124">
        <v>69</v>
      </c>
      <c r="D30" s="124">
        <v>69</v>
      </c>
      <c r="E30" s="124">
        <v>67</v>
      </c>
      <c r="F30" s="124">
        <v>68</v>
      </c>
      <c r="G30" s="124">
        <v>90</v>
      </c>
      <c r="H30" s="124">
        <v>135</v>
      </c>
      <c r="I30" s="124">
        <v>82</v>
      </c>
      <c r="J30" s="135">
        <v>125.61099999999999</v>
      </c>
      <c r="K30" s="135">
        <v>83.760999999999996</v>
      </c>
      <c r="L30" s="124">
        <v>102.79500000000002</v>
      </c>
      <c r="M30" s="124">
        <v>95.753999999999991</v>
      </c>
      <c r="N30" s="135">
        <v>118.51225635999998</v>
      </c>
      <c r="O30" s="135">
        <v>105.289</v>
      </c>
      <c r="P30" s="135">
        <v>118.18599999999999</v>
      </c>
      <c r="Q30" s="135">
        <v>127.67300000000003</v>
      </c>
      <c r="R30" s="135">
        <v>111.28099999999995</v>
      </c>
      <c r="S30" s="135">
        <v>119.971</v>
      </c>
      <c r="T30" s="135">
        <v>115</v>
      </c>
      <c r="U30" s="135">
        <v>127.959</v>
      </c>
      <c r="V30" s="261">
        <v>142.07</v>
      </c>
      <c r="W30" s="261">
        <v>129.27500000000001</v>
      </c>
      <c r="X30" s="261">
        <v>138</v>
      </c>
      <c r="Y30" s="261">
        <v>137.01</v>
      </c>
      <c r="Z30" s="261">
        <v>144.23099999999999</v>
      </c>
      <c r="AA30" s="515">
        <v>142.72399999999999</v>
      </c>
      <c r="AB30" s="261">
        <v>143.13300000000004</v>
      </c>
      <c r="AC30" s="261">
        <v>157</v>
      </c>
      <c r="AD30" s="261">
        <v>195.92399999999992</v>
      </c>
      <c r="AE30" s="261">
        <v>173.24799999999999</v>
      </c>
      <c r="AF30" s="261">
        <v>163</v>
      </c>
      <c r="AG30" s="261">
        <v>196.50600000000003</v>
      </c>
      <c r="AH30" s="261">
        <v>220</v>
      </c>
      <c r="AI30" s="100"/>
      <c r="AJ30" s="245"/>
      <c r="AK30" s="135">
        <v>273</v>
      </c>
      <c r="AL30" s="135">
        <v>432.61099999999999</v>
      </c>
      <c r="AM30" s="135">
        <v>400.82225635999998</v>
      </c>
      <c r="AN30" s="135">
        <v>462.42899999999997</v>
      </c>
      <c r="AO30" s="261">
        <v>505</v>
      </c>
      <c r="AP30" s="261">
        <f t="shared" si="13"/>
        <v>548.51599999999996</v>
      </c>
      <c r="AQ30" s="261">
        <f t="shared" si="5"/>
        <v>638.78099999999995</v>
      </c>
      <c r="AR30" s="261">
        <f t="shared" si="14"/>
        <v>752.75400000000002</v>
      </c>
    </row>
    <row r="31" spans="2:44" ht="7.5" customHeight="1">
      <c r="B31" s="71"/>
      <c r="C31" s="142"/>
      <c r="D31" s="142"/>
      <c r="E31" s="142"/>
      <c r="F31" s="142"/>
      <c r="G31" s="142"/>
      <c r="H31" s="142"/>
      <c r="I31" s="142"/>
      <c r="J31" s="147"/>
      <c r="K31" s="147"/>
      <c r="L31" s="142"/>
      <c r="M31" s="142"/>
      <c r="N31" s="147"/>
      <c r="O31" s="147"/>
      <c r="P31" s="147"/>
      <c r="Q31" s="147"/>
      <c r="R31" s="147"/>
      <c r="S31" s="147"/>
      <c r="T31" s="147"/>
      <c r="U31" s="147"/>
      <c r="V31" s="342"/>
      <c r="W31" s="342"/>
      <c r="X31" s="342"/>
      <c r="Y31" s="342"/>
      <c r="Z31" s="342"/>
      <c r="AA31" s="510"/>
      <c r="AB31" s="342"/>
      <c r="AC31" s="342"/>
      <c r="AD31" s="342"/>
      <c r="AE31" s="342"/>
      <c r="AF31" s="342"/>
      <c r="AG31" s="342"/>
      <c r="AH31" s="342"/>
      <c r="AJ31" s="245"/>
    </row>
    <row r="32" spans="2:44">
      <c r="B32" s="71"/>
      <c r="C32" s="149"/>
      <c r="D32" s="149"/>
      <c r="E32" s="149"/>
      <c r="F32" s="149"/>
      <c r="G32" s="149"/>
      <c r="H32" s="149"/>
      <c r="I32" s="149"/>
      <c r="J32" s="149"/>
      <c r="K32" s="149"/>
      <c r="L32" s="149"/>
      <c r="M32" s="149"/>
      <c r="N32" s="149"/>
      <c r="O32" s="149"/>
      <c r="P32" s="149"/>
      <c r="Q32" s="149"/>
      <c r="R32" s="149"/>
      <c r="S32" s="149"/>
      <c r="T32" s="149"/>
      <c r="U32" s="149"/>
      <c r="V32" s="149"/>
      <c r="W32" s="149"/>
      <c r="X32" s="343"/>
      <c r="Y32" s="343"/>
      <c r="Z32" s="343"/>
      <c r="AA32" s="520"/>
      <c r="AB32" s="343"/>
      <c r="AC32" s="343"/>
      <c r="AD32" s="343"/>
      <c r="AE32" s="343"/>
      <c r="AF32" s="343"/>
      <c r="AG32" s="343"/>
      <c r="AH32" s="343"/>
      <c r="AJ32" s="245"/>
      <c r="AP32" s="333"/>
      <c r="AQ32" s="333"/>
      <c r="AR32" s="333"/>
    </row>
    <row r="33" spans="1:44" ht="14.55" customHeight="1" thickBot="1">
      <c r="A33" s="51"/>
      <c r="B33" s="72" t="s">
        <v>209</v>
      </c>
      <c r="C33" s="141"/>
      <c r="D33" s="141"/>
      <c r="E33" s="141"/>
      <c r="F33" s="141"/>
      <c r="G33" s="141"/>
      <c r="H33" s="141"/>
      <c r="I33" s="141"/>
      <c r="J33" s="150"/>
      <c r="K33" s="150"/>
      <c r="L33" s="141"/>
      <c r="M33" s="141"/>
      <c r="N33" s="150"/>
      <c r="O33" s="150"/>
      <c r="P33" s="150"/>
      <c r="Q33" s="150"/>
      <c r="R33" s="150"/>
      <c r="S33" s="150"/>
      <c r="T33" s="150"/>
      <c r="U33" s="150"/>
      <c r="V33" s="150"/>
      <c r="W33" s="150"/>
      <c r="X33" s="150"/>
      <c r="Y33" s="150"/>
      <c r="Z33" s="150"/>
      <c r="AA33" s="150"/>
      <c r="AB33" s="150"/>
      <c r="AC33" s="150"/>
      <c r="AD33" s="150"/>
      <c r="AE33" s="150"/>
      <c r="AF33" s="150"/>
      <c r="AG33" s="150"/>
      <c r="AH33" s="150"/>
      <c r="AJ33" s="245"/>
      <c r="AK33" s="150"/>
      <c r="AL33" s="150"/>
      <c r="AM33" s="150"/>
      <c r="AN33" s="150"/>
      <c r="AO33" s="150"/>
      <c r="AP33" s="150"/>
      <c r="AQ33" s="150"/>
      <c r="AR33" s="150"/>
    </row>
    <row r="34" spans="1:44" s="53" customFormat="1">
      <c r="B34" s="125" t="s">
        <v>203</v>
      </c>
      <c r="C34" s="146">
        <v>253</v>
      </c>
      <c r="D34" s="146">
        <v>281</v>
      </c>
      <c r="E34" s="146">
        <v>323</v>
      </c>
      <c r="F34" s="146">
        <v>300.47600000000011</v>
      </c>
      <c r="G34" s="146">
        <v>309</v>
      </c>
      <c r="H34" s="146">
        <v>342</v>
      </c>
      <c r="I34" s="146">
        <v>368</v>
      </c>
      <c r="J34" s="147">
        <v>421.63499999999999</v>
      </c>
      <c r="K34" s="147">
        <v>264.63499999999999</v>
      </c>
      <c r="L34" s="146">
        <v>158.01834138108001</v>
      </c>
      <c r="M34" s="146">
        <v>183.00000000000006</v>
      </c>
      <c r="N34" s="147">
        <v>189.13165861891991</v>
      </c>
      <c r="O34" s="147">
        <v>185.25</v>
      </c>
      <c r="P34" s="147">
        <v>152.04500000000002</v>
      </c>
      <c r="Q34" s="147">
        <v>206.58599999999996</v>
      </c>
      <c r="R34" s="147">
        <v>182.52500000000001</v>
      </c>
      <c r="S34" s="147">
        <v>152.15700000000001</v>
      </c>
      <c r="T34" s="147">
        <v>156</v>
      </c>
      <c r="U34" s="147">
        <v>167</v>
      </c>
      <c r="V34" s="342">
        <v>158.84299999999996</v>
      </c>
      <c r="W34" s="342">
        <v>136</v>
      </c>
      <c r="X34" s="342">
        <v>153</v>
      </c>
      <c r="Y34" s="342">
        <v>139.62299999999999</v>
      </c>
      <c r="Z34" s="342">
        <v>109.48699999999999</v>
      </c>
      <c r="AA34" s="510">
        <v>71.620999999999995</v>
      </c>
      <c r="AB34" s="342">
        <v>62.227000000000004</v>
      </c>
      <c r="AC34" s="342">
        <v>67</v>
      </c>
      <c r="AD34" s="342">
        <v>109.71800000000002</v>
      </c>
      <c r="AE34" s="342">
        <v>93</v>
      </c>
      <c r="AF34" s="325">
        <v>118</v>
      </c>
      <c r="AG34" s="325">
        <v>141</v>
      </c>
      <c r="AH34" s="325">
        <v>135</v>
      </c>
      <c r="AJ34" s="246"/>
      <c r="AK34" s="147">
        <v>1157.4760000000001</v>
      </c>
      <c r="AL34" s="147">
        <v>1440.635</v>
      </c>
      <c r="AM34" s="147">
        <v>794.78499999999997</v>
      </c>
      <c r="AN34" s="147">
        <v>726.40599999999995</v>
      </c>
      <c r="AO34" s="342">
        <v>634</v>
      </c>
      <c r="AP34" s="342">
        <f>SUM(W34:Z34)</f>
        <v>538.11</v>
      </c>
      <c r="AQ34" s="342">
        <f t="shared" si="5"/>
        <v>310.56600000000003</v>
      </c>
      <c r="AR34" s="342">
        <f t="shared" ref="AR34:AR38" si="17">SUM(AE34:AH34)</f>
        <v>487</v>
      </c>
    </row>
    <row r="35" spans="1:44" s="53" customFormat="1">
      <c r="B35" s="134" t="s">
        <v>346</v>
      </c>
      <c r="C35" s="325">
        <f>C36-C34</f>
        <v>-171</v>
      </c>
      <c r="D35" s="325">
        <f t="shared" ref="D35:N35" si="18">D36-D34</f>
        <v>-207</v>
      </c>
      <c r="E35" s="325">
        <f t="shared" si="18"/>
        <v>-308</v>
      </c>
      <c r="F35" s="325">
        <f t="shared" si="18"/>
        <v>-313.04300000000012</v>
      </c>
      <c r="G35" s="325">
        <f t="shared" si="18"/>
        <v>-235</v>
      </c>
      <c r="H35" s="325">
        <f t="shared" si="18"/>
        <v>-304</v>
      </c>
      <c r="I35" s="325">
        <f t="shared" si="18"/>
        <v>-341</v>
      </c>
      <c r="J35" s="325">
        <f t="shared" si="18"/>
        <v>-377.358</v>
      </c>
      <c r="K35" s="325">
        <f t="shared" si="18"/>
        <v>-210.83799999999999</v>
      </c>
      <c r="L35" s="325">
        <f t="shared" si="18"/>
        <v>-160.81838244540398</v>
      </c>
      <c r="M35" s="325">
        <f t="shared" si="18"/>
        <v>-172.00000000000006</v>
      </c>
      <c r="N35" s="325">
        <f t="shared" si="18"/>
        <v>-188.39161755459594</v>
      </c>
      <c r="O35" s="325">
        <v>-27.776999999999987</v>
      </c>
      <c r="P35" s="325">
        <v>-156.77500000000003</v>
      </c>
      <c r="Q35" s="325">
        <v>-246.17499999999995</v>
      </c>
      <c r="R35" s="325">
        <v>-78.233000000000004</v>
      </c>
      <c r="S35" s="325">
        <v>-201.94300000000001</v>
      </c>
      <c r="T35" s="325">
        <v>-160</v>
      </c>
      <c r="U35" s="325">
        <v>-179</v>
      </c>
      <c r="V35" s="325">
        <v>-210.05699999999996</v>
      </c>
      <c r="W35" s="325">
        <v>-223</v>
      </c>
      <c r="X35" s="325">
        <v>-226</v>
      </c>
      <c r="Y35" s="325">
        <v>-178.548</v>
      </c>
      <c r="Z35" s="325">
        <v>-227.32399999999996</v>
      </c>
      <c r="AA35" s="512">
        <v>-113.83199999999999</v>
      </c>
      <c r="AB35" s="325">
        <v>-73.506</v>
      </c>
      <c r="AC35" s="325">
        <v>-35</v>
      </c>
      <c r="AD35" s="325">
        <v>-335.53800000000001</v>
      </c>
      <c r="AE35" s="325">
        <v>-149</v>
      </c>
      <c r="AF35" s="261">
        <v>-173</v>
      </c>
      <c r="AG35" s="261">
        <v>-156</v>
      </c>
      <c r="AH35" s="261">
        <v>-133</v>
      </c>
      <c r="AI35" s="387"/>
      <c r="AJ35" s="386"/>
      <c r="AK35" s="325">
        <f t="shared" ref="AK35:AM35" si="19">AK36-AK34</f>
        <v>-999.04300000000012</v>
      </c>
      <c r="AL35" s="325">
        <f t="shared" si="19"/>
        <v>-1257.3579999999999</v>
      </c>
      <c r="AM35" s="325">
        <f t="shared" si="19"/>
        <v>-732.048</v>
      </c>
      <c r="AN35" s="325">
        <f>AN36-AN34</f>
        <v>-508.95999999999992</v>
      </c>
      <c r="AO35" s="325">
        <f t="shared" ref="AO35" si="20">AO36-AO34</f>
        <v>-751</v>
      </c>
      <c r="AP35" s="325">
        <f>SUM(W35:Z35)</f>
        <v>-854.87199999999996</v>
      </c>
      <c r="AQ35" s="325">
        <f t="shared" si="5"/>
        <v>-557.87599999999998</v>
      </c>
      <c r="AR35" s="325">
        <f t="shared" si="17"/>
        <v>-611</v>
      </c>
    </row>
    <row r="36" spans="1:44">
      <c r="B36" s="74" t="s">
        <v>204</v>
      </c>
      <c r="C36" s="124">
        <v>82</v>
      </c>
      <c r="D36" s="124">
        <v>74</v>
      </c>
      <c r="E36" s="124">
        <v>15</v>
      </c>
      <c r="F36" s="124">
        <v>-12.567000000000007</v>
      </c>
      <c r="G36" s="124">
        <v>74</v>
      </c>
      <c r="H36" s="124">
        <v>38</v>
      </c>
      <c r="I36" s="124">
        <v>27</v>
      </c>
      <c r="J36" s="135">
        <v>44.276999999999987</v>
      </c>
      <c r="K36" s="135">
        <v>53.796999999999997</v>
      </c>
      <c r="L36" s="124">
        <v>-2.8000410643239775</v>
      </c>
      <c r="M36" s="124">
        <v>11</v>
      </c>
      <c r="N36" s="135">
        <v>0.74004106432398231</v>
      </c>
      <c r="O36" s="135">
        <v>157.47300000000001</v>
      </c>
      <c r="P36" s="135">
        <v>-4.7300000000000182</v>
      </c>
      <c r="Q36" s="135">
        <v>-39.588999999999999</v>
      </c>
      <c r="R36" s="135">
        <v>104.292</v>
      </c>
      <c r="S36" s="135">
        <v>-49.786000000000001</v>
      </c>
      <c r="T36" s="135">
        <v>-4</v>
      </c>
      <c r="U36" s="135">
        <v>-12</v>
      </c>
      <c r="V36" s="261">
        <v>-51.213999999999999</v>
      </c>
      <c r="W36" s="261">
        <v>-87</v>
      </c>
      <c r="X36" s="261">
        <v>-73</v>
      </c>
      <c r="Y36" s="261">
        <v>-38.925000000000011</v>
      </c>
      <c r="Z36" s="261">
        <v>-117.83699999999996</v>
      </c>
      <c r="AA36" s="515">
        <v>-42.210999999999999</v>
      </c>
      <c r="AB36" s="261">
        <v>-11.278999999999996</v>
      </c>
      <c r="AC36" s="261">
        <v>32</v>
      </c>
      <c r="AD36" s="261">
        <f t="shared" ref="AD36" si="21">SUM(AD34:AD35)</f>
        <v>-225.82</v>
      </c>
      <c r="AE36" s="261">
        <v>-56</v>
      </c>
      <c r="AF36" s="345">
        <v>-55</v>
      </c>
      <c r="AG36" s="345">
        <v>-15</v>
      </c>
      <c r="AH36" s="345">
        <v>2</v>
      </c>
      <c r="AI36" s="100"/>
      <c r="AJ36" s="245"/>
      <c r="AK36" s="135">
        <v>158.43299999999999</v>
      </c>
      <c r="AL36" s="135">
        <v>183.27699999999999</v>
      </c>
      <c r="AM36" s="135">
        <v>62.737000000000002</v>
      </c>
      <c r="AN36" s="135">
        <v>217.446</v>
      </c>
      <c r="AO36" s="261">
        <v>-117</v>
      </c>
      <c r="AP36" s="261">
        <f>SUM(W36:Z36)</f>
        <v>-316.76199999999994</v>
      </c>
      <c r="AQ36" s="261">
        <f t="shared" si="5"/>
        <v>-247.31</v>
      </c>
      <c r="AR36" s="261">
        <f t="shared" si="17"/>
        <v>-124</v>
      </c>
    </row>
    <row r="37" spans="1:44" ht="14.4">
      <c r="A37" s="55"/>
      <c r="B37" s="71" t="s">
        <v>150</v>
      </c>
      <c r="C37" s="146">
        <v>50</v>
      </c>
      <c r="D37" s="146">
        <v>72</v>
      </c>
      <c r="E37" s="146">
        <v>0</v>
      </c>
      <c r="F37" s="146">
        <v>66</v>
      </c>
      <c r="G37" s="146">
        <v>79</v>
      </c>
      <c r="H37" s="146">
        <v>47</v>
      </c>
      <c r="I37" s="146">
        <v>35</v>
      </c>
      <c r="J37" s="148">
        <v>53</v>
      </c>
      <c r="K37" s="148">
        <v>59.456000000000003</v>
      </c>
      <c r="L37" s="146">
        <v>3.0051083134261987</v>
      </c>
      <c r="M37" s="146">
        <v>17</v>
      </c>
      <c r="N37" s="148">
        <v>2.5388916865738054</v>
      </c>
      <c r="O37" s="148">
        <v>162.88999999999999</v>
      </c>
      <c r="P37" s="148">
        <v>-3.1279999999999859</v>
      </c>
      <c r="Q37" s="148">
        <v>-47.959000000000003</v>
      </c>
      <c r="R37" s="148">
        <v>99.548000000000002</v>
      </c>
      <c r="S37" s="148">
        <v>-50.249000000000002</v>
      </c>
      <c r="T37" s="148">
        <v>-2</v>
      </c>
      <c r="U37" s="148">
        <v>-11</v>
      </c>
      <c r="V37" s="345">
        <v>-51.750999999999998</v>
      </c>
      <c r="W37" s="345">
        <v>-83</v>
      </c>
      <c r="X37" s="345">
        <v>-33</v>
      </c>
      <c r="Y37" s="345">
        <v>-30.963000000000001</v>
      </c>
      <c r="Z37" s="345">
        <v>-41.855999999999995</v>
      </c>
      <c r="AA37" s="522">
        <v>-41.578000000000003</v>
      </c>
      <c r="AB37" s="345">
        <v>46.026000000000003</v>
      </c>
      <c r="AC37" s="345">
        <v>73</v>
      </c>
      <c r="AD37" s="345">
        <v>92.615999999999985</v>
      </c>
      <c r="AE37" s="345">
        <v>-76</v>
      </c>
      <c r="AF37" s="261">
        <v>-18</v>
      </c>
      <c r="AG37" s="261">
        <v>-6</v>
      </c>
      <c r="AH37" s="261">
        <v>21</v>
      </c>
      <c r="AJ37" s="245"/>
      <c r="AK37" s="148">
        <v>188</v>
      </c>
      <c r="AL37" s="148">
        <v>214</v>
      </c>
      <c r="AM37" s="148">
        <v>82</v>
      </c>
      <c r="AN37" s="148">
        <v>211.351</v>
      </c>
      <c r="AO37" s="345">
        <v>-115</v>
      </c>
      <c r="AP37" s="345">
        <f>SUM(W37:Z37)</f>
        <v>-188.81899999999999</v>
      </c>
      <c r="AQ37" s="345">
        <f t="shared" si="5"/>
        <v>170.06399999999999</v>
      </c>
      <c r="AR37" s="345">
        <f t="shared" si="17"/>
        <v>-79</v>
      </c>
    </row>
    <row r="38" spans="1:44">
      <c r="B38" s="74" t="s">
        <v>205</v>
      </c>
      <c r="C38" s="124">
        <v>5</v>
      </c>
      <c r="D38" s="124">
        <v>9</v>
      </c>
      <c r="E38" s="124">
        <v>8</v>
      </c>
      <c r="F38" s="124">
        <v>7.2020000000000017</v>
      </c>
      <c r="G38" s="124">
        <v>7</v>
      </c>
      <c r="H38" s="124">
        <v>7</v>
      </c>
      <c r="I38" s="124">
        <v>8</v>
      </c>
      <c r="J38" s="135">
        <v>6.9420000000000002</v>
      </c>
      <c r="K38" s="135">
        <v>7.2370000000000001</v>
      </c>
      <c r="L38" s="124">
        <v>7.2406488253584804</v>
      </c>
      <c r="M38" s="124">
        <v>7.9999999999999982</v>
      </c>
      <c r="N38" s="135">
        <v>6.6383511746415209</v>
      </c>
      <c r="O38" s="135">
        <v>7.2249999999999996</v>
      </c>
      <c r="P38" s="135">
        <v>7.2420000000000009</v>
      </c>
      <c r="Q38" s="135">
        <v>8.6010000000000009</v>
      </c>
      <c r="R38" s="135">
        <v>7.3989999999999974</v>
      </c>
      <c r="S38" s="135">
        <v>7.7389999999999999</v>
      </c>
      <c r="T38" s="135">
        <v>8</v>
      </c>
      <c r="U38" s="135">
        <v>8</v>
      </c>
      <c r="V38" s="261">
        <v>6.2609999999999992</v>
      </c>
      <c r="W38" s="261">
        <v>4.0259999999999998</v>
      </c>
      <c r="X38" s="261">
        <v>4</v>
      </c>
      <c r="Y38" s="261">
        <v>3.64</v>
      </c>
      <c r="Z38" s="261">
        <v>2.468</v>
      </c>
      <c r="AA38" s="515">
        <v>0</v>
      </c>
      <c r="AB38" s="261">
        <v>0</v>
      </c>
      <c r="AC38" s="261">
        <v>0</v>
      </c>
      <c r="AD38" s="261">
        <v>0</v>
      </c>
      <c r="AE38" s="261">
        <v>0</v>
      </c>
      <c r="AF38" s="261">
        <v>0</v>
      </c>
      <c r="AG38" s="261">
        <v>0</v>
      </c>
      <c r="AH38" s="261">
        <v>0</v>
      </c>
      <c r="AJ38" s="245"/>
      <c r="AK38" s="135">
        <v>29.202000000000002</v>
      </c>
      <c r="AL38" s="135">
        <v>28.942</v>
      </c>
      <c r="AM38" s="135">
        <v>29.116</v>
      </c>
      <c r="AN38" s="135">
        <v>30.466999999999999</v>
      </c>
      <c r="AO38" s="261">
        <v>30</v>
      </c>
      <c r="AP38" s="261">
        <f>SUM(W38:Z38)</f>
        <v>14.134</v>
      </c>
      <c r="AQ38" s="261">
        <f t="shared" si="5"/>
        <v>0</v>
      </c>
      <c r="AR38" s="261">
        <f t="shared" si="17"/>
        <v>0</v>
      </c>
    </row>
    <row r="39" spans="1:44">
      <c r="B39" s="420" t="s">
        <v>347</v>
      </c>
      <c r="C39" s="142"/>
      <c r="D39" s="142"/>
      <c r="E39" s="142"/>
      <c r="F39" s="142"/>
      <c r="G39" s="142"/>
      <c r="H39" s="142"/>
      <c r="I39" s="142"/>
      <c r="J39" s="147"/>
      <c r="K39" s="147"/>
      <c r="L39" s="142"/>
      <c r="M39" s="142"/>
      <c r="N39" s="147"/>
      <c r="O39" s="147"/>
      <c r="P39" s="147"/>
      <c r="Q39" s="147"/>
      <c r="R39" s="147"/>
      <c r="S39" s="147"/>
      <c r="T39" s="147"/>
      <c r="U39" s="147"/>
      <c r="V39" s="342"/>
      <c r="W39" s="342"/>
      <c r="X39" s="342"/>
      <c r="Y39" s="342"/>
      <c r="Z39" s="342"/>
      <c r="AA39" s="510"/>
      <c r="AB39" s="342"/>
      <c r="AC39" s="342"/>
      <c r="AD39" s="342"/>
      <c r="AE39" s="342"/>
      <c r="AF39" s="342"/>
      <c r="AG39" s="342"/>
      <c r="AH39" s="342"/>
      <c r="AJ39" s="245"/>
      <c r="AK39" s="147"/>
      <c r="AL39" s="147"/>
      <c r="AM39" s="147"/>
      <c r="AN39" s="147"/>
      <c r="AO39" s="342"/>
      <c r="AP39" s="342"/>
      <c r="AQ39" s="342"/>
      <c r="AR39" s="342"/>
    </row>
    <row r="40" spans="1:44">
      <c r="B40" s="71"/>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J40" s="245"/>
      <c r="AK40" s="149"/>
      <c r="AL40" s="149"/>
      <c r="AM40" s="149"/>
      <c r="AN40" s="149"/>
      <c r="AO40" s="149"/>
      <c r="AP40" s="149"/>
      <c r="AQ40" s="149"/>
      <c r="AR40" s="149"/>
    </row>
    <row r="41" spans="1:44" ht="14.55" customHeight="1" thickBot="1">
      <c r="A41" s="51"/>
      <c r="B41" s="72" t="s">
        <v>106</v>
      </c>
      <c r="C41" s="141"/>
      <c r="D41" s="141"/>
      <c r="E41" s="141"/>
      <c r="F41" s="141"/>
      <c r="G41" s="141"/>
      <c r="H41" s="141"/>
      <c r="I41" s="141"/>
      <c r="J41" s="150"/>
      <c r="K41" s="150"/>
      <c r="L41" s="141"/>
      <c r="M41" s="141"/>
      <c r="N41" s="150"/>
      <c r="O41" s="150"/>
      <c r="P41" s="150"/>
      <c r="Q41" s="150"/>
      <c r="R41" s="150"/>
      <c r="S41" s="150"/>
      <c r="T41" s="150"/>
      <c r="U41" s="150"/>
      <c r="V41" s="150"/>
      <c r="W41" s="150"/>
      <c r="X41" s="150"/>
      <c r="Y41" s="150"/>
      <c r="Z41" s="150"/>
      <c r="AA41" s="150"/>
      <c r="AB41" s="150"/>
      <c r="AC41" s="150"/>
      <c r="AD41" s="150"/>
      <c r="AE41" s="150"/>
      <c r="AF41" s="150"/>
      <c r="AG41" s="150"/>
      <c r="AH41" s="150"/>
      <c r="AJ41" s="245"/>
      <c r="AK41" s="150"/>
      <c r="AL41" s="150"/>
      <c r="AM41" s="150"/>
      <c r="AN41" s="150"/>
      <c r="AO41" s="150"/>
      <c r="AP41" s="150"/>
      <c r="AQ41" s="150"/>
      <c r="AR41" s="150"/>
    </row>
    <row r="42" spans="1:44" s="53" customFormat="1">
      <c r="B42" s="125" t="s">
        <v>203</v>
      </c>
      <c r="C42" s="146">
        <v>16</v>
      </c>
      <c r="D42" s="146">
        <v>10</v>
      </c>
      <c r="E42" s="146">
        <v>9</v>
      </c>
      <c r="F42" s="146">
        <v>3</v>
      </c>
      <c r="G42" s="146">
        <v>1</v>
      </c>
      <c r="H42" s="146">
        <v>2</v>
      </c>
      <c r="I42" s="146">
        <v>0</v>
      </c>
      <c r="J42" s="147">
        <v>5.0429999999999993</v>
      </c>
      <c r="K42" s="147">
        <v>2.7530000000000001</v>
      </c>
      <c r="L42" s="146">
        <v>4.5996612800000003</v>
      </c>
      <c r="M42" s="146">
        <v>1.9999999999999991</v>
      </c>
      <c r="N42" s="147">
        <v>4.3233387200000006</v>
      </c>
      <c r="O42" s="147">
        <v>7.1280000000000001</v>
      </c>
      <c r="P42" s="147">
        <v>10.119</v>
      </c>
      <c r="Q42" s="147">
        <v>6.5489999999999995</v>
      </c>
      <c r="R42" s="147">
        <v>2.1129999999999995</v>
      </c>
      <c r="S42" s="147">
        <v>3.2349999999999999</v>
      </c>
      <c r="T42" s="147">
        <v>13</v>
      </c>
      <c r="U42" s="147">
        <v>2</v>
      </c>
      <c r="V42" s="342">
        <v>2.7650000000000006</v>
      </c>
      <c r="W42" s="342">
        <v>5</v>
      </c>
      <c r="X42" s="342">
        <v>2</v>
      </c>
      <c r="Y42" s="342">
        <v>7.2009999999999996</v>
      </c>
      <c r="Z42" s="342">
        <v>3.5720000000000005</v>
      </c>
      <c r="AA42" s="510">
        <v>3.0779999999999998</v>
      </c>
      <c r="AB42" s="342">
        <v>11.919</v>
      </c>
      <c r="AC42" s="342">
        <v>4</v>
      </c>
      <c r="AD42" s="342">
        <v>1.4510000000000005</v>
      </c>
      <c r="AE42" s="342">
        <v>3</v>
      </c>
      <c r="AF42" s="342">
        <v>9</v>
      </c>
      <c r="AG42" s="342">
        <v>12</v>
      </c>
      <c r="AH42" s="342">
        <v>2</v>
      </c>
      <c r="AI42" s="385"/>
      <c r="AJ42" s="386"/>
      <c r="AK42" s="147">
        <v>38</v>
      </c>
      <c r="AL42" s="147">
        <v>8.0429999999999993</v>
      </c>
      <c r="AM42" s="147">
        <v>13.676</v>
      </c>
      <c r="AN42" s="147">
        <v>25.908999999999999</v>
      </c>
      <c r="AO42" s="342">
        <v>21</v>
      </c>
      <c r="AP42" s="342">
        <f>SUM(W42:Z42)</f>
        <v>17.773</v>
      </c>
      <c r="AQ42" s="342">
        <f t="shared" si="5"/>
        <v>20.448</v>
      </c>
      <c r="AR42" s="342">
        <f t="shared" ref="AR42:AR46" si="22">SUM(AE42:AH42)</f>
        <v>26</v>
      </c>
    </row>
    <row r="43" spans="1:44" s="53" customFormat="1">
      <c r="B43" s="134" t="s">
        <v>345</v>
      </c>
      <c r="C43" s="325">
        <f>C44-C42</f>
        <v>-31</v>
      </c>
      <c r="D43" s="325">
        <f t="shared" ref="D43:N43" si="23">D44-D42</f>
        <v>-18</v>
      </c>
      <c r="E43" s="325">
        <f t="shared" si="23"/>
        <v>-12</v>
      </c>
      <c r="F43" s="325">
        <f t="shared" si="23"/>
        <v>-8</v>
      </c>
      <c r="G43" s="325">
        <f t="shared" si="23"/>
        <v>-8</v>
      </c>
      <c r="H43" s="325">
        <f t="shared" si="23"/>
        <v>-18</v>
      </c>
      <c r="I43" s="325">
        <f t="shared" si="23"/>
        <v>-10</v>
      </c>
      <c r="J43" s="325">
        <f t="shared" si="23"/>
        <v>-14.378999999999998</v>
      </c>
      <c r="K43" s="325">
        <f t="shared" si="23"/>
        <v>-9.7390000000000008</v>
      </c>
      <c r="L43" s="325">
        <f t="shared" si="23"/>
        <v>-18.973427769999997</v>
      </c>
      <c r="M43" s="325">
        <f t="shared" si="23"/>
        <v>-11</v>
      </c>
      <c r="N43" s="325">
        <f t="shared" si="23"/>
        <v>-16.180572230000003</v>
      </c>
      <c r="O43" s="325">
        <v>-11.903</v>
      </c>
      <c r="P43" s="325">
        <v>-14.597999999999999</v>
      </c>
      <c r="Q43" s="325">
        <v>-15.382</v>
      </c>
      <c r="R43" s="325">
        <v>-9.5889999999999986</v>
      </c>
      <c r="S43" s="325">
        <v>-11.260999999999999</v>
      </c>
      <c r="T43" s="325">
        <v>-25</v>
      </c>
      <c r="U43" s="325">
        <v>-11</v>
      </c>
      <c r="V43" s="325">
        <v>-7.7390000000000008</v>
      </c>
      <c r="W43" s="325">
        <v>-10.86</v>
      </c>
      <c r="X43" s="325">
        <v>-9</v>
      </c>
      <c r="Y43" s="325">
        <v>-21.428999999999998</v>
      </c>
      <c r="Z43" s="325">
        <v>-11.556999999999995</v>
      </c>
      <c r="AA43" s="512">
        <v>-4.157</v>
      </c>
      <c r="AB43" s="325">
        <v>-25.613999999999997</v>
      </c>
      <c r="AC43" s="325">
        <v>-10</v>
      </c>
      <c r="AD43" s="325">
        <v>-8.970000000000006</v>
      </c>
      <c r="AE43" s="325">
        <v>-8</v>
      </c>
      <c r="AF43" s="325">
        <v>-13</v>
      </c>
      <c r="AG43" s="325">
        <v>-17</v>
      </c>
      <c r="AH43" s="325">
        <v>-7</v>
      </c>
      <c r="AI43" s="385"/>
      <c r="AJ43" s="386"/>
      <c r="AK43" s="325">
        <f t="shared" ref="AK43:AO43" si="24">AK44-AK42</f>
        <v>-69</v>
      </c>
      <c r="AL43" s="325">
        <f t="shared" si="24"/>
        <v>-50.378999999999998</v>
      </c>
      <c r="AM43" s="325">
        <f t="shared" si="24"/>
        <v>-55.893000000000001</v>
      </c>
      <c r="AN43" s="325">
        <f t="shared" si="24"/>
        <v>-51.471999999999994</v>
      </c>
      <c r="AO43" s="325">
        <f t="shared" si="24"/>
        <v>-55</v>
      </c>
      <c r="AP43" s="325">
        <f>SUM(W43:Z43)</f>
        <v>-52.845999999999997</v>
      </c>
      <c r="AQ43" s="325">
        <f t="shared" si="5"/>
        <v>-48.741000000000007</v>
      </c>
      <c r="AR43" s="325">
        <f t="shared" si="22"/>
        <v>-45</v>
      </c>
    </row>
    <row r="44" spans="1:44">
      <c r="B44" s="74" t="s">
        <v>204</v>
      </c>
      <c r="C44" s="124">
        <v>-15</v>
      </c>
      <c r="D44" s="124">
        <v>-8</v>
      </c>
      <c r="E44" s="124">
        <v>-3</v>
      </c>
      <c r="F44" s="124">
        <v>-5</v>
      </c>
      <c r="G44" s="124">
        <v>-7</v>
      </c>
      <c r="H44" s="124">
        <v>-16</v>
      </c>
      <c r="I44" s="124">
        <v>-10</v>
      </c>
      <c r="J44" s="135">
        <v>-9.3359999999999985</v>
      </c>
      <c r="K44" s="135">
        <v>-6.9859999999999998</v>
      </c>
      <c r="L44" s="124">
        <v>-14.373766489999998</v>
      </c>
      <c r="M44" s="124">
        <v>-9</v>
      </c>
      <c r="N44" s="135">
        <v>-11.85723351</v>
      </c>
      <c r="O44" s="135">
        <v>-4.7750000000000004</v>
      </c>
      <c r="P44" s="135">
        <v>-4.4789999999999992</v>
      </c>
      <c r="Q44" s="135">
        <v>-8.8330000000000002</v>
      </c>
      <c r="R44" s="135">
        <v>-7.4759999999999991</v>
      </c>
      <c r="S44" s="135">
        <v>-8.0259999999999998</v>
      </c>
      <c r="T44" s="135">
        <v>-12</v>
      </c>
      <c r="U44" s="135">
        <v>-9</v>
      </c>
      <c r="V44" s="261">
        <v>-4.9740000000000002</v>
      </c>
      <c r="W44" s="261">
        <v>-5.86</v>
      </c>
      <c r="X44" s="261">
        <v>-7</v>
      </c>
      <c r="Y44" s="261">
        <v>-14.227999999999998</v>
      </c>
      <c r="Z44" s="261">
        <v>-7.9849999999999941</v>
      </c>
      <c r="AA44" s="515">
        <v>-1.0790000000000002</v>
      </c>
      <c r="AB44" s="261">
        <v>-13.694999999999997</v>
      </c>
      <c r="AC44" s="261">
        <v>-6</v>
      </c>
      <c r="AD44" s="261">
        <f t="shared" ref="AD44" si="25">SUM(AD42:AD43)</f>
        <v>-7.5190000000000055</v>
      </c>
      <c r="AE44" s="261">
        <v>-5</v>
      </c>
      <c r="AF44" s="261">
        <v>-4</v>
      </c>
      <c r="AG44" s="261">
        <v>-5</v>
      </c>
      <c r="AH44" s="261">
        <v>-5</v>
      </c>
      <c r="AI44" s="100"/>
      <c r="AJ44" s="245"/>
      <c r="AK44" s="135">
        <v>-31</v>
      </c>
      <c r="AL44" s="135">
        <v>-42.335999999999999</v>
      </c>
      <c r="AM44" s="135">
        <v>-42.216999999999999</v>
      </c>
      <c r="AN44" s="135">
        <v>-25.562999999999999</v>
      </c>
      <c r="AO44" s="261">
        <v>-34</v>
      </c>
      <c r="AP44" s="261">
        <f>SUM(W44:Z44)</f>
        <v>-35.072999999999993</v>
      </c>
      <c r="AQ44" s="261">
        <f t="shared" si="5"/>
        <v>-28.293000000000003</v>
      </c>
      <c r="AR44" s="261">
        <f t="shared" si="22"/>
        <v>-19</v>
      </c>
    </row>
    <row r="45" spans="1:44" ht="14.4">
      <c r="A45" s="55"/>
      <c r="B45" s="71" t="s">
        <v>150</v>
      </c>
      <c r="C45" s="146">
        <v>-41</v>
      </c>
      <c r="D45" s="146">
        <v>-18</v>
      </c>
      <c r="E45" s="146">
        <v>-17</v>
      </c>
      <c r="F45" s="146">
        <v>-26.727000000000004</v>
      </c>
      <c r="G45" s="146">
        <v>-20</v>
      </c>
      <c r="H45" s="146">
        <v>-55</v>
      </c>
      <c r="I45" s="146">
        <v>-39</v>
      </c>
      <c r="J45" s="148">
        <v>34.388000000000005</v>
      </c>
      <c r="K45" s="148">
        <v>-13.361000000000001</v>
      </c>
      <c r="L45" s="146">
        <v>-20.219407809999996</v>
      </c>
      <c r="M45" s="146">
        <v>-51</v>
      </c>
      <c r="N45" s="148">
        <v>-18.754592189999997</v>
      </c>
      <c r="O45" s="148">
        <v>-11.343</v>
      </c>
      <c r="P45" s="148">
        <v>-23.138000000000002</v>
      </c>
      <c r="Q45" s="148">
        <v>-10.479999999999997</v>
      </c>
      <c r="R45" s="148">
        <v>-11.844000000000001</v>
      </c>
      <c r="S45" s="148">
        <v>-13.169</v>
      </c>
      <c r="T45" s="148">
        <v>-37</v>
      </c>
      <c r="U45" s="148">
        <v>8</v>
      </c>
      <c r="V45" s="345">
        <v>-30.831000000000003</v>
      </c>
      <c r="W45" s="345">
        <v>-8.4670000000000005</v>
      </c>
      <c r="X45" s="345">
        <v>-3</v>
      </c>
      <c r="Y45" s="345">
        <v>-12.816000000000001</v>
      </c>
      <c r="Z45" s="345">
        <v>-1.4609999999999985</v>
      </c>
      <c r="AA45" s="522">
        <v>33.905999999999999</v>
      </c>
      <c r="AB45" s="345">
        <v>-2.5699999999999976</v>
      </c>
      <c r="AC45" s="345">
        <v>-6</v>
      </c>
      <c r="AD45" s="345">
        <v>-31.918000000000003</v>
      </c>
      <c r="AE45" s="345">
        <v>-11</v>
      </c>
      <c r="AF45" s="345">
        <v>-7</v>
      </c>
      <c r="AG45" s="345">
        <v>-22</v>
      </c>
      <c r="AH45" s="345">
        <v>-9</v>
      </c>
      <c r="AK45" s="148">
        <v>-102.727</v>
      </c>
      <c r="AL45" s="148">
        <v>-79.611999999999995</v>
      </c>
      <c r="AM45" s="148">
        <v>-103.33499999999999</v>
      </c>
      <c r="AN45" s="148">
        <v>-56.805</v>
      </c>
      <c r="AO45" s="345">
        <v>-73</v>
      </c>
      <c r="AP45" s="345">
        <f>SUM(W45:Z45)</f>
        <v>-25.744</v>
      </c>
      <c r="AQ45" s="345">
        <f t="shared" si="5"/>
        <v>-6.5820000000000007</v>
      </c>
      <c r="AR45" s="345">
        <f t="shared" si="22"/>
        <v>-49</v>
      </c>
    </row>
    <row r="46" spans="1:44">
      <c r="B46" s="74" t="s">
        <v>205</v>
      </c>
      <c r="C46" s="124">
        <v>1</v>
      </c>
      <c r="D46" s="124">
        <v>0</v>
      </c>
      <c r="E46" s="124">
        <v>0</v>
      </c>
      <c r="F46" s="124">
        <v>0</v>
      </c>
      <c r="G46" s="124">
        <v>0</v>
      </c>
      <c r="H46" s="124">
        <v>0</v>
      </c>
      <c r="I46" s="124">
        <v>0</v>
      </c>
      <c r="J46" s="135">
        <v>1.008</v>
      </c>
      <c r="K46" s="135">
        <v>0.378</v>
      </c>
      <c r="L46" s="124">
        <v>0</v>
      </c>
      <c r="M46" s="124">
        <v>0</v>
      </c>
      <c r="N46" s="135">
        <v>1.907</v>
      </c>
      <c r="O46" s="135">
        <v>0.58599999999999997</v>
      </c>
      <c r="P46" s="135">
        <v>0.71299999999999997</v>
      </c>
      <c r="Q46" s="135">
        <v>0.87</v>
      </c>
      <c r="R46" s="135">
        <v>0.98</v>
      </c>
      <c r="S46" s="135">
        <v>1.018</v>
      </c>
      <c r="T46" s="135">
        <v>1</v>
      </c>
      <c r="U46" s="135">
        <v>2</v>
      </c>
      <c r="V46" s="261">
        <v>0.98200000000000021</v>
      </c>
      <c r="W46" s="261">
        <v>1.391</v>
      </c>
      <c r="X46" s="261">
        <v>3</v>
      </c>
      <c r="Y46" s="261">
        <v>1.88</v>
      </c>
      <c r="Z46" s="261">
        <v>1.3710000000000004</v>
      </c>
      <c r="AA46" s="515">
        <v>1.4910000000000001</v>
      </c>
      <c r="AB46" s="261">
        <v>1.0489999999999999</v>
      </c>
      <c r="AC46" s="261">
        <v>1</v>
      </c>
      <c r="AD46" s="261">
        <v>1.0140000000000002</v>
      </c>
      <c r="AE46" s="261">
        <v>0.92400000000000004</v>
      </c>
      <c r="AF46" s="261">
        <v>2.444</v>
      </c>
      <c r="AG46" s="261">
        <v>1.0170000000000001</v>
      </c>
      <c r="AH46" s="261">
        <v>0.91399999999999948</v>
      </c>
      <c r="AK46" s="135">
        <v>1</v>
      </c>
      <c r="AL46" s="135">
        <v>1.008</v>
      </c>
      <c r="AM46" s="135">
        <v>2.2850000000000001</v>
      </c>
      <c r="AN46" s="135">
        <v>3.149</v>
      </c>
      <c r="AO46" s="261">
        <v>5</v>
      </c>
      <c r="AP46" s="261">
        <f>SUM(W46:Z46)</f>
        <v>7.6420000000000003</v>
      </c>
      <c r="AQ46" s="261">
        <f t="shared" si="5"/>
        <v>4.5540000000000003</v>
      </c>
      <c r="AR46" s="261">
        <f t="shared" si="22"/>
        <v>5.2989999999999995</v>
      </c>
    </row>
    <row r="47" spans="1:44">
      <c r="B47" s="71"/>
      <c r="C47" s="142"/>
      <c r="D47" s="142"/>
      <c r="E47" s="142"/>
      <c r="F47" s="142"/>
      <c r="G47" s="142"/>
      <c r="H47" s="142"/>
      <c r="I47" s="142"/>
      <c r="J47" s="142"/>
      <c r="K47" s="142"/>
      <c r="L47" s="142"/>
      <c r="M47" s="142"/>
      <c r="N47" s="142"/>
      <c r="O47" s="142"/>
      <c r="P47" s="142"/>
      <c r="Q47" s="142"/>
      <c r="R47" s="142"/>
      <c r="S47" s="142"/>
      <c r="T47" s="142"/>
      <c r="U47" s="142"/>
      <c r="V47" s="343"/>
      <c r="W47" s="343"/>
      <c r="X47" s="343"/>
      <c r="Y47" s="343"/>
      <c r="Z47" s="343"/>
      <c r="AA47" s="520"/>
      <c r="AB47" s="343"/>
      <c r="AC47" s="343"/>
      <c r="AD47" s="343"/>
      <c r="AE47" s="343"/>
      <c r="AF47" s="343"/>
      <c r="AG47" s="343"/>
      <c r="AH47" s="343"/>
    </row>
    <row r="48" spans="1:44" s="56" customFormat="1" ht="14.1" customHeight="1">
      <c r="B48" s="137" t="s">
        <v>290</v>
      </c>
      <c r="C48" s="138">
        <v>3.24</v>
      </c>
      <c r="D48" s="138">
        <v>3.61</v>
      </c>
      <c r="E48" s="138">
        <v>3.95</v>
      </c>
      <c r="F48" s="138">
        <v>3.81</v>
      </c>
      <c r="G48" s="138">
        <v>3.77</v>
      </c>
      <c r="H48" s="138">
        <v>3.92</v>
      </c>
      <c r="I48" s="138">
        <v>3.97</v>
      </c>
      <c r="J48" s="138">
        <v>4.12</v>
      </c>
      <c r="K48" s="138">
        <v>4.47</v>
      </c>
      <c r="L48" s="138">
        <v>5.39</v>
      </c>
      <c r="M48" s="138">
        <v>5.38</v>
      </c>
      <c r="N48" s="138">
        <v>5.39</v>
      </c>
      <c r="O48" s="138">
        <v>5.48</v>
      </c>
      <c r="P48" s="138">
        <v>5.29</v>
      </c>
      <c r="Q48" s="138">
        <v>5.23</v>
      </c>
      <c r="R48" s="138">
        <v>5.59</v>
      </c>
      <c r="S48" s="138">
        <v>5.23</v>
      </c>
      <c r="T48" s="138">
        <v>4.93</v>
      </c>
      <c r="U48" s="138">
        <v>5.25</v>
      </c>
      <c r="V48" s="336">
        <v>5.26</v>
      </c>
      <c r="W48" s="336">
        <v>5.2</v>
      </c>
      <c r="X48" s="336">
        <v>4.95</v>
      </c>
      <c r="Y48" s="336">
        <v>4.88</v>
      </c>
      <c r="Z48" s="336">
        <v>4.95</v>
      </c>
      <c r="AA48" s="516">
        <v>4.95</v>
      </c>
      <c r="AB48" s="336">
        <v>5.21</v>
      </c>
      <c r="AC48" s="336">
        <v>5.55</v>
      </c>
      <c r="AD48" s="336">
        <v>5.84</v>
      </c>
      <c r="AE48" s="336">
        <v>5.85</v>
      </c>
      <c r="AF48" s="336">
        <v>5.67</v>
      </c>
      <c r="AG48" s="336">
        <v>5.45</v>
      </c>
      <c r="AH48" s="336">
        <v>5.4</v>
      </c>
      <c r="AK48" s="138">
        <v>3.6557843999999999</v>
      </c>
      <c r="AL48" s="138">
        <v>3.9461185770751004</v>
      </c>
      <c r="AM48" s="138">
        <v>5.157772908366538</v>
      </c>
      <c r="AN48" s="138">
        <v>5.3955605577689196</v>
      </c>
      <c r="AO48" s="336">
        <v>5.17</v>
      </c>
      <c r="AP48" s="336">
        <v>4.994497770275216</v>
      </c>
      <c r="AQ48" s="336">
        <v>5.388891666666666</v>
      </c>
      <c r="AR48" s="336">
        <v>5.5924999999999994</v>
      </c>
    </row>
    <row r="49" spans="2:44" s="99" customFormat="1" ht="14.4">
      <c r="B49" s="137" t="s">
        <v>292</v>
      </c>
      <c r="C49" s="138">
        <v>3.32</v>
      </c>
      <c r="D49" s="138">
        <v>3.86</v>
      </c>
      <c r="E49" s="138">
        <v>4</v>
      </c>
      <c r="F49" s="138">
        <v>3.87</v>
      </c>
      <c r="G49" s="138">
        <v>3.9</v>
      </c>
      <c r="H49" s="138">
        <v>3.83</v>
      </c>
      <c r="I49" s="138">
        <v>4.16</v>
      </c>
      <c r="J49" s="138">
        <v>4.03</v>
      </c>
      <c r="K49" s="138">
        <v>5.2</v>
      </c>
      <c r="L49" s="138">
        <v>5.48</v>
      </c>
      <c r="M49" s="138">
        <v>5.64</v>
      </c>
      <c r="N49" s="138">
        <v>5.2</v>
      </c>
      <c r="O49" s="138">
        <v>5.7</v>
      </c>
      <c r="P49" s="138">
        <v>5</v>
      </c>
      <c r="Q49" s="138">
        <v>5.44</v>
      </c>
      <c r="R49" s="138">
        <v>5.58</v>
      </c>
      <c r="S49" s="138">
        <v>4.74</v>
      </c>
      <c r="T49" s="138">
        <v>5.24</v>
      </c>
      <c r="U49" s="138">
        <v>5.41</v>
      </c>
      <c r="V49" s="336">
        <v>5.22</v>
      </c>
      <c r="W49" s="336">
        <v>5.08</v>
      </c>
      <c r="X49" s="337">
        <v>4.82</v>
      </c>
      <c r="Y49" s="337">
        <v>5.01</v>
      </c>
      <c r="Z49" s="337">
        <v>4.84</v>
      </c>
      <c r="AA49" s="517">
        <v>5</v>
      </c>
      <c r="AB49" s="337">
        <v>5.56</v>
      </c>
      <c r="AC49" s="337">
        <v>5.45</v>
      </c>
      <c r="AD49" s="337">
        <v>6.19</v>
      </c>
      <c r="AE49" s="337">
        <v>5.78</v>
      </c>
      <c r="AF49" s="337">
        <v>5.46</v>
      </c>
      <c r="AG49" s="337">
        <v>5.32</v>
      </c>
      <c r="AH49" s="336">
        <v>5.5</v>
      </c>
      <c r="AK49" s="138">
        <v>3.8748</v>
      </c>
      <c r="AL49" s="138">
        <v>4.0307000000000004</v>
      </c>
      <c r="AM49" s="138">
        <v>5.1966999999999999</v>
      </c>
      <c r="AN49" s="138">
        <v>5.58</v>
      </c>
      <c r="AO49" s="138">
        <v>5.22</v>
      </c>
      <c r="AP49" s="138">
        <v>4.8413000000000004</v>
      </c>
      <c r="AQ49" s="138">
        <v>6.1923000000000004</v>
      </c>
      <c r="AR49" s="138">
        <v>5.78</v>
      </c>
    </row>
    <row r="50" spans="2:44" s="99" customFormat="1" ht="14.4">
      <c r="B50" s="140" t="s">
        <v>293</v>
      </c>
      <c r="C50" s="188">
        <v>2159</v>
      </c>
      <c r="D50" s="188">
        <v>2259</v>
      </c>
      <c r="E50" s="188">
        <v>2057</v>
      </c>
      <c r="F50" s="188">
        <v>1971</v>
      </c>
      <c r="G50" s="188">
        <v>1859</v>
      </c>
      <c r="H50" s="188">
        <v>1793</v>
      </c>
      <c r="I50" s="188">
        <v>1762</v>
      </c>
      <c r="J50" s="188">
        <v>1752</v>
      </c>
      <c r="K50" s="188">
        <v>1690</v>
      </c>
      <c r="L50" s="188">
        <v>1497</v>
      </c>
      <c r="M50" s="188">
        <v>1704</v>
      </c>
      <c r="N50" s="188">
        <v>1916</v>
      </c>
      <c r="O50" s="188">
        <v>2096</v>
      </c>
      <c r="P50" s="188">
        <v>2400</v>
      </c>
      <c r="Q50" s="188">
        <v>2648</v>
      </c>
      <c r="R50" s="188">
        <v>2762</v>
      </c>
      <c r="S50" s="188">
        <v>3280</v>
      </c>
      <c r="T50" s="188">
        <v>2875</v>
      </c>
      <c r="U50" s="188">
        <v>2354</v>
      </c>
      <c r="V50" s="338">
        <v>2324</v>
      </c>
      <c r="W50" s="338">
        <v>2395</v>
      </c>
      <c r="X50" s="338">
        <v>2258</v>
      </c>
      <c r="Y50" s="338">
        <v>2154</v>
      </c>
      <c r="Z50" s="338">
        <v>2190</v>
      </c>
      <c r="AA50" s="518">
        <v>2199</v>
      </c>
      <c r="AB50" s="338">
        <v>2520</v>
      </c>
      <c r="AC50" s="338">
        <v>2382</v>
      </c>
      <c r="AD50" s="338">
        <v>2575</v>
      </c>
      <c r="AE50" s="338">
        <v>2627</v>
      </c>
      <c r="AF50" s="338">
        <v>2448</v>
      </c>
      <c r="AG50" s="338">
        <v>2618</v>
      </c>
      <c r="AH50" s="579">
        <v>2827</v>
      </c>
      <c r="AK50" s="188">
        <v>2110.084980237154</v>
      </c>
      <c r="AL50" s="188">
        <v>1791.1304347826087</v>
      </c>
      <c r="AM50" s="188">
        <v>1704.017716535433</v>
      </c>
      <c r="AN50" s="188">
        <v>2479.620553359684</v>
      </c>
      <c r="AO50" s="188">
        <v>2703</v>
      </c>
      <c r="AP50" s="188">
        <v>2251.5628114794563</v>
      </c>
      <c r="AQ50" s="188">
        <v>2419</v>
      </c>
      <c r="AR50" s="188">
        <v>2630</v>
      </c>
    </row>
    <row r="51" spans="2:44">
      <c r="C51" s="71"/>
      <c r="D51" s="71"/>
      <c r="E51" s="71"/>
    </row>
    <row r="52" spans="2:44">
      <c r="C52" s="100"/>
      <c r="D52" s="100"/>
      <c r="E52" s="100"/>
      <c r="F52" s="100"/>
      <c r="G52" s="100"/>
      <c r="H52" s="100"/>
      <c r="I52" s="100"/>
      <c r="J52" s="100"/>
      <c r="K52" s="100"/>
      <c r="L52" s="100"/>
      <c r="M52" s="100"/>
      <c r="N52" s="100"/>
      <c r="O52" s="100"/>
      <c r="P52" s="100"/>
      <c r="Q52" s="100"/>
      <c r="R52" s="100"/>
      <c r="S52" s="100"/>
      <c r="T52" s="245"/>
      <c r="U52" s="245"/>
      <c r="V52" s="245"/>
      <c r="W52" s="245"/>
      <c r="X52" s="245"/>
      <c r="Y52" s="245"/>
      <c r="Z52" s="245"/>
      <c r="AA52" s="245"/>
      <c r="AB52" s="245"/>
      <c r="AC52" s="245"/>
      <c r="AD52" s="245"/>
      <c r="AE52" s="245"/>
      <c r="AF52" s="245"/>
      <c r="AG52" s="245"/>
      <c r="AH52" s="245"/>
    </row>
    <row r="58" spans="2:44" ht="14.4">
      <c r="Y58" s="188"/>
      <c r="Z58" s="188"/>
      <c r="AA58" s="523"/>
      <c r="AB58" s="523"/>
      <c r="AC58" s="523"/>
      <c r="AD58" s="523"/>
      <c r="AE58" s="523"/>
      <c r="AF58" s="523"/>
      <c r="AG58" s="523"/>
      <c r="AH58" s="523"/>
    </row>
  </sheetData>
  <phoneticPr fontId="87" type="noConversion"/>
  <pageMargins left="0.25" right="0.24" top="0.984251969" bottom="0.984251969" header="0.49212598499999999" footer="0.49212598499999999"/>
  <pageSetup paperSize="9" scale="77" orientation="landscape" r:id="rId1"/>
  <headerFooter alignWithMargins="0"/>
  <ignoredErrors>
    <ignoredError sqref="AD19 AP25 AP9:AP16 AP27:AP30 AP34:AP38 AP41:AP46 AP19:AP2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73"/>
  <sheetViews>
    <sheetView showGridLines="0" zoomScale="80" zoomScaleNormal="80" zoomScaleSheetLayoutView="90" workbookViewId="0">
      <selection activeCell="Z18" sqref="Z18"/>
    </sheetView>
  </sheetViews>
  <sheetFormatPr defaultColWidth="9.21875" defaultRowHeight="13.2" outlineLevelCol="1"/>
  <cols>
    <col min="1" max="1" width="2.21875" style="40" customWidth="1"/>
    <col min="2" max="2" width="40.77734375" style="40" bestFit="1" customWidth="1"/>
    <col min="3" max="13" width="10.21875" style="40" hidden="1" customWidth="1" outlineLevel="1"/>
    <col min="14" max="14" width="10.21875" style="286" hidden="1" customWidth="1" outlineLevel="1"/>
    <col min="15" max="15" width="10.21875" style="286" customWidth="1" collapsed="1"/>
    <col min="16" max="26" width="10.21875" style="286" customWidth="1"/>
    <col min="27" max="27" width="9.21875" style="40"/>
    <col min="28" max="31" width="9.21875" style="40" customWidth="1"/>
    <col min="32" max="16384" width="9.21875" style="40"/>
  </cols>
  <sheetData>
    <row r="1" spans="1:28">
      <c r="A1" s="18"/>
      <c r="B1" s="39"/>
    </row>
    <row r="2" spans="1:28">
      <c r="A2" s="18"/>
      <c r="B2" s="39"/>
    </row>
    <row r="3" spans="1:28">
      <c r="A3" s="18"/>
      <c r="B3" s="39"/>
    </row>
    <row r="4" spans="1:28" ht="21" customHeight="1">
      <c r="A4" s="18"/>
      <c r="B4" s="41"/>
    </row>
    <row r="5" spans="1:28">
      <c r="B5" s="68"/>
      <c r="C5" s="182"/>
      <c r="D5" s="182"/>
      <c r="E5" s="182"/>
      <c r="F5" s="182"/>
      <c r="G5" s="182"/>
      <c r="H5" s="182"/>
      <c r="I5" s="182"/>
      <c r="J5" s="182"/>
    </row>
    <row r="6" spans="1:28" s="33" customFormat="1" ht="14.25" customHeight="1" thickBot="1">
      <c r="B6" s="58" t="s">
        <v>23</v>
      </c>
      <c r="C6" s="59" t="s">
        <v>83</v>
      </c>
      <c r="D6" s="59" t="s">
        <v>84</v>
      </c>
      <c r="E6" s="59" t="s">
        <v>85</v>
      </c>
      <c r="F6" s="59" t="s">
        <v>86</v>
      </c>
      <c r="G6" s="59" t="s">
        <v>87</v>
      </c>
      <c r="H6" s="59" t="s">
        <v>88</v>
      </c>
      <c r="I6" s="59" t="s">
        <v>89</v>
      </c>
      <c r="J6" s="59" t="s">
        <v>90</v>
      </c>
      <c r="K6" s="59" t="s">
        <v>91</v>
      </c>
      <c r="L6" s="59" t="s">
        <v>92</v>
      </c>
      <c r="M6" s="59" t="s">
        <v>93</v>
      </c>
      <c r="N6" s="347" t="s">
        <v>331</v>
      </c>
      <c r="O6" s="347" t="s">
        <v>341</v>
      </c>
      <c r="P6" s="347" t="s">
        <v>374</v>
      </c>
      <c r="Q6" s="347" t="s">
        <v>382</v>
      </c>
      <c r="R6" s="347" t="s">
        <v>384</v>
      </c>
      <c r="S6" s="347" t="s">
        <v>461</v>
      </c>
      <c r="T6" s="347" t="s">
        <v>465</v>
      </c>
      <c r="U6" s="347" t="s">
        <v>466</v>
      </c>
      <c r="V6" s="347" t="s">
        <v>467</v>
      </c>
      <c r="W6" s="347" t="s">
        <v>513</v>
      </c>
      <c r="X6" s="347" t="s">
        <v>519</v>
      </c>
      <c r="Y6" s="347" t="s">
        <v>528</v>
      </c>
      <c r="Z6" s="347" t="s">
        <v>514</v>
      </c>
    </row>
    <row r="7" spans="1:28" ht="14.25" customHeight="1" thickTop="1">
      <c r="B7" s="43"/>
      <c r="D7" s="101"/>
    </row>
    <row r="8" spans="1:28" ht="14.25" customHeight="1" thickBot="1">
      <c r="B8" s="64" t="s">
        <v>210</v>
      </c>
      <c r="C8" s="65">
        <f>SUM(C9:C14)</f>
        <v>6299.1521599968</v>
      </c>
      <c r="D8" s="65">
        <f t="shared" ref="D8:U8" si="0">SUM(D9:D14)</f>
        <v>6656.3298933347087</v>
      </c>
      <c r="E8" s="65">
        <f t="shared" si="0"/>
        <v>6925.1271216895448</v>
      </c>
      <c r="F8" s="65">
        <f t="shared" si="0"/>
        <v>7365.0042710935559</v>
      </c>
      <c r="G8" s="65">
        <f t="shared" si="0"/>
        <v>7033.1031063665368</v>
      </c>
      <c r="H8" s="65">
        <f t="shared" si="0"/>
        <v>7382.2246150528581</v>
      </c>
      <c r="I8" s="65">
        <f t="shared" si="0"/>
        <v>8729.5719868550459</v>
      </c>
      <c r="J8" s="65">
        <f t="shared" si="0"/>
        <v>9096.126943351228</v>
      </c>
      <c r="K8" s="65">
        <f t="shared" si="0"/>
        <v>8895.9399474776619</v>
      </c>
      <c r="L8" s="65">
        <f t="shared" si="0"/>
        <v>9801.493175396281</v>
      </c>
      <c r="M8" s="65">
        <f t="shared" si="0"/>
        <v>11231.687817351461</v>
      </c>
      <c r="N8" s="65">
        <f t="shared" si="0"/>
        <v>11696.060101154852</v>
      </c>
      <c r="O8" s="65">
        <f t="shared" si="0"/>
        <v>11320.515529078099</v>
      </c>
      <c r="P8" s="65">
        <f t="shared" si="0"/>
        <v>11290.482750944222</v>
      </c>
      <c r="Q8" s="65">
        <f t="shared" si="0"/>
        <v>10629.99666441405</v>
      </c>
      <c r="R8" s="65">
        <f t="shared" si="0"/>
        <v>10160.475931142417</v>
      </c>
      <c r="S8" s="65">
        <f t="shared" si="0"/>
        <v>9897.3246713737863</v>
      </c>
      <c r="T8" s="65">
        <f t="shared" si="0"/>
        <v>10478.322253761082</v>
      </c>
      <c r="U8" s="65">
        <f t="shared" si="0"/>
        <v>10820</v>
      </c>
      <c r="V8" s="65">
        <v>11328.443984586842</v>
      </c>
      <c r="W8" s="65">
        <f>SUM(W9:W14)</f>
        <v>11562.454659615636</v>
      </c>
      <c r="X8" s="65">
        <f>SUM(X9:X14)</f>
        <v>12152</v>
      </c>
      <c r="Y8" s="65">
        <f>SUM(Y9:Y14)</f>
        <v>12121</v>
      </c>
      <c r="Z8" s="65">
        <f>SUM(Z9:Z14)</f>
        <v>12847</v>
      </c>
    </row>
    <row r="9" spans="1:28" ht="13.8">
      <c r="B9" s="85" t="s">
        <v>21</v>
      </c>
      <c r="C9" s="63">
        <v>2547.415873228033</v>
      </c>
      <c r="D9" s="63">
        <v>2457.9244625049264</v>
      </c>
      <c r="E9" s="63">
        <v>2391.3826231024741</v>
      </c>
      <c r="F9" s="63">
        <v>2475.0842806840878</v>
      </c>
      <c r="G9" s="63">
        <v>2507.4289222523876</v>
      </c>
      <c r="H9" s="63">
        <v>2512.5677629821694</v>
      </c>
      <c r="I9" s="63">
        <v>2628.3254078339442</v>
      </c>
      <c r="J9" s="63">
        <v>2841.4209267557235</v>
      </c>
      <c r="K9" s="63">
        <v>3251.6983634936764</v>
      </c>
      <c r="L9" s="63">
        <v>3558.8698497506593</v>
      </c>
      <c r="M9" s="63">
        <v>3705.1350370706427</v>
      </c>
      <c r="N9" s="63">
        <v>3852.6336422952922</v>
      </c>
      <c r="O9" s="63">
        <v>3896.6853745812373</v>
      </c>
      <c r="P9" s="63">
        <v>3793.7020145090887</v>
      </c>
      <c r="Q9" s="63">
        <v>3699.5528927149271</v>
      </c>
      <c r="R9" s="63">
        <v>3581.9715845460037</v>
      </c>
      <c r="S9" s="63">
        <v>3577.8487914125726</v>
      </c>
      <c r="T9" s="63">
        <v>3708.5707897548682</v>
      </c>
      <c r="U9" s="63">
        <v>3690</v>
      </c>
      <c r="V9" s="63">
        <v>3831.1134752453295</v>
      </c>
      <c r="W9" s="63">
        <v>4138</v>
      </c>
      <c r="X9" s="63">
        <v>4696</v>
      </c>
      <c r="Y9" s="63">
        <v>4571</v>
      </c>
      <c r="Z9" s="63">
        <v>4701</v>
      </c>
    </row>
    <row r="10" spans="1:28" ht="13.8">
      <c r="B10" s="83" t="s">
        <v>211</v>
      </c>
      <c r="C10" s="66">
        <v>1022.7875892395779</v>
      </c>
      <c r="D10" s="66">
        <v>1122.1625629089547</v>
      </c>
      <c r="E10" s="66">
        <v>1274.3703651368348</v>
      </c>
      <c r="F10" s="66">
        <v>1282.5869274210336</v>
      </c>
      <c r="G10" s="66">
        <v>1264.1244278163647</v>
      </c>
      <c r="H10" s="66">
        <v>1457.9295237393558</v>
      </c>
      <c r="I10" s="66">
        <v>1659.8912021197943</v>
      </c>
      <c r="J10" s="66">
        <v>2051.4174903212879</v>
      </c>
      <c r="K10" s="66">
        <v>2077.3831185579638</v>
      </c>
      <c r="L10" s="66">
        <v>2325.522928883192</v>
      </c>
      <c r="M10" s="66">
        <v>2890.3552036129968</v>
      </c>
      <c r="N10" s="66">
        <v>2987.3407809569717</v>
      </c>
      <c r="O10" s="66">
        <v>3006.2342836192543</v>
      </c>
      <c r="P10" s="66">
        <v>2733.5551755464198</v>
      </c>
      <c r="Q10" s="66">
        <v>2348.6431908067266</v>
      </c>
      <c r="R10" s="66">
        <v>2379.9150787195827</v>
      </c>
      <c r="S10" s="525">
        <v>1989.3626645767738</v>
      </c>
      <c r="T10" s="66">
        <v>1855.6885652941007</v>
      </c>
      <c r="U10" s="66">
        <v>1914</v>
      </c>
      <c r="V10" s="66">
        <v>2004.0572850046844</v>
      </c>
      <c r="W10" s="66">
        <v>2010.1419074580597</v>
      </c>
      <c r="X10" s="66">
        <v>2055</v>
      </c>
      <c r="Y10" s="66">
        <v>1996</v>
      </c>
      <c r="Z10" s="66">
        <v>2003</v>
      </c>
    </row>
    <row r="11" spans="1:28" ht="13.8">
      <c r="B11" s="83" t="s">
        <v>212</v>
      </c>
      <c r="C11" s="66">
        <v>947.77264281013299</v>
      </c>
      <c r="D11" s="66">
        <v>1037.1796758894861</v>
      </c>
      <c r="E11" s="66">
        <v>1337.725754159703</v>
      </c>
      <c r="F11" s="66">
        <v>1430.7595059626044</v>
      </c>
      <c r="G11" s="66">
        <v>1410.3301674969709</v>
      </c>
      <c r="H11" s="66">
        <v>1550.2439097803233</v>
      </c>
      <c r="I11" s="66">
        <v>2384.5944984892649</v>
      </c>
      <c r="J11" s="66">
        <v>2232.2805504492353</v>
      </c>
      <c r="K11" s="66">
        <v>1390.1616006069755</v>
      </c>
      <c r="L11" s="66">
        <v>1721.598038863531</v>
      </c>
      <c r="M11" s="66">
        <v>2116.7752175875175</v>
      </c>
      <c r="N11" s="66">
        <v>1942.316533232655</v>
      </c>
      <c r="O11" s="66">
        <v>1327.0472448493069</v>
      </c>
      <c r="P11" s="66">
        <v>1433.3839074880984</v>
      </c>
      <c r="Q11" s="66">
        <v>1596.9114816925817</v>
      </c>
      <c r="R11" s="66">
        <v>1431.3411177630426</v>
      </c>
      <c r="S11" s="525">
        <v>1468.724778917262</v>
      </c>
      <c r="T11" s="66">
        <v>2004.8228750095134</v>
      </c>
      <c r="U11" s="66">
        <v>2402</v>
      </c>
      <c r="V11" s="66">
        <v>2418.9973004962885</v>
      </c>
      <c r="W11" s="66">
        <v>2036.1804774355294</v>
      </c>
      <c r="X11" s="66">
        <v>1970</v>
      </c>
      <c r="Y11" s="66">
        <v>2201</v>
      </c>
      <c r="Z11" s="66">
        <v>2727</v>
      </c>
    </row>
    <row r="12" spans="1:28" ht="13.8">
      <c r="B12" s="83" t="s">
        <v>213</v>
      </c>
      <c r="C12" s="66">
        <v>216.49658012815254</v>
      </c>
      <c r="D12" s="66">
        <v>201.59753605064273</v>
      </c>
      <c r="E12" s="66">
        <v>282.56220284015166</v>
      </c>
      <c r="F12" s="66">
        <v>285.30969313503141</v>
      </c>
      <c r="G12" s="66">
        <v>255.10034094748326</v>
      </c>
      <c r="H12" s="66">
        <v>255.64743264321248</v>
      </c>
      <c r="I12" s="66">
        <v>304.57774917391777</v>
      </c>
      <c r="J12" s="66">
        <v>314.251855749237</v>
      </c>
      <c r="K12" s="66">
        <v>331.28797512910057</v>
      </c>
      <c r="L12" s="66">
        <v>387.14301215981538</v>
      </c>
      <c r="M12" s="66">
        <v>435.6520288598997</v>
      </c>
      <c r="N12" s="66">
        <v>507.32499685611515</v>
      </c>
      <c r="O12" s="66">
        <v>556.4748801484584</v>
      </c>
      <c r="P12" s="66">
        <v>562.82667996596024</v>
      </c>
      <c r="Q12" s="66">
        <v>469.82530952803398</v>
      </c>
      <c r="R12" s="66">
        <v>450.2137416983291</v>
      </c>
      <c r="S12" s="525">
        <v>437.81255233593936</v>
      </c>
      <c r="T12" s="66">
        <v>416.40647324606459</v>
      </c>
      <c r="U12" s="66">
        <v>423</v>
      </c>
      <c r="V12" s="66">
        <v>426.47164330139788</v>
      </c>
      <c r="W12" s="66">
        <v>504.16080982366742</v>
      </c>
      <c r="X12" s="66">
        <v>493</v>
      </c>
      <c r="Y12" s="66">
        <v>407</v>
      </c>
      <c r="Z12" s="66">
        <v>436</v>
      </c>
      <c r="AA12" s="200"/>
      <c r="AB12" s="200"/>
    </row>
    <row r="13" spans="1:28" ht="13.8">
      <c r="B13" s="83" t="s">
        <v>214</v>
      </c>
      <c r="C13" s="66">
        <v>802.48626527025613</v>
      </c>
      <c r="D13" s="66">
        <v>839.04217605237386</v>
      </c>
      <c r="E13" s="66">
        <v>808.61835496284164</v>
      </c>
      <c r="F13" s="66">
        <v>898.02021342072601</v>
      </c>
      <c r="G13" s="66">
        <v>760.36825349817718</v>
      </c>
      <c r="H13" s="66">
        <v>716.74897346782245</v>
      </c>
      <c r="I13" s="66">
        <v>752.97644789492904</v>
      </c>
      <c r="J13" s="66">
        <v>799.24755641472905</v>
      </c>
      <c r="K13" s="66">
        <v>890.52951967113529</v>
      </c>
      <c r="L13" s="66">
        <v>975.41448134922791</v>
      </c>
      <c r="M13" s="66">
        <v>1077.0208751183084</v>
      </c>
      <c r="N13" s="66">
        <v>1191.1320687119694</v>
      </c>
      <c r="O13" s="66">
        <v>1431.4268671134694</v>
      </c>
      <c r="P13" s="66">
        <v>1530.68272596888</v>
      </c>
      <c r="Q13" s="66">
        <v>1338.9714867462474</v>
      </c>
      <c r="R13" s="66">
        <v>1154.1336135015147</v>
      </c>
      <c r="S13" s="525">
        <v>1245.8437002491719</v>
      </c>
      <c r="T13" s="66">
        <v>1328.7083645323787</v>
      </c>
      <c r="U13" s="66">
        <v>1222</v>
      </c>
      <c r="V13" s="66">
        <v>1309.9008045802602</v>
      </c>
      <c r="W13" s="66">
        <v>1427.748004472407</v>
      </c>
      <c r="X13" s="66">
        <v>1579</v>
      </c>
      <c r="Y13" s="66">
        <v>1504</v>
      </c>
      <c r="Z13" s="66">
        <v>1486</v>
      </c>
      <c r="AA13" s="200"/>
      <c r="AB13" s="200"/>
    </row>
    <row r="14" spans="1:28" ht="13.8">
      <c r="B14" s="83" t="s">
        <v>215</v>
      </c>
      <c r="C14" s="66">
        <v>762.19320932064795</v>
      </c>
      <c r="D14" s="66">
        <v>998.42347992832515</v>
      </c>
      <c r="E14" s="66">
        <v>830.46782148753994</v>
      </c>
      <c r="F14" s="66">
        <v>993.24365047007382</v>
      </c>
      <c r="G14" s="66">
        <v>835.75099435515313</v>
      </c>
      <c r="H14" s="66">
        <v>889.08701243997439</v>
      </c>
      <c r="I14" s="66">
        <v>999.20668134319419</v>
      </c>
      <c r="J14" s="66">
        <v>857.50856366101414</v>
      </c>
      <c r="K14" s="66">
        <v>954.87937001881005</v>
      </c>
      <c r="L14" s="66">
        <v>832.94486438985643</v>
      </c>
      <c r="M14" s="66">
        <v>1006.7494551020962</v>
      </c>
      <c r="N14" s="66">
        <v>1215.3120791018464</v>
      </c>
      <c r="O14" s="66">
        <v>1102.6468787663719</v>
      </c>
      <c r="P14" s="66">
        <v>1236.3322474657759</v>
      </c>
      <c r="Q14" s="66">
        <v>1176.0923029255316</v>
      </c>
      <c r="R14" s="66">
        <v>1162.9007949139441</v>
      </c>
      <c r="S14" s="525">
        <v>1177.7321838820656</v>
      </c>
      <c r="T14" s="66">
        <v>1164.1251859241559</v>
      </c>
      <c r="U14" s="66">
        <v>1169</v>
      </c>
      <c r="V14" s="66">
        <v>1337.9034759588812</v>
      </c>
      <c r="W14" s="66">
        <v>1446.2234604259727</v>
      </c>
      <c r="X14" s="66">
        <v>1359</v>
      </c>
      <c r="Y14" s="66">
        <v>1442</v>
      </c>
      <c r="Z14" s="66">
        <v>1494</v>
      </c>
    </row>
    <row r="15" spans="1:28" ht="14.4" thickBot="1">
      <c r="B15" s="64" t="s">
        <v>216</v>
      </c>
      <c r="C15" s="65">
        <f>SUM(C16:C20)</f>
        <v>7293.1681516866356</v>
      </c>
      <c r="D15" s="65">
        <f t="shared" ref="D15:U15" si="1">SUM(D16:D20)</f>
        <v>7221.6231371067188</v>
      </c>
      <c r="E15" s="65">
        <f t="shared" si="1"/>
        <v>7529.0293614029752</v>
      </c>
      <c r="F15" s="65">
        <f t="shared" si="1"/>
        <v>8086.5073291608223</v>
      </c>
      <c r="G15" s="65">
        <f t="shared" si="1"/>
        <v>8138.8161433581936</v>
      </c>
      <c r="H15" s="65">
        <f t="shared" si="1"/>
        <v>8891.8907820241038</v>
      </c>
      <c r="I15" s="65">
        <f t="shared" si="1"/>
        <v>9785.6565983827677</v>
      </c>
      <c r="J15" s="65">
        <f t="shared" si="1"/>
        <v>10565.82305442381</v>
      </c>
      <c r="K15" s="65">
        <f t="shared" si="1"/>
        <v>10434.629665614139</v>
      </c>
      <c r="L15" s="65">
        <f t="shared" si="1"/>
        <v>10894.504433525095</v>
      </c>
      <c r="M15" s="65">
        <f t="shared" si="1"/>
        <v>12194.47082931815</v>
      </c>
      <c r="N15" s="65">
        <f t="shared" si="1"/>
        <v>13141.451784527617</v>
      </c>
      <c r="O15" s="65">
        <f t="shared" si="1"/>
        <v>13328.796962332179</v>
      </c>
      <c r="P15" s="65">
        <f t="shared" si="1"/>
        <v>12932.022751898032</v>
      </c>
      <c r="Q15" s="65">
        <f t="shared" si="1"/>
        <v>12079.831523360923</v>
      </c>
      <c r="R15" s="65">
        <f t="shared" si="1"/>
        <v>11418.091324536354</v>
      </c>
      <c r="S15" s="65">
        <f t="shared" si="1"/>
        <v>11252.206176253339</v>
      </c>
      <c r="T15" s="65">
        <f t="shared" si="1"/>
        <v>11618.70396665523</v>
      </c>
      <c r="U15" s="65">
        <f t="shared" si="1"/>
        <v>12398</v>
      </c>
      <c r="V15" s="65">
        <v>12454.42998268524</v>
      </c>
      <c r="W15" s="65">
        <f>SUM(W16:W20)</f>
        <v>12583.693556564005</v>
      </c>
      <c r="X15" s="65">
        <f>SUM(X16:X20)</f>
        <v>13887</v>
      </c>
      <c r="Y15" s="65">
        <f>SUM(Y16:Y20)</f>
        <v>13748</v>
      </c>
      <c r="Z15" s="65">
        <f>SUM(Z16:Z20)</f>
        <v>14017</v>
      </c>
    </row>
    <row r="16" spans="1:28" ht="13.8">
      <c r="B16" s="85" t="s">
        <v>210</v>
      </c>
      <c r="C16" s="63">
        <v>4243.3553785919457</v>
      </c>
      <c r="D16" s="63">
        <v>4476.5266177894518</v>
      </c>
      <c r="E16" s="63">
        <v>4651.4757597384623</v>
      </c>
      <c r="F16" s="63">
        <v>4942.3832660710941</v>
      </c>
      <c r="G16" s="63">
        <v>4996.5947034264336</v>
      </c>
      <c r="H16" s="63">
        <v>5432.7192948453458</v>
      </c>
      <c r="I16" s="63">
        <v>6475.750245570257</v>
      </c>
      <c r="J16" s="63">
        <v>6928.1177294861682</v>
      </c>
      <c r="K16" s="63">
        <v>6857.860245510099</v>
      </c>
      <c r="L16" s="63">
        <v>8559.6430165531183</v>
      </c>
      <c r="M16" s="63">
        <v>10125.034075931244</v>
      </c>
      <c r="N16" s="63">
        <v>9615.5907947286323</v>
      </c>
      <c r="O16" s="63">
        <v>8497.0125513424609</v>
      </c>
      <c r="P16" s="63">
        <v>8340.6971643378329</v>
      </c>
      <c r="Q16" s="63">
        <v>8146.1169223522493</v>
      </c>
      <c r="R16" s="63">
        <v>7474.3276540965198</v>
      </c>
      <c r="S16" s="63">
        <v>7290.6270782129495</v>
      </c>
      <c r="T16" s="63">
        <v>7879.4380051781227</v>
      </c>
      <c r="U16" s="63">
        <v>8308</v>
      </c>
      <c r="V16" s="63">
        <v>8710.8770815203588</v>
      </c>
      <c r="W16" s="63">
        <v>8963.3265534987167</v>
      </c>
      <c r="X16" s="63">
        <v>9224</v>
      </c>
      <c r="Y16" s="63">
        <v>9521</v>
      </c>
      <c r="Z16" s="63">
        <v>10071</v>
      </c>
    </row>
    <row r="17" spans="2:26" ht="13.8">
      <c r="B17" s="281" t="s">
        <v>217</v>
      </c>
      <c r="C17" s="66">
        <v>1940.7887547764337</v>
      </c>
      <c r="D17" s="66">
        <v>1463.0090936012823</v>
      </c>
      <c r="E17" s="66">
        <v>1792.837201107701</v>
      </c>
      <c r="F17" s="66">
        <v>1879.6485062660026</v>
      </c>
      <c r="G17" s="66">
        <v>1990.6598622076388</v>
      </c>
      <c r="H17" s="66">
        <v>2187.296634907007</v>
      </c>
      <c r="I17" s="66">
        <v>1913.6081965227531</v>
      </c>
      <c r="J17" s="66">
        <v>2319.3376904163997</v>
      </c>
      <c r="K17" s="66">
        <v>1956.0280479451674</v>
      </c>
      <c r="L17" s="66">
        <v>720.73952100587542</v>
      </c>
      <c r="M17" s="66">
        <v>366.10280652122105</v>
      </c>
      <c r="N17" s="66">
        <v>1544.6571761509999</v>
      </c>
      <c r="O17" s="66">
        <v>2793.1256858285774</v>
      </c>
      <c r="P17" s="66">
        <v>2758.1860199153684</v>
      </c>
      <c r="Q17" s="66">
        <v>2175.0797867146093</v>
      </c>
      <c r="R17" s="66">
        <v>2167.5740286813043</v>
      </c>
      <c r="S17" s="525">
        <v>2051.9498598207892</v>
      </c>
      <c r="T17" s="66">
        <v>2001.0941489167481</v>
      </c>
      <c r="U17" s="66">
        <v>2322</v>
      </c>
      <c r="V17" s="66">
        <v>1752.4985431996406</v>
      </c>
      <c r="W17" s="66">
        <v>1445.6136531309694</v>
      </c>
      <c r="X17" s="66">
        <v>2615</v>
      </c>
      <c r="Y17" s="66">
        <v>2046</v>
      </c>
      <c r="Z17" s="66">
        <v>1745</v>
      </c>
    </row>
    <row r="18" spans="2:26" ht="13.8">
      <c r="B18" s="281" t="s">
        <v>218</v>
      </c>
      <c r="C18" s="66">
        <v>199.08161596916</v>
      </c>
      <c r="D18" s="66">
        <v>152.85561384714342</v>
      </c>
      <c r="E18" s="66">
        <v>137.29683853581807</v>
      </c>
      <c r="F18" s="66">
        <v>150.65569233415366</v>
      </c>
      <c r="G18" s="66">
        <v>121.0964940739704</v>
      </c>
      <c r="H18" s="66">
        <v>222.50731332427628</v>
      </c>
      <c r="I18" s="66">
        <v>240.6188938264209</v>
      </c>
      <c r="J18" s="66">
        <v>273.34566202026343</v>
      </c>
      <c r="K18" s="66">
        <v>312.70748002274212</v>
      </c>
      <c r="L18" s="66">
        <v>296.5142549916726</v>
      </c>
      <c r="M18" s="66">
        <v>275.28139167487899</v>
      </c>
      <c r="N18" s="66">
        <v>345.12150523670391</v>
      </c>
      <c r="O18" s="66">
        <v>393.44174012643947</v>
      </c>
      <c r="P18" s="66">
        <v>370.11992598119718</v>
      </c>
      <c r="Q18" s="66">
        <v>267.72225148068935</v>
      </c>
      <c r="R18" s="66">
        <v>271.18678380184195</v>
      </c>
      <c r="S18" s="525">
        <v>304.61275610435752</v>
      </c>
      <c r="T18" s="66">
        <v>327.49339130442985</v>
      </c>
      <c r="U18" s="66">
        <v>326</v>
      </c>
      <c r="V18" s="66">
        <v>343.2550740020381</v>
      </c>
      <c r="W18" s="66">
        <v>392.63203283476491</v>
      </c>
      <c r="X18" s="66">
        <v>403</v>
      </c>
      <c r="Y18" s="66">
        <v>368</v>
      </c>
      <c r="Z18" s="66">
        <v>378</v>
      </c>
    </row>
    <row r="19" spans="2:26" ht="13.8">
      <c r="B19" s="281" t="s">
        <v>219</v>
      </c>
      <c r="C19" s="66">
        <v>249.78668091315163</v>
      </c>
      <c r="D19" s="66">
        <v>260.04583118475767</v>
      </c>
      <c r="E19" s="66">
        <v>244.20816627896249</v>
      </c>
      <c r="F19" s="66">
        <v>267.43909432408867</v>
      </c>
      <c r="G19" s="66">
        <v>247.03215820773116</v>
      </c>
      <c r="H19" s="66">
        <v>241.98656497574135</v>
      </c>
      <c r="I19" s="66">
        <v>250.70069444723973</v>
      </c>
      <c r="J19" s="66">
        <v>254.99174726201883</v>
      </c>
      <c r="K19" s="66">
        <v>286.76989571927612</v>
      </c>
      <c r="L19" s="66">
        <v>326.14402175661104</v>
      </c>
      <c r="M19" s="66">
        <v>336.92748211919223</v>
      </c>
      <c r="N19" s="66">
        <v>399.92744842395535</v>
      </c>
      <c r="O19" s="66">
        <v>416.42822970176411</v>
      </c>
      <c r="P19" s="66">
        <v>335.69497042310928</v>
      </c>
      <c r="Q19" s="66">
        <v>305.54117254600044</v>
      </c>
      <c r="R19" s="66">
        <v>297.70610529470196</v>
      </c>
      <c r="S19" s="525">
        <v>321.25142725641518</v>
      </c>
      <c r="T19" s="66">
        <v>328.3679402718559</v>
      </c>
      <c r="U19" s="66">
        <v>324</v>
      </c>
      <c r="V19" s="66">
        <v>355.26261470015561</v>
      </c>
      <c r="W19" s="66">
        <v>379.9500506134554</v>
      </c>
      <c r="X19" s="66">
        <v>382</v>
      </c>
      <c r="Y19" s="66">
        <v>338</v>
      </c>
      <c r="Z19" s="66">
        <v>326</v>
      </c>
    </row>
    <row r="20" spans="2:26" ht="13.8">
      <c r="B20" s="83" t="s">
        <v>215</v>
      </c>
      <c r="C20" s="66">
        <v>660.15572143594352</v>
      </c>
      <c r="D20" s="66">
        <v>869.18598068408403</v>
      </c>
      <c r="E20" s="66">
        <v>703.21139574203187</v>
      </c>
      <c r="F20" s="66">
        <v>846.3807701654822</v>
      </c>
      <c r="G20" s="66">
        <v>783.43292544241967</v>
      </c>
      <c r="H20" s="66">
        <v>807.3809739717334</v>
      </c>
      <c r="I20" s="66">
        <v>904.97856801609885</v>
      </c>
      <c r="J20" s="66">
        <v>790.03022523896095</v>
      </c>
      <c r="K20" s="66">
        <v>1021.2639964168536</v>
      </c>
      <c r="L20" s="66">
        <v>991.46361921781931</v>
      </c>
      <c r="M20" s="66">
        <v>1091.1250730716151</v>
      </c>
      <c r="N20" s="66">
        <v>1236.154859987324</v>
      </c>
      <c r="O20" s="66">
        <v>1228.7887553329367</v>
      </c>
      <c r="P20" s="66">
        <v>1127.324671240523</v>
      </c>
      <c r="Q20" s="66">
        <v>1185.3713902673749</v>
      </c>
      <c r="R20" s="66">
        <v>1207.2967526619857</v>
      </c>
      <c r="S20" s="525">
        <v>1283.7650548588279</v>
      </c>
      <c r="T20" s="66">
        <v>1082.3104809840725</v>
      </c>
      <c r="U20" s="66">
        <v>1118</v>
      </c>
      <c r="V20" s="66">
        <v>1292.5366692630464</v>
      </c>
      <c r="W20" s="66">
        <v>1402.1712664860981</v>
      </c>
      <c r="X20" s="66">
        <v>1263</v>
      </c>
      <c r="Y20" s="66">
        <v>1475</v>
      </c>
      <c r="Z20" s="66">
        <v>1497</v>
      </c>
    </row>
    <row r="21" spans="2:26" ht="14.4" thickBot="1">
      <c r="B21" s="64" t="s">
        <v>220</v>
      </c>
      <c r="C21" s="65">
        <v>13088.285413827907</v>
      </c>
      <c r="D21" s="65">
        <v>13155.473572396235</v>
      </c>
      <c r="E21" s="65">
        <v>13006.839445989628</v>
      </c>
      <c r="F21" s="65">
        <v>13340.788389252823</v>
      </c>
      <c r="G21" s="65">
        <v>13722.636907328157</v>
      </c>
      <c r="H21" s="65">
        <v>14208.544063842999</v>
      </c>
      <c r="I21" s="65">
        <v>15757.234814378156</v>
      </c>
      <c r="J21" s="65">
        <v>17109.143993479422</v>
      </c>
      <c r="K21" s="65">
        <v>18650.903508733201</v>
      </c>
      <c r="L21" s="65">
        <v>19152.88875926816</v>
      </c>
      <c r="M21" s="65">
        <v>20238.779966298422</v>
      </c>
      <c r="N21" s="65">
        <v>20404.899105776392</v>
      </c>
      <c r="O21" s="65">
        <v>19845.80344539143</v>
      </c>
      <c r="P21" s="65">
        <f t="shared" ref="P21" si="2">SUM(P22:P26)</f>
        <v>19204.834353828966</v>
      </c>
      <c r="Q21" s="65">
        <v>18983.288409848879</v>
      </c>
      <c r="R21" s="65">
        <v>18523.51916945626</v>
      </c>
      <c r="S21" s="524">
        <v>18103.485814975822</v>
      </c>
      <c r="T21" s="65">
        <v>18146.532916635071</v>
      </c>
      <c r="U21" s="65">
        <f>SUM(U22:U26)</f>
        <v>18854</v>
      </c>
      <c r="V21" s="65">
        <v>19632.458352830312</v>
      </c>
      <c r="W21" s="65">
        <f>SUM(W22:W26)</f>
        <v>20585.721432418377</v>
      </c>
      <c r="X21" s="65">
        <f>SUM(X22:X26)</f>
        <v>20947</v>
      </c>
      <c r="Y21" s="65">
        <f>SUM(Y22:Y26)</f>
        <v>21733</v>
      </c>
      <c r="Z21" s="65">
        <f>SUM(Z22:Z26)</f>
        <v>21905</v>
      </c>
    </row>
    <row r="22" spans="2:26" ht="13.8">
      <c r="B22" s="85" t="s">
        <v>210</v>
      </c>
      <c r="C22" s="66">
        <v>3322.8158183751084</v>
      </c>
      <c r="D22" s="66">
        <v>3230.5958065701725</v>
      </c>
      <c r="E22" s="66">
        <v>3081.3161096158938</v>
      </c>
      <c r="F22" s="66">
        <v>3142.7149165433093</v>
      </c>
      <c r="G22" s="66">
        <v>2937.1515373071725</v>
      </c>
      <c r="H22" s="66">
        <v>3401.9169204995128</v>
      </c>
      <c r="I22" s="66">
        <v>4264.5343117185967</v>
      </c>
      <c r="J22" s="66">
        <v>4872.8323376999206</v>
      </c>
      <c r="K22" s="66">
        <v>5050.5103522973586</v>
      </c>
      <c r="L22" s="66">
        <v>5638.6055388786999</v>
      </c>
      <c r="M22" s="66">
        <v>6056.2723835256047</v>
      </c>
      <c r="N22" s="66">
        <v>6399.8296684631741</v>
      </c>
      <c r="O22" s="66">
        <v>6629.4297700374273</v>
      </c>
      <c r="P22" s="66">
        <v>6775.1802766876272</v>
      </c>
      <c r="Q22" s="66">
        <v>5360.1635531755364</v>
      </c>
      <c r="R22" s="66">
        <v>4920.2056437745605</v>
      </c>
      <c r="S22" s="525">
        <v>5721.8346510295505</v>
      </c>
      <c r="T22" s="66">
        <v>5347.5511068189271</v>
      </c>
      <c r="U22" s="66">
        <v>5833</v>
      </c>
      <c r="V22" s="66">
        <v>6350.0475407596359</v>
      </c>
      <c r="W22" s="66">
        <v>6362.9783743683402</v>
      </c>
      <c r="X22" s="66">
        <v>6925</v>
      </c>
      <c r="Y22" s="66">
        <v>6990</v>
      </c>
      <c r="Z22" s="66">
        <v>6722</v>
      </c>
    </row>
    <row r="23" spans="2:26" ht="13.8">
      <c r="B23" s="281" t="s">
        <v>217</v>
      </c>
      <c r="C23" s="66">
        <v>4412.7186741665791</v>
      </c>
      <c r="D23" s="66">
        <v>4056.8339948169996</v>
      </c>
      <c r="E23" s="66">
        <v>5109.4370653792685</v>
      </c>
      <c r="F23" s="66">
        <v>5135.9122511774785</v>
      </c>
      <c r="G23" s="66">
        <v>6191.3184198095287</v>
      </c>
      <c r="H23" s="66">
        <v>5982.9527391877873</v>
      </c>
      <c r="I23" s="66">
        <v>6122.2252460747495</v>
      </c>
      <c r="J23" s="66">
        <v>6395.0577931964071</v>
      </c>
      <c r="K23" s="66">
        <v>7372.7727842137647</v>
      </c>
      <c r="L23" s="66">
        <v>7282.8221867380234</v>
      </c>
      <c r="M23" s="66">
        <v>7579.6785170927624</v>
      </c>
      <c r="N23" s="66">
        <v>7143.3451663230953</v>
      </c>
      <c r="O23" s="66">
        <v>6427.4127112104143</v>
      </c>
      <c r="P23" s="66">
        <v>5653.6849078879141</v>
      </c>
      <c r="Q23" s="66">
        <v>7009.4396126401989</v>
      </c>
      <c r="R23" s="66">
        <v>6787.3213821361815</v>
      </c>
      <c r="S23" s="525">
        <v>5234.9774427674365</v>
      </c>
      <c r="T23" s="66">
        <v>5806.3685773761417</v>
      </c>
      <c r="U23" s="66">
        <v>6218</v>
      </c>
      <c r="V23" s="66">
        <v>6017.3099765371271</v>
      </c>
      <c r="W23" s="66">
        <v>6582.9119117723112</v>
      </c>
      <c r="X23" s="66">
        <v>6207</v>
      </c>
      <c r="Y23" s="66">
        <v>6941</v>
      </c>
      <c r="Z23" s="66">
        <v>7573</v>
      </c>
    </row>
    <row r="24" spans="2:26" ht="13.8">
      <c r="B24" s="281" t="s">
        <v>218</v>
      </c>
      <c r="C24" s="66">
        <v>1518.3754583404657</v>
      </c>
      <c r="D24" s="66">
        <v>1604.3267430995281</v>
      </c>
      <c r="E24" s="66">
        <v>1498.3445720672335</v>
      </c>
      <c r="F24" s="66">
        <v>1436.8998875449856</v>
      </c>
      <c r="G24" s="66">
        <v>1498.6260771330737</v>
      </c>
      <c r="H24" s="66">
        <v>1700.1246204359138</v>
      </c>
      <c r="I24" s="66">
        <v>2001.9107328387518</v>
      </c>
      <c r="J24" s="66">
        <v>2132.9364424879964</v>
      </c>
      <c r="K24" s="66">
        <v>2245.208620199176</v>
      </c>
      <c r="L24" s="66">
        <v>2257.1095773381344</v>
      </c>
      <c r="M24" s="66">
        <v>2460.0373675547494</v>
      </c>
      <c r="N24" s="66">
        <v>2578.428623318031</v>
      </c>
      <c r="O24" s="66">
        <v>2399.1248641882585</v>
      </c>
      <c r="P24" s="66">
        <v>2218.4972666148637</v>
      </c>
      <c r="Q24" s="66">
        <v>2217.3911692949487</v>
      </c>
      <c r="R24" s="66">
        <v>2237.3744079303665</v>
      </c>
      <c r="S24" s="525">
        <v>2414.1738715850274</v>
      </c>
      <c r="T24" s="66">
        <v>2436.5794388636273</v>
      </c>
      <c r="U24" s="66">
        <v>2418</v>
      </c>
      <c r="V24" s="66">
        <v>2552.1122190467499</v>
      </c>
      <c r="W24" s="66">
        <v>2596.0493119388225</v>
      </c>
      <c r="X24" s="66">
        <v>2559</v>
      </c>
      <c r="Y24" s="66">
        <v>2439</v>
      </c>
      <c r="Z24" s="66">
        <v>2572</v>
      </c>
    </row>
    <row r="25" spans="2:26" ht="13.8">
      <c r="B25" s="281" t="s">
        <v>219</v>
      </c>
      <c r="C25" s="66">
        <v>2699.3612698432594</v>
      </c>
      <c r="D25" s="66">
        <v>2941.3689687313376</v>
      </c>
      <c r="E25" s="66">
        <v>2315.0122587481719</v>
      </c>
      <c r="F25" s="66">
        <v>2572.0611113801165</v>
      </c>
      <c r="G25" s="66">
        <v>2197.8230499555257</v>
      </c>
      <c r="H25" s="66">
        <v>2129.1411970999252</v>
      </c>
      <c r="I25" s="66">
        <v>2267.6561935580521</v>
      </c>
      <c r="J25" s="66">
        <v>2615.2687452066284</v>
      </c>
      <c r="K25" s="66">
        <v>2750.983196137684</v>
      </c>
      <c r="L25" s="66">
        <v>2854.2252004385132</v>
      </c>
      <c r="M25" s="66">
        <v>2946.3281955916204</v>
      </c>
      <c r="N25" s="66">
        <v>2929.1404158427354</v>
      </c>
      <c r="O25" s="66">
        <v>2951.6365243477962</v>
      </c>
      <c r="P25" s="66">
        <v>3045.7988303660795</v>
      </c>
      <c r="Q25" s="66">
        <v>3036.456348423792</v>
      </c>
      <c r="R25" s="66">
        <v>3226.1166268553293</v>
      </c>
      <c r="S25" s="525">
        <v>3158.1391477795255</v>
      </c>
      <c r="T25" s="66">
        <v>3233.8006224500205</v>
      </c>
      <c r="U25" s="66">
        <v>3034</v>
      </c>
      <c r="V25" s="66">
        <v>3165.9784664774088</v>
      </c>
      <c r="W25" s="66">
        <v>3425.2328249262409</v>
      </c>
      <c r="X25" s="66">
        <v>3699</v>
      </c>
      <c r="Y25" s="66">
        <v>3674</v>
      </c>
      <c r="Z25" s="66">
        <v>3369</v>
      </c>
    </row>
    <row r="26" spans="2:26" ht="13.8">
      <c r="B26" s="83" t="s">
        <v>215</v>
      </c>
      <c r="C26" s="66">
        <v>1135.0141931024962</v>
      </c>
      <c r="D26" s="66">
        <v>1322.3480591781979</v>
      </c>
      <c r="E26" s="66">
        <v>1002.7294401790618</v>
      </c>
      <c r="F26" s="66">
        <v>1053.2002226069324</v>
      </c>
      <c r="G26" s="66">
        <v>897.71782312285802</v>
      </c>
      <c r="H26" s="66">
        <v>994.40858661986067</v>
      </c>
      <c r="I26" s="66">
        <v>1100.9083301880071</v>
      </c>
      <c r="J26" s="66">
        <v>1093.0486748884689</v>
      </c>
      <c r="K26" s="66">
        <v>1231.4285558852162</v>
      </c>
      <c r="L26" s="66">
        <v>1120.1262558747928</v>
      </c>
      <c r="M26" s="66">
        <v>1196.4635025336872</v>
      </c>
      <c r="N26" s="66">
        <v>1354.1552318293559</v>
      </c>
      <c r="O26" s="66">
        <v>1438.1995756075337</v>
      </c>
      <c r="P26" s="66">
        <v>1511.6730722724826</v>
      </c>
      <c r="Q26" s="66">
        <v>1359.8377263144021</v>
      </c>
      <c r="R26" s="66">
        <v>1352.5011087598216</v>
      </c>
      <c r="S26" s="525">
        <v>1574.3607018142816</v>
      </c>
      <c r="T26" s="66">
        <v>1322.2331711263523</v>
      </c>
      <c r="U26" s="66">
        <v>1351</v>
      </c>
      <c r="V26" s="66">
        <v>1547.0101500093886</v>
      </c>
      <c r="W26" s="66">
        <v>1618.5490094126633</v>
      </c>
      <c r="X26" s="66">
        <v>1557</v>
      </c>
      <c r="Y26" s="66">
        <v>1689</v>
      </c>
      <c r="Z26" s="66">
        <v>1669</v>
      </c>
    </row>
    <row r="27" spans="2:26" ht="13.8">
      <c r="B27" s="83"/>
      <c r="C27" s="66"/>
      <c r="D27" s="66"/>
      <c r="E27" s="66"/>
      <c r="F27" s="66"/>
      <c r="G27" s="66"/>
      <c r="H27" s="66"/>
      <c r="I27" s="66"/>
      <c r="J27" s="66"/>
      <c r="K27" s="66"/>
      <c r="L27" s="66"/>
      <c r="M27" s="66"/>
      <c r="N27" s="66"/>
      <c r="O27" s="66"/>
      <c r="P27" s="66"/>
      <c r="Q27" s="66"/>
      <c r="R27" s="66"/>
      <c r="S27" s="525"/>
      <c r="T27" s="66"/>
      <c r="U27" s="66" t="s">
        <v>468</v>
      </c>
      <c r="V27" s="66"/>
      <c r="W27" s="66"/>
      <c r="X27" s="66"/>
      <c r="Y27" s="66"/>
      <c r="Z27" s="66"/>
    </row>
    <row r="28" spans="2:26" ht="14.4" thickBot="1">
      <c r="B28" s="64" t="s">
        <v>221</v>
      </c>
      <c r="C28" s="65">
        <v>161.27436600000001</v>
      </c>
      <c r="D28" s="65">
        <v>161.376162502</v>
      </c>
      <c r="E28" s="65">
        <v>181.64663899999999</v>
      </c>
      <c r="F28" s="65">
        <v>193.447865111</v>
      </c>
      <c r="G28" s="65">
        <v>196.21373000100002</v>
      </c>
      <c r="H28" s="65">
        <v>202.10549281900001</v>
      </c>
      <c r="I28" s="65">
        <v>199.22940149300001</v>
      </c>
      <c r="J28" s="65">
        <v>196.31945432499998</v>
      </c>
      <c r="K28" s="65">
        <v>182.447001443</v>
      </c>
      <c r="L28" s="65">
        <v>184.84109272000001</v>
      </c>
      <c r="M28" s="65">
        <v>196.530335159</v>
      </c>
      <c r="N28" s="65">
        <v>190.2891425819999</v>
      </c>
      <c r="O28" s="65">
        <v>176.061848075</v>
      </c>
      <c r="P28" s="65">
        <f t="shared" ref="P28" si="3">SUM(P29:P31)</f>
        <v>177.59957083400002</v>
      </c>
      <c r="Q28" s="65">
        <v>188.261334342</v>
      </c>
      <c r="R28" s="65">
        <v>197.82499554000003</v>
      </c>
      <c r="S28" s="524">
        <v>193.80223609113</v>
      </c>
      <c r="T28" s="65">
        <v>206.70591785060998</v>
      </c>
      <c r="U28" s="65">
        <f>SUM(U29:U31)</f>
        <v>211</v>
      </c>
      <c r="V28" s="65">
        <v>208.58821916253004</v>
      </c>
      <c r="W28" s="65">
        <f>SUM(W29:W31)</f>
        <v>196.48032214695999</v>
      </c>
      <c r="X28" s="65">
        <f>SUM(X29:X31)</f>
        <v>192</v>
      </c>
      <c r="Y28" s="65">
        <f>SUM(Y29:Y31)</f>
        <v>204</v>
      </c>
      <c r="Z28" s="65">
        <f>SUM(Z29:Z31)</f>
        <v>208</v>
      </c>
    </row>
    <row r="29" spans="2:26" ht="13.8">
      <c r="B29" s="85" t="s">
        <v>210</v>
      </c>
      <c r="C29" s="194">
        <v>72.272445000000005</v>
      </c>
      <c r="D29" s="194">
        <v>72.227784501999992</v>
      </c>
      <c r="E29" s="194">
        <v>79.473219999999998</v>
      </c>
      <c r="F29" s="194">
        <v>83.346918111000008</v>
      </c>
      <c r="G29" s="194">
        <v>84.548930001000002</v>
      </c>
      <c r="H29" s="194">
        <v>86.888590002000001</v>
      </c>
      <c r="I29" s="194">
        <v>87.091770006000004</v>
      </c>
      <c r="J29" s="194">
        <v>86.400676505999996</v>
      </c>
      <c r="K29" s="194">
        <v>83.667260000000013</v>
      </c>
      <c r="L29" s="194">
        <v>85.175390499999992</v>
      </c>
      <c r="M29" s="194">
        <v>91.339854502999998</v>
      </c>
      <c r="N29" s="194">
        <v>87.168257002999894</v>
      </c>
      <c r="O29" s="194">
        <v>79.028820004000011</v>
      </c>
      <c r="P29" s="194">
        <v>80.075796003000008</v>
      </c>
      <c r="Q29" s="194">
        <v>83.937843002999998</v>
      </c>
      <c r="R29" s="194">
        <v>86.502492001000007</v>
      </c>
      <c r="S29" s="526">
        <v>87.68945500800001</v>
      </c>
      <c r="T29" s="194">
        <v>90.507502504000001</v>
      </c>
      <c r="U29" s="194">
        <v>93</v>
      </c>
      <c r="V29" s="194">
        <v>93.322045052999997</v>
      </c>
      <c r="W29" s="194">
        <v>88.334765003999991</v>
      </c>
      <c r="X29" s="194">
        <v>86</v>
      </c>
      <c r="Y29" s="194">
        <v>93</v>
      </c>
      <c r="Z29" s="194">
        <v>93</v>
      </c>
    </row>
    <row r="30" spans="2:26" ht="13.8">
      <c r="B30" s="83" t="s">
        <v>222</v>
      </c>
      <c r="C30" s="194">
        <v>63.037610000000001</v>
      </c>
      <c r="D30" s="194">
        <v>62.985299000000005</v>
      </c>
      <c r="E30" s="194">
        <v>68.960170000000005</v>
      </c>
      <c r="F30" s="194">
        <v>73.689449999999994</v>
      </c>
      <c r="G30" s="194">
        <v>72.463149999999999</v>
      </c>
      <c r="H30" s="194">
        <v>75.94041</v>
      </c>
      <c r="I30" s="194">
        <v>73.380390000000006</v>
      </c>
      <c r="J30" s="194">
        <v>73.417880000000011</v>
      </c>
      <c r="K30" s="194">
        <v>64.611249360000002</v>
      </c>
      <c r="L30" s="194">
        <v>64.368763999999999</v>
      </c>
      <c r="M30" s="194">
        <v>70.215000000000003</v>
      </c>
      <c r="N30" s="194">
        <v>69.278499999999994</v>
      </c>
      <c r="O30" s="194">
        <v>62.527000000000001</v>
      </c>
      <c r="P30" s="194">
        <v>65.203000000000003</v>
      </c>
      <c r="Q30" s="194">
        <v>73.047714963000004</v>
      </c>
      <c r="R30" s="194">
        <v>80.094974555999997</v>
      </c>
      <c r="S30" s="526">
        <v>74.63741892713</v>
      </c>
      <c r="T30" s="194">
        <v>82.688686902609987</v>
      </c>
      <c r="U30" s="194">
        <v>82</v>
      </c>
      <c r="V30" s="194">
        <v>80.298310205530015</v>
      </c>
      <c r="W30" s="194">
        <v>74.919504410960002</v>
      </c>
      <c r="X30" s="194">
        <v>74</v>
      </c>
      <c r="Y30" s="194">
        <v>79</v>
      </c>
      <c r="Z30" s="194">
        <v>81</v>
      </c>
    </row>
    <row r="31" spans="2:26" ht="13.8">
      <c r="B31" s="195" t="s">
        <v>223</v>
      </c>
      <c r="C31" s="196">
        <v>25.964311000000002</v>
      </c>
      <c r="D31" s="196">
        <v>26.163078999999996</v>
      </c>
      <c r="E31" s="196">
        <v>33.213248999999998</v>
      </c>
      <c r="F31" s="196">
        <v>36.411497000000004</v>
      </c>
      <c r="G31" s="196">
        <v>39.201650000000001</v>
      </c>
      <c r="H31" s="196">
        <v>39.276492817000005</v>
      </c>
      <c r="I31" s="196">
        <v>38.757241487000002</v>
      </c>
      <c r="J31" s="196">
        <v>36.500897819000002</v>
      </c>
      <c r="K31" s="196">
        <v>34.168492082999997</v>
      </c>
      <c r="L31" s="196">
        <v>35.296938220000001</v>
      </c>
      <c r="M31" s="196">
        <v>34.975480656000002</v>
      </c>
      <c r="N31" s="196">
        <v>33.842385579000002</v>
      </c>
      <c r="O31" s="196">
        <v>34.506028071000003</v>
      </c>
      <c r="P31" s="196">
        <v>32.320774831000001</v>
      </c>
      <c r="Q31" s="196">
        <v>31.275776376000003</v>
      </c>
      <c r="R31" s="196">
        <v>31.227528983000003</v>
      </c>
      <c r="S31" s="527">
        <v>31.475362156000003</v>
      </c>
      <c r="T31" s="196">
        <v>33.509728444000004</v>
      </c>
      <c r="U31" s="196">
        <v>36</v>
      </c>
      <c r="V31" s="196">
        <v>34.967863903999998</v>
      </c>
      <c r="W31" s="196">
        <v>33.226052731999999</v>
      </c>
      <c r="X31" s="196">
        <v>32</v>
      </c>
      <c r="Y31" s="196">
        <v>32</v>
      </c>
      <c r="Z31" s="196">
        <v>34</v>
      </c>
    </row>
    <row r="32" spans="2:26" ht="13.8">
      <c r="B32" s="197"/>
      <c r="C32" s="63"/>
      <c r="D32" s="63"/>
      <c r="E32" s="63"/>
      <c r="F32" s="63"/>
      <c r="G32" s="63"/>
      <c r="H32" s="63"/>
      <c r="I32" s="63"/>
      <c r="J32" s="63"/>
      <c r="K32" s="63"/>
      <c r="L32" s="63"/>
      <c r="M32" s="63"/>
      <c r="N32" s="63"/>
      <c r="O32" s="63"/>
      <c r="P32" s="63"/>
      <c r="Q32" s="63"/>
      <c r="R32" s="63"/>
      <c r="S32" s="63"/>
      <c r="T32" s="63"/>
      <c r="U32" s="63"/>
      <c r="V32" s="63"/>
      <c r="W32" s="63"/>
      <c r="X32" s="63"/>
      <c r="Y32" s="63"/>
      <c r="Z32" s="63"/>
    </row>
    <row r="33" spans="1:35" ht="13.8">
      <c r="B33" s="85"/>
      <c r="C33" s="63"/>
      <c r="D33" s="63"/>
      <c r="E33" s="63"/>
      <c r="F33" s="63"/>
      <c r="G33" s="63"/>
      <c r="H33" s="63"/>
      <c r="I33" s="63"/>
      <c r="J33" s="63"/>
      <c r="K33" s="63"/>
      <c r="L33" s="63"/>
      <c r="M33" s="63"/>
      <c r="N33" s="63"/>
      <c r="O33" s="63"/>
      <c r="P33" s="63"/>
      <c r="Q33" s="63"/>
      <c r="R33" s="63"/>
      <c r="S33" s="63"/>
      <c r="T33" s="63"/>
      <c r="U33" s="63"/>
      <c r="V33" s="63"/>
      <c r="W33" s="63"/>
      <c r="X33" s="63"/>
      <c r="Y33" s="63"/>
      <c r="Z33" s="63"/>
    </row>
    <row r="34" spans="1:35" ht="14.4" thickBot="1">
      <c r="B34" s="75" t="s">
        <v>199</v>
      </c>
      <c r="C34" s="59" t="s">
        <v>83</v>
      </c>
      <c r="D34" s="59" t="s">
        <v>84</v>
      </c>
      <c r="E34" s="59" t="s">
        <v>85</v>
      </c>
      <c r="F34" s="59" t="s">
        <v>86</v>
      </c>
      <c r="G34" s="59" t="s">
        <v>87</v>
      </c>
      <c r="H34" s="59" t="s">
        <v>88</v>
      </c>
      <c r="I34" s="59" t="s">
        <v>89</v>
      </c>
      <c r="J34" s="59" t="s">
        <v>90</v>
      </c>
      <c r="K34" s="59" t="s">
        <v>91</v>
      </c>
      <c r="L34" s="59" t="str">
        <f>L6</f>
        <v>2Q22</v>
      </c>
      <c r="M34" s="59" t="s">
        <v>93</v>
      </c>
      <c r="N34" s="347" t="s">
        <v>331</v>
      </c>
      <c r="O34" s="347" t="s">
        <v>341</v>
      </c>
      <c r="P34" s="347" t="s">
        <v>374</v>
      </c>
      <c r="Q34" s="347" t="s">
        <v>382</v>
      </c>
      <c r="R34" s="347" t="s">
        <v>384</v>
      </c>
      <c r="S34" s="347" t="str">
        <f>S6</f>
        <v>1Q24</v>
      </c>
      <c r="T34" s="347" t="str">
        <f t="shared" ref="T34:Y34" si="4">T6</f>
        <v>2Q24</v>
      </c>
      <c r="U34" s="347" t="str">
        <f t="shared" si="4"/>
        <v>3Q24</v>
      </c>
      <c r="V34" s="347" t="str">
        <f t="shared" si="4"/>
        <v>4Q24</v>
      </c>
      <c r="W34" s="347" t="str">
        <f t="shared" si="4"/>
        <v>1Q25</v>
      </c>
      <c r="X34" s="347" t="str">
        <f t="shared" si="4"/>
        <v>2Q25</v>
      </c>
      <c r="Y34" s="347" t="str">
        <f t="shared" si="4"/>
        <v>3Q25</v>
      </c>
      <c r="Z34" s="347" t="str">
        <f t="shared" ref="Z34" si="5">Z6</f>
        <v>4Q25</v>
      </c>
    </row>
    <row r="35" spans="1:35" ht="14.25" customHeight="1" thickTop="1">
      <c r="B35" s="43"/>
      <c r="D35" s="101"/>
    </row>
    <row r="36" spans="1:35" s="33" customFormat="1" ht="14.4" thickBot="1">
      <c r="B36" s="64" t="s">
        <v>19</v>
      </c>
      <c r="C36" s="65">
        <v>257.0148306836154</v>
      </c>
      <c r="D36" s="65">
        <v>234.25802908974217</v>
      </c>
      <c r="E36" s="65">
        <v>289.21935207391061</v>
      </c>
      <c r="F36" s="65">
        <v>374.76262896323374</v>
      </c>
      <c r="G36" s="65">
        <v>415.52722624156172</v>
      </c>
      <c r="H36" s="65">
        <v>414.45236635587469</v>
      </c>
      <c r="I36" s="65">
        <v>666.63779163909066</v>
      </c>
      <c r="J36" s="65">
        <v>711.97076493422014</v>
      </c>
      <c r="K36" s="65">
        <v>550.47058903801474</v>
      </c>
      <c r="L36" s="65">
        <v>657.73795070698907</v>
      </c>
      <c r="M36" s="65">
        <v>477.75029220920021</v>
      </c>
      <c r="N36" s="65">
        <v>400.2897317348428</v>
      </c>
      <c r="O36" s="65">
        <v>473.43832657283099</v>
      </c>
      <c r="P36" s="65">
        <f t="shared" ref="P36" si="6">SUM(P37:P38)</f>
        <v>409.58742932244843</v>
      </c>
      <c r="Q36" s="65">
        <v>420.95584013340795</v>
      </c>
      <c r="R36" s="65">
        <v>390.65117507567061</v>
      </c>
      <c r="S36" s="524">
        <f>SUM(S37:S38)</f>
        <v>327.61873620391395</v>
      </c>
      <c r="T36" s="524">
        <f t="shared" ref="T36:X36" si="7">SUM(T37:T38)</f>
        <v>397.34824753504233</v>
      </c>
      <c r="U36" s="524">
        <f t="shared" si="7"/>
        <v>430</v>
      </c>
      <c r="V36" s="524">
        <f t="shared" si="7"/>
        <v>383.39197569424255</v>
      </c>
      <c r="W36" s="524">
        <f t="shared" si="7"/>
        <v>438</v>
      </c>
      <c r="X36" s="524">
        <f t="shared" si="7"/>
        <v>345</v>
      </c>
      <c r="Y36" s="65">
        <v>383</v>
      </c>
      <c r="Z36" s="65">
        <v>311</v>
      </c>
    </row>
    <row r="37" spans="1:35" ht="14.4" thickBot="1">
      <c r="B37" s="86" t="s">
        <v>103</v>
      </c>
      <c r="C37" s="87">
        <v>81.434300853942773</v>
      </c>
      <c r="D37" s="87">
        <v>50.74784324783267</v>
      </c>
      <c r="E37" s="87">
        <v>87.98157277411218</v>
      </c>
      <c r="F37" s="87">
        <v>104.18744450970667</v>
      </c>
      <c r="G37" s="87">
        <v>92.492754424862966</v>
      </c>
      <c r="H37" s="87">
        <v>99.268639492147145</v>
      </c>
      <c r="I37" s="87">
        <v>118.72318004768745</v>
      </c>
      <c r="J37" s="87">
        <v>133.47393628483206</v>
      </c>
      <c r="K37" s="87">
        <v>187.7215562676987</v>
      </c>
      <c r="L37" s="87">
        <v>207.35587113103355</v>
      </c>
      <c r="M37" s="87">
        <v>253.27824174550042</v>
      </c>
      <c r="N37" s="87">
        <v>220.96137976605036</v>
      </c>
      <c r="O37" s="87">
        <v>197.47962396900027</v>
      </c>
      <c r="P37" s="87">
        <v>172.0002046777164</v>
      </c>
      <c r="Q37" s="87">
        <v>153.058200504556</v>
      </c>
      <c r="R37" s="87">
        <v>156.8010760305817</v>
      </c>
      <c r="S37" s="528">
        <v>166.48437962620389</v>
      </c>
      <c r="T37" s="87">
        <v>155.11313298813977</v>
      </c>
      <c r="U37" s="87">
        <v>225</v>
      </c>
      <c r="V37" s="87">
        <v>171.85693097424257</v>
      </c>
      <c r="W37" s="87">
        <v>192</v>
      </c>
      <c r="X37" s="87">
        <v>231</v>
      </c>
      <c r="Y37" s="87">
        <v>228</v>
      </c>
      <c r="Z37" s="87">
        <v>163</v>
      </c>
    </row>
    <row r="38" spans="1:35" ht="14.4" thickBot="1">
      <c r="B38" s="64" t="s">
        <v>224</v>
      </c>
      <c r="C38" s="65">
        <v>175</v>
      </c>
      <c r="D38" s="65">
        <v>184</v>
      </c>
      <c r="E38" s="65">
        <v>201</v>
      </c>
      <c r="F38" s="65">
        <v>271</v>
      </c>
      <c r="G38" s="65">
        <v>323</v>
      </c>
      <c r="H38" s="65">
        <v>315</v>
      </c>
      <c r="I38" s="65">
        <v>548</v>
      </c>
      <c r="J38" s="65">
        <v>578</v>
      </c>
      <c r="K38" s="65">
        <v>370</v>
      </c>
      <c r="L38" s="65">
        <v>450.38207957595552</v>
      </c>
      <c r="M38" s="65">
        <v>224.47205046369982</v>
      </c>
      <c r="N38" s="65">
        <v>179.32835196879242</v>
      </c>
      <c r="O38" s="65">
        <v>275.95870260383072</v>
      </c>
      <c r="P38" s="65">
        <f t="shared" ref="P38" si="8">SUM(P39:P41)</f>
        <v>237.58722464473203</v>
      </c>
      <c r="Q38" s="65">
        <v>267.89763962885195</v>
      </c>
      <c r="R38" s="65">
        <v>233.85009904508891</v>
      </c>
      <c r="S38" s="524">
        <v>161.13435657771004</v>
      </c>
      <c r="T38" s="65">
        <v>242.23511454690257</v>
      </c>
      <c r="U38" s="65">
        <v>205</v>
      </c>
      <c r="V38" s="65">
        <v>211.53504472</v>
      </c>
      <c r="W38" s="65">
        <f t="shared" ref="W38:Y38" si="9">SUM(W39:W41)</f>
        <v>246</v>
      </c>
      <c r="X38" s="65">
        <f t="shared" si="9"/>
        <v>114</v>
      </c>
      <c r="Y38" s="65">
        <f t="shared" si="9"/>
        <v>155</v>
      </c>
      <c r="Z38" s="65">
        <f>SUM(Z39:Z41)</f>
        <v>149</v>
      </c>
    </row>
    <row r="39" spans="1:35" ht="13.8">
      <c r="B39" s="84" t="s">
        <v>225</v>
      </c>
      <c r="C39" s="67">
        <v>85</v>
      </c>
      <c r="D39" s="67">
        <v>63</v>
      </c>
      <c r="E39" s="67">
        <v>68</v>
      </c>
      <c r="F39" s="67">
        <v>219</v>
      </c>
      <c r="G39" s="67">
        <v>198</v>
      </c>
      <c r="H39" s="67">
        <v>231</v>
      </c>
      <c r="I39" s="67">
        <v>363</v>
      </c>
      <c r="J39" s="67">
        <v>431</v>
      </c>
      <c r="K39" s="67">
        <v>232</v>
      </c>
      <c r="L39" s="67">
        <v>8.1503125334999531</v>
      </c>
      <c r="M39" s="67">
        <v>0</v>
      </c>
      <c r="N39" s="67">
        <v>18.012631770000006</v>
      </c>
      <c r="O39" s="67">
        <v>104.61798372</v>
      </c>
      <c r="P39" s="67">
        <v>58.751715080000039</v>
      </c>
      <c r="Q39" s="67">
        <v>46.889823539137602</v>
      </c>
      <c r="R39" s="67">
        <v>5.5430527008623596</v>
      </c>
      <c r="S39" s="529">
        <v>0</v>
      </c>
      <c r="T39" s="67">
        <v>0</v>
      </c>
      <c r="U39" s="67">
        <v>0</v>
      </c>
      <c r="V39" s="67">
        <v>0</v>
      </c>
      <c r="W39" s="67" t="s">
        <v>521</v>
      </c>
      <c r="X39" s="67" t="s">
        <v>521</v>
      </c>
      <c r="Y39" s="67">
        <v>0</v>
      </c>
      <c r="Z39" s="67">
        <v>0</v>
      </c>
    </row>
    <row r="40" spans="1:35" s="18" customFormat="1" ht="13.8">
      <c r="B40" s="84" t="s">
        <v>29</v>
      </c>
      <c r="C40" s="67">
        <v>37</v>
      </c>
      <c r="D40" s="67">
        <v>65</v>
      </c>
      <c r="E40" s="67">
        <v>69</v>
      </c>
      <c r="F40" s="67" t="s">
        <v>373</v>
      </c>
      <c r="G40" s="67">
        <v>79</v>
      </c>
      <c r="H40" s="67">
        <v>42</v>
      </c>
      <c r="I40" s="67">
        <v>138</v>
      </c>
      <c r="J40" s="67">
        <v>82</v>
      </c>
      <c r="K40" s="67">
        <v>80</v>
      </c>
      <c r="L40" s="67">
        <v>190.05876842000001</v>
      </c>
      <c r="M40" s="67">
        <v>106.6479229</v>
      </c>
      <c r="N40" s="67">
        <v>48.402552880000002</v>
      </c>
      <c r="O40" s="67">
        <v>63.196630599999992</v>
      </c>
      <c r="P40" s="67">
        <v>54.956602880000005</v>
      </c>
      <c r="Q40" s="67">
        <v>103.68918823000001</v>
      </c>
      <c r="R40" s="67">
        <v>106.28331817</v>
      </c>
      <c r="S40" s="529">
        <v>64.718781890000002</v>
      </c>
      <c r="T40" s="67">
        <v>138.38534986000002</v>
      </c>
      <c r="U40" s="67">
        <v>92</v>
      </c>
      <c r="V40" s="67">
        <v>92.535044720000002</v>
      </c>
      <c r="W40" s="67">
        <v>139</v>
      </c>
      <c r="X40" s="67" t="s">
        <v>521</v>
      </c>
      <c r="Y40" s="67">
        <v>0</v>
      </c>
      <c r="Z40" s="67">
        <v>0</v>
      </c>
    </row>
    <row r="41" spans="1:35" ht="13.8">
      <c r="B41" s="84" t="s">
        <v>108</v>
      </c>
      <c r="C41" s="67">
        <v>53</v>
      </c>
      <c r="D41" s="67">
        <v>56</v>
      </c>
      <c r="E41" s="67">
        <v>64</v>
      </c>
      <c r="F41" s="67">
        <v>51</v>
      </c>
      <c r="G41" s="67">
        <v>46</v>
      </c>
      <c r="H41" s="67">
        <v>42</v>
      </c>
      <c r="I41" s="67">
        <v>47</v>
      </c>
      <c r="J41" s="67">
        <v>65</v>
      </c>
      <c r="K41" s="67">
        <v>58</v>
      </c>
      <c r="L41" s="67">
        <v>252.17299862245557</v>
      </c>
      <c r="M41" s="67">
        <v>117.82412756369983</v>
      </c>
      <c r="N41" s="67">
        <v>112.9131673187924</v>
      </c>
      <c r="O41" s="67">
        <v>108.14408828383074</v>
      </c>
      <c r="P41" s="67">
        <v>123.87890668473197</v>
      </c>
      <c r="Q41" s="67">
        <v>117.31862785971434</v>
      </c>
      <c r="R41" s="67">
        <v>122.02372817422655</v>
      </c>
      <c r="S41" s="529">
        <v>96.415574687710034</v>
      </c>
      <c r="T41" s="67">
        <v>103.84976468690255</v>
      </c>
      <c r="U41" s="67">
        <v>113</v>
      </c>
      <c r="V41" s="67">
        <v>119</v>
      </c>
      <c r="W41" s="67">
        <v>107</v>
      </c>
      <c r="X41" s="67">
        <v>114</v>
      </c>
      <c r="Y41" s="67">
        <v>155</v>
      </c>
      <c r="Z41" s="67">
        <v>149</v>
      </c>
    </row>
    <row r="42" spans="1:35">
      <c r="B42" s="198"/>
      <c r="C42" s="182"/>
      <c r="D42" s="182"/>
      <c r="E42" s="182"/>
      <c r="F42" s="182"/>
      <c r="G42" s="182"/>
      <c r="H42" s="182"/>
      <c r="I42" s="182"/>
      <c r="J42" s="182"/>
    </row>
    <row r="43" spans="1:35" ht="14.4" thickBot="1">
      <c r="B43" s="69" t="s">
        <v>226</v>
      </c>
      <c r="C43" s="69"/>
      <c r="D43" s="69"/>
      <c r="E43" s="69"/>
      <c r="F43" s="69"/>
      <c r="G43" s="69"/>
      <c r="H43" s="69"/>
      <c r="I43" s="69"/>
      <c r="J43" s="69"/>
      <c r="K43" s="69"/>
      <c r="L43" s="69"/>
      <c r="M43" s="69"/>
      <c r="N43" s="348"/>
      <c r="O43" s="348"/>
      <c r="P43" s="348"/>
      <c r="Q43" s="348"/>
      <c r="R43" s="348"/>
      <c r="S43" s="348"/>
      <c r="T43" s="348"/>
      <c r="U43" s="348"/>
      <c r="V43" s="348"/>
      <c r="W43" s="348"/>
      <c r="X43" s="348"/>
      <c r="Y43" s="348"/>
      <c r="Z43" s="348"/>
      <c r="AA43" s="69"/>
      <c r="AB43" s="69"/>
      <c r="AC43" s="69"/>
      <c r="AD43" s="69"/>
      <c r="AE43" s="69"/>
      <c r="AF43" s="69"/>
      <c r="AG43" s="201"/>
      <c r="AH43" s="201"/>
      <c r="AI43" s="201"/>
    </row>
    <row r="44" spans="1:35" ht="14.4" thickTop="1">
      <c r="B44" s="203" t="s">
        <v>210</v>
      </c>
      <c r="C44" s="204"/>
      <c r="D44" s="205"/>
      <c r="E44" s="205"/>
      <c r="F44" s="205"/>
      <c r="G44" s="205"/>
      <c r="H44" s="205"/>
      <c r="I44" s="205"/>
      <c r="J44" s="205"/>
      <c r="K44" s="205"/>
      <c r="L44" s="205"/>
      <c r="M44" s="205"/>
      <c r="N44" s="349"/>
      <c r="O44" s="349"/>
      <c r="P44" s="349"/>
      <c r="Q44" s="349"/>
      <c r="R44" s="349"/>
      <c r="S44" s="349"/>
      <c r="T44" s="349"/>
      <c r="U44" s="349"/>
      <c r="V44" s="349"/>
      <c r="W44" s="349"/>
      <c r="X44" s="349"/>
      <c r="Y44" s="349"/>
      <c r="Z44" s="349"/>
      <c r="AA44" s="205"/>
      <c r="AB44" s="205"/>
      <c r="AC44" s="205"/>
      <c r="AD44" s="205"/>
      <c r="AE44" s="205"/>
      <c r="AF44" s="205"/>
      <c r="AG44" s="202"/>
      <c r="AH44" s="202"/>
      <c r="AI44" s="202"/>
    </row>
    <row r="45" spans="1:35" s="250" customFormat="1" ht="14.25" customHeight="1">
      <c r="A45" s="40"/>
      <c r="B45" s="205" t="s">
        <v>24</v>
      </c>
      <c r="C45" s="624" t="s">
        <v>348</v>
      </c>
      <c r="D45" s="624"/>
      <c r="E45" s="624"/>
      <c r="F45" s="624"/>
      <c r="G45" s="624"/>
      <c r="H45" s="624"/>
      <c r="I45" s="624"/>
      <c r="J45" s="624"/>
      <c r="K45" s="624"/>
      <c r="L45" s="624"/>
      <c r="M45" s="624"/>
      <c r="N45" s="624"/>
      <c r="O45" s="624"/>
      <c r="P45" s="624"/>
      <c r="Q45" s="624"/>
      <c r="R45" s="624"/>
      <c r="S45" s="624"/>
      <c r="T45" s="624"/>
      <c r="U45" s="624"/>
      <c r="V45" s="624"/>
      <c r="W45" s="624"/>
      <c r="X45" s="624"/>
      <c r="Y45" s="624"/>
      <c r="Z45" s="624"/>
      <c r="AA45" s="624"/>
      <c r="AB45" s="624"/>
      <c r="AC45" s="624"/>
      <c r="AD45" s="624"/>
      <c r="AE45" s="624"/>
      <c r="AF45" s="205"/>
      <c r="AG45" s="202"/>
      <c r="AH45" s="202"/>
      <c r="AI45" s="202"/>
    </row>
    <row r="46" spans="1:35" s="250" customFormat="1" ht="14.25" customHeight="1">
      <c r="A46" s="40"/>
      <c r="B46" s="205"/>
      <c r="C46" s="624"/>
      <c r="D46" s="624"/>
      <c r="E46" s="624"/>
      <c r="F46" s="624"/>
      <c r="G46" s="624"/>
      <c r="H46" s="624"/>
      <c r="I46" s="624"/>
      <c r="J46" s="624"/>
      <c r="K46" s="624"/>
      <c r="L46" s="624"/>
      <c r="M46" s="624"/>
      <c r="N46" s="624"/>
      <c r="O46" s="624"/>
      <c r="P46" s="624"/>
      <c r="Q46" s="624"/>
      <c r="R46" s="624"/>
      <c r="S46" s="624"/>
      <c r="T46" s="624"/>
      <c r="U46" s="624"/>
      <c r="V46" s="624"/>
      <c r="W46" s="624"/>
      <c r="X46" s="624"/>
      <c r="Y46" s="624"/>
      <c r="Z46" s="624"/>
      <c r="AA46" s="624"/>
      <c r="AB46" s="624"/>
      <c r="AC46" s="624"/>
      <c r="AD46" s="624"/>
      <c r="AE46" s="624"/>
      <c r="AF46" s="205"/>
      <c r="AG46" s="202"/>
      <c r="AH46" s="202"/>
      <c r="AI46" s="202"/>
    </row>
    <row r="47" spans="1:35" s="250" customFormat="1" ht="14.25" customHeight="1">
      <c r="A47" s="40"/>
      <c r="B47" s="205"/>
      <c r="C47" s="624"/>
      <c r="D47" s="624"/>
      <c r="E47" s="624"/>
      <c r="F47" s="624"/>
      <c r="G47" s="624"/>
      <c r="H47" s="624"/>
      <c r="I47" s="624"/>
      <c r="J47" s="624"/>
      <c r="K47" s="624"/>
      <c r="L47" s="624"/>
      <c r="M47" s="624"/>
      <c r="N47" s="624"/>
      <c r="O47" s="624"/>
      <c r="P47" s="624"/>
      <c r="Q47" s="624"/>
      <c r="R47" s="624"/>
      <c r="S47" s="624"/>
      <c r="T47" s="624"/>
      <c r="U47" s="624"/>
      <c r="V47" s="624"/>
      <c r="W47" s="624"/>
      <c r="X47" s="624"/>
      <c r="Y47" s="624"/>
      <c r="Z47" s="624"/>
      <c r="AA47" s="624"/>
      <c r="AB47" s="624"/>
      <c r="AC47" s="624"/>
      <c r="AD47" s="624"/>
      <c r="AE47" s="624"/>
      <c r="AF47" s="205"/>
      <c r="AG47" s="202"/>
      <c r="AH47" s="202"/>
      <c r="AI47" s="202"/>
    </row>
    <row r="48" spans="1:35" ht="14.25" customHeight="1">
      <c r="B48" s="205" t="s">
        <v>227</v>
      </c>
      <c r="C48" s="204" t="s">
        <v>239</v>
      </c>
      <c r="D48" s="205"/>
      <c r="E48" s="205"/>
      <c r="F48" s="205"/>
      <c r="G48" s="205"/>
      <c r="H48" s="205"/>
      <c r="I48" s="205"/>
      <c r="J48" s="205"/>
      <c r="K48" s="205"/>
      <c r="L48" s="205"/>
      <c r="M48" s="205"/>
      <c r="N48" s="349"/>
      <c r="O48" s="349"/>
      <c r="P48" s="349"/>
      <c r="Q48" s="349"/>
      <c r="R48" s="349"/>
      <c r="S48" s="349"/>
      <c r="T48" s="349"/>
      <c r="U48" s="349"/>
      <c r="V48" s="349"/>
      <c r="W48" s="349"/>
      <c r="X48" s="349"/>
      <c r="Y48" s="349"/>
      <c r="Z48" s="349"/>
      <c r="AA48" s="205"/>
      <c r="AB48" s="205"/>
      <c r="AC48" s="205"/>
      <c r="AD48" s="205"/>
      <c r="AE48" s="205"/>
      <c r="AF48" s="205"/>
      <c r="AG48" s="202"/>
      <c r="AH48" s="202"/>
      <c r="AI48" s="202"/>
    </row>
    <row r="49" spans="2:35" ht="14.25" customHeight="1">
      <c r="B49" s="204" t="s">
        <v>228</v>
      </c>
      <c r="C49" s="204" t="s">
        <v>240</v>
      </c>
      <c r="D49" s="204"/>
      <c r="E49" s="204"/>
      <c r="F49" s="204"/>
      <c r="G49" s="204"/>
      <c r="H49" s="204"/>
      <c r="I49" s="204"/>
      <c r="J49" s="204"/>
      <c r="K49" s="204"/>
      <c r="L49" s="204"/>
      <c r="M49" s="204"/>
      <c r="N49" s="350"/>
      <c r="O49" s="350"/>
      <c r="P49" s="350"/>
      <c r="Q49" s="350"/>
      <c r="R49" s="350"/>
      <c r="S49" s="350"/>
      <c r="T49" s="350"/>
      <c r="U49" s="350"/>
      <c r="V49" s="350"/>
      <c r="W49" s="350"/>
      <c r="X49" s="350"/>
      <c r="Y49" s="350"/>
      <c r="Z49" s="350"/>
      <c r="AA49" s="204"/>
      <c r="AB49" s="204"/>
      <c r="AC49" s="205"/>
      <c r="AD49" s="205"/>
      <c r="AE49" s="205"/>
      <c r="AF49" s="205"/>
      <c r="AG49" s="202"/>
      <c r="AH49" s="202"/>
      <c r="AI49" s="202"/>
    </row>
    <row r="50" spans="2:35" ht="13.8">
      <c r="B50" s="205" t="s">
        <v>229</v>
      </c>
      <c r="C50" s="282" t="s">
        <v>241</v>
      </c>
      <c r="D50" s="205"/>
      <c r="E50" s="205"/>
      <c r="F50" s="205"/>
      <c r="G50" s="205"/>
      <c r="H50" s="205"/>
      <c r="I50" s="205"/>
      <c r="J50" s="205"/>
      <c r="K50" s="205"/>
      <c r="L50" s="205"/>
      <c r="M50" s="205"/>
      <c r="N50" s="349"/>
      <c r="O50" s="349"/>
      <c r="P50" s="349"/>
      <c r="Q50" s="349"/>
      <c r="R50" s="349"/>
      <c r="S50" s="349"/>
      <c r="T50" s="349"/>
      <c r="U50" s="349"/>
      <c r="V50" s="349"/>
      <c r="W50" s="349"/>
      <c r="X50" s="349"/>
      <c r="Y50" s="349"/>
      <c r="Z50" s="349"/>
      <c r="AA50" s="205"/>
      <c r="AB50" s="205"/>
      <c r="AC50" s="205"/>
      <c r="AD50" s="205"/>
      <c r="AE50" s="205"/>
      <c r="AF50" s="205"/>
      <c r="AG50" s="202"/>
      <c r="AH50" s="202"/>
      <c r="AI50" s="202"/>
    </row>
    <row r="51" spans="2:35" ht="13.8">
      <c r="B51" s="71" t="s">
        <v>230</v>
      </c>
      <c r="C51" s="204" t="s">
        <v>242</v>
      </c>
      <c r="D51" s="205"/>
      <c r="E51" s="205"/>
      <c r="F51" s="205"/>
      <c r="G51" s="205"/>
      <c r="H51" s="205"/>
      <c r="I51" s="205"/>
      <c r="J51" s="205"/>
      <c r="K51" s="205"/>
      <c r="L51" s="205"/>
      <c r="M51" s="205"/>
      <c r="N51" s="349"/>
      <c r="O51" s="349"/>
      <c r="P51" s="349"/>
      <c r="Q51" s="349"/>
      <c r="R51" s="349"/>
      <c r="S51" s="349"/>
      <c r="T51" s="349"/>
      <c r="U51" s="349"/>
      <c r="V51" s="349"/>
      <c r="W51" s="349"/>
      <c r="X51" s="349"/>
      <c r="Y51" s="349"/>
      <c r="Z51" s="349"/>
      <c r="AA51" s="205"/>
      <c r="AB51" s="205"/>
      <c r="AC51" s="205"/>
      <c r="AD51" s="205"/>
      <c r="AE51" s="205"/>
      <c r="AF51" s="205"/>
      <c r="AG51" s="202"/>
      <c r="AH51" s="202"/>
      <c r="AI51" s="202"/>
    </row>
    <row r="52" spans="2:35" ht="13.8">
      <c r="B52" s="205" t="s">
        <v>231</v>
      </c>
      <c r="C52" s="204" t="s">
        <v>243</v>
      </c>
      <c r="D52" s="205"/>
      <c r="E52" s="205"/>
      <c r="F52" s="205"/>
      <c r="G52" s="205"/>
      <c r="H52" s="205"/>
      <c r="I52" s="205"/>
      <c r="J52" s="205"/>
      <c r="K52" s="205"/>
      <c r="L52" s="205"/>
      <c r="M52" s="205"/>
      <c r="N52" s="349"/>
      <c r="O52" s="349"/>
      <c r="P52" s="349"/>
      <c r="Q52" s="349"/>
      <c r="R52" s="349"/>
      <c r="S52" s="349"/>
      <c r="T52" s="349"/>
      <c r="U52" s="349"/>
      <c r="V52" s="349"/>
      <c r="W52" s="349"/>
      <c r="X52" s="349"/>
      <c r="Y52" s="349"/>
      <c r="Z52" s="349"/>
      <c r="AA52" s="205"/>
      <c r="AB52" s="205"/>
      <c r="AC52" s="205"/>
      <c r="AD52" s="205"/>
      <c r="AE52" s="205"/>
      <c r="AF52" s="205"/>
      <c r="AG52" s="202"/>
      <c r="AH52" s="202"/>
      <c r="AI52" s="202"/>
    </row>
    <row r="53" spans="2:35" ht="13.8">
      <c r="B53" s="205"/>
      <c r="C53" s="204"/>
      <c r="D53" s="205"/>
      <c r="E53" s="205"/>
      <c r="F53" s="205"/>
      <c r="G53" s="205"/>
      <c r="H53" s="205"/>
      <c r="I53" s="205"/>
      <c r="J53" s="205"/>
      <c r="K53" s="205"/>
      <c r="L53" s="205"/>
      <c r="M53" s="205"/>
      <c r="N53" s="349"/>
      <c r="O53" s="349"/>
      <c r="P53" s="349"/>
      <c r="Q53" s="349"/>
      <c r="R53" s="349"/>
      <c r="S53" s="349"/>
      <c r="T53" s="349"/>
      <c r="U53" s="349"/>
      <c r="V53" s="349"/>
      <c r="W53" s="349"/>
      <c r="X53" s="349"/>
      <c r="Y53" s="349"/>
      <c r="Z53" s="349"/>
      <c r="AA53" s="205"/>
      <c r="AB53" s="205"/>
      <c r="AC53" s="205"/>
      <c r="AD53" s="205"/>
      <c r="AE53" s="205"/>
      <c r="AF53" s="205"/>
      <c r="AG53" s="202"/>
      <c r="AH53" s="202"/>
      <c r="AI53" s="202"/>
    </row>
    <row r="54" spans="2:35" ht="13.8">
      <c r="B54" s="203" t="s">
        <v>222</v>
      </c>
      <c r="C54" s="204"/>
      <c r="D54" s="205"/>
      <c r="E54" s="205"/>
      <c r="F54" s="205"/>
      <c r="G54" s="205"/>
      <c r="H54" s="205"/>
      <c r="I54" s="205"/>
      <c r="J54" s="205"/>
      <c r="K54" s="205"/>
      <c r="L54" s="205"/>
      <c r="M54" s="205"/>
      <c r="N54" s="349"/>
      <c r="O54" s="349"/>
      <c r="P54" s="349"/>
      <c r="Q54" s="349"/>
      <c r="R54" s="349"/>
      <c r="S54" s="349"/>
      <c r="T54" s="349"/>
      <c r="U54" s="349"/>
      <c r="V54" s="349"/>
      <c r="W54" s="349"/>
      <c r="X54" s="349"/>
      <c r="Y54" s="349"/>
      <c r="Z54" s="349"/>
      <c r="AA54" s="205"/>
      <c r="AB54" s="205"/>
      <c r="AC54" s="205"/>
      <c r="AD54" s="205"/>
      <c r="AE54" s="205"/>
      <c r="AF54" s="205"/>
      <c r="AG54" s="202"/>
      <c r="AH54" s="202"/>
      <c r="AI54" s="202"/>
    </row>
    <row r="55" spans="2:35" ht="14.25" customHeight="1">
      <c r="B55" s="205" t="s">
        <v>232</v>
      </c>
      <c r="C55" s="623" t="s">
        <v>244</v>
      </c>
      <c r="D55" s="623"/>
      <c r="E55" s="623"/>
      <c r="F55" s="623"/>
      <c r="G55" s="623"/>
      <c r="H55" s="623"/>
      <c r="I55" s="623"/>
      <c r="J55" s="623"/>
      <c r="K55" s="623"/>
      <c r="L55" s="623"/>
      <c r="M55" s="623"/>
      <c r="N55" s="623"/>
      <c r="O55" s="623"/>
      <c r="P55" s="623"/>
      <c r="Q55" s="623"/>
      <c r="R55" s="623"/>
      <c r="S55" s="623"/>
      <c r="T55" s="623"/>
      <c r="U55" s="623"/>
      <c r="V55" s="623"/>
      <c r="W55" s="623"/>
      <c r="X55" s="623"/>
      <c r="Y55" s="623"/>
      <c r="Z55" s="623"/>
      <c r="AA55" s="623"/>
      <c r="AB55" s="623"/>
      <c r="AC55" s="623"/>
      <c r="AD55" s="623"/>
      <c r="AE55" s="623"/>
      <c r="AF55" s="282"/>
      <c r="AG55" s="202"/>
      <c r="AH55" s="202"/>
      <c r="AI55" s="202"/>
    </row>
    <row r="56" spans="2:35" ht="13.8">
      <c r="B56" s="205" t="s">
        <v>233</v>
      </c>
      <c r="C56" s="204" t="s">
        <v>245</v>
      </c>
      <c r="D56" s="204"/>
      <c r="E56" s="204"/>
      <c r="F56" s="204"/>
      <c r="G56" s="204"/>
      <c r="H56" s="204"/>
      <c r="I56" s="204"/>
      <c r="J56" s="204"/>
      <c r="K56" s="204"/>
      <c r="L56" s="204"/>
      <c r="M56" s="204"/>
      <c r="N56" s="350"/>
      <c r="O56" s="350" t="s">
        <v>522</v>
      </c>
      <c r="P56" s="350"/>
      <c r="Q56" s="350"/>
      <c r="R56" s="350"/>
      <c r="S56" s="350"/>
      <c r="T56" s="350"/>
      <c r="U56" s="350"/>
      <c r="V56" s="350"/>
      <c r="W56" s="350"/>
      <c r="X56" s="350"/>
      <c r="Y56" s="350"/>
      <c r="Z56" s="350"/>
      <c r="AA56" s="204"/>
      <c r="AB56" s="204"/>
      <c r="AC56" s="204"/>
      <c r="AD56" s="204"/>
      <c r="AE56" s="204"/>
      <c r="AF56" s="204"/>
      <c r="AG56" s="202"/>
      <c r="AH56" s="202"/>
      <c r="AI56" s="202"/>
    </row>
    <row r="57" spans="2:35" ht="13.8">
      <c r="B57" s="205" t="s">
        <v>229</v>
      </c>
      <c r="C57" s="282" t="s">
        <v>246</v>
      </c>
      <c r="D57" s="204"/>
      <c r="E57" s="204"/>
      <c r="F57" s="204"/>
      <c r="G57" s="204"/>
      <c r="H57" s="204"/>
      <c r="I57" s="204"/>
      <c r="J57" s="204"/>
      <c r="K57" s="204"/>
      <c r="L57" s="204"/>
      <c r="M57" s="204"/>
      <c r="N57" s="350"/>
      <c r="O57" s="350"/>
      <c r="P57" s="350"/>
      <c r="Q57" s="350"/>
      <c r="R57" s="350"/>
      <c r="S57" s="350"/>
      <c r="T57" s="350"/>
      <c r="U57" s="350"/>
      <c r="V57" s="350"/>
      <c r="W57" s="350"/>
      <c r="X57" s="350"/>
      <c r="Y57" s="350"/>
      <c r="Z57" s="350"/>
      <c r="AA57" s="204"/>
      <c r="AB57" s="204"/>
      <c r="AC57" s="204"/>
      <c r="AD57" s="204"/>
      <c r="AE57" s="204"/>
      <c r="AF57" s="204"/>
      <c r="AG57" s="202"/>
      <c r="AH57" s="202"/>
      <c r="AI57" s="202"/>
    </row>
    <row r="58" spans="2:35" ht="13.8">
      <c r="B58" s="205" t="s">
        <v>234</v>
      </c>
      <c r="C58" s="204" t="s">
        <v>247</v>
      </c>
      <c r="D58" s="204"/>
      <c r="E58" s="204"/>
      <c r="F58" s="204"/>
      <c r="G58" s="204"/>
      <c r="H58" s="204"/>
      <c r="I58" s="204"/>
      <c r="J58" s="204"/>
      <c r="K58" s="204"/>
      <c r="L58" s="204"/>
      <c r="M58" s="204"/>
      <c r="N58" s="350"/>
      <c r="O58" s="350"/>
      <c r="P58" s="350"/>
      <c r="Q58" s="350"/>
      <c r="R58" s="350"/>
      <c r="S58" s="350"/>
      <c r="T58" s="350"/>
      <c r="U58" s="350"/>
      <c r="V58" s="350"/>
      <c r="W58" s="350"/>
      <c r="X58" s="350"/>
      <c r="Y58" s="350"/>
      <c r="Z58" s="350"/>
      <c r="AA58" s="204"/>
      <c r="AB58" s="204"/>
      <c r="AC58" s="204"/>
      <c r="AD58" s="204"/>
      <c r="AE58" s="204"/>
      <c r="AF58" s="204"/>
      <c r="AG58" s="202"/>
      <c r="AH58" s="202"/>
      <c r="AI58" s="202"/>
    </row>
    <row r="59" spans="2:35" s="18" customFormat="1" ht="13.8">
      <c r="B59" s="205" t="s">
        <v>235</v>
      </c>
      <c r="C59" s="204" t="s">
        <v>248</v>
      </c>
      <c r="D59" s="204"/>
      <c r="E59" s="204"/>
      <c r="F59" s="204"/>
      <c r="G59" s="204"/>
      <c r="H59" s="204"/>
      <c r="I59" s="204"/>
      <c r="J59" s="204"/>
      <c r="K59" s="204"/>
      <c r="L59" s="204"/>
      <c r="M59" s="204"/>
      <c r="N59" s="350"/>
      <c r="O59" s="350"/>
      <c r="P59" s="350"/>
      <c r="Q59" s="350"/>
      <c r="R59" s="350"/>
      <c r="S59" s="350"/>
      <c r="T59" s="350"/>
      <c r="U59" s="350"/>
      <c r="V59" s="350"/>
      <c r="W59" s="350"/>
      <c r="X59" s="350"/>
      <c r="Y59" s="350"/>
      <c r="Z59" s="350"/>
      <c r="AA59" s="204"/>
      <c r="AB59" s="204"/>
      <c r="AC59" s="204"/>
      <c r="AD59" s="204"/>
      <c r="AE59" s="204"/>
      <c r="AF59" s="204"/>
      <c r="AG59" s="80"/>
      <c r="AH59" s="80"/>
      <c r="AI59" s="80"/>
    </row>
    <row r="60" spans="2:35" ht="13.8">
      <c r="B60" s="205"/>
      <c r="C60" s="204"/>
      <c r="D60" s="204"/>
      <c r="E60" s="204"/>
      <c r="F60" s="204"/>
      <c r="G60" s="204"/>
      <c r="H60" s="204"/>
      <c r="I60" s="204"/>
      <c r="J60" s="204"/>
      <c r="K60" s="204"/>
      <c r="L60" s="204"/>
      <c r="M60" s="204"/>
      <c r="N60" s="350"/>
      <c r="O60" s="350"/>
      <c r="P60" s="350"/>
      <c r="Q60" s="350"/>
      <c r="R60" s="350"/>
      <c r="S60" s="350"/>
      <c r="T60" s="350"/>
      <c r="U60" s="350"/>
      <c r="V60" s="350"/>
      <c r="W60" s="350"/>
      <c r="X60" s="350"/>
      <c r="Y60" s="350"/>
      <c r="Z60" s="350"/>
      <c r="AA60" s="204"/>
      <c r="AB60" s="204"/>
      <c r="AC60" s="204"/>
      <c r="AD60" s="204"/>
      <c r="AE60" s="204"/>
      <c r="AF60" s="204"/>
      <c r="AG60" s="202"/>
      <c r="AH60" s="202"/>
      <c r="AI60" s="202"/>
    </row>
    <row r="61" spans="2:35" ht="13.8">
      <c r="B61" s="203" t="s">
        <v>223</v>
      </c>
      <c r="C61" s="204"/>
      <c r="D61" s="204"/>
      <c r="E61" s="204"/>
      <c r="F61" s="204"/>
      <c r="G61" s="204"/>
      <c r="H61" s="204"/>
      <c r="I61" s="204"/>
      <c r="J61" s="204"/>
      <c r="K61" s="204"/>
      <c r="L61" s="204"/>
      <c r="M61" s="204"/>
      <c r="N61" s="350"/>
      <c r="O61" s="350"/>
      <c r="P61" s="350"/>
      <c r="Q61" s="350"/>
      <c r="R61" s="350"/>
      <c r="S61" s="350"/>
      <c r="T61" s="350"/>
      <c r="U61" s="350"/>
      <c r="V61" s="350"/>
      <c r="W61" s="350"/>
      <c r="X61" s="350"/>
      <c r="Y61" s="350"/>
      <c r="Z61" s="350"/>
      <c r="AA61" s="204"/>
      <c r="AB61" s="204"/>
      <c r="AC61" s="204"/>
      <c r="AD61" s="204"/>
      <c r="AE61" s="204"/>
      <c r="AF61" s="204"/>
      <c r="AG61" s="202"/>
      <c r="AH61" s="202"/>
      <c r="AI61" s="202"/>
    </row>
    <row r="62" spans="2:35" ht="14.25" customHeight="1">
      <c r="B62" s="205" t="s">
        <v>232</v>
      </c>
      <c r="C62" s="623" t="s">
        <v>249</v>
      </c>
      <c r="D62" s="623"/>
      <c r="E62" s="623"/>
      <c r="F62" s="623"/>
      <c r="G62" s="623"/>
      <c r="H62" s="623"/>
      <c r="I62" s="623"/>
      <c r="J62" s="623"/>
      <c r="K62" s="623"/>
      <c r="L62" s="623"/>
      <c r="M62" s="623"/>
      <c r="N62" s="623"/>
      <c r="O62" s="623"/>
      <c r="P62" s="623"/>
      <c r="Q62" s="623"/>
      <c r="R62" s="623"/>
      <c r="S62" s="623"/>
      <c r="T62" s="623"/>
      <c r="U62" s="623"/>
      <c r="V62" s="623"/>
      <c r="W62" s="623"/>
      <c r="X62" s="623"/>
      <c r="Y62" s="623"/>
      <c r="Z62" s="623"/>
      <c r="AA62" s="623"/>
      <c r="AB62" s="623"/>
      <c r="AC62" s="623"/>
      <c r="AD62" s="623"/>
      <c r="AE62" s="623"/>
      <c r="AF62" s="623"/>
      <c r="AG62" s="202"/>
      <c r="AH62" s="202"/>
      <c r="AI62" s="202"/>
    </row>
    <row r="63" spans="2:35" ht="13.8">
      <c r="B63" s="205" t="s">
        <v>233</v>
      </c>
      <c r="C63" s="204" t="s">
        <v>245</v>
      </c>
      <c r="D63" s="206"/>
      <c r="E63" s="206"/>
      <c r="F63" s="206"/>
      <c r="G63" s="206"/>
      <c r="H63" s="206"/>
      <c r="I63" s="206"/>
      <c r="J63" s="206"/>
      <c r="K63" s="206"/>
      <c r="L63" s="206"/>
      <c r="M63" s="206"/>
      <c r="N63" s="351"/>
      <c r="O63" s="350" t="s">
        <v>522</v>
      </c>
      <c r="P63" s="351"/>
      <c r="Q63" s="351"/>
      <c r="R63" s="351"/>
      <c r="S63" s="351"/>
      <c r="T63" s="351"/>
      <c r="U63" s="351"/>
      <c r="V63" s="351"/>
      <c r="W63" s="351"/>
      <c r="X63" s="351"/>
      <c r="Y63" s="351"/>
      <c r="Z63" s="351"/>
      <c r="AA63" s="206"/>
      <c r="AB63" s="206"/>
      <c r="AC63" s="206"/>
      <c r="AD63" s="206"/>
      <c r="AE63" s="206"/>
      <c r="AF63" s="206"/>
      <c r="AG63" s="202"/>
      <c r="AH63" s="202"/>
      <c r="AI63" s="202"/>
    </row>
    <row r="64" spans="2:35" ht="13.8">
      <c r="B64" s="205" t="s">
        <v>229</v>
      </c>
      <c r="C64" s="282" t="s">
        <v>246</v>
      </c>
      <c r="D64" s="205"/>
      <c r="E64" s="205"/>
      <c r="F64" s="205"/>
      <c r="G64" s="205"/>
      <c r="H64" s="205"/>
      <c r="I64" s="205"/>
      <c r="J64" s="205"/>
      <c r="K64" s="205"/>
      <c r="L64" s="205"/>
      <c r="M64" s="205"/>
      <c r="N64" s="349"/>
      <c r="O64" s="349"/>
      <c r="P64" s="349"/>
      <c r="Q64" s="349"/>
      <c r="R64" s="349"/>
      <c r="S64" s="349"/>
      <c r="T64" s="349"/>
      <c r="U64" s="349"/>
      <c r="V64" s="349"/>
      <c r="W64" s="349"/>
      <c r="X64" s="349"/>
      <c r="Y64" s="349"/>
      <c r="Z64" s="349"/>
      <c r="AA64" s="205"/>
      <c r="AB64" s="205"/>
      <c r="AC64" s="205"/>
      <c r="AD64" s="205"/>
      <c r="AE64" s="205"/>
      <c r="AF64" s="205"/>
      <c r="AG64" s="202"/>
      <c r="AH64" s="202"/>
      <c r="AI64" s="202"/>
    </row>
    <row r="65" spans="2:35" ht="13.8">
      <c r="B65" s="205" t="s">
        <v>234</v>
      </c>
      <c r="C65" s="204" t="s">
        <v>247</v>
      </c>
      <c r="D65" s="205"/>
      <c r="E65" s="205"/>
      <c r="F65" s="205"/>
      <c r="G65" s="205"/>
      <c r="H65" s="205"/>
      <c r="I65" s="205"/>
      <c r="J65" s="205"/>
      <c r="K65" s="205"/>
      <c r="L65" s="205"/>
      <c r="M65" s="205"/>
      <c r="N65" s="349"/>
      <c r="O65" s="349"/>
      <c r="P65" s="349"/>
      <c r="Q65" s="349"/>
      <c r="R65" s="349"/>
      <c r="S65" s="349"/>
      <c r="T65" s="349"/>
      <c r="U65" s="349"/>
      <c r="V65" s="349"/>
      <c r="W65" s="349"/>
      <c r="X65" s="349"/>
      <c r="Y65" s="349"/>
      <c r="Z65" s="349"/>
      <c r="AA65" s="205"/>
      <c r="AB65" s="205"/>
      <c r="AC65" s="205"/>
      <c r="AD65" s="205"/>
      <c r="AE65" s="205"/>
      <c r="AF65" s="205"/>
      <c r="AG65" s="202"/>
      <c r="AH65" s="202"/>
      <c r="AI65" s="202"/>
    </row>
    <row r="66" spans="2:35" s="18" customFormat="1" ht="13.8">
      <c r="B66" s="204" t="s">
        <v>235</v>
      </c>
      <c r="C66" s="204" t="s">
        <v>248</v>
      </c>
      <c r="D66" s="204"/>
      <c r="E66" s="204"/>
      <c r="F66" s="204"/>
      <c r="G66" s="204"/>
      <c r="H66" s="204"/>
      <c r="I66" s="204"/>
      <c r="J66" s="204"/>
      <c r="K66" s="204"/>
      <c r="L66" s="204"/>
      <c r="M66" s="204"/>
      <c r="N66" s="350"/>
      <c r="O66" s="350"/>
      <c r="P66" s="350"/>
      <c r="Q66" s="350"/>
      <c r="R66" s="350"/>
      <c r="S66" s="350"/>
      <c r="T66" s="350"/>
      <c r="U66" s="350"/>
      <c r="V66" s="350"/>
      <c r="W66" s="350"/>
      <c r="X66" s="350"/>
      <c r="Y66" s="350"/>
      <c r="Z66" s="350"/>
      <c r="AA66" s="204"/>
      <c r="AB66" s="204"/>
      <c r="AC66" s="204"/>
      <c r="AD66" s="204"/>
      <c r="AE66" s="204"/>
      <c r="AF66" s="204"/>
      <c r="AG66" s="80"/>
      <c r="AH66" s="80"/>
      <c r="AI66" s="80"/>
    </row>
    <row r="67" spans="2:35" ht="13.8">
      <c r="B67" s="205"/>
      <c r="C67" s="204"/>
      <c r="D67" s="205"/>
      <c r="E67" s="205"/>
      <c r="F67" s="205"/>
      <c r="G67" s="205"/>
      <c r="H67" s="205"/>
      <c r="I67" s="205"/>
      <c r="J67" s="205"/>
      <c r="K67" s="205"/>
      <c r="L67" s="205"/>
      <c r="M67" s="205"/>
      <c r="N67" s="349"/>
      <c r="O67" s="349"/>
      <c r="P67" s="349"/>
      <c r="Q67" s="349"/>
      <c r="R67" s="349"/>
      <c r="S67" s="349"/>
      <c r="T67" s="349"/>
      <c r="U67" s="349"/>
      <c r="V67" s="349"/>
      <c r="W67" s="349"/>
      <c r="X67" s="349"/>
      <c r="Y67" s="349"/>
      <c r="Z67" s="349"/>
      <c r="AA67" s="205"/>
      <c r="AB67" s="205"/>
      <c r="AC67" s="205"/>
      <c r="AD67" s="205"/>
      <c r="AE67" s="205"/>
      <c r="AF67" s="205"/>
      <c r="AG67" s="202"/>
      <c r="AH67" s="202"/>
      <c r="AI67" s="202"/>
    </row>
    <row r="68" spans="2:35" ht="13.8">
      <c r="B68" s="203" t="s">
        <v>103</v>
      </c>
      <c r="C68" s="204"/>
      <c r="D68" s="205"/>
      <c r="E68" s="205"/>
      <c r="F68" s="205"/>
      <c r="G68" s="205"/>
      <c r="H68" s="205"/>
      <c r="I68" s="205"/>
      <c r="J68" s="205"/>
      <c r="K68" s="205"/>
      <c r="L68" s="205"/>
      <c r="M68" s="205"/>
      <c r="N68" s="349"/>
      <c r="O68" s="349"/>
      <c r="P68" s="349"/>
      <c r="Q68" s="349"/>
      <c r="R68" s="349"/>
      <c r="S68" s="349"/>
      <c r="T68" s="349"/>
      <c r="U68" s="349"/>
      <c r="V68" s="349"/>
      <c r="W68" s="349"/>
      <c r="X68" s="349"/>
      <c r="Y68" s="349"/>
      <c r="Z68" s="349"/>
      <c r="AA68" s="205"/>
      <c r="AB68" s="205"/>
      <c r="AC68" s="205"/>
      <c r="AD68" s="205"/>
      <c r="AE68" s="205"/>
      <c r="AF68" s="205"/>
      <c r="AG68" s="202"/>
      <c r="AH68" s="202"/>
      <c r="AI68" s="202"/>
    </row>
    <row r="69" spans="2:35" ht="13.8">
      <c r="B69" s="205" t="s">
        <v>236</v>
      </c>
      <c r="C69" s="204" t="s">
        <v>250</v>
      </c>
      <c r="D69" s="205"/>
      <c r="E69" s="205"/>
      <c r="F69" s="205"/>
      <c r="G69" s="205"/>
      <c r="H69" s="205"/>
      <c r="I69" s="205"/>
      <c r="J69" s="205"/>
      <c r="K69" s="205"/>
      <c r="L69" s="205"/>
      <c r="M69" s="205"/>
      <c r="N69" s="349"/>
      <c r="O69" s="349"/>
      <c r="P69" s="349"/>
      <c r="Q69" s="349"/>
      <c r="R69" s="349"/>
      <c r="S69" s="349"/>
      <c r="T69" s="349"/>
      <c r="U69" s="349"/>
      <c r="V69" s="349"/>
      <c r="W69" s="349"/>
      <c r="X69" s="349"/>
      <c r="Y69" s="349"/>
      <c r="Z69" s="349"/>
      <c r="AA69" s="205"/>
      <c r="AB69" s="205"/>
      <c r="AC69" s="205"/>
      <c r="AD69" s="205"/>
      <c r="AE69" s="205"/>
      <c r="AF69" s="205"/>
      <c r="AG69" s="202"/>
      <c r="AH69" s="202"/>
      <c r="AI69" s="202"/>
    </row>
    <row r="70" spans="2:35" ht="13.8">
      <c r="B70" s="205"/>
      <c r="D70" s="205"/>
      <c r="E70" s="205"/>
      <c r="F70" s="205"/>
      <c r="G70" s="205"/>
      <c r="H70" s="205"/>
      <c r="I70" s="205"/>
      <c r="J70" s="205"/>
      <c r="K70" s="205"/>
      <c r="L70" s="205"/>
      <c r="M70" s="205"/>
      <c r="N70" s="349"/>
      <c r="O70" s="349"/>
      <c r="P70" s="349"/>
      <c r="Q70" s="349"/>
      <c r="R70" s="349"/>
      <c r="S70" s="349"/>
      <c r="T70" s="349"/>
      <c r="U70" s="349"/>
      <c r="V70" s="349"/>
      <c r="W70" s="349"/>
      <c r="X70" s="349"/>
      <c r="Y70" s="349"/>
      <c r="Z70" s="349"/>
      <c r="AA70" s="205"/>
      <c r="AB70" s="205"/>
      <c r="AC70" s="205"/>
      <c r="AD70" s="205"/>
      <c r="AE70" s="205"/>
      <c r="AF70" s="205"/>
      <c r="AG70" s="202"/>
      <c r="AH70" s="202"/>
      <c r="AI70" s="202"/>
    </row>
    <row r="71" spans="2:35" ht="13.8">
      <c r="B71" s="203" t="s">
        <v>224</v>
      </c>
      <c r="C71" s="204"/>
      <c r="D71" s="205"/>
      <c r="E71" s="205"/>
      <c r="F71" s="205"/>
      <c r="G71" s="205"/>
      <c r="H71" s="205"/>
      <c r="I71" s="205"/>
      <c r="J71" s="205"/>
      <c r="K71" s="205"/>
      <c r="L71" s="205"/>
      <c r="M71" s="205"/>
      <c r="N71" s="349"/>
      <c r="O71" s="349"/>
      <c r="P71" s="349"/>
      <c r="Q71" s="349"/>
      <c r="R71" s="349"/>
      <c r="S71" s="349"/>
      <c r="T71" s="349"/>
      <c r="U71" s="349"/>
      <c r="V71" s="349"/>
      <c r="W71" s="349"/>
      <c r="X71" s="349"/>
      <c r="Y71" s="349"/>
      <c r="Z71" s="349"/>
      <c r="AA71" s="205"/>
      <c r="AB71" s="205"/>
      <c r="AC71" s="205"/>
      <c r="AD71" s="205"/>
      <c r="AE71" s="205"/>
      <c r="AF71" s="205"/>
      <c r="AG71" s="202"/>
      <c r="AH71" s="202"/>
      <c r="AI71" s="202"/>
    </row>
    <row r="72" spans="2:35" ht="13.8">
      <c r="B72" s="205" t="s">
        <v>237</v>
      </c>
      <c r="C72" s="204" t="s">
        <v>251</v>
      </c>
      <c r="D72" s="205"/>
      <c r="E72" s="205"/>
      <c r="F72" s="205"/>
      <c r="G72" s="205"/>
      <c r="H72" s="205"/>
      <c r="I72" s="205"/>
      <c r="J72" s="205"/>
      <c r="K72" s="205"/>
      <c r="L72" s="205"/>
      <c r="M72" s="205"/>
      <c r="N72" s="349"/>
      <c r="O72" s="349"/>
      <c r="P72" s="349"/>
      <c r="Q72" s="349"/>
      <c r="R72" s="349"/>
      <c r="S72" s="349"/>
      <c r="T72" s="349"/>
      <c r="U72" s="349"/>
      <c r="V72" s="349"/>
      <c r="W72" s="349"/>
      <c r="X72" s="349"/>
      <c r="Y72" s="349"/>
      <c r="Z72" s="349"/>
      <c r="AA72" s="205"/>
      <c r="AB72" s="205"/>
      <c r="AC72" s="205"/>
      <c r="AD72" s="205"/>
      <c r="AE72" s="205"/>
      <c r="AF72" s="205"/>
      <c r="AG72" s="202"/>
      <c r="AH72" s="202"/>
      <c r="AI72" s="202"/>
    </row>
    <row r="73" spans="2:35" ht="13.8">
      <c r="B73" s="205" t="s">
        <v>238</v>
      </c>
      <c r="C73" s="204" t="s">
        <v>252</v>
      </c>
      <c r="D73" s="205"/>
      <c r="E73" s="205"/>
      <c r="F73" s="205"/>
      <c r="G73" s="205"/>
      <c r="H73" s="205"/>
      <c r="I73" s="205"/>
      <c r="J73" s="205"/>
      <c r="K73" s="205"/>
      <c r="L73" s="205"/>
      <c r="M73" s="205"/>
      <c r="N73" s="349"/>
      <c r="O73" s="349"/>
      <c r="P73" s="349"/>
      <c r="Q73" s="349"/>
      <c r="R73" s="349"/>
      <c r="S73" s="349"/>
      <c r="T73" s="349"/>
      <c r="U73" s="349"/>
      <c r="V73" s="349"/>
      <c r="W73" s="349"/>
      <c r="X73" s="349"/>
      <c r="Y73" s="349"/>
      <c r="Z73" s="349"/>
      <c r="AA73" s="205"/>
      <c r="AB73" s="205"/>
      <c r="AC73" s="205"/>
      <c r="AD73" s="205"/>
      <c r="AE73" s="205"/>
      <c r="AF73" s="205"/>
      <c r="AG73" s="202"/>
      <c r="AH73" s="202"/>
      <c r="AI73" s="202"/>
    </row>
  </sheetData>
  <mergeCells count="3">
    <mergeCell ref="C62:AF62"/>
    <mergeCell ref="C55:AE55"/>
    <mergeCell ref="C45:AE47"/>
  </mergeCells>
  <phoneticPr fontId="87" type="noConversion"/>
  <pageMargins left="0.33" right="0.28999999999999998" top="0.984251969" bottom="0.984251969" header="0.49212598499999999" footer="0.49212598499999999"/>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R11"/>
  <sheetViews>
    <sheetView showGridLines="0" zoomScale="80" zoomScaleNormal="80" workbookViewId="0">
      <pane xSplit="2" ySplit="6" topLeftCell="R7" activePane="bottomRight" state="frozen"/>
      <selection activeCell="S25" sqref="S25"/>
      <selection pane="topRight" activeCell="S25" sqref="S25"/>
      <selection pane="bottomLeft" activeCell="S25" sqref="S25"/>
      <selection pane="bottomRight" activeCell="AR18" sqref="AR18"/>
    </sheetView>
  </sheetViews>
  <sheetFormatPr defaultColWidth="9.21875" defaultRowHeight="13.2" outlineLevelCol="1"/>
  <cols>
    <col min="1" max="1" width="2.21875" style="40" customWidth="1"/>
    <col min="2" max="2" width="32.21875" style="40" customWidth="1"/>
    <col min="3" max="5" width="9.44140625" style="40" hidden="1" customWidth="1" outlineLevel="1"/>
    <col min="6" max="6" width="10.77734375" style="40" hidden="1" customWidth="1" outlineLevel="1"/>
    <col min="7" max="9" width="9.44140625" style="40" hidden="1" customWidth="1" outlineLevel="1"/>
    <col min="10" max="10" width="10.77734375" style="40" hidden="1" customWidth="1" outlineLevel="1"/>
    <col min="11" max="13" width="9.44140625" style="40" hidden="1" customWidth="1" outlineLevel="1"/>
    <col min="14" max="14" width="10.77734375" style="40" hidden="1" customWidth="1" outlineLevel="1"/>
    <col min="15" max="16" width="9.44140625" style="40" hidden="1" customWidth="1" outlineLevel="1"/>
    <col min="17" max="21" width="10.77734375" style="40" hidden="1" customWidth="1" outlineLevel="1"/>
    <col min="22" max="22" width="10.77734375" style="286" hidden="1" customWidth="1" outlineLevel="1"/>
    <col min="23" max="23" width="10.77734375" style="286" customWidth="1" collapsed="1"/>
    <col min="24" max="34" width="10.77734375" style="286" customWidth="1"/>
    <col min="35" max="36" width="9.21875" style="40"/>
    <col min="37" max="40" width="10.77734375" style="40" hidden="1" customWidth="1" outlineLevel="1"/>
    <col min="41" max="41" width="12.44140625" style="286" hidden="1" customWidth="1" outlineLevel="1"/>
    <col min="42" max="42" width="12.44140625" style="40" bestFit="1" customWidth="1" collapsed="1"/>
    <col min="43" max="43" width="10.77734375" style="40" bestFit="1" customWidth="1"/>
    <col min="44" max="44" width="10.21875" style="40" bestFit="1" customWidth="1"/>
    <col min="45" max="16384" width="9.21875" style="40"/>
  </cols>
  <sheetData>
    <row r="2" spans="2:44" ht="13.5" customHeight="1"/>
    <row r="4" spans="2:44" ht="20.25" customHeight="1"/>
    <row r="5" spans="2:44">
      <c r="B5" s="57"/>
    </row>
    <row r="6" spans="2:44" s="18" customFormat="1" ht="14.25" customHeight="1" thickBot="1">
      <c r="B6" s="58" t="s">
        <v>25</v>
      </c>
      <c r="C6" s="77" t="s">
        <v>94</v>
      </c>
      <c r="D6" s="77" t="s">
        <v>95</v>
      </c>
      <c r="E6" s="77" t="s">
        <v>96</v>
      </c>
      <c r="F6" s="77" t="s">
        <v>97</v>
      </c>
      <c r="G6" s="77" t="s">
        <v>79</v>
      </c>
      <c r="H6" s="77" t="s">
        <v>80</v>
      </c>
      <c r="I6" s="77" t="s">
        <v>81</v>
      </c>
      <c r="J6" s="77" t="s">
        <v>82</v>
      </c>
      <c r="K6" s="77" t="s">
        <v>83</v>
      </c>
      <c r="L6" s="77" t="s">
        <v>84</v>
      </c>
      <c r="M6" s="77" t="s">
        <v>85</v>
      </c>
      <c r="N6" s="77" t="s">
        <v>86</v>
      </c>
      <c r="O6" s="77" t="s">
        <v>87</v>
      </c>
      <c r="P6" s="77" t="s">
        <v>88</v>
      </c>
      <c r="Q6" s="77" t="s">
        <v>89</v>
      </c>
      <c r="R6" s="77" t="s">
        <v>90</v>
      </c>
      <c r="S6" s="77" t="s">
        <v>91</v>
      </c>
      <c r="T6" s="77" t="s">
        <v>92</v>
      </c>
      <c r="U6" s="77" t="s">
        <v>93</v>
      </c>
      <c r="V6" s="287" t="s">
        <v>331</v>
      </c>
      <c r="W6" s="287" t="s">
        <v>341</v>
      </c>
      <c r="X6" s="287" t="s">
        <v>374</v>
      </c>
      <c r="Y6" s="287" t="s">
        <v>382</v>
      </c>
      <c r="Z6" s="287" t="s">
        <v>384</v>
      </c>
      <c r="AA6" s="287" t="s">
        <v>461</v>
      </c>
      <c r="AB6" s="287" t="s">
        <v>465</v>
      </c>
      <c r="AC6" s="287" t="s">
        <v>466</v>
      </c>
      <c r="AD6" s="287" t="s">
        <v>467</v>
      </c>
      <c r="AE6" s="287" t="s">
        <v>513</v>
      </c>
      <c r="AF6" s="287" t="s">
        <v>519</v>
      </c>
      <c r="AG6" s="287" t="s">
        <v>528</v>
      </c>
      <c r="AH6" s="287" t="s">
        <v>514</v>
      </c>
      <c r="AK6" s="77">
        <v>2018</v>
      </c>
      <c r="AL6" s="77">
        <v>2019</v>
      </c>
      <c r="AM6" s="77">
        <v>2020</v>
      </c>
      <c r="AN6" s="77">
        <v>2021</v>
      </c>
      <c r="AO6" s="287">
        <v>2022</v>
      </c>
      <c r="AP6" s="287">
        <v>2023</v>
      </c>
      <c r="AQ6" s="287">
        <v>2024</v>
      </c>
      <c r="AR6" s="347">
        <v>2025</v>
      </c>
    </row>
    <row r="7" spans="2:44" s="18" customFormat="1" ht="14.25" customHeight="1" thickTop="1">
      <c r="B7" s="283" t="s">
        <v>253</v>
      </c>
      <c r="C7" s="135">
        <v>3475.1692026476303</v>
      </c>
      <c r="D7" s="135">
        <v>1999.8556016330122</v>
      </c>
      <c r="E7" s="135">
        <v>5643.7309160939622</v>
      </c>
      <c r="F7" s="135">
        <v>36811.23227962535</v>
      </c>
      <c r="G7" s="135">
        <v>5711.3846610599976</v>
      </c>
      <c r="H7" s="135">
        <v>6621.8033512799993</v>
      </c>
      <c r="I7" s="135">
        <v>9864.8503189080002</v>
      </c>
      <c r="J7" s="135">
        <v>42464.33455846399</v>
      </c>
      <c r="K7" s="135">
        <v>15570.548193095998</v>
      </c>
      <c r="L7" s="135">
        <v>20261.394220988001</v>
      </c>
      <c r="M7" s="135">
        <v>18181.756396284007</v>
      </c>
      <c r="N7" s="135">
        <v>12685.462189631999</v>
      </c>
      <c r="O7" s="135">
        <v>11376.9548</v>
      </c>
      <c r="P7" s="135">
        <v>13302.90792</v>
      </c>
      <c r="Q7" s="135">
        <v>18972.104629999998</v>
      </c>
      <c r="R7" s="135">
        <v>53376.798699999999</v>
      </c>
      <c r="S7" s="135">
        <v>66194.416310000015</v>
      </c>
      <c r="T7" s="135">
        <v>114957</v>
      </c>
      <c r="U7" s="135">
        <v>144557.45674350005</v>
      </c>
      <c r="V7" s="261">
        <v>214212.83257438801</v>
      </c>
      <c r="W7" s="261">
        <v>131953.87991121953</v>
      </c>
      <c r="X7" s="261">
        <v>88019.173840000047</v>
      </c>
      <c r="Y7" s="261">
        <v>136038.58650770539</v>
      </c>
      <c r="Z7" s="261">
        <v>59619.070445265039</v>
      </c>
      <c r="AA7" s="515">
        <v>154017.13400550399</v>
      </c>
      <c r="AB7" s="261">
        <v>110146</v>
      </c>
      <c r="AC7" s="261">
        <v>60084.55328</v>
      </c>
      <c r="AD7" s="515">
        <v>79638.078024634116</v>
      </c>
      <c r="AE7" s="515">
        <v>65819.321490731672</v>
      </c>
      <c r="AF7" s="515">
        <v>57624.588329999999</v>
      </c>
      <c r="AG7" s="318">
        <v>38630.99241999998</v>
      </c>
      <c r="AH7" s="318">
        <v>37325.959299999995</v>
      </c>
      <c r="AK7" s="135">
        <f>SUM(C7:F7)</f>
        <v>47929.987999999954</v>
      </c>
      <c r="AL7" s="135">
        <f>SUM(G7:J7)</f>
        <v>64662.372889711987</v>
      </c>
      <c r="AM7" s="135">
        <f>SUM(K7:N7)</f>
        <v>66699.161000000007</v>
      </c>
      <c r="AN7" s="135">
        <f>SUM(O7:R7)</f>
        <v>97028.766049999991</v>
      </c>
      <c r="AO7" s="261">
        <f>SUM(S7:V7)</f>
        <v>539921.70562788809</v>
      </c>
      <c r="AP7" s="261">
        <f>SUM(W7:Z7)</f>
        <v>415630.71070419002</v>
      </c>
      <c r="AQ7" s="261">
        <f>SUM(AA7:AD7)</f>
        <v>403885.76531013806</v>
      </c>
      <c r="AR7" s="261">
        <f>SUM(AE7:AH7)</f>
        <v>199400.86154073162</v>
      </c>
    </row>
    <row r="8" spans="2:44" s="18" customFormat="1" ht="14.25" customHeight="1">
      <c r="B8" s="284" t="s">
        <v>254</v>
      </c>
      <c r="C8" s="135">
        <v>17235.073036531809</v>
      </c>
      <c r="D8" s="135">
        <v>22282.829516112808</v>
      </c>
      <c r="E8" s="135">
        <v>35744.262024069874</v>
      </c>
      <c r="F8" s="135">
        <v>53327.498033285476</v>
      </c>
      <c r="G8" s="135">
        <v>32104.058741162517</v>
      </c>
      <c r="H8" s="135">
        <v>33177.024944685742</v>
      </c>
      <c r="I8" s="135">
        <v>34298.031829075917</v>
      </c>
      <c r="J8" s="135">
        <v>103255.28785478818</v>
      </c>
      <c r="K8" s="135">
        <v>21975.299440442395</v>
      </c>
      <c r="L8" s="135">
        <v>15282.6962855736</v>
      </c>
      <c r="M8" s="135">
        <v>42164.805361829196</v>
      </c>
      <c r="N8" s="135">
        <v>84283.850912154987</v>
      </c>
      <c r="O8" s="135">
        <v>19888.411315999994</v>
      </c>
      <c r="P8" s="135">
        <v>25346.336642000002</v>
      </c>
      <c r="Q8" s="135">
        <v>43119.176951999994</v>
      </c>
      <c r="R8" s="135">
        <v>111279.60913435367</v>
      </c>
      <c r="S8" s="135">
        <v>33503.709909999998</v>
      </c>
      <c r="T8" s="135">
        <v>33197</v>
      </c>
      <c r="U8" s="135">
        <v>64762.408183499989</v>
      </c>
      <c r="V8" s="261">
        <v>143903.48204195118</v>
      </c>
      <c r="W8" s="261">
        <v>63653.660490000002</v>
      </c>
      <c r="X8" s="261">
        <v>36061.507099999995</v>
      </c>
      <c r="Y8" s="261">
        <v>41025.282149999999</v>
      </c>
      <c r="Z8" s="261">
        <v>59260.924262926834</v>
      </c>
      <c r="AA8" s="515">
        <v>51856.09369799999</v>
      </c>
      <c r="AB8" s="261">
        <v>40793</v>
      </c>
      <c r="AC8" s="261">
        <v>50537.179861999997</v>
      </c>
      <c r="AD8" s="515">
        <v>89046.344587999993</v>
      </c>
      <c r="AE8" s="515">
        <v>84366.461941999994</v>
      </c>
      <c r="AF8" s="515">
        <v>105279.73570999999</v>
      </c>
      <c r="AG8" s="318">
        <v>129862.70100664999</v>
      </c>
      <c r="AH8" s="318">
        <v>132539.73727491102</v>
      </c>
      <c r="AK8" s="135">
        <f t="shared" ref="AK8:AK10" si="0">SUM(C8:F8)</f>
        <v>128589.66260999997</v>
      </c>
      <c r="AL8" s="135">
        <f t="shared" ref="AL8:AL10" si="1">SUM(G8:J8)</f>
        <v>202834.40336971235</v>
      </c>
      <c r="AM8" s="135">
        <f t="shared" ref="AM8:AM10" si="2">SUM(K8:N8)</f>
        <v>163706.65200000018</v>
      </c>
      <c r="AN8" s="135">
        <f t="shared" ref="AN8:AN10" si="3">SUM(O8:R8)</f>
        <v>199633.53404435364</v>
      </c>
      <c r="AO8" s="261">
        <f>SUM(S8:V8)</f>
        <v>275366.60013545118</v>
      </c>
      <c r="AP8" s="261">
        <f t="shared" ref="AP8:AP10" si="4">SUM(W8:Z8)</f>
        <v>200001.37400292684</v>
      </c>
      <c r="AQ8" s="261">
        <f t="shared" ref="AQ8:AQ10" si="5">SUM(AA8:AD8)</f>
        <v>232232.61814799998</v>
      </c>
      <c r="AR8" s="261">
        <f t="shared" ref="AR8" si="6">SUM(AE8:AH8)</f>
        <v>452048.63593356102</v>
      </c>
    </row>
    <row r="9" spans="2:44" s="18" customFormat="1" ht="14.25" customHeight="1">
      <c r="B9" s="284" t="s">
        <v>255</v>
      </c>
      <c r="C9" s="118">
        <v>11336.325279395029</v>
      </c>
      <c r="D9" s="118">
        <v>15449.04884947541</v>
      </c>
      <c r="E9" s="118">
        <v>25361.631329043586</v>
      </c>
      <c r="F9" s="118">
        <v>31665.303932085983</v>
      </c>
      <c r="G9" s="118">
        <v>17591.243292947984</v>
      </c>
      <c r="H9" s="118">
        <v>30067.678797780012</v>
      </c>
      <c r="I9" s="118">
        <v>41291.312696400004</v>
      </c>
      <c r="J9" s="118">
        <v>22752.917732871982</v>
      </c>
      <c r="K9" s="118">
        <v>21799.665828095996</v>
      </c>
      <c r="L9" s="118">
        <v>28188.455677824</v>
      </c>
      <c r="M9" s="118">
        <v>23055.789278495991</v>
      </c>
      <c r="N9" s="118">
        <v>48270.269215583983</v>
      </c>
      <c r="O9" s="135">
        <v>17213.225599999994</v>
      </c>
      <c r="P9" s="135">
        <v>53864.744979999959</v>
      </c>
      <c r="Q9" s="135">
        <v>65632.899650000007</v>
      </c>
      <c r="R9" s="135">
        <v>36316.183140000045</v>
      </c>
      <c r="S9" s="135">
        <v>46435.458849999981</v>
      </c>
      <c r="T9" s="135">
        <v>60091</v>
      </c>
      <c r="U9" s="135">
        <v>65804.275630000018</v>
      </c>
      <c r="V9" s="261">
        <v>32133.518459999948</v>
      </c>
      <c r="W9" s="261">
        <v>38279.459800000011</v>
      </c>
      <c r="X9" s="261">
        <v>61207.461649999874</v>
      </c>
      <c r="Y9" s="261">
        <v>20300.820870000043</v>
      </c>
      <c r="Z9" s="261">
        <v>25473.324360000017</v>
      </c>
      <c r="AA9" s="515">
        <v>54307.288249999998</v>
      </c>
      <c r="AB9" s="261">
        <v>17829</v>
      </c>
      <c r="AC9" s="261">
        <v>24181.452369999988</v>
      </c>
      <c r="AD9" s="515">
        <v>37362.720570000005</v>
      </c>
      <c r="AE9" s="515">
        <v>31138.138760000016</v>
      </c>
      <c r="AF9" s="515">
        <v>34375.41616999999</v>
      </c>
      <c r="AG9" s="318">
        <v>37100.463459999999</v>
      </c>
      <c r="AH9" s="318">
        <v>45707.71231999997</v>
      </c>
      <c r="AK9" s="135">
        <f t="shared" si="0"/>
        <v>83812.309390000009</v>
      </c>
      <c r="AL9" s="135">
        <f t="shared" si="1"/>
        <v>111703.15251999997</v>
      </c>
      <c r="AM9" s="135">
        <f t="shared" si="2"/>
        <v>121314.17999999996</v>
      </c>
      <c r="AN9" s="135">
        <f t="shared" si="3"/>
        <v>173027.05336999998</v>
      </c>
      <c r="AO9" s="261">
        <f>SUM(S9:V9)</f>
        <v>204464.25293999992</v>
      </c>
      <c r="AP9" s="261">
        <f t="shared" si="4"/>
        <v>145261.06667999993</v>
      </c>
      <c r="AQ9" s="261">
        <f t="shared" si="5"/>
        <v>133680.46119</v>
      </c>
      <c r="AR9" s="261">
        <f>SUM(AE9:AH9)</f>
        <v>148321.73070999997</v>
      </c>
    </row>
    <row r="10" spans="2:44" ht="14.4" thickBot="1">
      <c r="B10" s="285" t="s">
        <v>26</v>
      </c>
      <c r="C10" s="193">
        <f t="shared" ref="C10:Y10" si="7">SUM(C7:C9)</f>
        <v>32046.567518574469</v>
      </c>
      <c r="D10" s="193">
        <f t="shared" si="7"/>
        <v>39731.733967221226</v>
      </c>
      <c r="E10" s="193">
        <f t="shared" si="7"/>
        <v>66749.624269207416</v>
      </c>
      <c r="F10" s="193">
        <f t="shared" si="7"/>
        <v>121804.03424499682</v>
      </c>
      <c r="G10" s="193">
        <f t="shared" si="7"/>
        <v>55406.686695170501</v>
      </c>
      <c r="H10" s="193">
        <f t="shared" si="7"/>
        <v>69866.507093745749</v>
      </c>
      <c r="I10" s="193">
        <f t="shared" si="7"/>
        <v>85454.194844383921</v>
      </c>
      <c r="J10" s="193">
        <f t="shared" si="7"/>
        <v>168472.54014612417</v>
      </c>
      <c r="K10" s="193">
        <f t="shared" si="7"/>
        <v>59345.513461634386</v>
      </c>
      <c r="L10" s="193">
        <f t="shared" si="7"/>
        <v>63732.546184385603</v>
      </c>
      <c r="M10" s="193">
        <f t="shared" si="7"/>
        <v>83402.351036609194</v>
      </c>
      <c r="N10" s="193">
        <f t="shared" si="7"/>
        <v>145239.58231737098</v>
      </c>
      <c r="O10" s="193">
        <f t="shared" si="7"/>
        <v>48478.591715999988</v>
      </c>
      <c r="P10" s="193">
        <f t="shared" si="7"/>
        <v>92513.989541999967</v>
      </c>
      <c r="Q10" s="193">
        <f t="shared" si="7"/>
        <v>127724.181232</v>
      </c>
      <c r="R10" s="193">
        <f t="shared" si="7"/>
        <v>200972.59097435372</v>
      </c>
      <c r="S10" s="193">
        <f t="shared" ref="S10" si="8">SUM(S7:S9)</f>
        <v>146133.58506999997</v>
      </c>
      <c r="T10" s="193">
        <f t="shared" si="7"/>
        <v>208245</v>
      </c>
      <c r="U10" s="193">
        <f t="shared" si="7"/>
        <v>275124.14055700006</v>
      </c>
      <c r="V10" s="352">
        <f t="shared" si="7"/>
        <v>390249.8330763391</v>
      </c>
      <c r="W10" s="352">
        <f t="shared" si="7"/>
        <v>233887.00020121955</v>
      </c>
      <c r="X10" s="352">
        <f t="shared" si="7"/>
        <v>185288.14258999992</v>
      </c>
      <c r="Y10" s="352">
        <f t="shared" si="7"/>
        <v>197364.68952770543</v>
      </c>
      <c r="Z10" s="352">
        <v>144353.31906819189</v>
      </c>
      <c r="AA10" s="530">
        <v>260180.51595350396</v>
      </c>
      <c r="AB10" s="352">
        <v>168768</v>
      </c>
      <c r="AC10" s="352">
        <f>SUM(AC7:AC9)</f>
        <v>134803.185512</v>
      </c>
      <c r="AD10" s="352">
        <f t="shared" ref="AD10:AH10" si="9">SUM(AD7:AD9)</f>
        <v>206047.14318263411</v>
      </c>
      <c r="AE10" s="352">
        <f t="shared" si="9"/>
        <v>181323.9221927317</v>
      </c>
      <c r="AF10" s="352">
        <f t="shared" si="9"/>
        <v>197279.74020999996</v>
      </c>
      <c r="AG10" s="352">
        <f t="shared" si="9"/>
        <v>205594.15688664996</v>
      </c>
      <c r="AH10" s="352">
        <f t="shared" si="9"/>
        <v>215573.40889491097</v>
      </c>
      <c r="AK10" s="193">
        <f t="shared" si="0"/>
        <v>260331.95999999993</v>
      </c>
      <c r="AL10" s="193">
        <f t="shared" si="1"/>
        <v>379199.92877942434</v>
      </c>
      <c r="AM10" s="193">
        <f t="shared" si="2"/>
        <v>351719.99300000013</v>
      </c>
      <c r="AN10" s="193">
        <f t="shared" si="3"/>
        <v>469689.35346435371</v>
      </c>
      <c r="AO10" s="352">
        <f>SUM(S10:V10)</f>
        <v>1019752.5587033391</v>
      </c>
      <c r="AP10" s="352">
        <f t="shared" si="4"/>
        <v>760893.15138711676</v>
      </c>
      <c r="AQ10" s="352">
        <f t="shared" si="5"/>
        <v>769798.84464813815</v>
      </c>
      <c r="AR10" s="352">
        <f>SUM(AE10:AH10)</f>
        <v>799771.22818429256</v>
      </c>
    </row>
    <row r="11" spans="2:44" ht="13.8">
      <c r="B11" s="70"/>
      <c r="C11" s="102"/>
      <c r="D11" s="102"/>
      <c r="E11" s="102"/>
      <c r="F11" s="102"/>
      <c r="G11" s="102"/>
      <c r="H11" s="102"/>
      <c r="I11" s="102"/>
      <c r="J11" s="102"/>
      <c r="K11" s="102"/>
      <c r="L11" s="102"/>
      <c r="M11" s="102"/>
      <c r="N11" s="102"/>
      <c r="O11" s="102"/>
      <c r="P11" s="102"/>
      <c r="Q11" s="102"/>
      <c r="R11" s="102"/>
      <c r="S11" s="102"/>
      <c r="T11" s="102"/>
      <c r="U11" s="102"/>
      <c r="V11" s="353"/>
      <c r="W11" s="353"/>
      <c r="X11" s="353"/>
      <c r="Y11" s="353"/>
      <c r="Z11" s="353"/>
      <c r="AA11" s="353"/>
      <c r="AB11" s="353"/>
      <c r="AC11" s="353"/>
      <c r="AD11" s="353"/>
      <c r="AE11" s="353"/>
      <c r="AF11" s="353"/>
      <c r="AG11" s="353"/>
      <c r="AH11" s="353"/>
      <c r="AP11" s="286"/>
    </row>
  </sheetData>
  <phoneticPr fontId="87" type="noConversion"/>
  <pageMargins left="0.19685039370078741" right="0.19685039370078741" top="0.19685039370078741" bottom="0.19685039370078741" header="0.51181102362204722" footer="0.51181102362204722"/>
  <pageSetup paperSize="9" scale="83" orientation="landscape" r:id="rId1"/>
  <headerFooter alignWithMargins="0"/>
  <ignoredErrors>
    <ignoredError sqref="AK7:AN10"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5"/>
  <sheetViews>
    <sheetView showGridLines="0" zoomScale="80" zoomScaleNormal="80" workbookViewId="0">
      <pane xSplit="2" ySplit="7" topLeftCell="C8" activePane="bottomRight" state="frozen"/>
      <selection activeCell="S25" sqref="S25"/>
      <selection pane="topRight" activeCell="S25" sqref="S25"/>
      <selection pane="bottomLeft" activeCell="S25" sqref="S25"/>
      <selection pane="bottomRight" activeCell="AK11" sqref="AK11"/>
    </sheetView>
  </sheetViews>
  <sheetFormatPr defaultRowHeight="13.2" outlineLevelCol="1"/>
  <cols>
    <col min="1" max="1" width="1.77734375" customWidth="1"/>
    <col min="2" max="2" width="32.21875" bestFit="1" customWidth="1"/>
    <col min="3" max="14" width="9.21875" hidden="1" customWidth="1" outlineLevel="1"/>
    <col min="15" max="21" width="0" hidden="1" customWidth="1" outlineLevel="1"/>
    <col min="22" max="22" width="0" style="293" hidden="1" customWidth="1" outlineLevel="1"/>
    <col min="23" max="23" width="9.21875" style="293" collapsed="1"/>
    <col min="24" max="26" width="9.21875" style="293"/>
    <col min="27" max="27" width="8.77734375" style="293"/>
    <col min="28" max="29" width="9.21875" style="293"/>
    <col min="30" max="34" width="8.77734375" style="293"/>
  </cols>
  <sheetData>
    <row r="1" spans="1:41" s="40" customFormat="1">
      <c r="V1" s="286"/>
      <c r="W1" s="286"/>
      <c r="X1" s="286"/>
      <c r="Y1" s="286"/>
      <c r="Z1" s="286"/>
      <c r="AA1" s="286"/>
      <c r="AB1" s="286"/>
      <c r="AC1" s="286"/>
      <c r="AD1" s="286"/>
      <c r="AE1" s="286"/>
      <c r="AF1" s="286"/>
      <c r="AG1" s="286"/>
      <c r="AH1" s="286"/>
    </row>
    <row r="2" spans="1:41" s="40" customFormat="1" ht="13.5" customHeight="1">
      <c r="V2" s="286"/>
      <c r="W2" s="286"/>
      <c r="X2" s="286"/>
      <c r="Y2" s="286"/>
      <c r="Z2" s="286"/>
      <c r="AA2" s="286"/>
      <c r="AB2" s="286"/>
      <c r="AC2" s="286"/>
      <c r="AD2" s="286"/>
      <c r="AE2" s="286"/>
      <c r="AF2" s="286"/>
      <c r="AG2" s="286"/>
      <c r="AH2" s="286"/>
    </row>
    <row r="3" spans="1:41" s="40" customFormat="1">
      <c r="V3" s="286"/>
      <c r="W3" s="286"/>
      <c r="X3" s="286"/>
      <c r="Y3" s="286"/>
      <c r="Z3" s="286"/>
      <c r="AA3" s="286"/>
      <c r="AB3" s="286"/>
      <c r="AC3" s="286"/>
      <c r="AD3" s="286"/>
      <c r="AE3" s="286"/>
      <c r="AF3" s="286"/>
      <c r="AG3" s="286"/>
      <c r="AH3" s="286"/>
    </row>
    <row r="4" spans="1:41" s="40" customFormat="1" ht="20.25" customHeight="1">
      <c r="V4" s="286"/>
      <c r="W4" s="286"/>
      <c r="X4" s="286"/>
      <c r="Y4" s="286"/>
      <c r="Z4" s="286"/>
      <c r="AA4" s="286"/>
      <c r="AB4" s="286"/>
      <c r="AC4" s="286"/>
      <c r="AD4" s="286"/>
      <c r="AE4" s="286"/>
      <c r="AF4" s="286"/>
      <c r="AG4" s="286"/>
      <c r="AH4" s="286"/>
    </row>
    <row r="5" spans="1:41" s="40" customFormat="1">
      <c r="B5" s="57"/>
      <c r="V5" s="286"/>
      <c r="W5" s="286"/>
      <c r="X5" s="286"/>
      <c r="Y5" s="286"/>
      <c r="Z5" s="286"/>
      <c r="AA5" s="286"/>
      <c r="AB5" s="286"/>
      <c r="AC5" s="286"/>
      <c r="AD5" s="286"/>
      <c r="AE5" s="286"/>
      <c r="AF5" s="286"/>
      <c r="AG5" s="286"/>
      <c r="AH5" s="286"/>
    </row>
    <row r="6" spans="1:41" s="18" customFormat="1" ht="14.25" customHeight="1" thickBot="1">
      <c r="B6" s="58" t="s">
        <v>256</v>
      </c>
      <c r="C6" s="77" t="s">
        <v>94</v>
      </c>
      <c r="D6" s="77" t="s">
        <v>95</v>
      </c>
      <c r="E6" s="77" t="s">
        <v>96</v>
      </c>
      <c r="F6" s="77" t="s">
        <v>97</v>
      </c>
      <c r="G6" s="77" t="s">
        <v>79</v>
      </c>
      <c r="H6" s="77" t="s">
        <v>80</v>
      </c>
      <c r="I6" s="77" t="s">
        <v>81</v>
      </c>
      <c r="J6" s="77" t="s">
        <v>82</v>
      </c>
      <c r="K6" s="77" t="s">
        <v>83</v>
      </c>
      <c r="L6" s="77" t="s">
        <v>84</v>
      </c>
      <c r="M6" s="77" t="s">
        <v>85</v>
      </c>
      <c r="N6" s="77" t="s">
        <v>86</v>
      </c>
      <c r="O6" s="77" t="s">
        <v>87</v>
      </c>
      <c r="P6" s="77" t="s">
        <v>88</v>
      </c>
      <c r="Q6" s="77" t="s">
        <v>89</v>
      </c>
      <c r="R6" s="77" t="s">
        <v>90</v>
      </c>
      <c r="S6" s="77" t="s">
        <v>91</v>
      </c>
      <c r="T6" s="77" t="s">
        <v>92</v>
      </c>
      <c r="U6" s="77" t="s">
        <v>93</v>
      </c>
      <c r="V6" s="287" t="s">
        <v>331</v>
      </c>
      <c r="W6" s="287" t="s">
        <v>341</v>
      </c>
      <c r="X6" s="287" t="s">
        <v>374</v>
      </c>
      <c r="Y6" s="287" t="s">
        <v>382</v>
      </c>
      <c r="Z6" s="287" t="s">
        <v>384</v>
      </c>
      <c r="AA6" s="287" t="s">
        <v>461</v>
      </c>
      <c r="AB6" s="287" t="s">
        <v>465</v>
      </c>
      <c r="AC6" s="287" t="s">
        <v>466</v>
      </c>
      <c r="AD6" s="287" t="s">
        <v>467</v>
      </c>
      <c r="AE6" s="287" t="s">
        <v>513</v>
      </c>
      <c r="AF6" s="287" t="s">
        <v>519</v>
      </c>
      <c r="AG6" s="287" t="s">
        <v>528</v>
      </c>
      <c r="AH6" s="287" t="s">
        <v>514</v>
      </c>
    </row>
    <row r="7" spans="1:41" s="38" customFormat="1" ht="4.5" customHeight="1" thickTop="1">
      <c r="A7" s="51"/>
      <c r="B7" s="46"/>
      <c r="C7" s="52"/>
      <c r="D7" s="52"/>
      <c r="E7" s="52"/>
      <c r="F7" s="52"/>
      <c r="G7" s="52"/>
      <c r="H7" s="52"/>
      <c r="I7" s="52"/>
      <c r="J7" s="52"/>
      <c r="K7" s="52"/>
      <c r="L7" s="52"/>
      <c r="M7" s="52"/>
      <c r="N7" s="52"/>
      <c r="O7" s="52"/>
      <c r="P7" s="52"/>
      <c r="Q7" s="52"/>
      <c r="R7" s="52"/>
      <c r="S7" s="52"/>
      <c r="T7" s="52"/>
      <c r="U7" s="52"/>
      <c r="V7" s="288"/>
      <c r="W7" s="288"/>
      <c r="X7" s="288"/>
      <c r="Y7" s="288"/>
      <c r="Z7" s="288"/>
      <c r="AA7" s="288"/>
      <c r="AB7" s="288"/>
      <c r="AC7" s="288"/>
      <c r="AD7" s="288"/>
      <c r="AE7" s="288"/>
      <c r="AF7" s="288"/>
      <c r="AG7" s="288"/>
      <c r="AH7" s="288"/>
      <c r="AK7" s="52"/>
      <c r="AL7" s="52"/>
      <c r="AM7" s="52"/>
      <c r="AN7" s="52"/>
      <c r="AO7" s="52"/>
    </row>
    <row r="8" spans="1:41" ht="13.8">
      <c r="B8" s="73" t="s">
        <v>257</v>
      </c>
      <c r="C8" s="135">
        <v>396.54200000000003</v>
      </c>
      <c r="D8" s="135">
        <v>430.05449999999996</v>
      </c>
      <c r="E8" s="135">
        <v>490.70650000000001</v>
      </c>
      <c r="F8" s="135">
        <v>510.18899999999996</v>
      </c>
      <c r="G8" s="135">
        <v>507.40100000000007</v>
      </c>
      <c r="H8" s="135">
        <v>561.96749999999997</v>
      </c>
      <c r="I8" s="135">
        <v>550.31500000000005</v>
      </c>
      <c r="J8" s="135">
        <v>453.04250000000002</v>
      </c>
      <c r="K8" s="135">
        <v>474.18700000000001</v>
      </c>
      <c r="L8" s="135">
        <v>527.654</v>
      </c>
      <c r="M8" s="135">
        <v>561.26499999999999</v>
      </c>
      <c r="N8" s="135">
        <v>543.00749999999994</v>
      </c>
      <c r="O8" s="135">
        <v>559.25400000000002</v>
      </c>
      <c r="P8" s="135">
        <v>655.39650000000006</v>
      </c>
      <c r="Q8" s="135">
        <v>712.5</v>
      </c>
      <c r="R8" s="135">
        <v>728.12450000000001</v>
      </c>
      <c r="S8" s="135">
        <v>691.59850000000006</v>
      </c>
      <c r="T8" s="135">
        <v>627.97399999999993</v>
      </c>
      <c r="U8" s="135">
        <v>548.81400000000008</v>
      </c>
      <c r="V8" s="261">
        <v>511.31400000000002</v>
      </c>
      <c r="W8" s="261">
        <f>AVERAGE('9 - Financial Statements'!W45,'9 - Financial Statements'!V45)</f>
        <v>520.41750000000002</v>
      </c>
      <c r="X8" s="261">
        <v>531.41750000000002</v>
      </c>
      <c r="Y8" s="261">
        <v>510</v>
      </c>
      <c r="Z8" s="261">
        <v>442.89850000000001</v>
      </c>
      <c r="AA8" s="515">
        <v>405.82899999999995</v>
      </c>
      <c r="AB8" s="261">
        <v>446.19499999999999</v>
      </c>
      <c r="AC8" s="261">
        <v>490.58749999999998</v>
      </c>
      <c r="AD8" s="261">
        <v>505.76750000000004</v>
      </c>
      <c r="AE8" s="261">
        <v>566.26750000000004</v>
      </c>
      <c r="AF8" s="261">
        <v>654.5</v>
      </c>
      <c r="AG8" s="261">
        <v>657.5</v>
      </c>
      <c r="AH8" s="261">
        <v>638</v>
      </c>
    </row>
    <row r="9" spans="1:41" ht="13.8">
      <c r="B9" s="74" t="s">
        <v>258</v>
      </c>
      <c r="C9" s="135">
        <v>660.74400000000003</v>
      </c>
      <c r="D9" s="135">
        <v>715.02200000000005</v>
      </c>
      <c r="E9" s="135">
        <v>849.06150000000002</v>
      </c>
      <c r="F9" s="135">
        <v>878.72399999999993</v>
      </c>
      <c r="G9" s="135">
        <v>807.81449999999995</v>
      </c>
      <c r="H9" s="135">
        <v>842.29250000000002</v>
      </c>
      <c r="I9" s="135">
        <v>913.51600000000008</v>
      </c>
      <c r="J9" s="135">
        <v>929.3755000000001</v>
      </c>
      <c r="K9" s="135">
        <v>1018.22</v>
      </c>
      <c r="L9" s="135">
        <v>1134.9279999999999</v>
      </c>
      <c r="M9" s="135">
        <v>1098.9675</v>
      </c>
      <c r="N9" s="135">
        <v>1053.1285</v>
      </c>
      <c r="O9" s="135">
        <v>1156.904</v>
      </c>
      <c r="P9" s="135">
        <v>1411.4639999999999</v>
      </c>
      <c r="Q9" s="135">
        <v>1605</v>
      </c>
      <c r="R9" s="135">
        <v>1611.6559999999999</v>
      </c>
      <c r="S9" s="135">
        <v>1616.5875000000001</v>
      </c>
      <c r="T9" s="135">
        <v>1718.9315000000001</v>
      </c>
      <c r="U9" s="135">
        <v>1831.1165000000001</v>
      </c>
      <c r="V9" s="261">
        <v>1873.1165000000001</v>
      </c>
      <c r="W9" s="261">
        <f>AVERAGE('9 - Financial Statements'!W46,'9 - Financial Statements'!V46)</f>
        <v>1984.8025</v>
      </c>
      <c r="X9" s="261">
        <v>2205.3024999999998</v>
      </c>
      <c r="Y9" s="261">
        <v>2229.5</v>
      </c>
      <c r="Z9" s="261">
        <v>2037.127</v>
      </c>
      <c r="AA9" s="515">
        <v>1928.7165</v>
      </c>
      <c r="AB9" s="261">
        <v>1892.837</v>
      </c>
      <c r="AC9" s="261">
        <v>1902.7474999999999</v>
      </c>
      <c r="AD9" s="261">
        <v>2051.2984999999999</v>
      </c>
      <c r="AE9" s="261">
        <v>2234.2984999999999</v>
      </c>
      <c r="AF9" s="261">
        <v>2330</v>
      </c>
      <c r="AG9" s="261">
        <v>2293</v>
      </c>
      <c r="AH9" s="261">
        <v>2139</v>
      </c>
      <c r="AI9" s="557"/>
    </row>
    <row r="10" spans="1:41" ht="13.8">
      <c r="B10" s="74" t="s">
        <v>259</v>
      </c>
      <c r="C10" s="135">
        <v>438.75200000000001</v>
      </c>
      <c r="D10" s="135">
        <v>509.4425</v>
      </c>
      <c r="E10" s="135">
        <v>548.95799999999997</v>
      </c>
      <c r="F10" s="135">
        <v>462.34399999999994</v>
      </c>
      <c r="G10" s="135">
        <v>393.85050000000001</v>
      </c>
      <c r="H10" s="135">
        <v>410.18</v>
      </c>
      <c r="I10" s="135">
        <v>423.87149999999997</v>
      </c>
      <c r="J10" s="135">
        <v>415.74149999999997</v>
      </c>
      <c r="K10" s="135">
        <v>462.99099999999999</v>
      </c>
      <c r="L10" s="135">
        <v>480.82900000000006</v>
      </c>
      <c r="M10" s="135">
        <v>451.50450000000001</v>
      </c>
      <c r="N10" s="135">
        <v>443.03449999999998</v>
      </c>
      <c r="O10" s="135">
        <v>468.62099999999998</v>
      </c>
      <c r="P10" s="135">
        <v>517.14549999999997</v>
      </c>
      <c r="Q10" s="135">
        <v>581.5</v>
      </c>
      <c r="R10" s="135">
        <v>647.81299999999999</v>
      </c>
      <c r="S10" s="135">
        <v>651.30449999999996</v>
      </c>
      <c r="T10" s="135">
        <v>697.49149999999997</v>
      </c>
      <c r="U10" s="135">
        <v>838.57349999999997</v>
      </c>
      <c r="V10" s="261">
        <v>969.07349999999997</v>
      </c>
      <c r="W10" s="261">
        <f>AVERAGE('9 - Financial Statements'!W75,'9 - Financial Statements'!V75)</f>
        <v>1011.1315</v>
      </c>
      <c r="X10" s="261">
        <v>1001.1315</v>
      </c>
      <c r="Y10" s="261">
        <v>935</v>
      </c>
      <c r="Z10" s="261">
        <v>918.94049999999993</v>
      </c>
      <c r="AA10" s="515">
        <v>923.09799999999996</v>
      </c>
      <c r="AB10" s="261">
        <v>842.7645</v>
      </c>
      <c r="AC10" s="261">
        <v>877.10699999999997</v>
      </c>
      <c r="AD10" s="261">
        <v>1040.9969999999998</v>
      </c>
      <c r="AE10" s="261">
        <v>1195.4969999999998</v>
      </c>
      <c r="AF10" s="261">
        <v>1210</v>
      </c>
      <c r="AG10" s="261">
        <v>1144</v>
      </c>
      <c r="AH10" s="261">
        <v>1111</v>
      </c>
    </row>
    <row r="11" spans="1:41" ht="13.8">
      <c r="B11" s="73" t="s">
        <v>260</v>
      </c>
      <c r="C11" s="135">
        <v>41.402500000000003</v>
      </c>
      <c r="D11" s="135">
        <v>36.216999999999999</v>
      </c>
      <c r="E11" s="135">
        <v>93.34</v>
      </c>
      <c r="F11" s="135">
        <v>207.63149999999999</v>
      </c>
      <c r="G11" s="135">
        <v>258.60000000000002</v>
      </c>
      <c r="H11" s="135">
        <v>323.82799999999997</v>
      </c>
      <c r="I11" s="135">
        <v>373.71449999999999</v>
      </c>
      <c r="J11" s="135">
        <v>347.72899999999998</v>
      </c>
      <c r="K11" s="135">
        <v>375.964</v>
      </c>
      <c r="L11" s="135">
        <v>382.10500000000002</v>
      </c>
      <c r="M11" s="135">
        <v>380.07349999999997</v>
      </c>
      <c r="N11" s="135">
        <v>503.65800000000002</v>
      </c>
      <c r="O11" s="135">
        <v>592.23</v>
      </c>
      <c r="P11" s="135">
        <v>601.93949999999995</v>
      </c>
      <c r="Q11" s="135">
        <v>500.5</v>
      </c>
      <c r="R11" s="135">
        <v>472.50850000000003</v>
      </c>
      <c r="S11" s="135">
        <v>415.44800000000004</v>
      </c>
      <c r="T11" s="135">
        <v>190.93950000000001</v>
      </c>
      <c r="U11" s="135">
        <v>114.71250000000001</v>
      </c>
      <c r="V11" s="261">
        <v>165.21250000000001</v>
      </c>
      <c r="W11" s="261">
        <f>AVERAGE('9 - Financial Statements'!W74,'9 - Financial Statements'!V74)</f>
        <v>242.828</v>
      </c>
      <c r="X11" s="261">
        <v>271.32799999999997</v>
      </c>
      <c r="Y11" s="261">
        <v>192.5</v>
      </c>
      <c r="Z11" s="261">
        <v>183.40600000000001</v>
      </c>
      <c r="AA11" s="515">
        <v>191.48250000000002</v>
      </c>
      <c r="AB11" s="261">
        <v>142.29050000000001</v>
      </c>
      <c r="AC11" s="261">
        <v>124.214</v>
      </c>
      <c r="AD11" s="261">
        <v>138.23349999999999</v>
      </c>
      <c r="AE11" s="261">
        <v>154.73349999999999</v>
      </c>
      <c r="AF11" s="261">
        <v>144</v>
      </c>
      <c r="AG11" s="261">
        <v>151</v>
      </c>
      <c r="AH11" s="261">
        <v>181.5</v>
      </c>
    </row>
    <row r="12" spans="1:41" ht="13.8">
      <c r="B12" s="243" t="s">
        <v>261</v>
      </c>
      <c r="C12" s="340">
        <f t="shared" ref="C12:AB12" si="0">C9+C8-C10-C11</f>
        <v>577.13150000000007</v>
      </c>
      <c r="D12" s="340">
        <f t="shared" si="0"/>
        <v>599.41700000000014</v>
      </c>
      <c r="E12" s="340">
        <f t="shared" si="0"/>
        <v>697.47</v>
      </c>
      <c r="F12" s="340">
        <f t="shared" si="0"/>
        <v>718.93750000000011</v>
      </c>
      <c r="G12" s="340">
        <f t="shared" si="0"/>
        <v>662.76499999999999</v>
      </c>
      <c r="H12" s="340">
        <f t="shared" si="0"/>
        <v>670.25199999999995</v>
      </c>
      <c r="I12" s="340">
        <f t="shared" si="0"/>
        <v>666.24500000000012</v>
      </c>
      <c r="J12" s="340">
        <f t="shared" si="0"/>
        <v>618.94750000000022</v>
      </c>
      <c r="K12" s="340">
        <f t="shared" si="0"/>
        <v>653.45200000000023</v>
      </c>
      <c r="L12" s="340">
        <f t="shared" si="0"/>
        <v>799.64799999999968</v>
      </c>
      <c r="M12" s="340">
        <f t="shared" si="0"/>
        <v>828.6545000000001</v>
      </c>
      <c r="N12" s="340">
        <f t="shared" si="0"/>
        <v>649.44349999999997</v>
      </c>
      <c r="O12" s="340">
        <f t="shared" si="0"/>
        <v>655.30699999999979</v>
      </c>
      <c r="P12" s="340">
        <f t="shared" si="0"/>
        <v>947.77549999999974</v>
      </c>
      <c r="Q12" s="340">
        <f t="shared" si="0"/>
        <v>1235.5</v>
      </c>
      <c r="R12" s="340">
        <f t="shared" si="0"/>
        <v>1219.4589999999998</v>
      </c>
      <c r="S12" s="340">
        <f t="shared" si="0"/>
        <v>1241.4335000000001</v>
      </c>
      <c r="T12" s="340">
        <f t="shared" si="0"/>
        <v>1458.4744999999998</v>
      </c>
      <c r="U12" s="340">
        <f t="shared" si="0"/>
        <v>1426.6445000000003</v>
      </c>
      <c r="V12" s="340">
        <f t="shared" si="0"/>
        <v>1250.1444999999999</v>
      </c>
      <c r="W12" s="340">
        <f t="shared" si="0"/>
        <v>1251.2605000000003</v>
      </c>
      <c r="X12" s="340">
        <f t="shared" si="0"/>
        <v>1464.2604999999999</v>
      </c>
      <c r="Y12" s="340">
        <f t="shared" si="0"/>
        <v>1612</v>
      </c>
      <c r="Z12" s="340">
        <f t="shared" si="0"/>
        <v>1377.6789999999999</v>
      </c>
      <c r="AA12" s="340">
        <f t="shared" si="0"/>
        <v>1219.9650000000001</v>
      </c>
      <c r="AB12" s="340">
        <f t="shared" si="0"/>
        <v>1353.9770000000001</v>
      </c>
      <c r="AC12" s="340">
        <v>1392.0140000000001</v>
      </c>
      <c r="AD12" s="340">
        <f t="shared" ref="AD12:AH12" si="1">AD9+AD8-AD10-AD11</f>
        <v>1377.8354999999999</v>
      </c>
      <c r="AE12" s="340">
        <f t="shared" si="1"/>
        <v>1450.3354999999999</v>
      </c>
      <c r="AF12" s="340">
        <f t="shared" si="1"/>
        <v>1630.5</v>
      </c>
      <c r="AG12" s="340">
        <f t="shared" si="1"/>
        <v>1655.5</v>
      </c>
      <c r="AH12" s="340">
        <f t="shared" si="1"/>
        <v>1484.5</v>
      </c>
      <c r="AI12" s="557"/>
    </row>
    <row r="13" spans="1:41" ht="13.8">
      <c r="B13" s="74" t="s">
        <v>262</v>
      </c>
      <c r="C13" s="135">
        <v>1165.088</v>
      </c>
      <c r="D13" s="135">
        <v>1316.9949999999999</v>
      </c>
      <c r="E13" s="135">
        <v>1438.836</v>
      </c>
      <c r="F13" s="135">
        <v>1496.5569999999993</v>
      </c>
      <c r="G13" s="135">
        <v>1327.079</v>
      </c>
      <c r="H13" s="135">
        <v>1365.954</v>
      </c>
      <c r="I13" s="135">
        <v>1313.2519999999995</v>
      </c>
      <c r="J13" s="135">
        <v>1257.3990000000013</v>
      </c>
      <c r="K13" s="135">
        <v>1252.7380000000001</v>
      </c>
      <c r="L13" s="135">
        <v>1101.9179999999999</v>
      </c>
      <c r="M13" s="135">
        <v>1485.6209999999999</v>
      </c>
      <c r="N13" s="135">
        <v>1571.105</v>
      </c>
      <c r="O13" s="135">
        <v>1792.8239999999998</v>
      </c>
      <c r="P13" s="135">
        <v>1913.0839999999996</v>
      </c>
      <c r="Q13" s="135">
        <v>2300.0440000000008</v>
      </c>
      <c r="R13" s="135">
        <v>2417.2279999999996</v>
      </c>
      <c r="S13" s="135">
        <v>2291.665</v>
      </c>
      <c r="T13" s="135">
        <v>2331</v>
      </c>
      <c r="U13" s="135">
        <v>2245</v>
      </c>
      <c r="V13" s="261">
        <v>1957</v>
      </c>
      <c r="W13" s="261">
        <f>'9 - Financial Statements'!W7</f>
        <v>1915.819</v>
      </c>
      <c r="X13" s="261">
        <v>1665</v>
      </c>
      <c r="Y13" s="261">
        <v>1864</v>
      </c>
      <c r="Z13" s="261">
        <v>1932.9440000000004</v>
      </c>
      <c r="AA13" s="515">
        <v>1693.866</v>
      </c>
      <c r="AB13" s="261">
        <v>2065</v>
      </c>
      <c r="AC13" s="261">
        <v>2135</v>
      </c>
      <c r="AD13" s="261">
        <v>2280.4187040800002</v>
      </c>
      <c r="AE13" s="261">
        <v>2338</v>
      </c>
      <c r="AF13" s="261">
        <v>2005</v>
      </c>
      <c r="AG13" s="261">
        <v>2252</v>
      </c>
      <c r="AH13" s="261">
        <v>2194</v>
      </c>
      <c r="AI13" s="557"/>
    </row>
    <row r="14" spans="1:41" ht="14.4" thickBot="1">
      <c r="B14" s="241" t="s">
        <v>263</v>
      </c>
      <c r="C14" s="244">
        <v>90</v>
      </c>
      <c r="D14" s="244">
        <v>91</v>
      </c>
      <c r="E14" s="244">
        <v>92</v>
      </c>
      <c r="F14" s="244">
        <v>92</v>
      </c>
      <c r="G14" s="244">
        <v>90</v>
      </c>
      <c r="H14" s="244">
        <v>91</v>
      </c>
      <c r="I14" s="244">
        <v>92</v>
      </c>
      <c r="J14" s="244">
        <v>92</v>
      </c>
      <c r="K14" s="244">
        <v>91</v>
      </c>
      <c r="L14" s="244">
        <v>91</v>
      </c>
      <c r="M14" s="244">
        <v>92</v>
      </c>
      <c r="N14" s="244">
        <v>92</v>
      </c>
      <c r="O14" s="242">
        <v>90</v>
      </c>
      <c r="P14" s="244">
        <v>91</v>
      </c>
      <c r="Q14" s="244">
        <v>92</v>
      </c>
      <c r="R14" s="244">
        <v>92</v>
      </c>
      <c r="S14" s="244">
        <v>90</v>
      </c>
      <c r="T14" s="244">
        <v>91</v>
      </c>
      <c r="U14" s="244">
        <v>92</v>
      </c>
      <c r="V14" s="354">
        <f>31+30+31</f>
        <v>92</v>
      </c>
      <c r="W14" s="354">
        <v>90</v>
      </c>
      <c r="X14" s="354">
        <v>91</v>
      </c>
      <c r="Y14" s="354">
        <v>92</v>
      </c>
      <c r="Z14" s="354">
        <v>92</v>
      </c>
      <c r="AA14" s="354">
        <v>91</v>
      </c>
      <c r="AB14" s="354">
        <v>91</v>
      </c>
      <c r="AC14" s="354">
        <v>91</v>
      </c>
      <c r="AD14" s="354">
        <v>91</v>
      </c>
      <c r="AE14" s="354">
        <v>90</v>
      </c>
      <c r="AF14" s="354">
        <v>91</v>
      </c>
      <c r="AG14" s="354">
        <v>92</v>
      </c>
      <c r="AH14" s="354">
        <v>92</v>
      </c>
    </row>
    <row r="15" spans="1:41" ht="14.4" thickBot="1">
      <c r="B15" s="240" t="s">
        <v>264</v>
      </c>
      <c r="C15" s="355">
        <f t="shared" ref="C15:AC15" si="2">(C12*C14)/C13</f>
        <v>44.581898534702965</v>
      </c>
      <c r="D15" s="355">
        <f t="shared" si="2"/>
        <v>41.417732793214874</v>
      </c>
      <c r="E15" s="355">
        <f t="shared" si="2"/>
        <v>44.596632277757855</v>
      </c>
      <c r="F15" s="355">
        <f t="shared" si="2"/>
        <v>44.196278524640256</v>
      </c>
      <c r="G15" s="355">
        <f t="shared" si="2"/>
        <v>44.947474867735835</v>
      </c>
      <c r="H15" s="355">
        <f t="shared" si="2"/>
        <v>44.652259153675743</v>
      </c>
      <c r="I15" s="355">
        <f t="shared" si="2"/>
        <v>46.673860005543517</v>
      </c>
      <c r="J15" s="355">
        <f t="shared" si="2"/>
        <v>45.286476289546883</v>
      </c>
      <c r="K15" s="355">
        <f t="shared" si="2"/>
        <v>47.467333153460672</v>
      </c>
      <c r="L15" s="355">
        <f t="shared" si="2"/>
        <v>66.037552703558674</v>
      </c>
      <c r="M15" s="355">
        <f t="shared" si="2"/>
        <v>51.316058402513164</v>
      </c>
      <c r="N15" s="355">
        <f t="shared" si="2"/>
        <v>38.029795589728245</v>
      </c>
      <c r="O15" s="355">
        <f t="shared" si="2"/>
        <v>32.896497369513121</v>
      </c>
      <c r="P15" s="355">
        <f t="shared" si="2"/>
        <v>45.083002366858949</v>
      </c>
      <c r="Q15" s="355">
        <f t="shared" si="2"/>
        <v>49.419054591999092</v>
      </c>
      <c r="R15" s="355">
        <f t="shared" si="2"/>
        <v>46.41276205637201</v>
      </c>
      <c r="S15" s="355">
        <f t="shared" si="2"/>
        <v>48.754514730556174</v>
      </c>
      <c r="T15" s="355">
        <f t="shared" si="2"/>
        <v>56.93744294294293</v>
      </c>
      <c r="U15" s="355">
        <f t="shared" si="2"/>
        <v>58.463828062360811</v>
      </c>
      <c r="V15" s="355">
        <f t="shared" si="2"/>
        <v>58.770206438426158</v>
      </c>
      <c r="W15" s="355">
        <f t="shared" si="2"/>
        <v>58.780837333798253</v>
      </c>
      <c r="X15" s="355">
        <f t="shared" si="2"/>
        <v>80.028651951951943</v>
      </c>
      <c r="Y15" s="355">
        <f t="shared" si="2"/>
        <v>79.562231759656655</v>
      </c>
      <c r="Z15" s="355">
        <f t="shared" si="2"/>
        <v>65.571722719333806</v>
      </c>
      <c r="AA15" s="355">
        <f t="shared" si="2"/>
        <v>65.540494348431352</v>
      </c>
      <c r="AB15" s="355">
        <f t="shared" si="2"/>
        <v>59.666783050847464</v>
      </c>
      <c r="AC15" s="355">
        <f t="shared" si="2"/>
        <v>59.331744262295082</v>
      </c>
      <c r="AD15" s="355">
        <f t="shared" ref="AD15:AH15" si="3">(AD12*AD14)/AD13</f>
        <v>54.982460140180194</v>
      </c>
      <c r="AE15" s="355">
        <f t="shared" si="3"/>
        <v>55.829852437981174</v>
      </c>
      <c r="AF15" s="355">
        <f t="shared" si="3"/>
        <v>74.002743142144638</v>
      </c>
      <c r="AG15" s="355">
        <f t="shared" si="3"/>
        <v>67.63143872113676</v>
      </c>
      <c r="AH15" s="355">
        <f t="shared" si="3"/>
        <v>62.24886052871468</v>
      </c>
    </row>
  </sheetData>
  <phoneticPr fontId="87" type="noConversion"/>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0"/>
  <sheetViews>
    <sheetView showGridLines="0" zoomScale="80" zoomScaleNormal="80" workbookViewId="0">
      <selection activeCell="V14" sqref="V14"/>
    </sheetView>
  </sheetViews>
  <sheetFormatPr defaultRowHeight="13.2" outlineLevelRow="1" outlineLevelCol="1"/>
  <cols>
    <col min="1" max="1" width="2.21875" customWidth="1"/>
    <col min="2" max="2" width="23.5546875" bestFit="1" customWidth="1"/>
    <col min="3" max="9" width="8.77734375" hidden="1" customWidth="1" outlineLevel="1"/>
    <col min="10" max="10" width="8.77734375" style="293" hidden="1" customWidth="1" outlineLevel="1"/>
    <col min="11" max="11" width="9.21875" style="293" collapsed="1"/>
    <col min="12" max="14" width="9.21875" style="293"/>
    <col min="15" max="15" width="8.77734375" style="293"/>
    <col min="16" max="17" width="9.21875" style="293"/>
    <col min="18" max="22" width="8.77734375" style="293"/>
  </cols>
  <sheetData>
    <row r="1" spans="1:41" s="40" customFormat="1">
      <c r="J1" s="286"/>
      <c r="K1" s="286"/>
      <c r="L1" s="286"/>
      <c r="M1" s="286"/>
      <c r="N1" s="286"/>
      <c r="O1" s="286"/>
      <c r="P1" s="286"/>
      <c r="Q1" s="286"/>
      <c r="R1" s="286"/>
      <c r="S1" s="286"/>
      <c r="T1" s="286"/>
      <c r="U1" s="286"/>
      <c r="V1" s="286"/>
    </row>
    <row r="2" spans="1:41" s="40" customFormat="1" ht="13.5" customHeight="1">
      <c r="J2" s="286"/>
      <c r="K2" s="286"/>
      <c r="L2" s="286"/>
      <c r="M2" s="286"/>
      <c r="N2" s="286"/>
      <c r="O2" s="286"/>
      <c r="P2" s="286"/>
      <c r="Q2" s="286"/>
      <c r="R2" s="286"/>
      <c r="S2" s="286"/>
      <c r="T2" s="286"/>
      <c r="U2" s="286"/>
      <c r="V2" s="286"/>
    </row>
    <row r="3" spans="1:41" s="40" customFormat="1">
      <c r="J3" s="286"/>
      <c r="K3" s="286"/>
      <c r="L3" s="286"/>
      <c r="M3" s="286"/>
      <c r="N3" s="286"/>
      <c r="O3" s="286"/>
      <c r="P3" s="286"/>
      <c r="Q3" s="286"/>
      <c r="R3" s="286"/>
      <c r="S3" s="286"/>
      <c r="T3" s="286"/>
      <c r="U3" s="286"/>
      <c r="V3" s="286"/>
    </row>
    <row r="4" spans="1:41" s="40" customFormat="1" ht="20.25" customHeight="1">
      <c r="J4" s="286"/>
      <c r="K4" s="286"/>
      <c r="L4" s="286"/>
      <c r="M4" s="286"/>
      <c r="N4" s="286"/>
      <c r="O4" s="286"/>
      <c r="P4" s="286"/>
      <c r="Q4" s="286"/>
      <c r="R4" s="286"/>
      <c r="S4" s="286"/>
      <c r="T4" s="286"/>
      <c r="U4" s="286"/>
      <c r="V4" s="286"/>
    </row>
    <row r="5" spans="1:41" s="40" customFormat="1">
      <c r="B5" s="57"/>
      <c r="J5" s="286"/>
      <c r="K5" s="286"/>
      <c r="L5" s="286"/>
      <c r="M5" s="286"/>
      <c r="N5" s="286"/>
      <c r="O5" s="286"/>
      <c r="P5" s="286"/>
      <c r="Q5" s="286"/>
      <c r="R5" s="286"/>
      <c r="S5" s="286"/>
      <c r="T5" s="286"/>
      <c r="U5" s="286"/>
      <c r="V5" s="286"/>
    </row>
    <row r="6" spans="1:41" s="18" customFormat="1" ht="14.25" customHeight="1" thickBot="1">
      <c r="B6" s="58" t="s">
        <v>27</v>
      </c>
      <c r="C6" s="77" t="s">
        <v>87</v>
      </c>
      <c r="D6" s="77" t="s">
        <v>88</v>
      </c>
      <c r="E6" s="77" t="s">
        <v>89</v>
      </c>
      <c r="F6" s="77" t="s">
        <v>90</v>
      </c>
      <c r="G6" s="77" t="s">
        <v>91</v>
      </c>
      <c r="H6" s="77" t="s">
        <v>92</v>
      </c>
      <c r="I6" s="77" t="s">
        <v>93</v>
      </c>
      <c r="J6" s="287" t="s">
        <v>331</v>
      </c>
      <c r="K6" s="287" t="s">
        <v>341</v>
      </c>
      <c r="L6" s="287" t="s">
        <v>374</v>
      </c>
      <c r="M6" s="287" t="s">
        <v>382</v>
      </c>
      <c r="N6" s="287" t="s">
        <v>384</v>
      </c>
      <c r="O6" s="287" t="s">
        <v>461</v>
      </c>
      <c r="P6" s="287" t="s">
        <v>465</v>
      </c>
      <c r="Q6" s="287" t="s">
        <v>466</v>
      </c>
      <c r="R6" s="287" t="s">
        <v>467</v>
      </c>
      <c r="S6" s="287" t="s">
        <v>513</v>
      </c>
      <c r="T6" s="287" t="s">
        <v>519</v>
      </c>
      <c r="U6" s="287" t="s">
        <v>528</v>
      </c>
      <c r="V6" s="287" t="s">
        <v>514</v>
      </c>
    </row>
    <row r="7" spans="1:41" s="38" customFormat="1" ht="4.5" customHeight="1" thickTop="1">
      <c r="A7" s="51"/>
      <c r="B7" s="46"/>
      <c r="C7" s="52"/>
      <c r="D7" s="52"/>
      <c r="E7" s="52"/>
      <c r="F7" s="52"/>
      <c r="G7" s="52"/>
      <c r="H7" s="52"/>
      <c r="I7" s="52"/>
      <c r="J7" s="288"/>
      <c r="K7" s="288"/>
      <c r="L7" s="288"/>
      <c r="M7" s="288"/>
      <c r="N7" s="288"/>
      <c r="O7" s="288"/>
      <c r="P7" s="288"/>
      <c r="Q7" s="288"/>
      <c r="R7" s="288"/>
      <c r="S7" s="288"/>
      <c r="T7" s="288"/>
      <c r="U7" s="288"/>
      <c r="V7" s="288"/>
      <c r="W7"/>
      <c r="X7"/>
      <c r="Y7"/>
      <c r="Z7"/>
      <c r="AA7" s="52"/>
      <c r="AB7" s="52"/>
      <c r="AC7" s="52"/>
      <c r="AD7" s="52"/>
      <c r="AE7" s="52"/>
      <c r="AF7" s="52"/>
      <c r="AG7" s="52"/>
      <c r="AH7" s="52"/>
      <c r="AK7" s="52"/>
      <c r="AL7" s="52"/>
      <c r="AM7" s="52"/>
      <c r="AN7" s="52"/>
      <c r="AO7" s="52"/>
    </row>
    <row r="8" spans="1:41" s="40" customFormat="1" ht="14.25" customHeight="1" thickBot="1">
      <c r="B8" s="64" t="s">
        <v>150</v>
      </c>
      <c r="C8" s="65">
        <v>360.42100000000011</v>
      </c>
      <c r="D8" s="65">
        <v>362.67900000000003</v>
      </c>
      <c r="E8" s="65">
        <v>313.71800000000081</v>
      </c>
      <c r="F8" s="65">
        <v>500.678</v>
      </c>
      <c r="G8" s="65">
        <v>552.33500000000004</v>
      </c>
      <c r="H8" s="65">
        <v>641</v>
      </c>
      <c r="I8" s="65">
        <v>330</v>
      </c>
      <c r="J8" s="65">
        <v>102.697</v>
      </c>
      <c r="K8" s="65">
        <v>84.31006989999986</v>
      </c>
      <c r="L8" s="65">
        <v>74</v>
      </c>
      <c r="M8" s="65">
        <v>45.689930099999941</v>
      </c>
      <c r="N8" s="65">
        <v>102.45499999999993</v>
      </c>
      <c r="O8" s="524">
        <v>146.19999999999999</v>
      </c>
      <c r="P8" s="65">
        <v>338.67999999999995</v>
      </c>
      <c r="Q8" s="65">
        <v>409.46800000000002</v>
      </c>
      <c r="R8" s="524">
        <v>486</v>
      </c>
      <c r="S8" s="524">
        <v>430</v>
      </c>
      <c r="T8" s="524">
        <v>189</v>
      </c>
      <c r="U8" s="524">
        <f>'9 - Financial Statements'!AG35</f>
        <v>234</v>
      </c>
      <c r="V8" s="524">
        <f>'9 - Financial Statements'!AH35</f>
        <v>257</v>
      </c>
      <c r="W8"/>
      <c r="X8"/>
      <c r="Y8"/>
      <c r="Z8"/>
    </row>
    <row r="9" spans="1:41" ht="13.8">
      <c r="B9" s="74" t="s">
        <v>265</v>
      </c>
      <c r="C9" s="135">
        <v>-195</v>
      </c>
      <c r="D9" s="135">
        <v>-254</v>
      </c>
      <c r="E9" s="135">
        <v>51</v>
      </c>
      <c r="F9" s="135">
        <v>179.5</v>
      </c>
      <c r="G9" s="135">
        <v>-308.79700000000003</v>
      </c>
      <c r="H9" s="135">
        <v>-191.24038703999963</v>
      </c>
      <c r="I9" s="135">
        <v>114.34292782000004</v>
      </c>
      <c r="J9" s="261">
        <v>-58</v>
      </c>
      <c r="K9" s="261">
        <v>-313.20699999999994</v>
      </c>
      <c r="L9" s="261">
        <v>-202</v>
      </c>
      <c r="M9" s="261">
        <v>21.455999999999932</v>
      </c>
      <c r="N9" s="261">
        <v>532.45769427999994</v>
      </c>
      <c r="O9" s="515">
        <v>-162.49400000000009</v>
      </c>
      <c r="P9" s="261">
        <v>-89.650999999999897</v>
      </c>
      <c r="Q9" s="261">
        <v>60.197000000000173</v>
      </c>
      <c r="R9" s="515">
        <v>1.0493757299998947</v>
      </c>
      <c r="S9" s="515">
        <v>-217</v>
      </c>
      <c r="T9" s="515">
        <v>-122</v>
      </c>
      <c r="U9" s="515">
        <v>195</v>
      </c>
      <c r="V9" s="515">
        <v>309</v>
      </c>
      <c r="W9" s="265"/>
    </row>
    <row r="10" spans="1:41" ht="13.8">
      <c r="B10" s="74" t="s">
        <v>266</v>
      </c>
      <c r="C10" s="135">
        <v>-50</v>
      </c>
      <c r="D10" s="135">
        <v>0</v>
      </c>
      <c r="E10" s="135">
        <v>-72</v>
      </c>
      <c r="F10" s="135">
        <v>-19.5</v>
      </c>
      <c r="G10" s="135">
        <v>-77.283000000000001</v>
      </c>
      <c r="H10" s="135">
        <v>-94.908000000000001</v>
      </c>
      <c r="I10" s="135">
        <v>-72.405000000000001</v>
      </c>
      <c r="J10" s="261">
        <v>-10</v>
      </c>
      <c r="K10" s="261">
        <v>-12.263999999999999</v>
      </c>
      <c r="L10" s="261">
        <v>-8</v>
      </c>
      <c r="M10" s="261">
        <v>-8.0449999999999999</v>
      </c>
      <c r="N10" s="261">
        <v>-2.9</v>
      </c>
      <c r="O10" s="515">
        <v>-2.29</v>
      </c>
      <c r="P10" s="261">
        <v>-4.1760000000000002</v>
      </c>
      <c r="Q10" s="261">
        <v>-5.1239999999999997</v>
      </c>
      <c r="R10" s="515">
        <v>-10.746</v>
      </c>
      <c r="S10" s="515">
        <v>-12</v>
      </c>
      <c r="T10" s="515">
        <v>-12</v>
      </c>
      <c r="U10" s="515">
        <v>-6</v>
      </c>
      <c r="V10" s="515">
        <v>-3</v>
      </c>
      <c r="W10" s="265"/>
    </row>
    <row r="11" spans="1:41" ht="13.8">
      <c r="B11" s="73" t="s">
        <v>25</v>
      </c>
      <c r="C11" s="135">
        <v>-84</v>
      </c>
      <c r="D11" s="135">
        <v>-106</v>
      </c>
      <c r="E11" s="135">
        <v>-185</v>
      </c>
      <c r="F11" s="135">
        <v>-185</v>
      </c>
      <c r="G11" s="135">
        <v>-148.566</v>
      </c>
      <c r="H11" s="135">
        <v>-177.45099999999999</v>
      </c>
      <c r="I11" s="135">
        <v>-287.84100000000001</v>
      </c>
      <c r="J11" s="261">
        <v>-339</v>
      </c>
      <c r="K11" s="261">
        <v>-276.67700000000002</v>
      </c>
      <c r="L11" s="261">
        <v>-281</v>
      </c>
      <c r="M11" s="261">
        <v>-213.59200000000001</v>
      </c>
      <c r="N11" s="261">
        <v>-195.643</v>
      </c>
      <c r="O11" s="515">
        <v>-261.54599999999999</v>
      </c>
      <c r="P11" s="261">
        <v>-168.99</v>
      </c>
      <c r="Q11" s="261">
        <v>-135.786</v>
      </c>
      <c r="R11" s="515">
        <v>-211</v>
      </c>
      <c r="S11" s="515">
        <v>-181</v>
      </c>
      <c r="T11" s="515">
        <v>-197</v>
      </c>
      <c r="U11" s="515">
        <v>-206</v>
      </c>
      <c r="V11" s="515">
        <v>-216</v>
      </c>
      <c r="W11" s="265"/>
    </row>
    <row r="12" spans="1:41" ht="13.8">
      <c r="B12" s="73" t="s">
        <v>525</v>
      </c>
      <c r="C12" s="135">
        <v>-16</v>
      </c>
      <c r="D12" s="135">
        <v>-57</v>
      </c>
      <c r="E12" s="135">
        <v>-44</v>
      </c>
      <c r="F12" s="135">
        <v>-86.5</v>
      </c>
      <c r="G12" s="135">
        <v>-86.14100000000002</v>
      </c>
      <c r="H12" s="135">
        <v>-1.0580000000000043</v>
      </c>
      <c r="I12" s="135">
        <v>-36.755000000000017</v>
      </c>
      <c r="J12" s="261">
        <v>-68</v>
      </c>
      <c r="K12" s="261">
        <v>-25.553000000000033</v>
      </c>
      <c r="L12" s="261">
        <v>-52</v>
      </c>
      <c r="M12" s="261">
        <v>-36.945000000000064</v>
      </c>
      <c r="N12" s="261">
        <v>-20.921000000000042</v>
      </c>
      <c r="O12" s="515">
        <v>-11</v>
      </c>
      <c r="P12" s="261">
        <v>-34.506999999999969</v>
      </c>
      <c r="Q12" s="261">
        <v>-105.04900000000001</v>
      </c>
      <c r="R12" s="515">
        <v>-106.21099999999998</v>
      </c>
      <c r="S12" s="515">
        <v>-183</v>
      </c>
      <c r="T12" s="515">
        <v>-150</v>
      </c>
      <c r="U12" s="515">
        <v>-127</v>
      </c>
      <c r="V12" s="515">
        <v>-130</v>
      </c>
      <c r="W12" s="265"/>
    </row>
    <row r="13" spans="1:41" ht="13.8">
      <c r="B13" s="74" t="s">
        <v>524</v>
      </c>
      <c r="C13" s="135">
        <v>-380.5</v>
      </c>
      <c r="D13" s="135">
        <v>-33</v>
      </c>
      <c r="E13" s="135">
        <v>-11</v>
      </c>
      <c r="F13" s="135">
        <v>0</v>
      </c>
      <c r="G13" s="135">
        <v>0</v>
      </c>
      <c r="H13" s="135">
        <v>-217.24107218000006</v>
      </c>
      <c r="I13" s="135">
        <v>0</v>
      </c>
      <c r="J13" s="261">
        <v>-107</v>
      </c>
      <c r="K13" s="261">
        <v>0</v>
      </c>
      <c r="L13" s="261">
        <v>0</v>
      </c>
      <c r="M13" s="261"/>
      <c r="N13" s="261">
        <v>-82.845694279999989</v>
      </c>
      <c r="O13" s="515">
        <v>0</v>
      </c>
      <c r="P13" s="261">
        <v>0</v>
      </c>
      <c r="Q13" s="261">
        <v>-58.831000000000003</v>
      </c>
      <c r="R13" s="515">
        <v>12.396000000000015</v>
      </c>
      <c r="S13" s="515">
        <v>0</v>
      </c>
      <c r="T13" s="515">
        <v>53</v>
      </c>
      <c r="U13" s="515">
        <v>-48</v>
      </c>
      <c r="V13" s="515">
        <v>-36</v>
      </c>
      <c r="W13" s="265"/>
    </row>
    <row r="14" spans="1:41" ht="13.8">
      <c r="B14" s="74" t="s">
        <v>168</v>
      </c>
      <c r="C14" s="135">
        <v>0</v>
      </c>
      <c r="D14" s="135">
        <v>-37</v>
      </c>
      <c r="E14" s="135">
        <v>0</v>
      </c>
      <c r="F14" s="135">
        <v>0</v>
      </c>
      <c r="G14" s="135">
        <v>-129.61399999999998</v>
      </c>
      <c r="H14" s="135">
        <v>0</v>
      </c>
      <c r="I14" s="135">
        <v>46.164999999999999</v>
      </c>
      <c r="J14" s="261">
        <v>-2</v>
      </c>
      <c r="K14" s="261">
        <v>-83.584000000000003</v>
      </c>
      <c r="L14" s="261">
        <v>50</v>
      </c>
      <c r="M14" s="261">
        <v>-66.222999999999999</v>
      </c>
      <c r="N14" s="261">
        <v>42.936</v>
      </c>
      <c r="O14" s="515">
        <v>13.034000000000001</v>
      </c>
      <c r="P14" s="261">
        <f>-9.102+0.4</f>
        <v>-8.702</v>
      </c>
      <c r="Q14" s="261">
        <v>11.801</v>
      </c>
      <c r="R14" s="515">
        <v>238.46299999999999</v>
      </c>
      <c r="S14" s="515">
        <v>0</v>
      </c>
      <c r="T14" s="515">
        <v>29</v>
      </c>
      <c r="U14" s="515">
        <v>0</v>
      </c>
      <c r="V14" s="515">
        <v>0</v>
      </c>
      <c r="W14" s="265"/>
    </row>
    <row r="15" spans="1:41" ht="14.4" hidden="1" outlineLevel="1" thickBot="1">
      <c r="B15" s="241" t="s">
        <v>267</v>
      </c>
      <c r="C15" s="242">
        <v>0</v>
      </c>
      <c r="D15" s="242">
        <v>0</v>
      </c>
      <c r="E15" s="242">
        <v>657</v>
      </c>
      <c r="F15" s="242">
        <v>0</v>
      </c>
      <c r="G15" s="242">
        <v>0</v>
      </c>
      <c r="H15" s="242">
        <v>0</v>
      </c>
      <c r="I15" s="242">
        <v>0</v>
      </c>
      <c r="J15" s="356">
        <v>0</v>
      </c>
      <c r="K15" s="356">
        <v>0</v>
      </c>
      <c r="L15" s="356"/>
      <c r="M15" s="356"/>
      <c r="N15" s="356"/>
      <c r="O15" s="531">
        <v>0</v>
      </c>
      <c r="P15" s="356">
        <v>0</v>
      </c>
      <c r="Q15" s="356">
        <v>0</v>
      </c>
      <c r="R15" s="531">
        <v>0</v>
      </c>
      <c r="S15" s="531"/>
      <c r="T15" s="531"/>
      <c r="U15" s="531">
        <v>0</v>
      </c>
      <c r="V15" s="531">
        <v>0</v>
      </c>
      <c r="W15" s="265"/>
    </row>
    <row r="16" spans="1:41" s="40" customFormat="1" ht="14.25" customHeight="1" collapsed="1" thickBot="1">
      <c r="B16" s="64" t="s">
        <v>27</v>
      </c>
      <c r="C16" s="65">
        <f t="shared" ref="C16:R16" si="0">SUM(C8:C15)</f>
        <v>-365.07899999999989</v>
      </c>
      <c r="D16" s="65">
        <f t="shared" si="0"/>
        <v>-124.32099999999997</v>
      </c>
      <c r="E16" s="65">
        <f t="shared" si="0"/>
        <v>709.71800000000076</v>
      </c>
      <c r="F16" s="65">
        <f t="shared" si="0"/>
        <v>389.178</v>
      </c>
      <c r="G16" s="65">
        <f t="shared" si="0"/>
        <v>-198.066</v>
      </c>
      <c r="H16" s="65">
        <f t="shared" si="0"/>
        <v>-40.898459219999694</v>
      </c>
      <c r="I16" s="65">
        <f t="shared" si="0"/>
        <v>93.506927820000001</v>
      </c>
      <c r="J16" s="65">
        <f t="shared" si="0"/>
        <v>-481.303</v>
      </c>
      <c r="K16" s="65">
        <f t="shared" si="0"/>
        <v>-626.97493010000017</v>
      </c>
      <c r="L16" s="65">
        <f t="shared" si="0"/>
        <v>-419</v>
      </c>
      <c r="M16" s="65">
        <f t="shared" si="0"/>
        <v>-257.65906990000019</v>
      </c>
      <c r="N16" s="65">
        <f t="shared" si="0"/>
        <v>375.53899999999982</v>
      </c>
      <c r="O16" s="65">
        <f t="shared" si="0"/>
        <v>-278.09600000000012</v>
      </c>
      <c r="P16" s="65">
        <f t="shared" si="0"/>
        <v>32.654000000000089</v>
      </c>
      <c r="Q16" s="65">
        <f t="shared" si="0"/>
        <v>176.67600000000016</v>
      </c>
      <c r="R16" s="65">
        <f t="shared" si="0"/>
        <v>409.95137572999994</v>
      </c>
      <c r="S16" s="65">
        <f t="shared" ref="S16" si="1">SUM(S8:S15)</f>
        <v>-163</v>
      </c>
      <c r="T16" s="65">
        <f t="shared" ref="T16" si="2">SUM(T8:T15)</f>
        <v>-210</v>
      </c>
      <c r="U16" s="65">
        <f t="shared" ref="U16:V16" si="3">SUM(U8:U15)</f>
        <v>42</v>
      </c>
      <c r="V16" s="65">
        <f t="shared" si="3"/>
        <v>181</v>
      </c>
      <c r="W16" s="265"/>
      <c r="X16"/>
      <c r="Y16"/>
      <c r="Z16"/>
    </row>
    <row r="17" spans="2:22">
      <c r="O17" s="392"/>
      <c r="P17" s="392"/>
      <c r="Q17" s="392"/>
      <c r="R17" s="392"/>
      <c r="S17" s="392"/>
      <c r="T17" s="392"/>
      <c r="U17" s="392"/>
      <c r="V17" s="392"/>
    </row>
    <row r="18" spans="2:22">
      <c r="B18" s="192"/>
      <c r="O18" s="392"/>
      <c r="P18" s="392"/>
      <c r="Q18" s="392"/>
      <c r="R18" s="392"/>
      <c r="S18" s="392"/>
      <c r="T18" s="392"/>
      <c r="U18" s="392"/>
      <c r="V18" s="392"/>
    </row>
    <row r="19" spans="2:22">
      <c r="B19" s="192"/>
      <c r="O19" s="392"/>
      <c r="P19" s="392"/>
      <c r="Q19" s="392"/>
      <c r="R19" s="392"/>
      <c r="S19" s="392"/>
      <c r="T19" s="392"/>
      <c r="U19" s="392"/>
      <c r="V19" s="392"/>
    </row>
    <row r="20" spans="2:22">
      <c r="B20" s="192"/>
      <c r="O20" s="392"/>
      <c r="P20" s="392"/>
      <c r="Q20" s="392"/>
      <c r="R20" s="392"/>
      <c r="S20" s="392"/>
      <c r="T20" s="392"/>
      <c r="U20" s="392"/>
      <c r="V20" s="392"/>
    </row>
  </sheetData>
  <phoneticPr fontId="87" type="noConversion"/>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9"/>
  <sheetViews>
    <sheetView showGridLines="0" zoomScale="80" zoomScaleNormal="80" workbookViewId="0">
      <pane ySplit="6" topLeftCell="A7" activePane="bottomLeft" state="frozen"/>
      <selection pane="bottomLeft" activeCell="AH11" sqref="AH11"/>
    </sheetView>
  </sheetViews>
  <sheetFormatPr defaultColWidth="9.21875" defaultRowHeight="13.8" outlineLevelCol="1"/>
  <cols>
    <col min="1" max="1" width="3.77734375" style="71" customWidth="1"/>
    <col min="2" max="2" width="78.5546875" style="71" bestFit="1" customWidth="1"/>
    <col min="3" max="18" width="10.77734375" style="71" hidden="1" customWidth="1" outlineLevel="1"/>
    <col min="19" max="19" width="10.77734375" style="71" hidden="1" customWidth="1" outlineLevel="1" collapsed="1"/>
    <col min="20" max="21" width="10.77734375" style="71" hidden="1" customWidth="1" outlineLevel="1"/>
    <col min="22" max="22" width="10.77734375" style="292" hidden="1" customWidth="1" outlineLevel="1"/>
    <col min="23" max="23" width="10.77734375" style="292" customWidth="1" collapsed="1"/>
    <col min="24" max="34" width="10.77734375" style="292" customWidth="1"/>
    <col min="35" max="35" width="9.21875" style="71"/>
    <col min="36" max="36" width="11.21875" style="71" bestFit="1" customWidth="1"/>
    <col min="37" max="37" width="10.88671875" style="71" bestFit="1" customWidth="1"/>
    <col min="38" max="16384" width="9.21875" style="71"/>
  </cols>
  <sheetData>
    <row r="1" spans="1:37" s="252" customFormat="1">
      <c r="V1" s="357"/>
      <c r="W1" s="357"/>
      <c r="X1" s="357"/>
      <c r="Y1" s="357"/>
      <c r="Z1" s="357"/>
      <c r="AA1" s="357"/>
      <c r="AB1" s="357"/>
      <c r="AC1" s="357"/>
      <c r="AD1" s="357"/>
      <c r="AE1" s="357"/>
      <c r="AF1" s="357"/>
      <c r="AG1" s="357"/>
      <c r="AH1" s="357"/>
    </row>
    <row r="2" spans="1:37" s="252" customFormat="1" ht="13.5" customHeight="1">
      <c r="V2" s="357"/>
      <c r="W2" s="357"/>
      <c r="X2" s="357"/>
      <c r="Y2" s="357"/>
      <c r="Z2" s="357"/>
      <c r="AA2" s="357"/>
      <c r="AB2" s="357"/>
      <c r="AC2" s="357"/>
      <c r="AD2" s="357"/>
      <c r="AE2" s="357"/>
      <c r="AF2" s="357"/>
      <c r="AG2" s="357"/>
      <c r="AH2" s="357"/>
    </row>
    <row r="3" spans="1:37" s="252" customFormat="1">
      <c r="V3" s="357"/>
      <c r="W3" s="357"/>
      <c r="X3" s="357"/>
      <c r="Y3" s="357"/>
      <c r="Z3" s="357"/>
      <c r="AA3" s="357"/>
      <c r="AB3" s="357"/>
      <c r="AC3" s="357"/>
      <c r="AD3" s="357"/>
      <c r="AE3" s="357"/>
      <c r="AF3" s="357"/>
      <c r="AG3" s="357"/>
      <c r="AH3" s="357"/>
    </row>
    <row r="4" spans="1:37" s="252" customFormat="1" ht="20.25" customHeight="1">
      <c r="V4" s="357"/>
      <c r="W4" s="357"/>
      <c r="X4" s="357"/>
      <c r="Y4" s="357"/>
      <c r="Z4" s="357"/>
      <c r="AA4" s="357"/>
      <c r="AB4" s="357"/>
      <c r="AC4" s="357"/>
      <c r="AD4" s="357"/>
      <c r="AE4" s="357"/>
      <c r="AF4" s="357"/>
      <c r="AG4" s="357"/>
      <c r="AH4" s="357"/>
    </row>
    <row r="5" spans="1:37" s="252" customFormat="1">
      <c r="B5" s="253"/>
      <c r="C5" s="253"/>
      <c r="D5" s="253"/>
      <c r="E5" s="253"/>
      <c r="F5" s="253"/>
      <c r="G5" s="253"/>
      <c r="H5" s="253"/>
      <c r="I5" s="253"/>
      <c r="J5" s="253"/>
      <c r="K5" s="253"/>
      <c r="L5" s="253"/>
      <c r="M5" s="253"/>
      <c r="N5" s="253"/>
      <c r="V5" s="357"/>
      <c r="W5" s="357"/>
      <c r="X5" s="357"/>
      <c r="Y5" s="357"/>
      <c r="Z5" s="357"/>
      <c r="AA5" s="357"/>
      <c r="AB5" s="357"/>
      <c r="AC5" s="357"/>
      <c r="AD5" s="357"/>
      <c r="AE5" s="357"/>
      <c r="AF5" s="357"/>
      <c r="AG5" s="357"/>
      <c r="AH5" s="357"/>
    </row>
    <row r="6" spans="1:37" ht="14.25" customHeight="1" thickBot="1">
      <c r="B6" s="58" t="s">
        <v>364</v>
      </c>
      <c r="C6" s="77" t="s">
        <v>94</v>
      </c>
      <c r="D6" s="77" t="s">
        <v>95</v>
      </c>
      <c r="E6" s="77" t="s">
        <v>96</v>
      </c>
      <c r="F6" s="77" t="s">
        <v>97</v>
      </c>
      <c r="G6" s="77" t="s">
        <v>79</v>
      </c>
      <c r="H6" s="77" t="s">
        <v>80</v>
      </c>
      <c r="I6" s="77" t="s">
        <v>81</v>
      </c>
      <c r="J6" s="77" t="s">
        <v>82</v>
      </c>
      <c r="K6" s="77" t="s">
        <v>83</v>
      </c>
      <c r="L6" s="77" t="s">
        <v>84</v>
      </c>
      <c r="M6" s="77" t="s">
        <v>85</v>
      </c>
      <c r="N6" s="77" t="s">
        <v>86</v>
      </c>
      <c r="O6" s="77" t="s">
        <v>87</v>
      </c>
      <c r="P6" s="77" t="s">
        <v>88</v>
      </c>
      <c r="Q6" s="77" t="s">
        <v>89</v>
      </c>
      <c r="R6" s="77" t="s">
        <v>90</v>
      </c>
      <c r="S6" s="77" t="s">
        <v>91</v>
      </c>
      <c r="T6" s="77" t="s">
        <v>92</v>
      </c>
      <c r="U6" s="77" t="s">
        <v>93</v>
      </c>
      <c r="V6" s="287" t="s">
        <v>331</v>
      </c>
      <c r="W6" s="287" t="s">
        <v>341</v>
      </c>
      <c r="X6" s="287" t="s">
        <v>374</v>
      </c>
      <c r="Y6" s="287" t="s">
        <v>382</v>
      </c>
      <c r="Z6" s="287" t="s">
        <v>384</v>
      </c>
      <c r="AA6" s="287" t="s">
        <v>461</v>
      </c>
      <c r="AB6" s="287" t="s">
        <v>465</v>
      </c>
      <c r="AC6" s="287" t="s">
        <v>466</v>
      </c>
      <c r="AD6" s="287" t="s">
        <v>467</v>
      </c>
      <c r="AE6" s="287" t="s">
        <v>513</v>
      </c>
      <c r="AF6" s="287" t="s">
        <v>519</v>
      </c>
      <c r="AG6" s="287" t="s">
        <v>528</v>
      </c>
      <c r="AH6" s="287" t="s">
        <v>514</v>
      </c>
    </row>
    <row r="7" spans="1:37" s="38" customFormat="1" ht="14.4" thickTop="1">
      <c r="A7" s="51"/>
      <c r="B7" s="46"/>
      <c r="C7" s="46"/>
      <c r="D7" s="46"/>
      <c r="E7" s="46"/>
      <c r="F7" s="46"/>
      <c r="G7" s="46"/>
      <c r="H7" s="46"/>
      <c r="I7" s="46"/>
      <c r="J7" s="46"/>
      <c r="K7" s="46"/>
      <c r="L7" s="46"/>
      <c r="M7" s="46"/>
      <c r="N7" s="46"/>
      <c r="O7" s="52"/>
      <c r="P7" s="52"/>
      <c r="Q7" s="52"/>
      <c r="R7" s="52"/>
      <c r="S7" s="52"/>
      <c r="T7" s="52"/>
      <c r="U7" s="52"/>
      <c r="V7" s="288"/>
      <c r="W7" s="288"/>
      <c r="X7" s="288"/>
      <c r="Y7" s="288"/>
      <c r="Z7" s="288"/>
      <c r="AA7" s="288"/>
      <c r="AB7" s="288"/>
      <c r="AC7" s="288"/>
      <c r="AD7" s="288"/>
      <c r="AE7" s="288"/>
      <c r="AF7" s="288"/>
      <c r="AG7" s="288"/>
      <c r="AH7" s="288"/>
      <c r="AI7" s="71"/>
    </row>
    <row r="8" spans="1:37" s="254" customFormat="1" ht="14.25" customHeight="1" thickBot="1">
      <c r="B8" s="64" t="s">
        <v>351</v>
      </c>
      <c r="C8" s="416"/>
      <c r="D8" s="416"/>
      <c r="E8" s="416"/>
      <c r="F8" s="416"/>
      <c r="G8" s="416"/>
      <c r="H8" s="416"/>
      <c r="I8" s="416"/>
      <c r="J8" s="416"/>
      <c r="K8" s="416"/>
      <c r="L8" s="416"/>
      <c r="M8" s="416"/>
      <c r="N8" s="416"/>
      <c r="O8" s="65"/>
      <c r="P8" s="65"/>
      <c r="Q8" s="65"/>
      <c r="R8" s="65"/>
      <c r="S8" s="65"/>
      <c r="T8" s="65"/>
      <c r="U8" s="65"/>
      <c r="V8" s="65"/>
      <c r="W8" s="65"/>
      <c r="X8" s="65"/>
      <c r="Y8" s="65"/>
      <c r="Z8" s="65"/>
      <c r="AA8" s="524"/>
      <c r="AB8" s="524"/>
      <c r="AC8" s="524"/>
      <c r="AD8" s="524"/>
      <c r="AE8" s="524"/>
      <c r="AF8" s="524"/>
      <c r="AG8" s="524"/>
      <c r="AH8" s="524"/>
      <c r="AI8" s="70"/>
    </row>
    <row r="9" spans="1:37">
      <c r="B9" s="417"/>
      <c r="C9" s="358"/>
      <c r="D9" s="358"/>
      <c r="E9" s="358"/>
      <c r="F9" s="358"/>
      <c r="G9" s="358"/>
      <c r="H9" s="358"/>
      <c r="I9" s="358"/>
      <c r="J9" s="358"/>
      <c r="K9" s="358"/>
      <c r="L9" s="358"/>
      <c r="M9" s="358"/>
      <c r="N9" s="358"/>
      <c r="O9" s="358"/>
      <c r="P9" s="358"/>
      <c r="Q9" s="358"/>
      <c r="R9" s="358"/>
      <c r="S9" s="358"/>
      <c r="T9" s="358"/>
      <c r="U9" s="358"/>
      <c r="V9" s="358"/>
      <c r="W9" s="358"/>
      <c r="X9" s="358"/>
      <c r="Y9" s="358"/>
      <c r="Z9" s="358"/>
      <c r="AA9" s="358"/>
      <c r="AB9" s="358"/>
      <c r="AC9" s="358"/>
      <c r="AD9" s="549"/>
      <c r="AE9" s="549"/>
      <c r="AF9" s="549"/>
      <c r="AG9" s="549"/>
      <c r="AH9" s="549"/>
      <c r="AI9" s="256"/>
    </row>
    <row r="10" spans="1:37" s="70" customFormat="1">
      <c r="B10" s="243" t="s">
        <v>268</v>
      </c>
      <c r="C10" s="359">
        <v>108.297</v>
      </c>
      <c r="D10" s="359">
        <v>-50.103000000000002</v>
      </c>
      <c r="E10" s="359">
        <v>-13.071</v>
      </c>
      <c r="F10" s="359">
        <v>83.028000000000006</v>
      </c>
      <c r="G10" s="359">
        <v>50.384</v>
      </c>
      <c r="H10" s="359">
        <v>0.60499999999999998</v>
      </c>
      <c r="I10" s="359">
        <v>-80.798000000000002</v>
      </c>
      <c r="J10" s="359">
        <v>26.710999999999999</v>
      </c>
      <c r="K10" s="359">
        <v>117.611</v>
      </c>
      <c r="L10" s="359">
        <v>21.783999999999999</v>
      </c>
      <c r="M10" s="359">
        <v>-170.96199999999999</v>
      </c>
      <c r="N10" s="359">
        <v>-29.965</v>
      </c>
      <c r="O10" s="359">
        <v>-126.777</v>
      </c>
      <c r="P10" s="359">
        <v>578.04999999999995</v>
      </c>
      <c r="Q10" s="359">
        <v>-87.432000000000002</v>
      </c>
      <c r="R10" s="359">
        <v>493.56700000000001</v>
      </c>
      <c r="S10" s="359">
        <v>582.38</v>
      </c>
      <c r="T10" s="359">
        <v>545.79499999999996</v>
      </c>
      <c r="U10" s="359">
        <v>157</v>
      </c>
      <c r="V10" s="359">
        <v>-154.84899999999993</v>
      </c>
      <c r="W10" s="359">
        <v>121.965</v>
      </c>
      <c r="X10" s="359">
        <v>-3</v>
      </c>
      <c r="Y10" s="359">
        <v>-275.49138708119938</v>
      </c>
      <c r="Z10" s="359">
        <v>-823.49379310192512</v>
      </c>
      <c r="AA10" s="359">
        <v>0.80999999999995964</v>
      </c>
      <c r="AB10" s="359">
        <v>-127.44399999999996</v>
      </c>
      <c r="AC10" s="359">
        <v>41.631999999999991</v>
      </c>
      <c r="AD10" s="359">
        <v>-273.5922959200002</v>
      </c>
      <c r="AE10" s="359">
        <v>478</v>
      </c>
      <c r="AF10" s="359">
        <v>-63</v>
      </c>
      <c r="AG10" s="359">
        <v>197</v>
      </c>
      <c r="AH10" s="359">
        <v>-257</v>
      </c>
      <c r="AI10" s="257"/>
      <c r="AJ10" s="257"/>
      <c r="AK10" s="257"/>
    </row>
    <row r="11" spans="1:37">
      <c r="B11" s="372"/>
      <c r="C11" s="360">
        <v>0</v>
      </c>
      <c r="D11" s="360">
        <v>0</v>
      </c>
      <c r="E11" s="360">
        <v>0</v>
      </c>
      <c r="F11" s="360">
        <v>0</v>
      </c>
      <c r="G11" s="360">
        <v>0</v>
      </c>
      <c r="H11" s="360">
        <v>0</v>
      </c>
      <c r="I11" s="360">
        <v>0</v>
      </c>
      <c r="J11" s="360">
        <v>0</v>
      </c>
      <c r="K11" s="376">
        <v>0</v>
      </c>
      <c r="L11" s="360">
        <v>0</v>
      </c>
      <c r="M11" s="360">
        <v>0</v>
      </c>
      <c r="N11" s="360">
        <v>0</v>
      </c>
      <c r="O11" s="376">
        <v>0</v>
      </c>
      <c r="P11" s="360">
        <v>0</v>
      </c>
      <c r="Q11" s="360">
        <v>0</v>
      </c>
      <c r="R11" s="360">
        <v>0</v>
      </c>
      <c r="S11" s="360">
        <v>0</v>
      </c>
      <c r="T11" s="360">
        <v>0</v>
      </c>
      <c r="U11" s="360">
        <v>0</v>
      </c>
      <c r="V11" s="360">
        <v>0</v>
      </c>
      <c r="W11" s="360">
        <v>0</v>
      </c>
      <c r="X11" s="360">
        <v>0</v>
      </c>
      <c r="Y11" s="360">
        <v>0</v>
      </c>
      <c r="Z11" s="360">
        <v>0</v>
      </c>
      <c r="AA11" s="360">
        <v>0</v>
      </c>
      <c r="AB11" s="360">
        <v>0</v>
      </c>
      <c r="AC11" s="360">
        <v>0</v>
      </c>
      <c r="AD11" s="360">
        <v>0</v>
      </c>
      <c r="AE11" s="360">
        <v>0</v>
      </c>
      <c r="AF11" s="360">
        <v>0</v>
      </c>
      <c r="AG11" s="360"/>
      <c r="AH11" s="360"/>
      <c r="AI11" s="256"/>
      <c r="AJ11" s="257"/>
      <c r="AK11" s="257"/>
    </row>
    <row r="12" spans="1:37">
      <c r="B12" s="74" t="s">
        <v>269</v>
      </c>
      <c r="C12" s="360">
        <v>0</v>
      </c>
      <c r="D12" s="360">
        <v>0</v>
      </c>
      <c r="E12" s="360">
        <v>0</v>
      </c>
      <c r="F12" s="360">
        <v>0</v>
      </c>
      <c r="G12" s="360">
        <v>0</v>
      </c>
      <c r="H12" s="360">
        <v>0</v>
      </c>
      <c r="I12" s="360">
        <v>0</v>
      </c>
      <c r="J12" s="360">
        <v>0</v>
      </c>
      <c r="K12" s="360">
        <v>0</v>
      </c>
      <c r="L12" s="360">
        <v>0</v>
      </c>
      <c r="M12" s="360">
        <v>0</v>
      </c>
      <c r="N12" s="360">
        <v>0</v>
      </c>
      <c r="O12" s="360">
        <v>0</v>
      </c>
      <c r="P12" s="360">
        <v>0</v>
      </c>
      <c r="Q12" s="360">
        <v>0</v>
      </c>
      <c r="R12" s="360">
        <v>0</v>
      </c>
      <c r="S12" s="360">
        <v>0</v>
      </c>
      <c r="T12" s="360">
        <v>0</v>
      </c>
      <c r="U12" s="360">
        <v>0</v>
      </c>
      <c r="V12" s="360">
        <v>0</v>
      </c>
      <c r="W12" s="360">
        <v>0</v>
      </c>
      <c r="X12" s="360">
        <v>0</v>
      </c>
      <c r="Y12" s="360">
        <v>0</v>
      </c>
      <c r="Z12" s="360">
        <v>0</v>
      </c>
      <c r="AA12" s="360">
        <v>0</v>
      </c>
      <c r="AB12" s="360">
        <v>0</v>
      </c>
      <c r="AC12" s="360">
        <v>0</v>
      </c>
      <c r="AD12" s="360">
        <v>0</v>
      </c>
      <c r="AE12" s="360">
        <v>0</v>
      </c>
      <c r="AF12" s="360">
        <v>0</v>
      </c>
      <c r="AG12" s="360"/>
      <c r="AH12" s="360"/>
      <c r="AI12" s="256"/>
      <c r="AJ12" s="257"/>
      <c r="AK12" s="257"/>
    </row>
    <row r="13" spans="1:37">
      <c r="B13" s="189" t="s">
        <v>270</v>
      </c>
      <c r="C13" s="360">
        <v>79.298000000000002</v>
      </c>
      <c r="D13" s="360">
        <v>315.541</v>
      </c>
      <c r="E13" s="360">
        <v>162.523</v>
      </c>
      <c r="F13" s="360">
        <v>-107.462</v>
      </c>
      <c r="G13" s="360">
        <v>46.779000000000003</v>
      </c>
      <c r="H13" s="360">
        <v>27.838000000000001</v>
      </c>
      <c r="I13" s="360">
        <v>78.855999999999995</v>
      </c>
      <c r="J13" s="360">
        <v>114.05200000000001</v>
      </c>
      <c r="K13" s="360">
        <v>203.49299999999999</v>
      </c>
      <c r="L13" s="360">
        <v>77.408000000000001</v>
      </c>
      <c r="M13" s="360">
        <v>138.536</v>
      </c>
      <c r="N13" s="360">
        <v>12.472</v>
      </c>
      <c r="O13" s="360">
        <v>149.56899999999999</v>
      </c>
      <c r="P13" s="360">
        <v>-50.171999999999997</v>
      </c>
      <c r="Q13" s="360">
        <v>183.036</v>
      </c>
      <c r="R13" s="360">
        <v>134.57400000000001</v>
      </c>
      <c r="S13" s="360">
        <v>29.379000000000001</v>
      </c>
      <c r="T13" s="360">
        <v>98.695999999999998</v>
      </c>
      <c r="U13" s="360">
        <v>59</v>
      </c>
      <c r="V13" s="360">
        <v>-17.268999999999977</v>
      </c>
      <c r="W13" s="360">
        <v>17.359000000000002</v>
      </c>
      <c r="X13" s="360">
        <v>-15</v>
      </c>
      <c r="Y13" s="360">
        <v>224.64099999999999</v>
      </c>
      <c r="Z13" s="360">
        <v>54.03</v>
      </c>
      <c r="AA13" s="360">
        <v>153.49799999999999</v>
      </c>
      <c r="AB13" s="360">
        <v>205.108</v>
      </c>
      <c r="AC13" s="360">
        <v>81</v>
      </c>
      <c r="AD13" s="360">
        <v>424.92200000000003</v>
      </c>
      <c r="AE13" s="360">
        <v>81</v>
      </c>
      <c r="AF13" s="360">
        <v>73</v>
      </c>
      <c r="AG13" s="360">
        <v>68</v>
      </c>
      <c r="AH13" s="360">
        <v>73</v>
      </c>
      <c r="AI13" s="256"/>
      <c r="AJ13" s="257"/>
      <c r="AK13" s="257"/>
    </row>
    <row r="14" spans="1:37">
      <c r="B14" s="189" t="s">
        <v>271</v>
      </c>
      <c r="C14" s="360">
        <v>-1.3029999999999999</v>
      </c>
      <c r="D14" s="360">
        <v>19.989999999999998</v>
      </c>
      <c r="E14" s="360">
        <v>8.3290000000000006</v>
      </c>
      <c r="F14" s="360">
        <v>2.1000000000000001E-2</v>
      </c>
      <c r="G14" s="360">
        <v>0.35099999999999998</v>
      </c>
      <c r="H14" s="360">
        <v>-4.992</v>
      </c>
      <c r="I14" s="360">
        <v>-1.9610000000000001</v>
      </c>
      <c r="J14" s="360">
        <v>-7.8949999999999996</v>
      </c>
      <c r="K14" s="360">
        <v>26.245000000000001</v>
      </c>
      <c r="L14" s="360">
        <v>-7.7720000000000002</v>
      </c>
      <c r="M14" s="360">
        <v>-5.1269999999999998</v>
      </c>
      <c r="N14" s="360">
        <v>-10.3</v>
      </c>
      <c r="O14" s="360">
        <v>17.169</v>
      </c>
      <c r="P14" s="360">
        <v>-17.065000000000001</v>
      </c>
      <c r="Q14" s="360">
        <v>17.646999999999998</v>
      </c>
      <c r="R14" s="360">
        <v>-30.475000000000001</v>
      </c>
      <c r="S14" s="360">
        <v>-19.192</v>
      </c>
      <c r="T14" s="360">
        <v>14.773999999999999</v>
      </c>
      <c r="U14" s="360">
        <v>10</v>
      </c>
      <c r="V14" s="360">
        <v>7.2830000000000013</v>
      </c>
      <c r="W14" s="360">
        <v>-18.428000000000001</v>
      </c>
      <c r="X14" s="360">
        <v>-26</v>
      </c>
      <c r="Y14" s="360">
        <v>-11.572000000000003</v>
      </c>
      <c r="Z14" s="360">
        <v>-11.407999999999999</v>
      </c>
      <c r="AA14" s="360">
        <v>-32.139000000000003</v>
      </c>
      <c r="AB14" s="360">
        <v>-31.561999999999998</v>
      </c>
      <c r="AC14" s="360">
        <v>-34</v>
      </c>
      <c r="AD14" s="360">
        <v>-31.518000000000001</v>
      </c>
      <c r="AE14" s="360">
        <v>-32</v>
      </c>
      <c r="AF14" s="360">
        <v>-29</v>
      </c>
      <c r="AG14" s="360">
        <v>-36</v>
      </c>
      <c r="AH14" s="360">
        <v>-37</v>
      </c>
      <c r="AI14" s="256"/>
      <c r="AJ14" s="257"/>
      <c r="AK14" s="257"/>
    </row>
    <row r="15" spans="1:37">
      <c r="B15" s="189" t="s">
        <v>272</v>
      </c>
      <c r="C15" s="360">
        <v>74.691999999999993</v>
      </c>
      <c r="D15" s="360">
        <v>78.034999999999997</v>
      </c>
      <c r="E15" s="360">
        <v>74.795000000000002</v>
      </c>
      <c r="F15" s="360">
        <v>75.680000000000007</v>
      </c>
      <c r="G15" s="360">
        <v>96.887</v>
      </c>
      <c r="H15" s="360">
        <v>141.75299999999999</v>
      </c>
      <c r="I15" s="360">
        <v>89.731999999999999</v>
      </c>
      <c r="J15" s="360">
        <v>134.18899999999999</v>
      </c>
      <c r="K15" s="360">
        <v>91.376000000000005</v>
      </c>
      <c r="L15" s="360">
        <v>110.422</v>
      </c>
      <c r="M15" s="360">
        <v>103.4</v>
      </c>
      <c r="N15" s="360">
        <v>126.283</v>
      </c>
      <c r="O15" s="360">
        <v>113.1</v>
      </c>
      <c r="P15" s="360">
        <v>126.14100000000001</v>
      </c>
      <c r="Q15" s="360">
        <v>137.14400000000001</v>
      </c>
      <c r="R15" s="360">
        <v>119.66</v>
      </c>
      <c r="S15" s="360">
        <v>128.72800000000001</v>
      </c>
      <c r="T15" s="360">
        <v>123.63800000000001</v>
      </c>
      <c r="U15" s="360">
        <v>137</v>
      </c>
      <c r="V15" s="360">
        <v>150.14499999999998</v>
      </c>
      <c r="W15" s="360">
        <v>134.69200000000001</v>
      </c>
      <c r="X15" s="360">
        <v>145</v>
      </c>
      <c r="Y15" s="360">
        <v>142.30799999999999</v>
      </c>
      <c r="Z15" s="360">
        <v>148.05699999999999</v>
      </c>
      <c r="AA15" s="360">
        <v>144.215</v>
      </c>
      <c r="AB15" s="360">
        <v>144.18199999999999</v>
      </c>
      <c r="AC15" s="360">
        <v>158</v>
      </c>
      <c r="AD15" s="360">
        <v>196.93800000000005</v>
      </c>
      <c r="AE15" s="360">
        <v>174</v>
      </c>
      <c r="AF15" s="360">
        <v>166</v>
      </c>
      <c r="AG15" s="360">
        <v>198</v>
      </c>
      <c r="AH15" s="360">
        <v>221</v>
      </c>
      <c r="AI15" s="256"/>
      <c r="AJ15" s="257"/>
      <c r="AK15" s="257"/>
    </row>
    <row r="16" spans="1:37">
      <c r="B16" s="189" t="s">
        <v>273</v>
      </c>
      <c r="C16" s="360">
        <v>0</v>
      </c>
      <c r="D16" s="360">
        <v>0</v>
      </c>
      <c r="E16" s="360">
        <v>0</v>
      </c>
      <c r="F16" s="360">
        <v>0</v>
      </c>
      <c r="G16" s="360">
        <v>0</v>
      </c>
      <c r="H16" s="360">
        <v>0</v>
      </c>
      <c r="I16" s="360">
        <v>0</v>
      </c>
      <c r="J16" s="360">
        <v>127.169</v>
      </c>
      <c r="K16" s="360">
        <v>12.266</v>
      </c>
      <c r="L16" s="360">
        <v>27.07</v>
      </c>
      <c r="M16" s="360">
        <v>40.185000000000002</v>
      </c>
      <c r="N16" s="360">
        <v>45.701000000000001</v>
      </c>
      <c r="O16" s="360">
        <v>-10.72</v>
      </c>
      <c r="P16" s="360">
        <v>-202.61799999999999</v>
      </c>
      <c r="Q16" s="360">
        <v>14.486000000000001</v>
      </c>
      <c r="R16" s="360">
        <v>15.747</v>
      </c>
      <c r="S16" s="360">
        <v>24.39</v>
      </c>
      <c r="T16" s="360">
        <v>22.529</v>
      </c>
      <c r="U16" s="360">
        <v>40</v>
      </c>
      <c r="V16" s="360">
        <v>-0.51599999999999113</v>
      </c>
      <c r="W16" s="360">
        <v>-0.105</v>
      </c>
      <c r="X16" s="360">
        <v>52</v>
      </c>
      <c r="Y16" s="360">
        <v>-102.89500000000001</v>
      </c>
      <c r="Z16" s="360">
        <v>639.02800000000002</v>
      </c>
      <c r="AA16" s="360">
        <v>-112.101</v>
      </c>
      <c r="AB16" s="360">
        <v>-152.06299999999999</v>
      </c>
      <c r="AC16" s="360">
        <v>56</v>
      </c>
      <c r="AD16" s="360">
        <v>48.942999999999984</v>
      </c>
      <c r="AE16" s="360">
        <v>-192</v>
      </c>
      <c r="AF16" s="360">
        <v>0</v>
      </c>
      <c r="AG16" s="360">
        <v>-184</v>
      </c>
      <c r="AH16" s="360">
        <v>82</v>
      </c>
      <c r="AI16" s="256"/>
      <c r="AJ16" s="257"/>
      <c r="AK16" s="257"/>
    </row>
    <row r="17" spans="2:37">
      <c r="B17" s="189" t="s">
        <v>274</v>
      </c>
      <c r="C17" s="360">
        <v>0</v>
      </c>
      <c r="D17" s="360">
        <v>0</v>
      </c>
      <c r="E17" s="360">
        <v>0</v>
      </c>
      <c r="F17" s="360">
        <v>0</v>
      </c>
      <c r="G17" s="360">
        <v>0</v>
      </c>
      <c r="H17" s="360">
        <v>0</v>
      </c>
      <c r="I17" s="360">
        <v>0</v>
      </c>
      <c r="J17" s="360">
        <v>0</v>
      </c>
      <c r="K17" s="360">
        <v>0</v>
      </c>
      <c r="L17" s="360">
        <v>0</v>
      </c>
      <c r="M17" s="360">
        <v>0</v>
      </c>
      <c r="N17" s="360">
        <v>0</v>
      </c>
      <c r="O17" s="360">
        <v>0</v>
      </c>
      <c r="P17" s="360">
        <v>0</v>
      </c>
      <c r="Q17" s="360">
        <v>0</v>
      </c>
      <c r="R17" s="360">
        <v>-29</v>
      </c>
      <c r="S17" s="360">
        <v>0</v>
      </c>
      <c r="T17" s="360">
        <v>0</v>
      </c>
      <c r="U17" s="360">
        <v>0</v>
      </c>
      <c r="V17" s="360">
        <v>0</v>
      </c>
      <c r="W17" s="360">
        <v>0</v>
      </c>
      <c r="X17" s="360">
        <v>0</v>
      </c>
      <c r="Y17" s="360">
        <v>0</v>
      </c>
      <c r="Z17" s="360">
        <v>0</v>
      </c>
      <c r="AA17" s="360">
        <v>-26.597000000000001</v>
      </c>
      <c r="AB17" s="360">
        <v>65.100999999999999</v>
      </c>
      <c r="AC17" s="360">
        <v>-4</v>
      </c>
      <c r="AD17" s="360">
        <v>-42.302999999999997</v>
      </c>
      <c r="AE17" s="360">
        <v>0</v>
      </c>
      <c r="AF17" s="360">
        <v>13</v>
      </c>
      <c r="AG17" s="360">
        <v>13</v>
      </c>
      <c r="AH17" s="360">
        <v>16</v>
      </c>
      <c r="AI17" s="256"/>
      <c r="AJ17" s="257"/>
      <c r="AK17" s="257"/>
    </row>
    <row r="18" spans="2:37">
      <c r="B18" s="189" t="s">
        <v>495</v>
      </c>
      <c r="C18" s="360">
        <v>0</v>
      </c>
      <c r="D18" s="360">
        <v>0</v>
      </c>
      <c r="E18" s="360">
        <v>0</v>
      </c>
      <c r="F18" s="360">
        <v>0</v>
      </c>
      <c r="G18" s="360">
        <v>0</v>
      </c>
      <c r="H18" s="360">
        <v>0</v>
      </c>
      <c r="I18" s="360">
        <v>0</v>
      </c>
      <c r="J18" s="360">
        <v>0</v>
      </c>
      <c r="K18" s="360">
        <v>0</v>
      </c>
      <c r="L18" s="360">
        <v>0</v>
      </c>
      <c r="M18" s="360">
        <v>0</v>
      </c>
      <c r="N18" s="360">
        <v>0</v>
      </c>
      <c r="O18" s="360">
        <v>0</v>
      </c>
      <c r="P18" s="360">
        <v>0</v>
      </c>
      <c r="Q18" s="360">
        <v>0</v>
      </c>
      <c r="R18" s="360">
        <v>0</v>
      </c>
      <c r="S18" s="360">
        <v>0</v>
      </c>
      <c r="T18" s="360">
        <v>0</v>
      </c>
      <c r="U18" s="360">
        <v>0</v>
      </c>
      <c r="V18" s="360">
        <v>0</v>
      </c>
      <c r="W18" s="360">
        <v>0</v>
      </c>
      <c r="X18" s="360">
        <v>0</v>
      </c>
      <c r="Y18" s="360">
        <v>0</v>
      </c>
      <c r="Z18" s="360">
        <v>0</v>
      </c>
      <c r="AA18" s="360">
        <v>0</v>
      </c>
      <c r="AB18" s="360">
        <v>0</v>
      </c>
      <c r="AC18" s="360">
        <v>0</v>
      </c>
      <c r="AD18" s="360">
        <v>-128.251</v>
      </c>
      <c r="AE18" s="360">
        <v>0</v>
      </c>
      <c r="AF18" s="360">
        <v>0</v>
      </c>
      <c r="AG18" s="360">
        <v>0</v>
      </c>
      <c r="AH18" s="360">
        <v>0</v>
      </c>
      <c r="AI18" s="256"/>
      <c r="AJ18" s="257"/>
      <c r="AK18" s="257"/>
    </row>
    <row r="19" spans="2:37">
      <c r="B19" s="189" t="s">
        <v>156</v>
      </c>
      <c r="C19" s="360">
        <v>0</v>
      </c>
      <c r="D19" s="360">
        <v>0</v>
      </c>
      <c r="E19" s="360">
        <v>0</v>
      </c>
      <c r="F19" s="360">
        <v>0</v>
      </c>
      <c r="G19" s="360">
        <v>0</v>
      </c>
      <c r="H19" s="360">
        <v>0</v>
      </c>
      <c r="I19" s="360">
        <v>0</v>
      </c>
      <c r="J19" s="360">
        <v>-147.37200000000001</v>
      </c>
      <c r="K19" s="360">
        <v>0</v>
      </c>
      <c r="L19" s="360">
        <v>0</v>
      </c>
      <c r="M19" s="360">
        <v>0</v>
      </c>
      <c r="N19" s="360">
        <v>204.30500000000001</v>
      </c>
      <c r="O19" s="360">
        <v>239.08199999999999</v>
      </c>
      <c r="P19" s="360">
        <v>78.819999999999993</v>
      </c>
      <c r="Q19" s="360">
        <v>-317.90199999999999</v>
      </c>
      <c r="R19" s="360">
        <v>912.33199999999999</v>
      </c>
      <c r="S19" s="360">
        <v>-76.239999999999995</v>
      </c>
      <c r="T19" s="360">
        <v>45.515999999999998</v>
      </c>
      <c r="U19" s="360">
        <v>-15</v>
      </c>
      <c r="V19" s="360">
        <v>-10.260000000000005</v>
      </c>
      <c r="W19" s="360">
        <v>-43</v>
      </c>
      <c r="X19" s="360">
        <v>-197</v>
      </c>
      <c r="Y19" s="360">
        <v>-48</v>
      </c>
      <c r="Z19" s="360">
        <v>-47.5</v>
      </c>
      <c r="AA19" s="360">
        <v>11.872999999999999</v>
      </c>
      <c r="AB19" s="360">
        <v>87.040999999999997</v>
      </c>
      <c r="AC19" s="360">
        <v>-2</v>
      </c>
      <c r="AD19" s="360">
        <v>173.48400000000004</v>
      </c>
      <c r="AE19" s="360">
        <v>-58</v>
      </c>
      <c r="AF19" s="360">
        <v>-38</v>
      </c>
      <c r="AG19" s="360">
        <v>-39</v>
      </c>
      <c r="AH19" s="360">
        <v>26</v>
      </c>
      <c r="AI19" s="256"/>
      <c r="AJ19" s="257"/>
      <c r="AK19" s="257"/>
    </row>
    <row r="20" spans="2:37">
      <c r="B20" s="363" t="s">
        <v>529</v>
      </c>
      <c r="C20" s="360">
        <v>0</v>
      </c>
      <c r="D20" s="360">
        <v>0</v>
      </c>
      <c r="E20" s="360">
        <v>0</v>
      </c>
      <c r="F20" s="360">
        <v>0</v>
      </c>
      <c r="G20" s="360">
        <v>0</v>
      </c>
      <c r="H20" s="360">
        <v>0</v>
      </c>
      <c r="I20" s="360">
        <v>0</v>
      </c>
      <c r="J20" s="360">
        <v>0</v>
      </c>
      <c r="K20" s="360">
        <v>0</v>
      </c>
      <c r="L20" s="360">
        <v>0</v>
      </c>
      <c r="M20" s="360">
        <v>0</v>
      </c>
      <c r="N20" s="360">
        <v>0</v>
      </c>
      <c r="O20" s="360">
        <v>0</v>
      </c>
      <c r="P20" s="360">
        <v>0</v>
      </c>
      <c r="Q20" s="360">
        <v>0</v>
      </c>
      <c r="R20" s="360">
        <v>0</v>
      </c>
      <c r="S20" s="360">
        <v>0</v>
      </c>
      <c r="T20" s="360">
        <v>0</v>
      </c>
      <c r="U20" s="360">
        <v>0</v>
      </c>
      <c r="V20" s="360">
        <v>0</v>
      </c>
      <c r="W20" s="360">
        <v>0</v>
      </c>
      <c r="X20" s="360">
        <v>0</v>
      </c>
      <c r="Y20" s="360">
        <v>0</v>
      </c>
      <c r="Z20" s="360">
        <v>0</v>
      </c>
      <c r="AA20" s="360">
        <v>0</v>
      </c>
      <c r="AB20" s="360">
        <v>127.81399999999999</v>
      </c>
      <c r="AC20" s="360">
        <v>40</v>
      </c>
      <c r="AD20" s="360">
        <v>-157.42599999999999</v>
      </c>
      <c r="AE20" s="360">
        <v>4</v>
      </c>
      <c r="AF20" s="360">
        <v>8</v>
      </c>
      <c r="AG20" s="360">
        <v>-5</v>
      </c>
      <c r="AH20" s="360">
        <v>2</v>
      </c>
      <c r="AI20" s="256"/>
      <c r="AJ20" s="257"/>
      <c r="AK20" s="257"/>
    </row>
    <row r="21" spans="2:37">
      <c r="B21" s="363" t="s">
        <v>530</v>
      </c>
      <c r="C21" s="360">
        <v>0</v>
      </c>
      <c r="D21" s="360">
        <v>0</v>
      </c>
      <c r="E21" s="360">
        <v>0</v>
      </c>
      <c r="F21" s="360">
        <v>0</v>
      </c>
      <c r="G21" s="360">
        <v>0</v>
      </c>
      <c r="H21" s="360">
        <v>0</v>
      </c>
      <c r="I21" s="360">
        <v>0</v>
      </c>
      <c r="J21" s="360">
        <v>0</v>
      </c>
      <c r="K21" s="360">
        <v>0</v>
      </c>
      <c r="L21" s="360">
        <v>0</v>
      </c>
      <c r="M21" s="360">
        <v>0</v>
      </c>
      <c r="N21" s="360">
        <v>0</v>
      </c>
      <c r="O21" s="360">
        <v>0</v>
      </c>
      <c r="P21" s="360">
        <v>0</v>
      </c>
      <c r="Q21" s="360">
        <v>0</v>
      </c>
      <c r="R21" s="360">
        <v>0</v>
      </c>
      <c r="S21" s="360">
        <v>0</v>
      </c>
      <c r="T21" s="360">
        <v>0</v>
      </c>
      <c r="U21" s="360">
        <v>0</v>
      </c>
      <c r="V21" s="360">
        <v>0</v>
      </c>
      <c r="W21" s="360">
        <v>0</v>
      </c>
      <c r="X21" s="360">
        <v>0</v>
      </c>
      <c r="Y21" s="360">
        <v>0</v>
      </c>
      <c r="Z21" s="360">
        <v>0</v>
      </c>
      <c r="AA21" s="360">
        <v>0</v>
      </c>
      <c r="AB21" s="360">
        <v>0</v>
      </c>
      <c r="AC21" s="360">
        <v>0</v>
      </c>
      <c r="AD21" s="360">
        <v>99.343000000000004</v>
      </c>
      <c r="AE21" s="360">
        <v>0</v>
      </c>
      <c r="AF21" s="360">
        <v>-29</v>
      </c>
      <c r="AG21" s="360">
        <v>0</v>
      </c>
      <c r="AH21" s="360">
        <v>0</v>
      </c>
      <c r="AI21" s="256"/>
      <c r="AJ21" s="257"/>
      <c r="AK21" s="257"/>
    </row>
    <row r="22" spans="2:37">
      <c r="B22" s="363" t="s">
        <v>523</v>
      </c>
      <c r="C22" s="360">
        <v>0</v>
      </c>
      <c r="D22" s="360">
        <v>0</v>
      </c>
      <c r="E22" s="360">
        <v>0</v>
      </c>
      <c r="F22" s="360">
        <v>0</v>
      </c>
      <c r="G22" s="360">
        <v>0</v>
      </c>
      <c r="H22" s="360">
        <v>0</v>
      </c>
      <c r="I22" s="360">
        <v>0</v>
      </c>
      <c r="J22" s="360">
        <v>0</v>
      </c>
      <c r="K22" s="360">
        <v>0</v>
      </c>
      <c r="L22" s="360">
        <v>0</v>
      </c>
      <c r="M22" s="360">
        <v>0</v>
      </c>
      <c r="N22" s="360">
        <v>0</v>
      </c>
      <c r="O22" s="360">
        <v>0</v>
      </c>
      <c r="P22" s="360">
        <v>0</v>
      </c>
      <c r="Q22" s="360">
        <v>0</v>
      </c>
      <c r="R22" s="360">
        <v>0</v>
      </c>
      <c r="S22" s="360">
        <v>0</v>
      </c>
      <c r="T22" s="360">
        <v>0</v>
      </c>
      <c r="U22" s="360">
        <v>0</v>
      </c>
      <c r="V22" s="360">
        <v>0</v>
      </c>
      <c r="W22" s="360">
        <v>0</v>
      </c>
      <c r="X22" s="360">
        <v>0</v>
      </c>
      <c r="Y22" s="360">
        <v>0</v>
      </c>
      <c r="Z22" s="360">
        <v>0</v>
      </c>
      <c r="AA22" s="360">
        <v>0</v>
      </c>
      <c r="AB22" s="360">
        <v>0</v>
      </c>
      <c r="AC22" s="360">
        <v>0</v>
      </c>
      <c r="AD22" s="360">
        <v>0</v>
      </c>
      <c r="AE22" s="360">
        <v>0</v>
      </c>
      <c r="AF22" s="360">
        <v>93</v>
      </c>
      <c r="AG22" s="360">
        <v>0</v>
      </c>
      <c r="AH22" s="360">
        <v>71</v>
      </c>
      <c r="AI22" s="256"/>
      <c r="AJ22" s="257"/>
      <c r="AK22" s="257"/>
    </row>
    <row r="23" spans="2:37">
      <c r="B23" s="189" t="s">
        <v>326</v>
      </c>
      <c r="C23" s="360">
        <v>29.088999999999999</v>
      </c>
      <c r="D23" s="360">
        <v>28.228000000000002</v>
      </c>
      <c r="E23" s="360">
        <v>29.576000000000001</v>
      </c>
      <c r="F23" s="360">
        <v>29.222000000000001</v>
      </c>
      <c r="G23" s="360">
        <v>27.516999999999999</v>
      </c>
      <c r="H23" s="360">
        <v>25.667999999999999</v>
      </c>
      <c r="I23" s="360">
        <v>25.864999999999998</v>
      </c>
      <c r="J23" s="360">
        <v>-79.05</v>
      </c>
      <c r="K23" s="360">
        <v>0</v>
      </c>
      <c r="L23" s="360">
        <v>0</v>
      </c>
      <c r="M23" s="360">
        <v>0</v>
      </c>
      <c r="N23" s="360">
        <v>0</v>
      </c>
      <c r="O23" s="360">
        <v>0</v>
      </c>
      <c r="P23" s="360">
        <v>0</v>
      </c>
      <c r="Q23" s="360">
        <v>0</v>
      </c>
      <c r="R23" s="360">
        <v>0</v>
      </c>
      <c r="S23" s="360">
        <v>0</v>
      </c>
      <c r="T23" s="360">
        <v>0</v>
      </c>
      <c r="U23" s="360">
        <v>0</v>
      </c>
      <c r="V23" s="360">
        <v>0</v>
      </c>
      <c r="W23" s="360">
        <v>0</v>
      </c>
      <c r="X23" s="360">
        <v>0</v>
      </c>
      <c r="Y23" s="360">
        <v>0</v>
      </c>
      <c r="Z23" s="360">
        <v>0</v>
      </c>
      <c r="AA23" s="360">
        <v>0</v>
      </c>
      <c r="AB23" s="360">
        <v>0</v>
      </c>
      <c r="AC23" s="360">
        <v>0</v>
      </c>
      <c r="AD23" s="360">
        <v>0</v>
      </c>
      <c r="AE23" s="360">
        <v>0</v>
      </c>
      <c r="AF23" s="360">
        <v>0</v>
      </c>
      <c r="AG23" s="360">
        <v>0</v>
      </c>
      <c r="AH23" s="360">
        <v>0</v>
      </c>
      <c r="AI23" s="256"/>
      <c r="AJ23" s="257"/>
      <c r="AK23" s="257"/>
    </row>
    <row r="24" spans="2:37">
      <c r="B24" s="189" t="s">
        <v>327</v>
      </c>
      <c r="C24" s="360">
        <v>2.4689999999999999</v>
      </c>
      <c r="D24" s="360">
        <v>-5.5910000000000002</v>
      </c>
      <c r="E24" s="360">
        <v>10.67</v>
      </c>
      <c r="F24" s="360">
        <v>1.7929999999999999</v>
      </c>
      <c r="G24" s="360">
        <v>2.552</v>
      </c>
      <c r="H24" s="360">
        <v>6.24</v>
      </c>
      <c r="I24" s="360">
        <v>2.8969999999999998</v>
      </c>
      <c r="J24" s="360">
        <v>-11.689</v>
      </c>
      <c r="K24" s="360">
        <v>0</v>
      </c>
      <c r="L24" s="360">
        <v>0</v>
      </c>
      <c r="M24" s="360">
        <v>0</v>
      </c>
      <c r="N24" s="360">
        <v>0</v>
      </c>
      <c r="O24" s="360">
        <v>0</v>
      </c>
      <c r="P24" s="360">
        <v>0</v>
      </c>
      <c r="Q24" s="360">
        <v>0</v>
      </c>
      <c r="R24" s="360">
        <v>0</v>
      </c>
      <c r="S24" s="360">
        <v>0</v>
      </c>
      <c r="T24" s="360">
        <v>0</v>
      </c>
      <c r="U24" s="360">
        <v>0</v>
      </c>
      <c r="V24" s="360">
        <v>0</v>
      </c>
      <c r="W24" s="360">
        <v>0</v>
      </c>
      <c r="X24" s="360">
        <v>0</v>
      </c>
      <c r="Y24" s="360">
        <v>0</v>
      </c>
      <c r="Z24" s="360">
        <v>0</v>
      </c>
      <c r="AA24" s="360">
        <v>0</v>
      </c>
      <c r="AB24" s="360">
        <v>0</v>
      </c>
      <c r="AC24" s="360">
        <v>0</v>
      </c>
      <c r="AD24" s="360">
        <v>0</v>
      </c>
      <c r="AE24" s="360">
        <v>0</v>
      </c>
      <c r="AF24" s="360">
        <v>0</v>
      </c>
      <c r="AG24" s="360">
        <v>0</v>
      </c>
      <c r="AH24" s="360">
        <v>0</v>
      </c>
      <c r="AI24" s="256"/>
      <c r="AJ24" s="257"/>
      <c r="AK24" s="257"/>
    </row>
    <row r="25" spans="2:37">
      <c r="B25" s="189" t="s">
        <v>328</v>
      </c>
      <c r="C25" s="360">
        <v>-4.1870000000000003</v>
      </c>
      <c r="D25" s="360">
        <v>8.8379999999999992</v>
      </c>
      <c r="E25" s="360">
        <v>-7.6589999999999998</v>
      </c>
      <c r="F25" s="360">
        <v>25.727</v>
      </c>
      <c r="G25" s="360">
        <v>-34.777000000000001</v>
      </c>
      <c r="H25" s="360">
        <v>6.5579999999999998</v>
      </c>
      <c r="I25" s="360">
        <v>-6.3559999999999999</v>
      </c>
      <c r="J25" s="360">
        <v>34.575000000000003</v>
      </c>
      <c r="K25" s="360">
        <v>0</v>
      </c>
      <c r="L25" s="360">
        <v>0</v>
      </c>
      <c r="M25" s="360">
        <v>0</v>
      </c>
      <c r="N25" s="360">
        <v>0</v>
      </c>
      <c r="O25" s="360">
        <v>0</v>
      </c>
      <c r="P25" s="360">
        <v>0</v>
      </c>
      <c r="Q25" s="360">
        <v>0</v>
      </c>
      <c r="R25" s="360">
        <v>0</v>
      </c>
      <c r="S25" s="360">
        <v>0</v>
      </c>
      <c r="T25" s="360">
        <v>0</v>
      </c>
      <c r="U25" s="360">
        <v>0</v>
      </c>
      <c r="V25" s="360">
        <v>0</v>
      </c>
      <c r="W25" s="360">
        <v>0</v>
      </c>
      <c r="X25" s="360">
        <v>0</v>
      </c>
      <c r="Y25" s="360">
        <v>0</v>
      </c>
      <c r="Z25" s="360">
        <v>0</v>
      </c>
      <c r="AA25" s="360">
        <v>0</v>
      </c>
      <c r="AB25" s="360">
        <v>0</v>
      </c>
      <c r="AC25" s="360">
        <v>0</v>
      </c>
      <c r="AD25" s="360">
        <v>0</v>
      </c>
      <c r="AE25" s="360">
        <v>0</v>
      </c>
      <c r="AF25" s="360">
        <v>0</v>
      </c>
      <c r="AG25" s="360">
        <v>0</v>
      </c>
      <c r="AH25" s="360">
        <v>0</v>
      </c>
      <c r="AI25" s="256"/>
      <c r="AJ25" s="257"/>
      <c r="AK25" s="257"/>
    </row>
    <row r="26" spans="2:37">
      <c r="B26" s="189" t="s">
        <v>329</v>
      </c>
      <c r="C26" s="360">
        <v>10.19</v>
      </c>
      <c r="D26" s="360">
        <v>-21.640999999999998</v>
      </c>
      <c r="E26" s="360">
        <v>-12.103</v>
      </c>
      <c r="F26" s="360">
        <v>21.893999999999998</v>
      </c>
      <c r="G26" s="360">
        <v>5.0570000000000004</v>
      </c>
      <c r="H26" s="360">
        <v>-0.71799999999999997</v>
      </c>
      <c r="I26" s="360">
        <v>0.64300000000000002</v>
      </c>
      <c r="J26" s="360">
        <v>-4.9820000000000002</v>
      </c>
      <c r="K26" s="360">
        <v>0</v>
      </c>
      <c r="L26" s="360">
        <v>0</v>
      </c>
      <c r="M26" s="360">
        <v>0</v>
      </c>
      <c r="N26" s="360">
        <v>0</v>
      </c>
      <c r="O26" s="360">
        <v>0</v>
      </c>
      <c r="P26" s="360">
        <v>0</v>
      </c>
      <c r="Q26" s="360">
        <v>0</v>
      </c>
      <c r="R26" s="360">
        <v>0</v>
      </c>
      <c r="S26" s="360">
        <v>0</v>
      </c>
      <c r="T26" s="360">
        <v>0</v>
      </c>
      <c r="U26" s="360">
        <v>0</v>
      </c>
      <c r="V26" s="360">
        <v>0</v>
      </c>
      <c r="W26" s="360">
        <v>0</v>
      </c>
      <c r="X26" s="360">
        <v>0</v>
      </c>
      <c r="Y26" s="360">
        <v>0</v>
      </c>
      <c r="Z26" s="360">
        <v>0</v>
      </c>
      <c r="AA26" s="360">
        <v>0</v>
      </c>
      <c r="AB26" s="360">
        <v>0</v>
      </c>
      <c r="AC26" s="360">
        <v>0</v>
      </c>
      <c r="AD26" s="360">
        <v>0</v>
      </c>
      <c r="AE26" s="360">
        <v>0</v>
      </c>
      <c r="AF26" s="360">
        <v>0</v>
      </c>
      <c r="AG26" s="360">
        <v>0</v>
      </c>
      <c r="AH26" s="360">
        <v>0</v>
      </c>
      <c r="AI26" s="256"/>
      <c r="AJ26" s="257"/>
      <c r="AK26" s="257"/>
    </row>
    <row r="27" spans="2:37">
      <c r="B27" s="189" t="s">
        <v>306</v>
      </c>
      <c r="C27" s="360">
        <v>-0.42699999999999999</v>
      </c>
      <c r="D27" s="360">
        <v>-1.411</v>
      </c>
      <c r="E27" s="360">
        <v>2.024</v>
      </c>
      <c r="F27" s="360">
        <v>1.96</v>
      </c>
      <c r="G27" s="360">
        <v>-1.028</v>
      </c>
      <c r="H27" s="360">
        <v>23.655000000000001</v>
      </c>
      <c r="I27" s="360">
        <v>1E-3</v>
      </c>
      <c r="J27" s="360">
        <v>34.9</v>
      </c>
      <c r="K27" s="360">
        <v>0.99399999999999999</v>
      </c>
      <c r="L27" s="360">
        <v>12.071999999999999</v>
      </c>
      <c r="M27" s="360">
        <v>23.373999999999999</v>
      </c>
      <c r="N27" s="360">
        <v>6.9130000000000003</v>
      </c>
      <c r="O27" s="360">
        <v>0</v>
      </c>
      <c r="P27" s="360">
        <v>0</v>
      </c>
      <c r="Q27" s="360">
        <v>5.0490000000000004</v>
      </c>
      <c r="R27" s="360">
        <v>528.84</v>
      </c>
      <c r="S27" s="360">
        <v>1.7789999999999999</v>
      </c>
      <c r="T27" s="360">
        <v>-0.29499999999999998</v>
      </c>
      <c r="U27" s="360">
        <v>5</v>
      </c>
      <c r="V27" s="360">
        <v>0.18299999999999983</v>
      </c>
      <c r="W27" s="360">
        <v>11.348000000000001</v>
      </c>
      <c r="X27" s="360">
        <v>1</v>
      </c>
      <c r="Y27" s="360">
        <v>0</v>
      </c>
      <c r="Z27" s="360">
        <v>-5.73</v>
      </c>
      <c r="AA27" s="360">
        <v>0</v>
      </c>
      <c r="AB27" s="360">
        <v>0</v>
      </c>
      <c r="AC27" s="360">
        <v>0</v>
      </c>
      <c r="AD27" s="360">
        <v>0</v>
      </c>
      <c r="AE27" s="360">
        <v>0</v>
      </c>
      <c r="AF27" s="360">
        <v>0</v>
      </c>
      <c r="AG27" s="360">
        <v>0</v>
      </c>
      <c r="AH27" s="360">
        <v>0</v>
      </c>
      <c r="AI27" s="256"/>
      <c r="AJ27" s="257"/>
      <c r="AK27" s="257"/>
    </row>
    <row r="28" spans="2:37">
      <c r="B28" s="363" t="s">
        <v>359</v>
      </c>
      <c r="C28" s="360">
        <v>0</v>
      </c>
      <c r="D28" s="360">
        <v>0</v>
      </c>
      <c r="E28" s="360">
        <v>0</v>
      </c>
      <c r="F28" s="360">
        <v>0</v>
      </c>
      <c r="G28" s="360">
        <v>0</v>
      </c>
      <c r="H28" s="360">
        <v>0</v>
      </c>
      <c r="I28" s="360">
        <v>0</v>
      </c>
      <c r="J28" s="360">
        <v>0</v>
      </c>
      <c r="K28" s="360">
        <v>-365.99900000000002</v>
      </c>
      <c r="L28" s="360">
        <v>0</v>
      </c>
      <c r="M28" s="360">
        <v>0</v>
      </c>
      <c r="N28" s="360">
        <v>0</v>
      </c>
      <c r="O28" s="360">
        <v>0</v>
      </c>
      <c r="P28" s="360">
        <v>0</v>
      </c>
      <c r="Q28" s="360">
        <v>-17.143000000000001</v>
      </c>
      <c r="R28" s="360">
        <v>0</v>
      </c>
      <c r="S28" s="360">
        <v>0</v>
      </c>
      <c r="T28" s="360">
        <v>0</v>
      </c>
      <c r="U28" s="360">
        <v>0</v>
      </c>
      <c r="V28" s="360">
        <v>0</v>
      </c>
      <c r="W28" s="360">
        <v>0</v>
      </c>
      <c r="X28" s="360">
        <v>0</v>
      </c>
      <c r="Y28" s="360">
        <v>0</v>
      </c>
      <c r="Z28" s="360">
        <v>0</v>
      </c>
      <c r="AA28" s="360">
        <v>0</v>
      </c>
      <c r="AB28" s="360">
        <v>0</v>
      </c>
      <c r="AC28" s="360">
        <v>0</v>
      </c>
      <c r="AD28" s="360">
        <v>0</v>
      </c>
      <c r="AE28" s="360">
        <v>0</v>
      </c>
      <c r="AF28" s="360">
        <v>0</v>
      </c>
      <c r="AG28" s="360">
        <v>0</v>
      </c>
      <c r="AH28" s="360">
        <v>0</v>
      </c>
      <c r="AI28" s="256"/>
      <c r="AJ28" s="257"/>
      <c r="AK28" s="257"/>
    </row>
    <row r="29" spans="2:37">
      <c r="B29" s="363" t="s">
        <v>360</v>
      </c>
      <c r="C29" s="360">
        <v>0</v>
      </c>
      <c r="D29" s="360">
        <v>0</v>
      </c>
      <c r="E29" s="360">
        <v>0</v>
      </c>
      <c r="F29" s="360">
        <v>0</v>
      </c>
      <c r="G29" s="360">
        <v>0</v>
      </c>
      <c r="H29" s="360">
        <v>0</v>
      </c>
      <c r="I29" s="360">
        <v>0</v>
      </c>
      <c r="J29" s="360">
        <v>0</v>
      </c>
      <c r="K29" s="360">
        <v>0</v>
      </c>
      <c r="L29" s="360">
        <v>0</v>
      </c>
      <c r="M29" s="360">
        <v>0</v>
      </c>
      <c r="N29" s="360">
        <v>0</v>
      </c>
      <c r="O29" s="360">
        <v>0</v>
      </c>
      <c r="P29" s="360">
        <v>0</v>
      </c>
      <c r="Q29" s="360">
        <v>0</v>
      </c>
      <c r="R29" s="360">
        <v>0</v>
      </c>
      <c r="S29" s="360">
        <v>0</v>
      </c>
      <c r="T29" s="360">
        <v>0</v>
      </c>
      <c r="U29" s="360">
        <v>0</v>
      </c>
      <c r="V29" s="360">
        <v>47.521999999999998</v>
      </c>
      <c r="W29" s="360">
        <v>0</v>
      </c>
      <c r="X29" s="360">
        <v>0</v>
      </c>
      <c r="Y29" s="360">
        <v>0</v>
      </c>
      <c r="Z29" s="360">
        <v>0</v>
      </c>
      <c r="AA29" s="360">
        <v>0</v>
      </c>
      <c r="AB29" s="360">
        <v>0</v>
      </c>
      <c r="AC29" s="360">
        <v>0</v>
      </c>
      <c r="AD29" s="360">
        <v>0</v>
      </c>
      <c r="AE29" s="360">
        <v>0</v>
      </c>
      <c r="AF29" s="360">
        <v>0</v>
      </c>
      <c r="AG29" s="360">
        <v>0</v>
      </c>
      <c r="AH29" s="360">
        <v>0</v>
      </c>
      <c r="AI29" s="256"/>
      <c r="AJ29" s="257"/>
      <c r="AK29" s="257"/>
    </row>
    <row r="30" spans="2:37">
      <c r="B30" s="189" t="s">
        <v>307</v>
      </c>
      <c r="C30" s="360">
        <v>-1.056</v>
      </c>
      <c r="D30" s="360">
        <v>-0.85599999999999998</v>
      </c>
      <c r="E30" s="360">
        <v>-0.96399999999999997</v>
      </c>
      <c r="F30" s="360">
        <v>-37.850999999999999</v>
      </c>
      <c r="G30" s="360">
        <v>-0.63100000000000001</v>
      </c>
      <c r="H30" s="360">
        <v>-8.9190000000000005</v>
      </c>
      <c r="I30" s="360">
        <v>-0.63200000000000001</v>
      </c>
      <c r="J30" s="360">
        <v>155.09899999999999</v>
      </c>
      <c r="K30" s="360">
        <v>-0.78900000000000003</v>
      </c>
      <c r="L30" s="360">
        <v>0.23200000000000001</v>
      </c>
      <c r="M30" s="360">
        <v>16.835000000000001</v>
      </c>
      <c r="N30" s="360">
        <v>1.5289999999999999</v>
      </c>
      <c r="O30" s="360">
        <v>122.943</v>
      </c>
      <c r="P30" s="360">
        <v>16.757000000000001</v>
      </c>
      <c r="Q30" s="360">
        <v>-5.8159999999999998</v>
      </c>
      <c r="R30" s="360">
        <v>-737.82899999999995</v>
      </c>
      <c r="S30" s="360">
        <v>-1.2390000000000001</v>
      </c>
      <c r="T30" s="360">
        <v>-190.41800000000001</v>
      </c>
      <c r="U30" s="360">
        <v>-41</v>
      </c>
      <c r="V30" s="360">
        <v>6.6500000000000057</v>
      </c>
      <c r="W30" s="360">
        <v>-156.83199999999999</v>
      </c>
      <c r="X30" s="360">
        <v>44</v>
      </c>
      <c r="Y30" s="360">
        <v>9.8319999999999936</v>
      </c>
      <c r="Z30" s="360">
        <v>61.915999999999997</v>
      </c>
      <c r="AA30" s="360">
        <v>1.0569999999999999</v>
      </c>
      <c r="AB30" s="360">
        <v>0</v>
      </c>
      <c r="AC30" s="360">
        <v>0</v>
      </c>
      <c r="AD30" s="360">
        <v>0</v>
      </c>
      <c r="AE30" s="360">
        <v>0</v>
      </c>
      <c r="AF30" s="360">
        <v>0</v>
      </c>
      <c r="AG30" s="360">
        <v>0</v>
      </c>
      <c r="AH30" s="360">
        <v>0</v>
      </c>
      <c r="AI30" s="256"/>
      <c r="AJ30" s="257"/>
      <c r="AK30" s="257"/>
    </row>
    <row r="31" spans="2:37">
      <c r="B31" s="363" t="s">
        <v>361</v>
      </c>
      <c r="C31" s="360">
        <v>0</v>
      </c>
      <c r="D31" s="360">
        <v>0</v>
      </c>
      <c r="E31" s="360">
        <v>0</v>
      </c>
      <c r="F31" s="360">
        <v>0</v>
      </c>
      <c r="G31" s="360">
        <v>0</v>
      </c>
      <c r="H31" s="360">
        <v>0</v>
      </c>
      <c r="I31" s="360">
        <v>0</v>
      </c>
      <c r="J31" s="360">
        <v>0</v>
      </c>
      <c r="K31" s="360">
        <v>0</v>
      </c>
      <c r="L31" s="360">
        <v>0</v>
      </c>
      <c r="M31" s="360">
        <v>0</v>
      </c>
      <c r="N31" s="360">
        <v>0</v>
      </c>
      <c r="O31" s="360">
        <v>0</v>
      </c>
      <c r="P31" s="360">
        <v>0</v>
      </c>
      <c r="Q31" s="360">
        <v>0</v>
      </c>
      <c r="R31" s="360">
        <v>0</v>
      </c>
      <c r="S31" s="360">
        <v>0</v>
      </c>
      <c r="T31" s="360">
        <v>0</v>
      </c>
      <c r="U31" s="360">
        <v>0</v>
      </c>
      <c r="V31" s="360">
        <v>15.444000000000001</v>
      </c>
      <c r="W31" s="360">
        <v>0</v>
      </c>
      <c r="X31" s="360">
        <v>0</v>
      </c>
      <c r="Y31" s="360">
        <v>0</v>
      </c>
      <c r="Z31" s="360">
        <v>0</v>
      </c>
      <c r="AA31" s="360">
        <v>-0.35399999999999998</v>
      </c>
      <c r="AB31" s="360">
        <v>0</v>
      </c>
      <c r="AC31" s="360">
        <v>0</v>
      </c>
      <c r="AD31" s="360">
        <v>0</v>
      </c>
      <c r="AE31" s="360">
        <v>0</v>
      </c>
      <c r="AF31" s="360">
        <v>0</v>
      </c>
      <c r="AG31" s="360">
        <v>0</v>
      </c>
      <c r="AH31" s="360">
        <v>0</v>
      </c>
      <c r="AI31" s="256"/>
      <c r="AJ31" s="257"/>
      <c r="AK31" s="257"/>
    </row>
    <row r="32" spans="2:37">
      <c r="B32" s="189" t="s">
        <v>531</v>
      </c>
      <c r="C32" s="360">
        <v>0</v>
      </c>
      <c r="D32" s="360">
        <v>-111.07</v>
      </c>
      <c r="E32" s="360">
        <v>0</v>
      </c>
      <c r="F32" s="360">
        <v>0</v>
      </c>
      <c r="G32" s="360">
        <v>0</v>
      </c>
      <c r="H32" s="360">
        <v>0</v>
      </c>
      <c r="I32" s="360">
        <v>0</v>
      </c>
      <c r="J32" s="360">
        <v>0</v>
      </c>
      <c r="K32" s="360">
        <v>0</v>
      </c>
      <c r="L32" s="360">
        <v>0</v>
      </c>
      <c r="M32" s="360">
        <v>0</v>
      </c>
      <c r="N32" s="360">
        <v>0</v>
      </c>
      <c r="O32" s="360">
        <v>0</v>
      </c>
      <c r="P32" s="360">
        <v>0</v>
      </c>
      <c r="Q32" s="360">
        <v>0</v>
      </c>
      <c r="R32" s="360">
        <v>0</v>
      </c>
      <c r="S32" s="360">
        <v>0</v>
      </c>
      <c r="T32" s="360">
        <v>0</v>
      </c>
      <c r="U32" s="360">
        <v>0</v>
      </c>
      <c r="V32" s="360">
        <v>0</v>
      </c>
      <c r="W32" s="360">
        <v>0</v>
      </c>
      <c r="X32" s="360">
        <v>0</v>
      </c>
      <c r="Y32" s="360">
        <v>0</v>
      </c>
      <c r="Z32" s="360">
        <v>0</v>
      </c>
      <c r="AA32" s="360">
        <v>0</v>
      </c>
      <c r="AB32" s="360">
        <v>0</v>
      </c>
      <c r="AC32" s="360">
        <v>0</v>
      </c>
      <c r="AD32" s="360">
        <v>0</v>
      </c>
      <c r="AE32" s="360">
        <v>0</v>
      </c>
      <c r="AF32" s="360">
        <v>0</v>
      </c>
      <c r="AG32" s="360">
        <v>0</v>
      </c>
      <c r="AH32" s="360">
        <v>0</v>
      </c>
      <c r="AI32" s="256"/>
      <c r="AJ32" s="257"/>
      <c r="AK32" s="257"/>
    </row>
    <row r="33" spans="2:37">
      <c r="B33" s="189" t="s">
        <v>322</v>
      </c>
      <c r="C33" s="360">
        <v>0</v>
      </c>
      <c r="D33" s="360">
        <v>0</v>
      </c>
      <c r="E33" s="360">
        <v>0</v>
      </c>
      <c r="F33" s="360">
        <v>0</v>
      </c>
      <c r="G33" s="360">
        <v>0</v>
      </c>
      <c r="H33" s="360">
        <v>0</v>
      </c>
      <c r="I33" s="360">
        <v>-170.85300000000001</v>
      </c>
      <c r="J33" s="360">
        <v>-104.94499999999999</v>
      </c>
      <c r="K33" s="360">
        <v>0</v>
      </c>
      <c r="L33" s="360">
        <v>0</v>
      </c>
      <c r="M33" s="360">
        <v>0</v>
      </c>
      <c r="N33" s="360">
        <v>0</v>
      </c>
      <c r="O33" s="360">
        <v>0</v>
      </c>
      <c r="P33" s="360">
        <v>0</v>
      </c>
      <c r="Q33" s="360">
        <v>0</v>
      </c>
      <c r="R33" s="360">
        <v>0</v>
      </c>
      <c r="S33" s="360">
        <v>0</v>
      </c>
      <c r="T33" s="360">
        <v>0</v>
      </c>
      <c r="U33" s="360">
        <v>0</v>
      </c>
      <c r="V33" s="360">
        <v>0</v>
      </c>
      <c r="W33" s="360">
        <v>0</v>
      </c>
      <c r="X33" s="360">
        <v>0</v>
      </c>
      <c r="Y33" s="360">
        <v>0</v>
      </c>
      <c r="Z33" s="360">
        <v>0</v>
      </c>
      <c r="AA33" s="360">
        <v>0</v>
      </c>
      <c r="AB33" s="360">
        <v>0</v>
      </c>
      <c r="AC33" s="360">
        <v>0</v>
      </c>
      <c r="AD33" s="360">
        <v>0</v>
      </c>
      <c r="AE33" s="360">
        <v>0</v>
      </c>
      <c r="AF33" s="360">
        <v>0</v>
      </c>
      <c r="AG33" s="360">
        <v>0</v>
      </c>
      <c r="AH33" s="360">
        <v>0</v>
      </c>
      <c r="AI33" s="256"/>
      <c r="AJ33" s="257"/>
      <c r="AK33" s="257"/>
    </row>
    <row r="34" spans="2:37">
      <c r="B34" s="189" t="s">
        <v>330</v>
      </c>
      <c r="C34" s="360">
        <v>0</v>
      </c>
      <c r="D34" s="360">
        <v>0</v>
      </c>
      <c r="E34" s="360">
        <v>0</v>
      </c>
      <c r="F34" s="360">
        <v>0</v>
      </c>
      <c r="G34" s="360">
        <v>0</v>
      </c>
      <c r="H34" s="360">
        <v>0</v>
      </c>
      <c r="I34" s="360">
        <v>0</v>
      </c>
      <c r="J34" s="360">
        <v>0</v>
      </c>
      <c r="K34" s="360">
        <v>0</v>
      </c>
      <c r="L34" s="360">
        <v>0</v>
      </c>
      <c r="M34" s="360">
        <v>0</v>
      </c>
      <c r="N34" s="360">
        <v>0</v>
      </c>
      <c r="O34" s="360">
        <v>0</v>
      </c>
      <c r="P34" s="360">
        <v>0</v>
      </c>
      <c r="Q34" s="360">
        <v>0</v>
      </c>
      <c r="R34" s="360">
        <v>0</v>
      </c>
      <c r="S34" s="360">
        <v>0</v>
      </c>
      <c r="T34" s="360">
        <v>0</v>
      </c>
      <c r="U34" s="360">
        <v>-8</v>
      </c>
      <c r="V34" s="360">
        <v>4.0000000000000036E-2</v>
      </c>
      <c r="W34" s="360">
        <v>0</v>
      </c>
      <c r="X34" s="360">
        <v>0</v>
      </c>
      <c r="Y34" s="360">
        <v>0</v>
      </c>
      <c r="Z34" s="360">
        <v>0</v>
      </c>
      <c r="AA34" s="360">
        <v>0</v>
      </c>
      <c r="AB34" s="360">
        <v>0</v>
      </c>
      <c r="AC34" s="360">
        <v>0</v>
      </c>
      <c r="AD34" s="360">
        <v>0</v>
      </c>
      <c r="AE34" s="360">
        <v>0</v>
      </c>
      <c r="AF34" s="360">
        <v>0</v>
      </c>
      <c r="AG34" s="360">
        <v>0</v>
      </c>
      <c r="AH34" s="360">
        <v>0</v>
      </c>
      <c r="AI34" s="256"/>
      <c r="AJ34" s="257"/>
      <c r="AK34" s="257"/>
    </row>
    <row r="35" spans="2:37">
      <c r="B35" s="189" t="s">
        <v>308</v>
      </c>
      <c r="C35" s="360">
        <v>-91.701999999999998</v>
      </c>
      <c r="D35" s="360">
        <v>-1.292</v>
      </c>
      <c r="E35" s="360">
        <v>-0.47599999999999998</v>
      </c>
      <c r="F35" s="360">
        <v>7.07</v>
      </c>
      <c r="G35" s="360">
        <v>16.89</v>
      </c>
      <c r="H35" s="360">
        <v>-80.995999999999995</v>
      </c>
      <c r="I35" s="360">
        <v>-15.044</v>
      </c>
      <c r="J35" s="360">
        <v>71.445999999999998</v>
      </c>
      <c r="K35" s="360">
        <v>11.086</v>
      </c>
      <c r="L35" s="360">
        <v>2.476</v>
      </c>
      <c r="M35" s="360">
        <v>35.395000000000003</v>
      </c>
      <c r="N35" s="360">
        <v>7.9509999999999996</v>
      </c>
      <c r="O35" s="360">
        <v>12.103</v>
      </c>
      <c r="P35" s="360">
        <v>47.616</v>
      </c>
      <c r="Q35" s="360">
        <v>28.148</v>
      </c>
      <c r="R35" s="360">
        <v>-52.795999999999999</v>
      </c>
      <c r="S35" s="360">
        <v>12.414999999999999</v>
      </c>
      <c r="T35" s="360">
        <v>22.573</v>
      </c>
      <c r="U35" s="360">
        <v>8</v>
      </c>
      <c r="V35" s="360">
        <v>-3.5300000000000011</v>
      </c>
      <c r="W35" s="360">
        <v>-1.264</v>
      </c>
      <c r="X35" s="360">
        <v>7</v>
      </c>
      <c r="Y35" s="360">
        <v>4.2640000000000002</v>
      </c>
      <c r="Z35" s="360">
        <v>-10.218999999999999</v>
      </c>
      <c r="AA35" s="360">
        <v>-10.345000000000001</v>
      </c>
      <c r="AB35" s="360">
        <v>103.989</v>
      </c>
      <c r="AC35" s="360">
        <v>43</v>
      </c>
      <c r="AD35" s="360">
        <v>-217.07900000000001</v>
      </c>
      <c r="AE35" s="360">
        <v>38</v>
      </c>
      <c r="AF35" s="360">
        <v>4</v>
      </c>
      <c r="AG35" s="360">
        <v>38</v>
      </c>
      <c r="AH35" s="360">
        <v>-13</v>
      </c>
      <c r="AI35" s="256"/>
      <c r="AJ35" s="257"/>
      <c r="AK35" s="257"/>
    </row>
    <row r="36" spans="2:37">
      <c r="B36" s="189" t="s">
        <v>322</v>
      </c>
      <c r="C36" s="360">
        <v>0</v>
      </c>
      <c r="D36" s="360">
        <v>0</v>
      </c>
      <c r="E36" s="360">
        <v>0</v>
      </c>
      <c r="F36" s="360">
        <v>0</v>
      </c>
      <c r="G36" s="360">
        <v>0</v>
      </c>
      <c r="H36" s="360">
        <v>0</v>
      </c>
      <c r="I36" s="360">
        <v>0</v>
      </c>
      <c r="J36" s="360">
        <v>0</v>
      </c>
      <c r="K36" s="360">
        <v>0</v>
      </c>
      <c r="L36" s="360">
        <v>0</v>
      </c>
      <c r="M36" s="360">
        <v>-155.464</v>
      </c>
      <c r="N36" s="360">
        <v>-12.669</v>
      </c>
      <c r="O36" s="360">
        <v>0</v>
      </c>
      <c r="P36" s="360">
        <v>0</v>
      </c>
      <c r="Q36" s="360">
        <v>0</v>
      </c>
      <c r="R36" s="360">
        <v>0</v>
      </c>
      <c r="S36" s="360">
        <v>0</v>
      </c>
      <c r="T36" s="360">
        <v>0</v>
      </c>
      <c r="U36" s="360">
        <v>0</v>
      </c>
      <c r="V36" s="360">
        <v>0</v>
      </c>
      <c r="W36" s="360">
        <v>0</v>
      </c>
      <c r="X36" s="360">
        <v>0</v>
      </c>
      <c r="Y36" s="360">
        <v>0</v>
      </c>
      <c r="Z36" s="360">
        <v>0</v>
      </c>
      <c r="AA36" s="360">
        <v>0</v>
      </c>
      <c r="AB36" s="360">
        <v>0</v>
      </c>
      <c r="AC36" s="360">
        <v>0</v>
      </c>
      <c r="AD36" s="360">
        <v>0</v>
      </c>
      <c r="AE36" s="360">
        <v>0</v>
      </c>
      <c r="AF36" s="360">
        <v>0</v>
      </c>
      <c r="AG36" s="360">
        <v>0</v>
      </c>
      <c r="AH36" s="360">
        <v>0</v>
      </c>
      <c r="AI36" s="256"/>
      <c r="AJ36" s="257"/>
      <c r="AK36" s="257"/>
    </row>
    <row r="37" spans="2:37">
      <c r="B37" s="189" t="s">
        <v>323</v>
      </c>
      <c r="C37" s="360">
        <v>0</v>
      </c>
      <c r="D37" s="360">
        <v>0</v>
      </c>
      <c r="E37" s="360">
        <v>0</v>
      </c>
      <c r="F37" s="360">
        <v>0</v>
      </c>
      <c r="G37" s="360">
        <v>0</v>
      </c>
      <c r="H37" s="360">
        <v>0</v>
      </c>
      <c r="I37" s="360">
        <v>0</v>
      </c>
      <c r="J37" s="360">
        <v>0</v>
      </c>
      <c r="K37" s="360">
        <v>0</v>
      </c>
      <c r="L37" s="360">
        <v>0</v>
      </c>
      <c r="M37" s="360">
        <v>0</v>
      </c>
      <c r="N37" s="360">
        <v>0</v>
      </c>
      <c r="O37" s="360">
        <v>0</v>
      </c>
      <c r="P37" s="360">
        <v>0</v>
      </c>
      <c r="Q37" s="360">
        <v>-141.559</v>
      </c>
      <c r="R37" s="360">
        <v>-143.887</v>
      </c>
      <c r="S37" s="360">
        <v>0</v>
      </c>
      <c r="T37" s="360">
        <v>0</v>
      </c>
      <c r="U37" s="360">
        <v>0</v>
      </c>
      <c r="V37" s="360">
        <v>0</v>
      </c>
      <c r="W37" s="360">
        <v>0</v>
      </c>
      <c r="X37" s="360">
        <v>0</v>
      </c>
      <c r="Y37" s="360">
        <v>0</v>
      </c>
      <c r="Z37" s="360">
        <v>0</v>
      </c>
      <c r="AA37" s="360">
        <v>0</v>
      </c>
      <c r="AB37" s="360">
        <v>0</v>
      </c>
      <c r="AC37" s="360">
        <v>0</v>
      </c>
      <c r="AD37" s="360">
        <v>0</v>
      </c>
      <c r="AE37" s="360">
        <v>0</v>
      </c>
      <c r="AF37" s="360">
        <v>0</v>
      </c>
      <c r="AG37" s="360">
        <v>0</v>
      </c>
      <c r="AH37" s="360">
        <v>0</v>
      </c>
      <c r="AI37" s="256"/>
      <c r="AJ37" s="257"/>
      <c r="AK37" s="257"/>
    </row>
    <row r="38" spans="2:37">
      <c r="B38" s="189" t="s">
        <v>532</v>
      </c>
      <c r="C38" s="360">
        <v>0</v>
      </c>
      <c r="D38" s="360">
        <v>0</v>
      </c>
      <c r="E38" s="360">
        <v>0</v>
      </c>
      <c r="F38" s="360">
        <v>0</v>
      </c>
      <c r="G38" s="360">
        <v>0</v>
      </c>
      <c r="H38" s="360">
        <v>0</v>
      </c>
      <c r="I38" s="360">
        <v>0</v>
      </c>
      <c r="J38" s="360">
        <v>0</v>
      </c>
      <c r="K38" s="360">
        <v>0</v>
      </c>
      <c r="L38" s="360">
        <v>0</v>
      </c>
      <c r="M38" s="360">
        <v>0</v>
      </c>
      <c r="N38" s="360">
        <v>0</v>
      </c>
      <c r="O38" s="360">
        <v>0</v>
      </c>
      <c r="P38" s="360">
        <v>0</v>
      </c>
      <c r="Q38" s="360">
        <v>106.40900000000001</v>
      </c>
      <c r="R38" s="360">
        <v>5.5460000000000003</v>
      </c>
      <c r="S38" s="360">
        <v>0</v>
      </c>
      <c r="T38" s="360">
        <v>0</v>
      </c>
      <c r="U38" s="360">
        <v>0</v>
      </c>
      <c r="V38" s="360">
        <v>0</v>
      </c>
      <c r="W38" s="360">
        <v>0</v>
      </c>
      <c r="X38" s="360">
        <v>0</v>
      </c>
      <c r="Y38" s="360">
        <v>0</v>
      </c>
      <c r="Z38" s="360">
        <v>0</v>
      </c>
      <c r="AA38" s="360">
        <v>0</v>
      </c>
      <c r="AB38" s="360">
        <v>0</v>
      </c>
      <c r="AC38" s="360">
        <v>0</v>
      </c>
      <c r="AD38" s="360">
        <v>0</v>
      </c>
      <c r="AE38" s="360">
        <v>0</v>
      </c>
      <c r="AF38" s="360">
        <v>0</v>
      </c>
      <c r="AG38" s="360">
        <v>0</v>
      </c>
      <c r="AH38" s="360">
        <v>0</v>
      </c>
      <c r="AI38" s="256"/>
      <c r="AJ38" s="257"/>
      <c r="AK38" s="257"/>
    </row>
    <row r="39" spans="2:37">
      <c r="B39" s="419" t="s">
        <v>362</v>
      </c>
      <c r="C39" s="388">
        <v>0</v>
      </c>
      <c r="D39" s="388">
        <v>0</v>
      </c>
      <c r="E39" s="388">
        <v>0</v>
      </c>
      <c r="F39" s="388">
        <v>0</v>
      </c>
      <c r="G39" s="388">
        <v>0</v>
      </c>
      <c r="H39" s="388">
        <v>0</v>
      </c>
      <c r="I39" s="388">
        <v>0</v>
      </c>
      <c r="J39" s="388">
        <v>0</v>
      </c>
      <c r="K39" s="388">
        <v>0</v>
      </c>
      <c r="L39" s="388">
        <v>0</v>
      </c>
      <c r="M39" s="388">
        <v>0</v>
      </c>
      <c r="N39" s="388">
        <v>0</v>
      </c>
      <c r="O39" s="388">
        <v>0</v>
      </c>
      <c r="P39" s="388">
        <v>0</v>
      </c>
      <c r="Q39" s="388">
        <v>0</v>
      </c>
      <c r="R39" s="388">
        <v>0</v>
      </c>
      <c r="S39" s="388">
        <v>0</v>
      </c>
      <c r="T39" s="388">
        <v>0</v>
      </c>
      <c r="U39" s="388">
        <v>0</v>
      </c>
      <c r="V39" s="388">
        <v>0</v>
      </c>
      <c r="W39" s="388">
        <v>-1.1020000000000001</v>
      </c>
      <c r="X39" s="388">
        <v>0</v>
      </c>
      <c r="Y39" s="388">
        <v>0</v>
      </c>
      <c r="Z39" s="388">
        <v>0</v>
      </c>
      <c r="AA39" s="388">
        <v>0</v>
      </c>
      <c r="AB39" s="388">
        <v>0</v>
      </c>
      <c r="AC39" s="388">
        <v>0</v>
      </c>
      <c r="AD39" s="388">
        <v>0</v>
      </c>
      <c r="AE39" s="388">
        <v>0</v>
      </c>
      <c r="AF39" s="388">
        <v>0</v>
      </c>
      <c r="AG39" s="388">
        <v>0</v>
      </c>
      <c r="AH39" s="388">
        <v>0</v>
      </c>
      <c r="AI39" s="256"/>
      <c r="AJ39" s="257"/>
      <c r="AK39" s="257"/>
    </row>
    <row r="40" spans="2:37" s="70" customFormat="1" ht="14.4" thickBot="1">
      <c r="B40" s="258" t="s">
        <v>324</v>
      </c>
      <c r="C40" s="389">
        <v>0</v>
      </c>
      <c r="D40" s="389">
        <v>0</v>
      </c>
      <c r="E40" s="389">
        <v>0</v>
      </c>
      <c r="F40" s="389">
        <v>0</v>
      </c>
      <c r="G40" s="389">
        <v>0</v>
      </c>
      <c r="H40" s="389">
        <v>0</v>
      </c>
      <c r="I40" s="389">
        <v>0</v>
      </c>
      <c r="J40" s="389">
        <v>0</v>
      </c>
      <c r="K40" s="389">
        <v>0</v>
      </c>
      <c r="L40" s="389">
        <v>0</v>
      </c>
      <c r="M40" s="389">
        <v>0</v>
      </c>
      <c r="N40" s="389">
        <v>0</v>
      </c>
      <c r="O40" s="389">
        <v>0</v>
      </c>
      <c r="P40" s="389">
        <v>0</v>
      </c>
      <c r="Q40" s="389">
        <v>0</v>
      </c>
      <c r="R40" s="389">
        <v>50.816000000000003</v>
      </c>
      <c r="S40" s="389">
        <v>0</v>
      </c>
      <c r="T40" s="389">
        <v>0</v>
      </c>
      <c r="U40" s="389">
        <v>0</v>
      </c>
      <c r="V40" s="389">
        <v>0</v>
      </c>
      <c r="W40" s="389">
        <v>0</v>
      </c>
      <c r="X40" s="389">
        <v>0</v>
      </c>
      <c r="Y40" s="389">
        <v>0</v>
      </c>
      <c r="Z40" s="389">
        <v>0</v>
      </c>
      <c r="AA40" s="389">
        <v>0</v>
      </c>
      <c r="AB40" s="389">
        <v>0</v>
      </c>
      <c r="AC40" s="389">
        <v>0</v>
      </c>
      <c r="AD40" s="389">
        <v>0</v>
      </c>
      <c r="AE40" s="389">
        <v>0</v>
      </c>
      <c r="AF40" s="389">
        <v>0</v>
      </c>
      <c r="AG40" s="389">
        <v>0</v>
      </c>
      <c r="AH40" s="389">
        <v>0</v>
      </c>
      <c r="AI40" s="257"/>
      <c r="AJ40" s="257"/>
      <c r="AK40" s="257"/>
    </row>
    <row r="41" spans="2:37">
      <c r="B41" s="417"/>
      <c r="C41" s="390">
        <v>205.35999999999996</v>
      </c>
      <c r="D41" s="390">
        <v>258.66800000000001</v>
      </c>
      <c r="E41" s="390">
        <v>253.64400000000006</v>
      </c>
      <c r="F41" s="390">
        <v>101.08200000000002</v>
      </c>
      <c r="G41" s="390">
        <v>209.98099999999999</v>
      </c>
      <c r="H41" s="390">
        <v>136.69200000000001</v>
      </c>
      <c r="I41" s="390">
        <v>-77.650000000000006</v>
      </c>
      <c r="J41" s="390">
        <v>342.20799999999997</v>
      </c>
      <c r="K41" s="390">
        <v>96.283000000000044</v>
      </c>
      <c r="L41" s="390">
        <v>243.69199999999998</v>
      </c>
      <c r="M41" s="390">
        <v>26.172000000000025</v>
      </c>
      <c r="N41" s="390">
        <v>352.22</v>
      </c>
      <c r="O41" s="390">
        <v>516.46899999999994</v>
      </c>
      <c r="P41" s="390">
        <v>577.52899999999988</v>
      </c>
      <c r="Q41" s="390">
        <v>-77.93299999999995</v>
      </c>
      <c r="R41" s="390">
        <v>1267.095</v>
      </c>
      <c r="S41" s="390">
        <f t="shared" ref="S41:AB41" si="0">SUM(S8:S40)</f>
        <v>682.4</v>
      </c>
      <c r="T41" s="390">
        <f t="shared" si="0"/>
        <v>682.80799999999999</v>
      </c>
      <c r="U41" s="390">
        <f t="shared" si="0"/>
        <v>352</v>
      </c>
      <c r="V41" s="390">
        <f t="shared" si="0"/>
        <v>40.843000000000067</v>
      </c>
      <c r="W41" s="390">
        <f t="shared" si="0"/>
        <v>64.633000000000052</v>
      </c>
      <c r="X41" s="390">
        <f t="shared" si="0"/>
        <v>8</v>
      </c>
      <c r="Y41" s="390">
        <f t="shared" si="0"/>
        <v>-56.91338708119941</v>
      </c>
      <c r="Z41" s="390">
        <f t="shared" si="0"/>
        <v>4.6802068980748661</v>
      </c>
      <c r="AA41" s="390">
        <f t="shared" si="0"/>
        <v>129.91699999999986</v>
      </c>
      <c r="AB41" s="390">
        <f t="shared" si="0"/>
        <v>422.16600000000005</v>
      </c>
      <c r="AC41" s="390">
        <f t="shared" ref="AC41:AF41" si="1">SUM(AC8:AC40)</f>
        <v>379.63200000000001</v>
      </c>
      <c r="AD41" s="390">
        <f t="shared" si="1"/>
        <v>93.460704079999971</v>
      </c>
      <c r="AE41" s="390">
        <f t="shared" si="1"/>
        <v>493</v>
      </c>
      <c r="AF41" s="390">
        <f t="shared" si="1"/>
        <v>198</v>
      </c>
      <c r="AG41" s="390">
        <f t="shared" ref="AG41:AH41" si="2">SUM(AG10:AG40)</f>
        <v>250</v>
      </c>
      <c r="AH41" s="390">
        <f t="shared" si="2"/>
        <v>184</v>
      </c>
      <c r="AI41" s="256"/>
      <c r="AJ41" s="257"/>
      <c r="AK41" s="257"/>
    </row>
    <row r="42" spans="2:37">
      <c r="B42" s="363"/>
      <c r="C42" s="360"/>
      <c r="D42" s="360"/>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256"/>
      <c r="AJ42" s="257"/>
      <c r="AK42" s="257"/>
    </row>
    <row r="43" spans="2:37">
      <c r="B43" s="243" t="s">
        <v>275</v>
      </c>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256"/>
      <c r="AJ43" s="257"/>
      <c r="AK43" s="257"/>
    </row>
    <row r="44" spans="2:37">
      <c r="B44" s="189" t="s">
        <v>156</v>
      </c>
      <c r="C44" s="360">
        <v>0</v>
      </c>
      <c r="D44" s="360">
        <v>0</v>
      </c>
      <c r="E44" s="360">
        <v>0</v>
      </c>
      <c r="F44" s="360">
        <v>0</v>
      </c>
      <c r="G44" s="360">
        <v>0</v>
      </c>
      <c r="H44" s="360">
        <v>0</v>
      </c>
      <c r="I44" s="360">
        <v>0</v>
      </c>
      <c r="J44" s="360">
        <v>140.953</v>
      </c>
      <c r="K44" s="360">
        <v>6.077</v>
      </c>
      <c r="L44" s="360">
        <v>-6.077</v>
      </c>
      <c r="M44" s="360">
        <v>119.776</v>
      </c>
      <c r="N44" s="360">
        <v>-283.84100000000001</v>
      </c>
      <c r="O44" s="360">
        <v>-134.053</v>
      </c>
      <c r="P44" s="360">
        <v>-185.95599999999999</v>
      </c>
      <c r="Q44" s="360">
        <v>448.82</v>
      </c>
      <c r="R44" s="360">
        <v>-925.38400000000001</v>
      </c>
      <c r="S44" s="360">
        <v>-173.91300000000001</v>
      </c>
      <c r="T44" s="360">
        <v>-49.033999999999999</v>
      </c>
      <c r="U44" s="360">
        <v>0</v>
      </c>
      <c r="V44" s="360">
        <v>1.0000000000047748E-3</v>
      </c>
      <c r="W44" s="360">
        <v>0</v>
      </c>
      <c r="X44" s="360">
        <v>0</v>
      </c>
      <c r="Y44" s="360">
        <v>198</v>
      </c>
      <c r="Z44" s="360">
        <v>-105.15900000000001</v>
      </c>
      <c r="AA44" s="360">
        <v>0</v>
      </c>
      <c r="AB44" s="360">
        <v>0</v>
      </c>
      <c r="AC44" s="360">
        <v>0</v>
      </c>
      <c r="AD44" s="360">
        <v>0</v>
      </c>
      <c r="AE44" s="360">
        <v>0</v>
      </c>
      <c r="AF44" s="360">
        <v>0</v>
      </c>
      <c r="AG44" s="360">
        <v>0</v>
      </c>
      <c r="AH44" s="360">
        <v>0</v>
      </c>
      <c r="AI44" s="256"/>
      <c r="AJ44" s="257"/>
      <c r="AK44" s="257"/>
    </row>
    <row r="45" spans="2:37">
      <c r="B45" s="189" t="s">
        <v>276</v>
      </c>
      <c r="C45" s="360">
        <v>-23.800999999999998</v>
      </c>
      <c r="D45" s="360">
        <v>-39.759</v>
      </c>
      <c r="E45" s="360">
        <v>-78.361999999999995</v>
      </c>
      <c r="F45" s="360">
        <v>41.151000000000003</v>
      </c>
      <c r="G45" s="360">
        <v>-92.316000000000003</v>
      </c>
      <c r="H45" s="360">
        <v>-21.888000000000002</v>
      </c>
      <c r="I45" s="360">
        <v>98.221000000000004</v>
      </c>
      <c r="J45" s="360">
        <v>98.701999999999998</v>
      </c>
      <c r="K45" s="360">
        <v>-111.511</v>
      </c>
      <c r="L45" s="360">
        <v>37.229999999999997</v>
      </c>
      <c r="M45" s="360">
        <v>-94.141999999999996</v>
      </c>
      <c r="N45" s="360">
        <v>140.125</v>
      </c>
      <c r="O45" s="360">
        <v>-167.536</v>
      </c>
      <c r="P45" s="360">
        <v>-22.317</v>
      </c>
      <c r="Q45" s="360">
        <v>-93.941000000000003</v>
      </c>
      <c r="R45" s="360">
        <v>64.203999999999994</v>
      </c>
      <c r="S45" s="360">
        <v>56.966000000000001</v>
      </c>
      <c r="T45" s="360">
        <v>108.72799999999999</v>
      </c>
      <c r="U45" s="360">
        <v>23</v>
      </c>
      <c r="V45" s="360">
        <v>-76.793999999999983</v>
      </c>
      <c r="W45" s="360">
        <v>-49.466000000000001</v>
      </c>
      <c r="X45" s="360">
        <v>27</v>
      </c>
      <c r="Y45" s="360">
        <f>-6-SUM(W45:X45)</f>
        <v>16.466000000000001</v>
      </c>
      <c r="Z45" s="360">
        <v>123.229</v>
      </c>
      <c r="AA45" s="360">
        <v>-25.515000000000001</v>
      </c>
      <c r="AB45" s="360">
        <f>-26402/10^3-AA45</f>
        <v>-0.88700000000000045</v>
      </c>
      <c r="AC45" s="360">
        <v>-55</v>
      </c>
      <c r="AD45" s="360">
        <v>-18.349000000000004</v>
      </c>
      <c r="AE45" s="360">
        <v>-146</v>
      </c>
      <c r="AF45" s="360">
        <v>-19</v>
      </c>
      <c r="AG45" s="360">
        <v>44</v>
      </c>
      <c r="AH45" s="360">
        <v>80</v>
      </c>
      <c r="AI45" s="256"/>
      <c r="AJ45" s="257"/>
      <c r="AK45" s="257"/>
    </row>
    <row r="46" spans="2:37">
      <c r="B46" s="189" t="s">
        <v>158</v>
      </c>
      <c r="C46" s="360">
        <v>-8.2530000000000001</v>
      </c>
      <c r="D46" s="360">
        <v>-104.685</v>
      </c>
      <c r="E46" s="360">
        <v>-157.45699999999999</v>
      </c>
      <c r="F46" s="360">
        <v>103.676</v>
      </c>
      <c r="G46" s="360">
        <v>39.283999999999999</v>
      </c>
      <c r="H46" s="360">
        <v>-108.261</v>
      </c>
      <c r="I46" s="360">
        <v>-32.728999999999999</v>
      </c>
      <c r="J46" s="360">
        <v>6.226</v>
      </c>
      <c r="K46" s="360">
        <v>-35.125999999999998</v>
      </c>
      <c r="L46" s="360">
        <v>-62.41</v>
      </c>
      <c r="M46" s="360">
        <v>125.181</v>
      </c>
      <c r="N46" s="360">
        <v>-28.367999999999999</v>
      </c>
      <c r="O46" s="360">
        <v>-170.399</v>
      </c>
      <c r="P46" s="360">
        <v>-334.791</v>
      </c>
      <c r="Q46" s="360">
        <v>-61.015999999999998</v>
      </c>
      <c r="R46" s="360">
        <v>42.247</v>
      </c>
      <c r="S46" s="360">
        <v>-24.056999999999999</v>
      </c>
      <c r="T46" s="360">
        <v>-151.92400000000001</v>
      </c>
      <c r="U46" s="360">
        <v>-61</v>
      </c>
      <c r="V46" s="360">
        <v>-11.093000000000018</v>
      </c>
      <c r="W46" s="360">
        <v>-200.255</v>
      </c>
      <c r="X46" s="360">
        <v>-243</v>
      </c>
      <c r="Y46" s="360">
        <f>-270-SUM(W46:X46)</f>
        <v>173.255</v>
      </c>
      <c r="Z46" s="360">
        <v>221.40799999999999</v>
      </c>
      <c r="AA46" s="360">
        <f>21170/1000</f>
        <v>21.17</v>
      </c>
      <c r="AB46" s="360">
        <f>71387/10^3-AA46</f>
        <v>50.216999999999999</v>
      </c>
      <c r="AC46" s="360">
        <v>-72</v>
      </c>
      <c r="AD46" s="360">
        <v>-237.91200000000001</v>
      </c>
      <c r="AE46" s="360">
        <v>-144</v>
      </c>
      <c r="AF46" s="360">
        <v>-50</v>
      </c>
      <c r="AG46" s="360">
        <v>119</v>
      </c>
      <c r="AH46" s="360">
        <v>190</v>
      </c>
      <c r="AI46" s="256"/>
      <c r="AJ46" s="257"/>
      <c r="AK46" s="257"/>
    </row>
    <row r="47" spans="2:37">
      <c r="B47" s="189" t="s">
        <v>277</v>
      </c>
      <c r="C47" s="360">
        <v>51.154000000000003</v>
      </c>
      <c r="D47" s="360">
        <v>14.711</v>
      </c>
      <c r="E47" s="360">
        <v>-38.353999999999999</v>
      </c>
      <c r="F47" s="360">
        <v>-40.587000000000003</v>
      </c>
      <c r="G47" s="360">
        <v>11.301</v>
      </c>
      <c r="H47" s="360">
        <v>-156.65600000000001</v>
      </c>
      <c r="I47" s="360">
        <v>219.45</v>
      </c>
      <c r="J47" s="360">
        <v>-162.62200000000001</v>
      </c>
      <c r="K47" s="360">
        <v>3.6520000000000001</v>
      </c>
      <c r="L47" s="360">
        <v>-151.399</v>
      </c>
      <c r="M47" s="360">
        <v>256.82600000000002</v>
      </c>
      <c r="N47" s="360">
        <v>155.65600000000001</v>
      </c>
      <c r="O47" s="360">
        <v>44.564999999999998</v>
      </c>
      <c r="P47" s="360">
        <v>26.77</v>
      </c>
      <c r="Q47" s="360">
        <v>30.51</v>
      </c>
      <c r="R47" s="360">
        <v>375.86799999999999</v>
      </c>
      <c r="S47" s="360">
        <v>56.970999999999997</v>
      </c>
      <c r="T47" s="360">
        <v>-31.657</v>
      </c>
      <c r="U47" s="360">
        <v>-27</v>
      </c>
      <c r="V47" s="360">
        <v>109.131</v>
      </c>
      <c r="W47" s="360">
        <v>-34.715000000000003</v>
      </c>
      <c r="X47" s="360">
        <v>22</v>
      </c>
      <c r="Y47" s="360">
        <f>22-SUM(W47:X47)</f>
        <v>34.715000000000003</v>
      </c>
      <c r="Z47" s="360">
        <v>83.091999999999999</v>
      </c>
      <c r="AA47" s="360">
        <f>10955/1000</f>
        <v>10.955</v>
      </c>
      <c r="AB47" s="360">
        <f>25416/10^3-AA47</f>
        <v>14.461</v>
      </c>
      <c r="AC47" s="360">
        <v>73</v>
      </c>
      <c r="AD47" s="360">
        <v>60.768000000000001</v>
      </c>
      <c r="AE47" s="360">
        <v>-15</v>
      </c>
      <c r="AF47" s="360">
        <v>21</v>
      </c>
      <c r="AG47" s="360">
        <v>71</v>
      </c>
      <c r="AH47" s="360">
        <v>20</v>
      </c>
      <c r="AI47" s="256"/>
      <c r="AJ47" s="257"/>
      <c r="AK47" s="257"/>
    </row>
    <row r="48" spans="2:37" s="70" customFormat="1">
      <c r="B48" s="189" t="s">
        <v>166</v>
      </c>
      <c r="C48" s="360">
        <v>0</v>
      </c>
      <c r="D48" s="360">
        <v>0</v>
      </c>
      <c r="E48" s="360">
        <v>0</v>
      </c>
      <c r="F48" s="360">
        <v>0</v>
      </c>
      <c r="G48" s="360">
        <v>0</v>
      </c>
      <c r="H48" s="360">
        <v>0</v>
      </c>
      <c r="I48" s="360">
        <v>0</v>
      </c>
      <c r="J48" s="360">
        <v>0</v>
      </c>
      <c r="K48" s="360">
        <v>-0.08</v>
      </c>
      <c r="L48" s="360">
        <v>0.08</v>
      </c>
      <c r="M48" s="360">
        <v>0</v>
      </c>
      <c r="N48" s="360">
        <v>0</v>
      </c>
      <c r="O48" s="360">
        <v>0.35</v>
      </c>
      <c r="P48" s="360">
        <v>4.9829999999999997</v>
      </c>
      <c r="Q48" s="360">
        <v>-5.3330000000000002</v>
      </c>
      <c r="R48" s="360">
        <v>0</v>
      </c>
      <c r="S48" s="360">
        <v>0</v>
      </c>
      <c r="T48" s="360">
        <v>0</v>
      </c>
      <c r="U48" s="360">
        <v>0</v>
      </c>
      <c r="V48" s="360">
        <v>0</v>
      </c>
      <c r="W48" s="360">
        <v>0</v>
      </c>
      <c r="X48" s="360">
        <v>0</v>
      </c>
      <c r="Y48" s="360">
        <v>0</v>
      </c>
      <c r="Z48" s="360">
        <v>0</v>
      </c>
      <c r="AA48" s="360">
        <v>0</v>
      </c>
      <c r="AB48" s="360">
        <v>0</v>
      </c>
      <c r="AC48" s="360">
        <v>0</v>
      </c>
      <c r="AD48" s="360">
        <v>0</v>
      </c>
      <c r="AE48" s="360">
        <v>0</v>
      </c>
      <c r="AF48" s="360">
        <v>0</v>
      </c>
      <c r="AG48" s="360">
        <v>-4</v>
      </c>
      <c r="AH48" s="360">
        <v>0</v>
      </c>
      <c r="AI48" s="257"/>
      <c r="AJ48" s="257"/>
      <c r="AK48" s="257"/>
    </row>
    <row r="49" spans="2:37">
      <c r="B49" s="189" t="s">
        <v>167</v>
      </c>
      <c r="C49" s="360">
        <v>0</v>
      </c>
      <c r="D49" s="360">
        <v>0</v>
      </c>
      <c r="E49" s="360">
        <v>0</v>
      </c>
      <c r="F49" s="360">
        <v>-9.0950000000000006</v>
      </c>
      <c r="G49" s="360">
        <v>0</v>
      </c>
      <c r="H49" s="360">
        <v>0</v>
      </c>
      <c r="I49" s="360">
        <v>0</v>
      </c>
      <c r="J49" s="360">
        <v>12.848000000000001</v>
      </c>
      <c r="K49" s="360">
        <v>3.4359999999999999</v>
      </c>
      <c r="L49" s="360">
        <v>96.305999999999997</v>
      </c>
      <c r="M49" s="360">
        <v>-0.09</v>
      </c>
      <c r="N49" s="360">
        <v>0.46600000000000003</v>
      </c>
      <c r="O49" s="360">
        <v>-2.1999999999999999E-2</v>
      </c>
      <c r="P49" s="360">
        <v>-0.73799999999999999</v>
      </c>
      <c r="Q49" s="360">
        <v>-2.3679999999999999</v>
      </c>
      <c r="R49" s="360">
        <v>-2.1040000000000001</v>
      </c>
      <c r="S49" s="360">
        <v>-3.6890000000000001</v>
      </c>
      <c r="T49" s="360">
        <v>-5.6289999999999996</v>
      </c>
      <c r="U49" s="360">
        <v>-13</v>
      </c>
      <c r="V49" s="360">
        <v>3.8889999999999993</v>
      </c>
      <c r="W49" s="360">
        <v>-1.8160000000000001</v>
      </c>
      <c r="X49" s="360">
        <v>-3</v>
      </c>
      <c r="Y49" s="360">
        <f>19-SUM(W49:X49)</f>
        <v>23.815999999999999</v>
      </c>
      <c r="Z49" s="360">
        <v>9.25</v>
      </c>
      <c r="AA49" s="360">
        <v>-2.6549999999999998</v>
      </c>
      <c r="AB49" s="360">
        <f>-438/10^3-AA49</f>
        <v>2.2169999999999996</v>
      </c>
      <c r="AC49" s="360">
        <v>-1</v>
      </c>
      <c r="AD49" s="360">
        <v>-1.1519999999999997</v>
      </c>
      <c r="AE49" s="360">
        <v>17</v>
      </c>
      <c r="AF49" s="360">
        <v>1</v>
      </c>
      <c r="AG49" s="360">
        <v>4</v>
      </c>
      <c r="AH49" s="360">
        <v>-1</v>
      </c>
      <c r="AI49" s="256"/>
      <c r="AJ49" s="257"/>
      <c r="AK49" s="257"/>
    </row>
    <row r="50" spans="2:37">
      <c r="B50" s="189" t="s">
        <v>496</v>
      </c>
      <c r="C50" s="360"/>
      <c r="D50" s="360"/>
      <c r="E50" s="360"/>
      <c r="F50" s="360"/>
      <c r="G50" s="360"/>
      <c r="H50" s="360"/>
      <c r="I50" s="360"/>
      <c r="J50" s="360"/>
      <c r="K50" s="360"/>
      <c r="L50" s="360"/>
      <c r="M50" s="360"/>
      <c r="N50" s="360"/>
      <c r="O50" s="360"/>
      <c r="P50" s="360"/>
      <c r="Q50" s="360"/>
      <c r="R50" s="360"/>
      <c r="S50" s="360"/>
      <c r="T50" s="360"/>
      <c r="U50" s="360"/>
      <c r="V50" s="360"/>
      <c r="W50" s="360">
        <v>0</v>
      </c>
      <c r="X50" s="360">
        <v>0</v>
      </c>
      <c r="Y50" s="360">
        <v>0</v>
      </c>
      <c r="Z50" s="360">
        <v>0</v>
      </c>
      <c r="AA50" s="360">
        <v>0</v>
      </c>
      <c r="AB50" s="360">
        <f>-136096/10^3</f>
        <v>-136.096</v>
      </c>
      <c r="AC50" s="360">
        <v>0</v>
      </c>
      <c r="AD50" s="360">
        <v>136.096</v>
      </c>
      <c r="AE50" s="360">
        <v>0</v>
      </c>
      <c r="AF50" s="360">
        <v>0</v>
      </c>
      <c r="AG50" s="360">
        <v>0</v>
      </c>
      <c r="AH50" s="360">
        <v>0</v>
      </c>
      <c r="AI50" s="256"/>
      <c r="AJ50" s="257"/>
      <c r="AK50" s="257"/>
    </row>
    <row r="51" spans="2:37">
      <c r="B51" s="363" t="s">
        <v>363</v>
      </c>
      <c r="C51" s="360"/>
      <c r="D51" s="360"/>
      <c r="E51" s="360"/>
      <c r="F51" s="360"/>
      <c r="G51" s="360"/>
      <c r="H51" s="360"/>
      <c r="I51" s="360"/>
      <c r="J51" s="360"/>
      <c r="K51" s="360"/>
      <c r="L51" s="360"/>
      <c r="M51" s="360"/>
      <c r="N51" s="360"/>
      <c r="O51" s="360"/>
      <c r="P51" s="360"/>
      <c r="Q51" s="360"/>
      <c r="R51" s="360"/>
      <c r="S51" s="360"/>
      <c r="T51" s="360"/>
      <c r="U51" s="360"/>
      <c r="V51" s="360"/>
      <c r="W51" s="360">
        <v>0</v>
      </c>
      <c r="X51" s="360">
        <v>0</v>
      </c>
      <c r="Y51" s="360">
        <v>0</v>
      </c>
      <c r="Z51" s="360">
        <v>0</v>
      </c>
      <c r="AA51" s="360">
        <v>0</v>
      </c>
      <c r="AB51" s="360">
        <v>0</v>
      </c>
      <c r="AC51" s="360">
        <v>0</v>
      </c>
      <c r="AD51" s="360">
        <v>0</v>
      </c>
      <c r="AE51" s="360">
        <v>0</v>
      </c>
      <c r="AF51" s="360">
        <v>0</v>
      </c>
      <c r="AG51" s="360">
        <v>0</v>
      </c>
      <c r="AH51" s="360">
        <v>0</v>
      </c>
      <c r="AI51" s="256"/>
      <c r="AJ51" s="257"/>
      <c r="AK51" s="257"/>
    </row>
    <row r="52" spans="2:37">
      <c r="B52" s="189" t="s">
        <v>278</v>
      </c>
      <c r="C52" s="360">
        <v>-2.7570000000000001</v>
      </c>
      <c r="D52" s="360">
        <v>-2.9079999999999999</v>
      </c>
      <c r="E52" s="360">
        <v>-23.43</v>
      </c>
      <c r="F52" s="360">
        <v>13.012</v>
      </c>
      <c r="G52" s="360">
        <v>7.3380000000000001</v>
      </c>
      <c r="H52" s="360">
        <v>78.641999999999996</v>
      </c>
      <c r="I52" s="360">
        <v>3.17</v>
      </c>
      <c r="J52" s="360">
        <v>-96.028999999999996</v>
      </c>
      <c r="K52" s="360">
        <v>0.91100000000000003</v>
      </c>
      <c r="L52" s="360">
        <v>-14.91</v>
      </c>
      <c r="M52" s="360">
        <v>-8.4109999999999996</v>
      </c>
      <c r="N52" s="360">
        <v>-14.769</v>
      </c>
      <c r="O52" s="360">
        <v>31.379000000000001</v>
      </c>
      <c r="P52" s="360">
        <v>-11.959</v>
      </c>
      <c r="Q52" s="360">
        <v>35.774000000000001</v>
      </c>
      <c r="R52" s="360">
        <v>-71.384</v>
      </c>
      <c r="S52" s="360">
        <v>8.39</v>
      </c>
      <c r="T52" s="360">
        <v>-36.694000000000003</v>
      </c>
      <c r="U52" s="360">
        <v>-20</v>
      </c>
      <c r="V52" s="360">
        <v>-61.981999999999999</v>
      </c>
      <c r="W52" s="360">
        <v>2</v>
      </c>
      <c r="X52" s="360">
        <v>26</v>
      </c>
      <c r="Y52" s="360">
        <f>65-SUM(W52:X52)</f>
        <v>37</v>
      </c>
      <c r="Z52" s="360">
        <v>122.455</v>
      </c>
      <c r="AA52" s="360">
        <v>-28.186</v>
      </c>
      <c r="AB52" s="360">
        <f>89066/10^3-AA52</f>
        <v>117.25200000000001</v>
      </c>
      <c r="AC52" s="360">
        <v>-37</v>
      </c>
      <c r="AD52" s="360">
        <v>126.387</v>
      </c>
      <c r="AE52" s="360">
        <v>27</v>
      </c>
      <c r="AF52" s="360">
        <v>29</v>
      </c>
      <c r="AG52" s="360">
        <v>-45</v>
      </c>
      <c r="AH52" s="360">
        <v>11</v>
      </c>
      <c r="AI52" s="256"/>
      <c r="AJ52" s="257"/>
      <c r="AK52" s="257"/>
    </row>
    <row r="53" spans="2:37">
      <c r="B53" s="243" t="s">
        <v>279</v>
      </c>
      <c r="C53" s="359"/>
      <c r="D53" s="359"/>
      <c r="E53" s="359"/>
      <c r="F53" s="359"/>
      <c r="G53" s="359"/>
      <c r="H53" s="359"/>
      <c r="I53" s="359"/>
      <c r="J53" s="359"/>
      <c r="K53" s="359"/>
      <c r="L53" s="359"/>
      <c r="M53" s="359"/>
      <c r="N53" s="359"/>
      <c r="O53" s="359"/>
      <c r="P53" s="359"/>
      <c r="Q53" s="359"/>
      <c r="R53" s="359"/>
      <c r="S53" s="359"/>
      <c r="T53" s="359"/>
      <c r="U53" s="359"/>
      <c r="V53" s="359"/>
      <c r="W53" s="359">
        <v>0</v>
      </c>
      <c r="X53" s="359">
        <v>0</v>
      </c>
      <c r="Y53" s="359">
        <v>0</v>
      </c>
      <c r="Z53" s="359">
        <v>0</v>
      </c>
      <c r="AA53" s="359">
        <v>0</v>
      </c>
      <c r="AB53" s="360">
        <v>0</v>
      </c>
      <c r="AC53" s="360">
        <v>0</v>
      </c>
      <c r="AD53" s="550">
        <v>0</v>
      </c>
      <c r="AE53" s="359">
        <v>0</v>
      </c>
      <c r="AF53" s="359">
        <v>0</v>
      </c>
      <c r="AG53" s="359"/>
      <c r="AH53" s="359"/>
      <c r="AI53" s="256"/>
      <c r="AJ53" s="257"/>
      <c r="AK53" s="257"/>
    </row>
    <row r="54" spans="2:37">
      <c r="B54" s="189" t="s">
        <v>280</v>
      </c>
      <c r="C54" s="360">
        <v>32.177999999999997</v>
      </c>
      <c r="D54" s="360">
        <v>109.203</v>
      </c>
      <c r="E54" s="360">
        <v>-30.186</v>
      </c>
      <c r="F54" s="360">
        <v>-143.042</v>
      </c>
      <c r="G54" s="360">
        <v>6.069</v>
      </c>
      <c r="H54" s="360">
        <v>26.59</v>
      </c>
      <c r="I54" s="360">
        <v>0.79300000000000004</v>
      </c>
      <c r="J54" s="360">
        <v>-17.053000000000001</v>
      </c>
      <c r="K54" s="360">
        <v>42.962000000000003</v>
      </c>
      <c r="L54" s="360">
        <v>-75.876000000000005</v>
      </c>
      <c r="M54" s="360">
        <v>17.227</v>
      </c>
      <c r="N54" s="360">
        <v>-34.167000000000002</v>
      </c>
      <c r="O54" s="360">
        <v>85.34</v>
      </c>
      <c r="P54" s="360">
        <v>12.153</v>
      </c>
      <c r="Q54" s="360">
        <v>116.52800000000001</v>
      </c>
      <c r="R54" s="360">
        <v>15.488</v>
      </c>
      <c r="S54" s="360">
        <v>-34.817</v>
      </c>
      <c r="T54" s="360">
        <v>94.113</v>
      </c>
      <c r="U54" s="360">
        <v>182</v>
      </c>
      <c r="V54" s="360">
        <v>85.187999999999988</v>
      </c>
      <c r="W54" s="360">
        <v>4.5940000000000003</v>
      </c>
      <c r="X54" s="360">
        <v>-22</v>
      </c>
      <c r="Y54" s="360">
        <f>-125-SUM(W54:X54)</f>
        <v>-107.59399999999999</v>
      </c>
      <c r="Z54" s="360">
        <v>73.591999999999999</v>
      </c>
      <c r="AA54" s="360">
        <v>21.74</v>
      </c>
      <c r="AB54" s="360">
        <f>-269770/10^3-AA54</f>
        <v>-291.51</v>
      </c>
      <c r="AC54" s="360">
        <v>57</v>
      </c>
      <c r="AD54" s="360">
        <v>299.202</v>
      </c>
      <c r="AE54" s="360">
        <v>124</v>
      </c>
      <c r="AF54" s="360">
        <v>-170</v>
      </c>
      <c r="AG54" s="360">
        <v>-93</v>
      </c>
      <c r="AH54" s="360">
        <v>-32</v>
      </c>
      <c r="AI54" s="256"/>
      <c r="AJ54" s="257"/>
      <c r="AK54" s="257"/>
    </row>
    <row r="55" spans="2:37">
      <c r="B55" s="189" t="s">
        <v>281</v>
      </c>
      <c r="C55" s="360">
        <v>5.9390000000000001</v>
      </c>
      <c r="D55" s="360">
        <v>-16.309999999999999</v>
      </c>
      <c r="E55" s="360">
        <v>130.55600000000001</v>
      </c>
      <c r="F55" s="360">
        <v>98.027000000000001</v>
      </c>
      <c r="G55" s="360">
        <v>3.91</v>
      </c>
      <c r="H55" s="360">
        <v>126.54600000000001</v>
      </c>
      <c r="I55" s="360">
        <v>-26.773</v>
      </c>
      <c r="J55" s="360">
        <v>-25.198</v>
      </c>
      <c r="K55" s="360">
        <v>81.668000000000006</v>
      </c>
      <c r="L55" s="360">
        <v>-69.385999999999996</v>
      </c>
      <c r="M55" s="360">
        <v>65.322999999999993</v>
      </c>
      <c r="N55" s="360">
        <v>181.846</v>
      </c>
      <c r="O55" s="360">
        <v>-4.702</v>
      </c>
      <c r="P55" s="360">
        <v>23.922000000000001</v>
      </c>
      <c r="Q55" s="360">
        <v>-227.05799999999999</v>
      </c>
      <c r="R55" s="360">
        <v>171.274</v>
      </c>
      <c r="S55" s="360">
        <v>-285.13799999999998</v>
      </c>
      <c r="T55" s="360">
        <v>-163.80199999999999</v>
      </c>
      <c r="U55" s="360">
        <v>11</v>
      </c>
      <c r="V55" s="360">
        <v>90.41399999999993</v>
      </c>
      <c r="W55" s="360">
        <v>65.165000000000006</v>
      </c>
      <c r="X55" s="360">
        <v>-9</v>
      </c>
      <c r="Y55" s="360">
        <f>-92-SUM(W55:X55)</f>
        <v>-148.16500000000002</v>
      </c>
      <c r="Z55" s="360">
        <v>130.47</v>
      </c>
      <c r="AA55" s="360">
        <f>-114659/1000</f>
        <v>-114.65900000000001</v>
      </c>
      <c r="AB55" s="360">
        <f>-98384/10^3-AA55+0.3</f>
        <v>16.575000000000006</v>
      </c>
      <c r="AC55" s="360">
        <v>-53</v>
      </c>
      <c r="AD55" s="360">
        <v>80.739000000000004</v>
      </c>
      <c r="AE55" s="360">
        <v>-47</v>
      </c>
      <c r="AF55" s="360">
        <v>25</v>
      </c>
      <c r="AG55" s="360">
        <v>-12</v>
      </c>
      <c r="AH55" s="360">
        <v>73</v>
      </c>
      <c r="AI55" s="256"/>
      <c r="AJ55" s="257"/>
      <c r="AK55" s="257"/>
    </row>
    <row r="56" spans="2:37">
      <c r="B56" s="189" t="s">
        <v>282</v>
      </c>
      <c r="C56" s="360">
        <v>-55.063000000000002</v>
      </c>
      <c r="D56" s="360">
        <v>17.59</v>
      </c>
      <c r="E56" s="360">
        <v>26.643000000000001</v>
      </c>
      <c r="F56" s="360">
        <v>-7.984</v>
      </c>
      <c r="G56" s="360">
        <v>-36.630000000000003</v>
      </c>
      <c r="H56" s="360">
        <v>20.597000000000001</v>
      </c>
      <c r="I56" s="360">
        <v>21.901</v>
      </c>
      <c r="J56" s="360">
        <v>-1.538</v>
      </c>
      <c r="K56" s="360">
        <v>-33.082000000000001</v>
      </c>
      <c r="L56" s="360">
        <v>47.378</v>
      </c>
      <c r="M56" s="360">
        <v>13.923</v>
      </c>
      <c r="N56" s="360">
        <v>20.074000000000002</v>
      </c>
      <c r="O56" s="360">
        <v>-64.816999999999993</v>
      </c>
      <c r="P56" s="360">
        <v>19.824000000000002</v>
      </c>
      <c r="Q56" s="360">
        <v>30.638999999999999</v>
      </c>
      <c r="R56" s="360">
        <v>0.83599999999999997</v>
      </c>
      <c r="S56" s="360">
        <v>-42.405000000000001</v>
      </c>
      <c r="T56" s="360">
        <v>22.704999999999998</v>
      </c>
      <c r="U56" s="360">
        <v>34</v>
      </c>
      <c r="V56" s="360">
        <v>-5.7639999999999976</v>
      </c>
      <c r="W56" s="360">
        <v>-45.921999999999997</v>
      </c>
      <c r="X56" s="360">
        <v>31</v>
      </c>
      <c r="Y56" s="360">
        <f>19-SUM(W56:X56)</f>
        <v>33.921999999999997</v>
      </c>
      <c r="Z56" s="360">
        <v>8.51</v>
      </c>
      <c r="AA56" s="360">
        <f>-73073/1000</f>
        <v>-73.072999999999993</v>
      </c>
      <c r="AB56" s="360">
        <f>-32780/10^3-AA56</f>
        <v>40.292999999999992</v>
      </c>
      <c r="AC56" s="360">
        <v>34</v>
      </c>
      <c r="AD56" s="360">
        <v>20.981000000000002</v>
      </c>
      <c r="AE56" s="360">
        <v>-79</v>
      </c>
      <c r="AF56" s="360">
        <v>32</v>
      </c>
      <c r="AG56" s="360">
        <v>38</v>
      </c>
      <c r="AH56" s="360">
        <v>-5</v>
      </c>
      <c r="AI56" s="256"/>
      <c r="AJ56" s="257"/>
      <c r="AK56" s="257"/>
    </row>
    <row r="57" spans="2:37">
      <c r="B57" s="189" t="s">
        <v>180</v>
      </c>
      <c r="C57" s="360">
        <v>0</v>
      </c>
      <c r="D57" s="360">
        <v>0</v>
      </c>
      <c r="E57" s="360">
        <v>14.896000000000001</v>
      </c>
      <c r="F57" s="360">
        <v>-14.896000000000001</v>
      </c>
      <c r="G57" s="360">
        <v>0</v>
      </c>
      <c r="H57" s="360">
        <v>0</v>
      </c>
      <c r="I57" s="360">
        <v>9.0359999999999996</v>
      </c>
      <c r="J57" s="360">
        <v>-9.0359999999999996</v>
      </c>
      <c r="K57" s="360">
        <v>0</v>
      </c>
      <c r="L57" s="360">
        <v>0</v>
      </c>
      <c r="M57" s="360">
        <v>0</v>
      </c>
      <c r="N57" s="360">
        <v>0</v>
      </c>
      <c r="O57" s="360">
        <v>0</v>
      </c>
      <c r="P57" s="360">
        <v>0</v>
      </c>
      <c r="Q57" s="360">
        <v>0</v>
      </c>
      <c r="R57" s="360">
        <v>0</v>
      </c>
      <c r="S57" s="360">
        <v>0</v>
      </c>
      <c r="T57" s="360">
        <v>0</v>
      </c>
      <c r="U57" s="360">
        <v>0</v>
      </c>
      <c r="V57" s="360">
        <v>0</v>
      </c>
      <c r="W57" s="360">
        <v>0</v>
      </c>
      <c r="X57" s="360">
        <v>0</v>
      </c>
      <c r="Y57" s="360">
        <v>0</v>
      </c>
      <c r="Z57" s="360">
        <v>0</v>
      </c>
      <c r="AA57" s="360">
        <f>82481/1000</f>
        <v>82.480999999999995</v>
      </c>
      <c r="AB57" s="360">
        <f>71227/10^3-AA57</f>
        <v>-11.253999999999991</v>
      </c>
      <c r="AC57" s="360">
        <v>21</v>
      </c>
      <c r="AD57" s="360">
        <v>-87.665999999999997</v>
      </c>
      <c r="AE57" s="360">
        <v>2</v>
      </c>
      <c r="AF57" s="360">
        <v>13</v>
      </c>
      <c r="AG57" s="360">
        <v>16</v>
      </c>
      <c r="AH57" s="360">
        <v>9</v>
      </c>
      <c r="AI57" s="256"/>
      <c r="AJ57" s="257"/>
      <c r="AK57" s="257"/>
    </row>
    <row r="58" spans="2:37">
      <c r="B58" s="189" t="s">
        <v>283</v>
      </c>
      <c r="C58" s="360">
        <v>-7.8390000000000004</v>
      </c>
      <c r="D58" s="360">
        <v>16.626999999999999</v>
      </c>
      <c r="E58" s="360">
        <v>11.127000000000001</v>
      </c>
      <c r="F58" s="360">
        <v>-21.884</v>
      </c>
      <c r="G58" s="360">
        <v>-18.588999999999999</v>
      </c>
      <c r="H58" s="360">
        <v>22.277000000000001</v>
      </c>
      <c r="I58" s="360">
        <v>0.32300000000000001</v>
      </c>
      <c r="J58" s="360">
        <v>-2.8530000000000002</v>
      </c>
      <c r="K58" s="360">
        <v>0.14599999999999999</v>
      </c>
      <c r="L58" s="360">
        <v>2.8220000000000001</v>
      </c>
      <c r="M58" s="360">
        <v>11.013999999999999</v>
      </c>
      <c r="N58" s="360">
        <v>3.681</v>
      </c>
      <c r="O58" s="360">
        <v>-4.5860000000000003</v>
      </c>
      <c r="P58" s="360">
        <v>-17.785</v>
      </c>
      <c r="Q58" s="360">
        <v>114.94199999999999</v>
      </c>
      <c r="R58" s="360">
        <v>-156.90600000000001</v>
      </c>
      <c r="S58" s="360">
        <v>-44.92</v>
      </c>
      <c r="T58" s="360">
        <v>-23.125</v>
      </c>
      <c r="U58" s="360">
        <v>-4</v>
      </c>
      <c r="V58" s="360">
        <v>-144.01999999999998</v>
      </c>
      <c r="W58" s="360">
        <v>-14.57</v>
      </c>
      <c r="X58" s="360">
        <v>-5</v>
      </c>
      <c r="Y58" s="360">
        <f>-11-SUM(W58:X58)</f>
        <v>8.57</v>
      </c>
      <c r="Z58" s="360">
        <v>-2.5590000000000002</v>
      </c>
      <c r="AA58" s="360">
        <f>980/1000</f>
        <v>0.98</v>
      </c>
      <c r="AB58" s="360">
        <f>-5936/10^3-AA58+0.4</f>
        <v>-6.516</v>
      </c>
      <c r="AC58" s="360">
        <v>8</v>
      </c>
      <c r="AD58" s="360">
        <v>-24.017000000000003</v>
      </c>
      <c r="AE58" s="360">
        <v>-11</v>
      </c>
      <c r="AF58" s="360">
        <v>5</v>
      </c>
      <c r="AG58" s="360">
        <v>4</v>
      </c>
      <c r="AH58" s="360">
        <v>-6</v>
      </c>
      <c r="AI58" s="256"/>
      <c r="AJ58" s="257"/>
      <c r="AK58" s="257"/>
    </row>
    <row r="59" spans="2:37">
      <c r="B59" s="189" t="s">
        <v>284</v>
      </c>
      <c r="C59" s="360">
        <v>0</v>
      </c>
      <c r="D59" s="360">
        <v>0</v>
      </c>
      <c r="E59" s="360">
        <v>-18.599</v>
      </c>
      <c r="F59" s="360">
        <v>-26.077999999999999</v>
      </c>
      <c r="G59" s="360">
        <v>-6.444</v>
      </c>
      <c r="H59" s="360">
        <v>6.444</v>
      </c>
      <c r="I59" s="360">
        <v>-11.909000000000001</v>
      </c>
      <c r="J59" s="360">
        <v>-18.646999999999998</v>
      </c>
      <c r="K59" s="360">
        <v>-11.946</v>
      </c>
      <c r="L59" s="360">
        <v>-5.7880000000000003</v>
      </c>
      <c r="M59" s="360">
        <v>-5.6879999999999997</v>
      </c>
      <c r="N59" s="360">
        <v>-5.859</v>
      </c>
      <c r="O59" s="360">
        <v>-5.5730000000000004</v>
      </c>
      <c r="P59" s="360">
        <v>-9.6460000000000008</v>
      </c>
      <c r="Q59" s="360">
        <v>-5.1239999999999997</v>
      </c>
      <c r="R59" s="360">
        <v>-47.695</v>
      </c>
      <c r="S59" s="360">
        <v>-14.973000000000001</v>
      </c>
      <c r="T59" s="360">
        <v>-11.08</v>
      </c>
      <c r="U59" s="360">
        <v>-11</v>
      </c>
      <c r="V59" s="360">
        <v>-9.4870000000000019</v>
      </c>
      <c r="W59" s="360">
        <v>-4.0119999999999996</v>
      </c>
      <c r="X59" s="360">
        <v>-6</v>
      </c>
      <c r="Y59" s="360">
        <f>-16-SUM(W59:X59)</f>
        <v>-5.9879999999999995</v>
      </c>
      <c r="Z59" s="360">
        <v>-18.247</v>
      </c>
      <c r="AA59" s="360">
        <v>-5.3819999999999997</v>
      </c>
      <c r="AB59" s="360">
        <f>-15300/10^3-AA59</f>
        <v>-9.918000000000001</v>
      </c>
      <c r="AC59" s="360">
        <v>-10</v>
      </c>
      <c r="AD59" s="360">
        <v>-21.401</v>
      </c>
      <c r="AE59" s="360">
        <v>-2</v>
      </c>
      <c r="AF59" s="360">
        <v>-5</v>
      </c>
      <c r="AG59" s="360">
        <v>-5</v>
      </c>
      <c r="AH59" s="360">
        <v>-6</v>
      </c>
      <c r="AI59" s="256"/>
      <c r="AJ59" s="257"/>
      <c r="AK59" s="257"/>
    </row>
    <row r="60" spans="2:37">
      <c r="B60" s="189" t="s">
        <v>182</v>
      </c>
      <c r="C60" s="360">
        <v>-3.1230000000000002</v>
      </c>
      <c r="D60" s="360">
        <v>10.775</v>
      </c>
      <c r="E60" s="360">
        <v>-7.6520000000000001</v>
      </c>
      <c r="F60" s="360">
        <v>0</v>
      </c>
      <c r="G60" s="360">
        <v>2.4380000000000002</v>
      </c>
      <c r="H60" s="360">
        <v>4.7850000000000001</v>
      </c>
      <c r="I60" s="360">
        <v>-7.2229999999999999</v>
      </c>
      <c r="J60" s="360">
        <v>0</v>
      </c>
      <c r="K60" s="360">
        <v>0</v>
      </c>
      <c r="L60" s="360">
        <v>0</v>
      </c>
      <c r="M60" s="360">
        <v>12.864000000000001</v>
      </c>
      <c r="N60" s="360">
        <v>-12.864000000000001</v>
      </c>
      <c r="O60" s="360">
        <v>0</v>
      </c>
      <c r="P60" s="360">
        <v>0</v>
      </c>
      <c r="Q60" s="360">
        <v>67.286000000000001</v>
      </c>
      <c r="R60" s="360">
        <v>-67.286000000000001</v>
      </c>
      <c r="S60" s="360">
        <v>0</v>
      </c>
      <c r="T60" s="360">
        <v>0</v>
      </c>
      <c r="U60" s="360">
        <v>18</v>
      </c>
      <c r="V60" s="360">
        <v>-18</v>
      </c>
      <c r="W60" s="360">
        <v>5.0640000000000001</v>
      </c>
      <c r="X60" s="360">
        <v>2</v>
      </c>
      <c r="Y60" s="360">
        <v>0</v>
      </c>
      <c r="Z60" s="360">
        <v>-48.917999999999999</v>
      </c>
      <c r="AA60" s="360">
        <f>6152/1000</f>
        <v>6.1520000000000001</v>
      </c>
      <c r="AB60" s="360">
        <f>12353/10^3-AA60-0.3</f>
        <v>5.9009999999999998</v>
      </c>
      <c r="AC60" s="360">
        <v>0</v>
      </c>
      <c r="AD60" s="360">
        <v>2.3629999999999995</v>
      </c>
      <c r="AE60" s="360">
        <v>6</v>
      </c>
      <c r="AF60" s="360">
        <v>-6</v>
      </c>
      <c r="AG60" s="360">
        <v>0</v>
      </c>
      <c r="AH60" s="360">
        <v>0</v>
      </c>
      <c r="AI60" s="256"/>
      <c r="AJ60" s="257"/>
      <c r="AK60" s="257"/>
    </row>
    <row r="61" spans="2:37">
      <c r="B61" s="189" t="s">
        <v>305</v>
      </c>
      <c r="C61" s="360"/>
      <c r="D61" s="360"/>
      <c r="E61" s="360"/>
      <c r="F61" s="360"/>
      <c r="G61" s="360"/>
      <c r="H61" s="360"/>
      <c r="I61" s="360"/>
      <c r="J61" s="360"/>
      <c r="K61" s="360"/>
      <c r="L61" s="360"/>
      <c r="M61" s="360"/>
      <c r="N61" s="360"/>
      <c r="O61" s="360"/>
      <c r="P61" s="360"/>
      <c r="Q61" s="360"/>
      <c r="R61" s="360"/>
      <c r="S61" s="360"/>
      <c r="T61" s="360"/>
      <c r="U61" s="360"/>
      <c r="V61" s="360"/>
      <c r="W61" s="360">
        <v>0</v>
      </c>
      <c r="X61" s="360">
        <v>0</v>
      </c>
      <c r="Y61" s="360">
        <v>0</v>
      </c>
      <c r="Z61" s="360">
        <v>0</v>
      </c>
      <c r="AA61" s="360">
        <v>0</v>
      </c>
      <c r="AB61" s="360">
        <f>52717/10^3-0.4</f>
        <v>52.317</v>
      </c>
      <c r="AC61" s="360">
        <v>0</v>
      </c>
      <c r="AD61" s="360">
        <v>-52.317</v>
      </c>
      <c r="AE61" s="360">
        <v>0</v>
      </c>
      <c r="AF61" s="360">
        <v>0</v>
      </c>
      <c r="AG61" s="360">
        <v>0</v>
      </c>
      <c r="AH61" s="360">
        <v>0</v>
      </c>
      <c r="AI61" s="256"/>
      <c r="AJ61" s="257"/>
      <c r="AK61" s="257"/>
    </row>
    <row r="62" spans="2:37" s="70" customFormat="1">
      <c r="B62" s="189" t="s">
        <v>156</v>
      </c>
      <c r="C62" s="360">
        <v>-9.7159999999999993</v>
      </c>
      <c r="D62" s="360">
        <v>16.219000000000001</v>
      </c>
      <c r="E62" s="360">
        <v>115.34099999999999</v>
      </c>
      <c r="F62" s="360">
        <v>20.657</v>
      </c>
      <c r="G62" s="360">
        <v>-19.661999999999999</v>
      </c>
      <c r="H62" s="360">
        <v>60.115000000000002</v>
      </c>
      <c r="I62" s="360">
        <v>-103.288</v>
      </c>
      <c r="J62" s="360">
        <v>62.835000000000001</v>
      </c>
      <c r="K62" s="360">
        <v>0</v>
      </c>
      <c r="L62" s="360">
        <v>38.017000000000003</v>
      </c>
      <c r="M62" s="360">
        <v>-38.017000000000003</v>
      </c>
      <c r="N62" s="360">
        <v>0</v>
      </c>
      <c r="O62" s="360">
        <v>0</v>
      </c>
      <c r="P62" s="360">
        <v>0</v>
      </c>
      <c r="Q62" s="360">
        <v>0</v>
      </c>
      <c r="R62" s="360">
        <v>0</v>
      </c>
      <c r="S62" s="360">
        <v>0</v>
      </c>
      <c r="T62" s="360">
        <v>0</v>
      </c>
      <c r="U62" s="360">
        <v>0</v>
      </c>
      <c r="V62" s="360">
        <v>0</v>
      </c>
      <c r="W62" s="360">
        <v>0</v>
      </c>
      <c r="X62" s="360">
        <v>0</v>
      </c>
      <c r="Y62" s="360">
        <v>0</v>
      </c>
      <c r="Z62" s="360">
        <v>0</v>
      </c>
      <c r="AA62" s="360">
        <v>0</v>
      </c>
      <c r="AB62" s="360">
        <v>0</v>
      </c>
      <c r="AC62" s="360">
        <v>0</v>
      </c>
      <c r="AD62" s="360">
        <v>0</v>
      </c>
      <c r="AE62" s="360">
        <v>0</v>
      </c>
      <c r="AF62" s="360">
        <v>0</v>
      </c>
      <c r="AG62" s="360">
        <v>0</v>
      </c>
      <c r="AH62" s="360">
        <v>0</v>
      </c>
      <c r="AI62" s="257"/>
      <c r="AJ62" s="257"/>
      <c r="AK62" s="257"/>
    </row>
    <row r="63" spans="2:37">
      <c r="B63" s="189" t="s">
        <v>166</v>
      </c>
      <c r="C63" s="360">
        <v>0</v>
      </c>
      <c r="D63" s="360">
        <v>0</v>
      </c>
      <c r="E63" s="360">
        <v>0</v>
      </c>
      <c r="F63" s="360">
        <v>-250.89599999999999</v>
      </c>
      <c r="G63" s="360">
        <v>0</v>
      </c>
      <c r="H63" s="360">
        <v>0</v>
      </c>
      <c r="I63" s="360">
        <v>0</v>
      </c>
      <c r="J63" s="360">
        <v>-234.63900000000001</v>
      </c>
      <c r="K63" s="360">
        <v>0</v>
      </c>
      <c r="L63" s="360">
        <v>0</v>
      </c>
      <c r="M63" s="360">
        <v>0</v>
      </c>
      <c r="N63" s="360">
        <v>0</v>
      </c>
      <c r="O63" s="360">
        <v>0</v>
      </c>
      <c r="P63" s="360">
        <v>0</v>
      </c>
      <c r="Q63" s="360">
        <v>0</v>
      </c>
      <c r="R63" s="360">
        <v>0</v>
      </c>
      <c r="S63" s="360">
        <v>0</v>
      </c>
      <c r="T63" s="360">
        <v>0</v>
      </c>
      <c r="U63" s="360">
        <v>0</v>
      </c>
      <c r="V63" s="360">
        <v>0</v>
      </c>
      <c r="W63" s="360">
        <v>0</v>
      </c>
      <c r="X63" s="360">
        <v>0</v>
      </c>
      <c r="Y63" s="360">
        <v>0</v>
      </c>
      <c r="Z63" s="360">
        <v>0</v>
      </c>
      <c r="AA63" s="360">
        <v>0</v>
      </c>
      <c r="AB63" s="360">
        <v>0</v>
      </c>
      <c r="AC63" s="360">
        <v>0</v>
      </c>
      <c r="AD63" s="360">
        <v>0</v>
      </c>
      <c r="AE63" s="360">
        <v>0</v>
      </c>
      <c r="AF63" s="360">
        <v>1</v>
      </c>
      <c r="AG63" s="360">
        <v>-4</v>
      </c>
      <c r="AH63" s="360">
        <v>0</v>
      </c>
      <c r="AI63" s="256"/>
      <c r="AJ63" s="257"/>
      <c r="AK63" s="257"/>
    </row>
    <row r="64" spans="2:37">
      <c r="B64" s="363" t="s">
        <v>363</v>
      </c>
      <c r="C64" s="360"/>
      <c r="D64" s="360"/>
      <c r="E64" s="360"/>
      <c r="F64" s="360"/>
      <c r="G64" s="360"/>
      <c r="H64" s="360"/>
      <c r="I64" s="360"/>
      <c r="J64" s="360"/>
      <c r="K64" s="360"/>
      <c r="L64" s="360"/>
      <c r="M64" s="360"/>
      <c r="N64" s="360"/>
      <c r="O64" s="360"/>
      <c r="P64" s="360"/>
      <c r="Q64" s="360"/>
      <c r="R64" s="360"/>
      <c r="S64" s="360"/>
      <c r="T64" s="360"/>
      <c r="U64" s="360"/>
      <c r="V64" s="360"/>
      <c r="W64" s="360">
        <v>-0.18</v>
      </c>
      <c r="X64" s="360">
        <v>0</v>
      </c>
      <c r="Y64" s="360">
        <v>0</v>
      </c>
      <c r="Z64" s="360">
        <v>0</v>
      </c>
      <c r="AA64" s="360">
        <v>0</v>
      </c>
      <c r="AB64" s="360">
        <v>0</v>
      </c>
      <c r="AC64" s="360">
        <v>0</v>
      </c>
      <c r="AD64" s="360">
        <v>0</v>
      </c>
      <c r="AE64" s="360">
        <v>0</v>
      </c>
      <c r="AF64" s="360">
        <v>0</v>
      </c>
      <c r="AG64" s="360">
        <v>0</v>
      </c>
      <c r="AH64" s="360">
        <v>0</v>
      </c>
      <c r="AI64" s="256"/>
      <c r="AJ64" s="257"/>
      <c r="AK64" s="257"/>
    </row>
    <row r="65" spans="2:38" s="70" customFormat="1">
      <c r="B65" s="189" t="s">
        <v>285</v>
      </c>
      <c r="C65" s="360">
        <v>-37.076000000000001</v>
      </c>
      <c r="D65" s="360">
        <v>-30.800999999999998</v>
      </c>
      <c r="E65" s="360">
        <v>29.437999999999999</v>
      </c>
      <c r="F65" s="360">
        <v>17.739000000000001</v>
      </c>
      <c r="G65" s="360">
        <v>-24.962</v>
      </c>
      <c r="H65" s="360">
        <v>7.6980000000000004</v>
      </c>
      <c r="I65" s="360">
        <v>20.783000000000001</v>
      </c>
      <c r="J65" s="360">
        <v>15.497999999999999</v>
      </c>
      <c r="K65" s="360">
        <v>-5.1059999999999999</v>
      </c>
      <c r="L65" s="360">
        <v>28.209</v>
      </c>
      <c r="M65" s="360">
        <v>-20.984000000000002</v>
      </c>
      <c r="N65" s="360">
        <v>36.963999999999999</v>
      </c>
      <c r="O65" s="360">
        <v>39.804000000000002</v>
      </c>
      <c r="P65" s="360">
        <v>27.77</v>
      </c>
      <c r="Q65" s="360">
        <v>4.0220000000000002</v>
      </c>
      <c r="R65" s="360">
        <v>-26.062999999999999</v>
      </c>
      <c r="S65" s="360">
        <v>50.13</v>
      </c>
      <c r="T65" s="360">
        <v>-16.03</v>
      </c>
      <c r="U65" s="360">
        <v>-40</v>
      </c>
      <c r="V65" s="360">
        <v>86.427999999999997</v>
      </c>
      <c r="W65" s="360">
        <v>-19.495999999999999</v>
      </c>
      <c r="X65" s="360">
        <v>0</v>
      </c>
      <c r="Y65" s="360">
        <f>-165-SUM(W65:X65)-1</f>
        <v>-146.50399999999999</v>
      </c>
      <c r="Z65" s="360">
        <v>-44.419305720000004</v>
      </c>
      <c r="AA65" s="360">
        <f>-40580/1000</f>
        <v>-40.58</v>
      </c>
      <c r="AB65" s="360">
        <f>-113542/10^3-AA65</f>
        <v>-72.962000000000003</v>
      </c>
      <c r="AC65" s="360">
        <v>84</v>
      </c>
      <c r="AD65" s="360">
        <v>134.06799999999998</v>
      </c>
      <c r="AE65" s="360">
        <v>23</v>
      </c>
      <c r="AF65" s="360">
        <v>0</v>
      </c>
      <c r="AG65" s="360">
        <v>11</v>
      </c>
      <c r="AH65" s="360">
        <v>-9</v>
      </c>
      <c r="AI65" s="257"/>
      <c r="AJ65" s="257"/>
      <c r="AK65" s="257"/>
    </row>
    <row r="66" spans="2:38">
      <c r="B66" s="372"/>
      <c r="C66" s="360"/>
      <c r="D66" s="360"/>
      <c r="E66" s="360"/>
      <c r="F66" s="360"/>
      <c r="G66" s="360"/>
      <c r="H66" s="360"/>
      <c r="I66" s="360"/>
      <c r="J66" s="360"/>
      <c r="K66" s="360"/>
      <c r="L66" s="360"/>
      <c r="M66" s="360"/>
      <c r="N66" s="360"/>
      <c r="O66" s="360"/>
      <c r="P66" s="360"/>
      <c r="Q66" s="360"/>
      <c r="R66" s="360"/>
      <c r="S66" s="360"/>
      <c r="T66" s="360"/>
      <c r="U66" s="360"/>
      <c r="V66" s="360"/>
      <c r="W66" s="360"/>
      <c r="X66" s="360"/>
      <c r="Y66" s="360"/>
      <c r="Z66" s="360"/>
      <c r="AA66" s="360"/>
      <c r="AB66" s="360"/>
      <c r="AC66" s="360"/>
      <c r="AD66" s="360"/>
      <c r="AE66" s="360"/>
      <c r="AF66" s="360"/>
      <c r="AG66" s="360"/>
      <c r="AH66" s="360"/>
      <c r="AI66" s="256"/>
      <c r="AJ66" s="257"/>
      <c r="AK66" s="257"/>
    </row>
    <row r="67" spans="2:38" s="70" customFormat="1" ht="14.4" thickBot="1">
      <c r="B67" s="72" t="s">
        <v>309</v>
      </c>
      <c r="C67" s="361">
        <f t="shared" ref="C67:AD67" si="3">SUM(C41:C65)</f>
        <v>147.00300000000001</v>
      </c>
      <c r="D67" s="361">
        <f t="shared" si="3"/>
        <v>249.33000000000004</v>
      </c>
      <c r="E67" s="361">
        <f t="shared" si="3"/>
        <v>227.60500000000008</v>
      </c>
      <c r="F67" s="361">
        <f t="shared" si="3"/>
        <v>-119.11799999999994</v>
      </c>
      <c r="G67" s="361">
        <f t="shared" si="3"/>
        <v>81.717999999999947</v>
      </c>
      <c r="H67" s="361">
        <f t="shared" si="3"/>
        <v>203.58100000000002</v>
      </c>
      <c r="I67" s="361">
        <f t="shared" si="3"/>
        <v>114.10499999999999</v>
      </c>
      <c r="J67" s="361">
        <f t="shared" si="3"/>
        <v>111.65499999999993</v>
      </c>
      <c r="K67" s="361">
        <f t="shared" si="3"/>
        <v>38.284000000000063</v>
      </c>
      <c r="L67" s="361">
        <f t="shared" si="3"/>
        <v>107.88799999999998</v>
      </c>
      <c r="M67" s="361">
        <f t="shared" si="3"/>
        <v>480.97400000000005</v>
      </c>
      <c r="N67" s="361">
        <f t="shared" si="3"/>
        <v>511.16400000000004</v>
      </c>
      <c r="O67" s="361">
        <f t="shared" si="3"/>
        <v>166.21899999999994</v>
      </c>
      <c r="P67" s="361">
        <f t="shared" si="3"/>
        <v>109.75899999999986</v>
      </c>
      <c r="Q67" s="361">
        <f t="shared" si="3"/>
        <v>375.74800000000005</v>
      </c>
      <c r="R67" s="361">
        <f t="shared" si="3"/>
        <v>640.18999999999994</v>
      </c>
      <c r="S67" s="361">
        <f t="shared" si="3"/>
        <v>230.94499999999999</v>
      </c>
      <c r="T67" s="361">
        <f t="shared" si="3"/>
        <v>419.37900000000002</v>
      </c>
      <c r="U67" s="361">
        <f t="shared" si="3"/>
        <v>444</v>
      </c>
      <c r="V67" s="361">
        <f t="shared" si="3"/>
        <v>88.753999999999991</v>
      </c>
      <c r="W67" s="361">
        <f t="shared" si="3"/>
        <v>-228.97599999999997</v>
      </c>
      <c r="X67" s="361">
        <f t="shared" si="3"/>
        <v>-172</v>
      </c>
      <c r="Y67" s="361">
        <f t="shared" si="3"/>
        <v>60.579612918800592</v>
      </c>
      <c r="Z67" s="361">
        <f t="shared" si="3"/>
        <v>557.38390117807489</v>
      </c>
      <c r="AA67" s="361">
        <f t="shared" si="3"/>
        <v>-16.655000000000143</v>
      </c>
      <c r="AB67" s="361">
        <f t="shared" si="3"/>
        <v>192.25600000000009</v>
      </c>
      <c r="AC67" s="361">
        <f t="shared" si="3"/>
        <v>428.63200000000001</v>
      </c>
      <c r="AD67" s="361">
        <f t="shared" si="3"/>
        <v>511.25070407999988</v>
      </c>
      <c r="AE67" s="361">
        <f>SUM(AE41:AE65)</f>
        <v>248</v>
      </c>
      <c r="AF67" s="361">
        <f>SUM(AF41:AF65)</f>
        <v>75</v>
      </c>
      <c r="AG67" s="361">
        <f>SUM(AG41:AG65)</f>
        <v>394</v>
      </c>
      <c r="AH67" s="361">
        <f>SUM(AH41:AH65)</f>
        <v>508</v>
      </c>
      <c r="AI67" s="257"/>
      <c r="AJ67" s="257"/>
      <c r="AK67" s="257"/>
    </row>
    <row r="68" spans="2:38">
      <c r="B68" s="259" t="s">
        <v>310</v>
      </c>
      <c r="C68" s="358">
        <v>-20.913</v>
      </c>
      <c r="D68" s="358">
        <v>-70.989000000000004</v>
      </c>
      <c r="E68" s="358">
        <v>-29.396999999999998</v>
      </c>
      <c r="F68" s="358">
        <v>-30.077999999999999</v>
      </c>
      <c r="G68" s="358">
        <v>-11.196</v>
      </c>
      <c r="H68" s="358">
        <v>-39.960999999999999</v>
      </c>
      <c r="I68" s="358">
        <v>-10.885999999999999</v>
      </c>
      <c r="J68" s="358">
        <v>-57.957999999999998</v>
      </c>
      <c r="K68" s="358">
        <v>-12.247</v>
      </c>
      <c r="L68" s="358">
        <v>-53.377000000000002</v>
      </c>
      <c r="M68" s="358">
        <v>-12.496</v>
      </c>
      <c r="N68" s="358">
        <v>-41.286000000000001</v>
      </c>
      <c r="O68" s="358">
        <v>-25.451000000000001</v>
      </c>
      <c r="P68" s="358">
        <v>-62.484000000000002</v>
      </c>
      <c r="Q68" s="358">
        <v>-81.088999999999999</v>
      </c>
      <c r="R68" s="358">
        <v>-29.239000000000001</v>
      </c>
      <c r="S68" s="358">
        <v>-51.078000000000003</v>
      </c>
      <c r="T68" s="358">
        <v>-63.331000000000003</v>
      </c>
      <c r="U68" s="358">
        <v>-60</v>
      </c>
      <c r="V68" s="358">
        <v>-75.66</v>
      </c>
      <c r="W68" s="358">
        <v>-44.59</v>
      </c>
      <c r="X68" s="358">
        <v>-88</v>
      </c>
      <c r="Y68" s="358">
        <v>-73.41</v>
      </c>
      <c r="Z68" s="358">
        <v>-39.244999999999997</v>
      </c>
      <c r="AA68" s="358">
        <v>-76.265000000000001</v>
      </c>
      <c r="AB68" s="358">
        <v>-121.08300000000001</v>
      </c>
      <c r="AC68" s="358">
        <v>-114</v>
      </c>
      <c r="AD68" s="360">
        <v>-134.94599999999997</v>
      </c>
      <c r="AE68" s="360">
        <v>-126</v>
      </c>
      <c r="AF68" s="360">
        <v>-94</v>
      </c>
      <c r="AG68" s="360">
        <v>-101</v>
      </c>
      <c r="AH68" s="360">
        <v>-104</v>
      </c>
      <c r="AI68" s="256"/>
      <c r="AJ68" s="257"/>
      <c r="AK68" s="257"/>
    </row>
    <row r="69" spans="2:38">
      <c r="B69" s="189" t="s">
        <v>311</v>
      </c>
      <c r="C69" s="360">
        <v>-23.213000000000001</v>
      </c>
      <c r="D69" s="360">
        <v>-4.6070000000000002</v>
      </c>
      <c r="E69" s="360">
        <v>-4.8070000000000004</v>
      </c>
      <c r="F69" s="360">
        <v>-3.7610000000000001</v>
      </c>
      <c r="G69" s="360">
        <v>0</v>
      </c>
      <c r="H69" s="360">
        <v>-27.058</v>
      </c>
      <c r="I69" s="360">
        <v>-4.1829999999999998</v>
      </c>
      <c r="J69" s="360">
        <v>-2.4369999999999998</v>
      </c>
      <c r="K69" s="360">
        <v>-25.856999999999999</v>
      </c>
      <c r="L69" s="360">
        <v>-5.694</v>
      </c>
      <c r="M69" s="360">
        <v>-5.0279999999999996</v>
      </c>
      <c r="N69" s="360">
        <v>-7.2069999999999999</v>
      </c>
      <c r="O69" s="360">
        <v>-50.445999999999998</v>
      </c>
      <c r="P69" s="360">
        <v>0</v>
      </c>
      <c r="Q69" s="360">
        <v>-96.98</v>
      </c>
      <c r="R69" s="360">
        <v>-19.681999999999999</v>
      </c>
      <c r="S69" s="360">
        <v>-77.283000000000001</v>
      </c>
      <c r="T69" s="360">
        <v>-94.908000000000001</v>
      </c>
      <c r="U69" s="360">
        <v>-72</v>
      </c>
      <c r="V69" s="360">
        <v>-10.695999999999998</v>
      </c>
      <c r="W69" s="360">
        <v>-12.263999999999999</v>
      </c>
      <c r="X69" s="360">
        <v>-8</v>
      </c>
      <c r="Y69" s="360">
        <v>-8.7360000000000007</v>
      </c>
      <c r="Z69" s="360">
        <v>-2.9</v>
      </c>
      <c r="AA69" s="360">
        <v>-2.29</v>
      </c>
      <c r="AB69" s="360">
        <v>-4.1760000000000002</v>
      </c>
      <c r="AC69" s="360">
        <v>-5</v>
      </c>
      <c r="AD69" s="360">
        <v>-10.869999999999997</v>
      </c>
      <c r="AE69" s="360">
        <v>-12</v>
      </c>
      <c r="AF69" s="360">
        <v>-12</v>
      </c>
      <c r="AG69" s="360">
        <v>-6</v>
      </c>
      <c r="AH69" s="360">
        <v>-3</v>
      </c>
      <c r="AI69" s="256"/>
      <c r="AJ69" s="257"/>
      <c r="AK69" s="257"/>
    </row>
    <row r="70" spans="2:38" ht="14.4" thickBot="1">
      <c r="B70" s="260" t="s">
        <v>312</v>
      </c>
      <c r="C70" s="361">
        <f t="shared" ref="C70:AC70" si="4">SUM(C67:C69)</f>
        <v>102.87700000000001</v>
      </c>
      <c r="D70" s="361">
        <f t="shared" si="4"/>
        <v>173.73400000000004</v>
      </c>
      <c r="E70" s="361">
        <f t="shared" si="4"/>
        <v>193.4010000000001</v>
      </c>
      <c r="F70" s="361">
        <f t="shared" si="4"/>
        <v>-152.95699999999994</v>
      </c>
      <c r="G70" s="361">
        <f t="shared" si="4"/>
        <v>70.521999999999949</v>
      </c>
      <c r="H70" s="361">
        <f t="shared" si="4"/>
        <v>136.56200000000001</v>
      </c>
      <c r="I70" s="361">
        <f t="shared" si="4"/>
        <v>99.036000000000001</v>
      </c>
      <c r="J70" s="361">
        <f t="shared" si="4"/>
        <v>51.259999999999934</v>
      </c>
      <c r="K70" s="361">
        <f t="shared" si="4"/>
        <v>0.18000000000006366</v>
      </c>
      <c r="L70" s="361">
        <f t="shared" si="4"/>
        <v>48.816999999999972</v>
      </c>
      <c r="M70" s="361">
        <f t="shared" si="4"/>
        <v>463.45000000000005</v>
      </c>
      <c r="N70" s="361">
        <f t="shared" si="4"/>
        <v>462.67100000000005</v>
      </c>
      <c r="O70" s="361">
        <f t="shared" si="4"/>
        <v>90.321999999999946</v>
      </c>
      <c r="P70" s="361">
        <f t="shared" si="4"/>
        <v>47.274999999999856</v>
      </c>
      <c r="Q70" s="361">
        <f t="shared" si="4"/>
        <v>197.67900000000003</v>
      </c>
      <c r="R70" s="361">
        <f t="shared" si="4"/>
        <v>591.26899999999989</v>
      </c>
      <c r="S70" s="361">
        <f t="shared" si="4"/>
        <v>102.58399999999999</v>
      </c>
      <c r="T70" s="361">
        <f t="shared" si="4"/>
        <v>261.14</v>
      </c>
      <c r="U70" s="361">
        <f t="shared" si="4"/>
        <v>312</v>
      </c>
      <c r="V70" s="361">
        <f t="shared" si="4"/>
        <v>2.3979999999999961</v>
      </c>
      <c r="W70" s="361">
        <f t="shared" si="4"/>
        <v>-285.83</v>
      </c>
      <c r="X70" s="361">
        <f t="shared" si="4"/>
        <v>-268</v>
      </c>
      <c r="Y70" s="361">
        <f t="shared" si="4"/>
        <v>-21.566387081199405</v>
      </c>
      <c r="Z70" s="361">
        <f t="shared" si="4"/>
        <v>515.23890117807491</v>
      </c>
      <c r="AA70" s="361">
        <f t="shared" si="4"/>
        <v>-95.21000000000015</v>
      </c>
      <c r="AB70" s="361">
        <f t="shared" si="4"/>
        <v>66.997000000000071</v>
      </c>
      <c r="AC70" s="361">
        <f t="shared" si="4"/>
        <v>309.63200000000001</v>
      </c>
      <c r="AD70" s="361">
        <f t="shared" ref="AD70:AH70" si="5">SUM(AD67:AD69)</f>
        <v>365.4347040799999</v>
      </c>
      <c r="AE70" s="361">
        <f t="shared" si="5"/>
        <v>110</v>
      </c>
      <c r="AF70" s="361">
        <f t="shared" si="5"/>
        <v>-31</v>
      </c>
      <c r="AG70" s="361">
        <f t="shared" si="5"/>
        <v>287</v>
      </c>
      <c r="AH70" s="361">
        <f t="shared" si="5"/>
        <v>401</v>
      </c>
      <c r="AI70" s="256"/>
      <c r="AJ70" s="257"/>
      <c r="AK70" s="257"/>
      <c r="AL70" s="256"/>
    </row>
    <row r="71" spans="2:38">
      <c r="B71" s="417"/>
      <c r="C71" s="358"/>
      <c r="D71" s="358"/>
      <c r="E71" s="358"/>
      <c r="F71" s="358"/>
      <c r="G71" s="358"/>
      <c r="H71" s="358"/>
      <c r="I71" s="358"/>
      <c r="J71" s="358"/>
      <c r="K71" s="358"/>
      <c r="L71" s="358"/>
      <c r="M71" s="358"/>
      <c r="N71" s="358"/>
      <c r="O71" s="358"/>
      <c r="P71" s="358"/>
      <c r="Q71" s="358"/>
      <c r="R71" s="358"/>
      <c r="S71" s="358"/>
      <c r="T71" s="358"/>
      <c r="U71" s="358"/>
      <c r="V71" s="358"/>
      <c r="W71" s="358"/>
      <c r="X71" s="358">
        <v>0</v>
      </c>
      <c r="Y71" s="358"/>
      <c r="Z71" s="358"/>
      <c r="AA71" s="358"/>
      <c r="AB71" s="358"/>
      <c r="AC71" s="358"/>
      <c r="AD71" s="358"/>
      <c r="AE71" s="358"/>
      <c r="AF71" s="358"/>
      <c r="AG71" s="358"/>
      <c r="AH71" s="358"/>
      <c r="AI71" s="256"/>
      <c r="AJ71" s="257"/>
      <c r="AK71" s="257"/>
      <c r="AL71" s="256"/>
    </row>
    <row r="72" spans="2:38">
      <c r="B72" s="243" t="s">
        <v>286</v>
      </c>
      <c r="C72" s="359"/>
      <c r="D72" s="359"/>
      <c r="E72" s="359"/>
      <c r="F72" s="359"/>
      <c r="G72" s="359"/>
      <c r="H72" s="359"/>
      <c r="I72" s="359"/>
      <c r="J72" s="359"/>
      <c r="K72" s="359"/>
      <c r="L72" s="359"/>
      <c r="M72" s="359"/>
      <c r="N72" s="359"/>
      <c r="O72" s="359"/>
      <c r="P72" s="359"/>
      <c r="Q72" s="359"/>
      <c r="R72" s="359"/>
      <c r="S72" s="359"/>
      <c r="T72" s="359"/>
      <c r="U72" s="359"/>
      <c r="V72" s="359"/>
      <c r="W72" s="359"/>
      <c r="X72" s="359">
        <v>0</v>
      </c>
      <c r="Y72" s="359"/>
      <c r="Z72" s="359"/>
      <c r="AA72" s="359"/>
      <c r="AB72" s="359"/>
      <c r="AC72" s="359"/>
      <c r="AD72" s="359"/>
      <c r="AE72" s="359"/>
      <c r="AF72" s="359"/>
      <c r="AG72" s="359"/>
      <c r="AH72" s="359"/>
      <c r="AI72" s="256"/>
      <c r="AJ72" s="257"/>
      <c r="AK72" s="257"/>
      <c r="AL72" s="256"/>
    </row>
    <row r="73" spans="2:38">
      <c r="B73" s="189" t="s">
        <v>497</v>
      </c>
      <c r="C73" s="360">
        <v>75.691000000000003</v>
      </c>
      <c r="D73" s="360">
        <v>145.79300000000001</v>
      </c>
      <c r="E73" s="360">
        <v>236.77600000000001</v>
      </c>
      <c r="F73" s="360">
        <v>106.185</v>
      </c>
      <c r="G73" s="360">
        <v>-39.69</v>
      </c>
      <c r="H73" s="360">
        <v>-71.176000000000002</v>
      </c>
      <c r="I73" s="360">
        <v>-41.427999999999997</v>
      </c>
      <c r="J73" s="360">
        <v>223.64099999999999</v>
      </c>
      <c r="K73" s="360">
        <v>32.692999999999998</v>
      </c>
      <c r="L73" s="360">
        <v>40.695</v>
      </c>
      <c r="M73" s="360">
        <v>-172.26499999999999</v>
      </c>
      <c r="N73" s="360">
        <v>-64.236999999999995</v>
      </c>
      <c r="O73" s="360">
        <v>282.70499999999998</v>
      </c>
      <c r="P73" s="360">
        <v>-81.962000000000003</v>
      </c>
      <c r="Q73" s="360">
        <v>-299.11599999999999</v>
      </c>
      <c r="R73" s="360">
        <v>332.89</v>
      </c>
      <c r="S73" s="360">
        <v>-14.355</v>
      </c>
      <c r="T73" s="360">
        <v>56.667999999999999</v>
      </c>
      <c r="U73" s="360">
        <v>-68</v>
      </c>
      <c r="V73" s="360">
        <v>102.34399999999999</v>
      </c>
      <c r="W73" s="360">
        <v>-42.77</v>
      </c>
      <c r="X73" s="360">
        <v>95</v>
      </c>
      <c r="Y73" s="360">
        <v>-13.229999999999997</v>
      </c>
      <c r="Z73" s="360">
        <v>32.725999999999999</v>
      </c>
      <c r="AA73" s="360">
        <v>41.061999999999998</v>
      </c>
      <c r="AB73" s="360">
        <v>12.397000000000006</v>
      </c>
      <c r="AC73" s="360">
        <v>44</v>
      </c>
      <c r="AD73" s="360">
        <v>-117.122</v>
      </c>
      <c r="AE73" s="360">
        <v>0</v>
      </c>
      <c r="AF73" s="360">
        <v>-6</v>
      </c>
      <c r="AG73" s="360">
        <v>12</v>
      </c>
      <c r="AH73" s="360">
        <v>-9</v>
      </c>
      <c r="AI73" s="256"/>
      <c r="AJ73" s="257"/>
      <c r="AK73" s="257"/>
      <c r="AL73" s="256"/>
    </row>
    <row r="74" spans="2:38">
      <c r="B74" s="189" t="s">
        <v>498</v>
      </c>
      <c r="C74" s="360"/>
      <c r="D74" s="360"/>
      <c r="E74" s="360"/>
      <c r="F74" s="360"/>
      <c r="G74" s="360"/>
      <c r="H74" s="360"/>
      <c r="I74" s="360"/>
      <c r="J74" s="360"/>
      <c r="K74" s="360"/>
      <c r="L74" s="360"/>
      <c r="M74" s="360"/>
      <c r="N74" s="360"/>
      <c r="O74" s="360"/>
      <c r="P74" s="360"/>
      <c r="Q74" s="360"/>
      <c r="R74" s="360"/>
      <c r="S74" s="360"/>
      <c r="T74" s="360"/>
      <c r="U74" s="360"/>
      <c r="V74" s="360"/>
      <c r="W74" s="360"/>
      <c r="X74" s="360"/>
      <c r="Y74" s="360"/>
      <c r="Z74" s="360"/>
      <c r="AA74" s="360"/>
      <c r="AB74" s="360"/>
      <c r="AC74" s="360"/>
      <c r="AD74" s="360">
        <v>25.925000000000001</v>
      </c>
      <c r="AE74" s="360">
        <v>188</v>
      </c>
      <c r="AF74" s="360">
        <v>110</v>
      </c>
      <c r="AG74" s="360">
        <v>-15</v>
      </c>
      <c r="AH74" s="360">
        <v>10</v>
      </c>
      <c r="AI74" s="256"/>
      <c r="AJ74" s="257"/>
      <c r="AK74" s="257"/>
    </row>
    <row r="75" spans="2:38">
      <c r="B75" s="189" t="s">
        <v>287</v>
      </c>
      <c r="C75" s="360">
        <v>-25.632999999999999</v>
      </c>
      <c r="D75" s="360">
        <v>-47.393999999999998</v>
      </c>
      <c r="E75" s="360">
        <v>-70.685000000000002</v>
      </c>
      <c r="F75" s="360">
        <v>-98.549000000000007</v>
      </c>
      <c r="G75" s="360">
        <v>-44.856999999999999</v>
      </c>
      <c r="H75" s="360">
        <v>-74.055000000000007</v>
      </c>
      <c r="I75" s="360">
        <v>-76.105999999999995</v>
      </c>
      <c r="J75" s="360">
        <v>-156.44300000000001</v>
      </c>
      <c r="K75" s="360">
        <v>-51.469000000000001</v>
      </c>
      <c r="L75" s="360">
        <v>-62.548000000000002</v>
      </c>
      <c r="M75" s="360">
        <v>-111.006</v>
      </c>
      <c r="N75" s="360">
        <v>-137.22800000000001</v>
      </c>
      <c r="O75" s="360">
        <v>-84.108999999999995</v>
      </c>
      <c r="P75" s="360">
        <v>-106.477</v>
      </c>
      <c r="Q75" s="360">
        <v>-149.685</v>
      </c>
      <c r="R75" s="360">
        <v>-183.30600000000001</v>
      </c>
      <c r="S75" s="360">
        <v>-148.565</v>
      </c>
      <c r="T75" s="360">
        <v>-177.45400000000001</v>
      </c>
      <c r="U75" s="360">
        <v>-289</v>
      </c>
      <c r="V75" s="360">
        <v>-337.40700000000004</v>
      </c>
      <c r="W75" s="360">
        <v>-276.67700000000002</v>
      </c>
      <c r="X75" s="360">
        <v>-281</v>
      </c>
      <c r="Y75" s="360">
        <v>-213.32299999999998</v>
      </c>
      <c r="Z75" s="360">
        <v>-195.643</v>
      </c>
      <c r="AA75" s="360">
        <v>-261.54599999999999</v>
      </c>
      <c r="AB75" s="360">
        <v>-168.99</v>
      </c>
      <c r="AC75" s="360">
        <v>-136</v>
      </c>
      <c r="AD75" s="360">
        <v>-210.81299999999999</v>
      </c>
      <c r="AE75" s="360">
        <v>-181</v>
      </c>
      <c r="AF75" s="360">
        <v>-197</v>
      </c>
      <c r="AG75" s="360">
        <v>-206</v>
      </c>
      <c r="AH75" s="360">
        <v>-216</v>
      </c>
      <c r="AI75" s="256"/>
      <c r="AJ75" s="257"/>
      <c r="AK75" s="257"/>
    </row>
    <row r="76" spans="2:38">
      <c r="B76" s="189" t="s">
        <v>537</v>
      </c>
      <c r="C76" s="360">
        <v>0</v>
      </c>
      <c r="D76" s="360">
        <v>0</v>
      </c>
      <c r="E76" s="360">
        <v>0</v>
      </c>
      <c r="F76" s="360">
        <v>-5.3159999999999998</v>
      </c>
      <c r="G76" s="360">
        <v>0</v>
      </c>
      <c r="H76" s="360">
        <v>0</v>
      </c>
      <c r="I76" s="360">
        <v>0</v>
      </c>
      <c r="J76" s="360">
        <v>0</v>
      </c>
      <c r="K76" s="360">
        <v>0</v>
      </c>
      <c r="L76" s="360">
        <v>0</v>
      </c>
      <c r="M76" s="360">
        <v>0</v>
      </c>
      <c r="N76" s="360">
        <v>0</v>
      </c>
      <c r="O76" s="360">
        <v>0</v>
      </c>
      <c r="P76" s="360">
        <v>0</v>
      </c>
      <c r="Q76" s="360">
        <v>0</v>
      </c>
      <c r="R76" s="360">
        <v>0</v>
      </c>
      <c r="S76" s="360">
        <v>0</v>
      </c>
      <c r="T76" s="360">
        <v>0</v>
      </c>
      <c r="U76" s="360">
        <v>0</v>
      </c>
      <c r="V76" s="360">
        <v>0</v>
      </c>
      <c r="W76" s="360"/>
      <c r="X76" s="360">
        <v>0</v>
      </c>
      <c r="Y76" s="360">
        <v>-35</v>
      </c>
      <c r="Z76" s="360">
        <v>3.722</v>
      </c>
      <c r="AA76" s="360"/>
      <c r="AB76" s="360">
        <v>-9.1020000000000003</v>
      </c>
      <c r="AC76" s="360">
        <v>0</v>
      </c>
      <c r="AD76" s="360">
        <v>0</v>
      </c>
      <c r="AE76" s="360">
        <v>0</v>
      </c>
      <c r="AF76" s="360">
        <v>0</v>
      </c>
      <c r="AG76" s="360">
        <v>0</v>
      </c>
      <c r="AH76" s="360">
        <v>0</v>
      </c>
      <c r="AI76" s="256"/>
      <c r="AJ76" s="257"/>
      <c r="AK76" s="257"/>
    </row>
    <row r="77" spans="2:38">
      <c r="B77" s="189" t="s">
        <v>314</v>
      </c>
      <c r="C77" s="360">
        <v>0</v>
      </c>
      <c r="D77" s="360">
        <v>-5.3120000000000003</v>
      </c>
      <c r="E77" s="360">
        <v>-3.0000000000000001E-3</v>
      </c>
      <c r="F77" s="360">
        <v>5.3150000000000004</v>
      </c>
      <c r="G77" s="360">
        <v>0</v>
      </c>
      <c r="H77" s="360">
        <v>0</v>
      </c>
      <c r="I77" s="360">
        <v>0</v>
      </c>
      <c r="J77" s="360">
        <v>0</v>
      </c>
      <c r="K77" s="360">
        <v>0</v>
      </c>
      <c r="L77" s="360">
        <v>0</v>
      </c>
      <c r="M77" s="360">
        <v>0</v>
      </c>
      <c r="N77" s="360">
        <v>0</v>
      </c>
      <c r="O77" s="360">
        <v>0</v>
      </c>
      <c r="P77" s="360">
        <v>0</v>
      </c>
      <c r="Q77" s="360">
        <v>0</v>
      </c>
      <c r="R77" s="360">
        <v>0</v>
      </c>
      <c r="S77" s="360">
        <v>0</v>
      </c>
      <c r="T77" s="360">
        <v>0</v>
      </c>
      <c r="U77" s="360">
        <v>0</v>
      </c>
      <c r="V77" s="360">
        <v>0</v>
      </c>
      <c r="W77" s="360"/>
      <c r="X77" s="360">
        <v>0</v>
      </c>
      <c r="Y77" s="360">
        <v>0</v>
      </c>
      <c r="Z77" s="360">
        <v>0</v>
      </c>
      <c r="AA77" s="360"/>
      <c r="AB77" s="360"/>
      <c r="AC77" s="360">
        <v>0</v>
      </c>
      <c r="AD77" s="360">
        <v>0</v>
      </c>
      <c r="AE77" s="360">
        <v>0</v>
      </c>
      <c r="AF77" s="360">
        <v>0</v>
      </c>
      <c r="AG77" s="360">
        <v>0</v>
      </c>
      <c r="AH77" s="360">
        <v>0</v>
      </c>
      <c r="AI77" s="256"/>
      <c r="AJ77" s="257"/>
      <c r="AK77" s="257"/>
    </row>
    <row r="78" spans="2:38">
      <c r="B78" s="189" t="s">
        <v>316</v>
      </c>
      <c r="C78" s="360">
        <v>0.45100000000000001</v>
      </c>
      <c r="D78" s="360">
        <v>1.8640000000000001</v>
      </c>
      <c r="E78" s="360">
        <v>0.184</v>
      </c>
      <c r="F78" s="360">
        <v>5.5190000000000001</v>
      </c>
      <c r="G78" s="360">
        <v>1.0660000000000001</v>
      </c>
      <c r="H78" s="360">
        <v>-1.0660000000000001</v>
      </c>
      <c r="I78" s="360">
        <v>12.867000000000001</v>
      </c>
      <c r="J78" s="360">
        <v>0.251</v>
      </c>
      <c r="K78" s="360">
        <v>0</v>
      </c>
      <c r="L78" s="360">
        <v>0</v>
      </c>
      <c r="M78" s="360">
        <v>0</v>
      </c>
      <c r="N78" s="360">
        <v>7.8650000000000002</v>
      </c>
      <c r="O78" s="360">
        <v>0</v>
      </c>
      <c r="P78" s="360">
        <v>0</v>
      </c>
      <c r="Q78" s="360">
        <v>0.90100000000000002</v>
      </c>
      <c r="R78" s="360">
        <v>-6.819</v>
      </c>
      <c r="S78" s="360">
        <v>0.69</v>
      </c>
      <c r="T78" s="360">
        <v>0.64500000000000002</v>
      </c>
      <c r="U78" s="360">
        <v>0</v>
      </c>
      <c r="V78" s="360">
        <v>-1.335</v>
      </c>
      <c r="W78" s="360">
        <v>1.1890000000000001</v>
      </c>
      <c r="X78" s="360">
        <v>0</v>
      </c>
      <c r="Y78" s="360">
        <v>1</v>
      </c>
      <c r="Z78" s="360">
        <v>39.213999999999999</v>
      </c>
      <c r="AA78" s="360">
        <v>13.034000000000001</v>
      </c>
      <c r="AB78" s="360">
        <v>0</v>
      </c>
      <c r="AC78" s="360">
        <v>12</v>
      </c>
      <c r="AD78" s="360">
        <v>-0.1980000000000004</v>
      </c>
      <c r="AE78" s="360">
        <v>0</v>
      </c>
      <c r="AF78" s="360">
        <v>0</v>
      </c>
      <c r="AG78" s="360">
        <v>0</v>
      </c>
      <c r="AH78" s="360">
        <v>0</v>
      </c>
      <c r="AI78" s="256"/>
      <c r="AJ78" s="257"/>
      <c r="AK78" s="257"/>
    </row>
    <row r="79" spans="2:38">
      <c r="B79" s="189" t="s">
        <v>315</v>
      </c>
      <c r="C79" s="360">
        <v>0</v>
      </c>
      <c r="D79" s="360">
        <v>0</v>
      </c>
      <c r="E79" s="360">
        <v>0</v>
      </c>
      <c r="F79" s="360">
        <v>0</v>
      </c>
      <c r="G79" s="360">
        <v>0</v>
      </c>
      <c r="H79" s="360">
        <v>0</v>
      </c>
      <c r="I79" s="360">
        <v>0</v>
      </c>
      <c r="J79" s="360">
        <v>0</v>
      </c>
      <c r="K79" s="360">
        <v>0</v>
      </c>
      <c r="L79" s="360">
        <v>0</v>
      </c>
      <c r="M79" s="360">
        <v>7.6920000000000002</v>
      </c>
      <c r="N79" s="360">
        <v>-7.6920000000000002</v>
      </c>
      <c r="O79" s="360">
        <v>0</v>
      </c>
      <c r="P79" s="360">
        <v>0</v>
      </c>
      <c r="Q79" s="360">
        <v>0</v>
      </c>
      <c r="R79" s="360">
        <v>0</v>
      </c>
      <c r="S79" s="360">
        <v>0</v>
      </c>
      <c r="T79" s="360">
        <v>0</v>
      </c>
      <c r="U79" s="360">
        <v>47</v>
      </c>
      <c r="V79" s="360">
        <v>-47</v>
      </c>
      <c r="W79" s="360"/>
      <c r="X79" s="360">
        <v>49</v>
      </c>
      <c r="Y79" s="360">
        <v>1</v>
      </c>
      <c r="Z79" s="360">
        <v>0</v>
      </c>
      <c r="AA79" s="360">
        <v>0</v>
      </c>
      <c r="AB79" s="360">
        <v>0</v>
      </c>
      <c r="AC79" s="360">
        <v>0</v>
      </c>
      <c r="AD79" s="360">
        <v>238.46299999999999</v>
      </c>
      <c r="AE79" s="360">
        <v>0</v>
      </c>
      <c r="AF79" s="360">
        <v>29</v>
      </c>
      <c r="AG79" s="360">
        <v>0</v>
      </c>
      <c r="AH79" s="360">
        <v>0</v>
      </c>
      <c r="AI79" s="256"/>
      <c r="AJ79" s="257"/>
      <c r="AK79" s="257"/>
    </row>
    <row r="80" spans="2:38">
      <c r="B80" s="189" t="s">
        <v>535</v>
      </c>
      <c r="C80" s="360"/>
      <c r="D80" s="360"/>
      <c r="E80" s="360"/>
      <c r="F80" s="360"/>
      <c r="G80" s="360"/>
      <c r="H80" s="360"/>
      <c r="I80" s="360"/>
      <c r="J80" s="360"/>
      <c r="K80" s="360"/>
      <c r="L80" s="360"/>
      <c r="M80" s="360"/>
      <c r="N80" s="360"/>
      <c r="O80" s="360"/>
      <c r="P80" s="360"/>
      <c r="Q80" s="360"/>
      <c r="R80" s="360"/>
      <c r="S80" s="360"/>
      <c r="T80" s="360"/>
      <c r="U80" s="360"/>
      <c r="V80" s="360"/>
      <c r="W80" s="360">
        <v>0</v>
      </c>
      <c r="X80" s="360"/>
      <c r="Y80" s="360">
        <v>0</v>
      </c>
      <c r="Z80" s="360">
        <v>0</v>
      </c>
      <c r="AA80" s="360">
        <v>0</v>
      </c>
      <c r="AB80" s="360">
        <v>0</v>
      </c>
      <c r="AC80" s="360">
        <v>0</v>
      </c>
      <c r="AD80" s="360">
        <v>0</v>
      </c>
      <c r="AE80" s="360">
        <v>0</v>
      </c>
      <c r="AF80" s="360">
        <v>0</v>
      </c>
      <c r="AG80" s="360">
        <v>0</v>
      </c>
      <c r="AH80" s="360">
        <v>0</v>
      </c>
      <c r="AI80" s="256"/>
      <c r="AJ80" s="257"/>
      <c r="AK80" s="257"/>
    </row>
    <row r="81" spans="2:37">
      <c r="B81" s="189" t="s">
        <v>166</v>
      </c>
      <c r="C81" s="360">
        <v>0</v>
      </c>
      <c r="D81" s="360">
        <v>0</v>
      </c>
      <c r="E81" s="360">
        <v>0</v>
      </c>
      <c r="F81" s="360">
        <v>0</v>
      </c>
      <c r="G81" s="360">
        <v>0</v>
      </c>
      <c r="H81" s="360">
        <v>0</v>
      </c>
      <c r="I81" s="360">
        <v>-27.260999999999999</v>
      </c>
      <c r="J81" s="360">
        <v>27.260999999999999</v>
      </c>
      <c r="K81" s="360">
        <v>0</v>
      </c>
      <c r="L81" s="360">
        <v>0</v>
      </c>
      <c r="M81" s="360">
        <v>0</v>
      </c>
      <c r="N81" s="360">
        <v>0</v>
      </c>
      <c r="O81" s="360">
        <v>0</v>
      </c>
      <c r="P81" s="360">
        <v>0</v>
      </c>
      <c r="Q81" s="360">
        <v>0</v>
      </c>
      <c r="R81" s="360">
        <v>0</v>
      </c>
      <c r="S81" s="360">
        <v>0</v>
      </c>
      <c r="T81" s="360">
        <v>0</v>
      </c>
      <c r="U81" s="360">
        <v>0</v>
      </c>
      <c r="V81" s="360">
        <v>0</v>
      </c>
      <c r="W81" s="360"/>
      <c r="X81" s="360">
        <v>0</v>
      </c>
      <c r="Y81" s="360">
        <v>0</v>
      </c>
      <c r="Z81" s="360">
        <v>0</v>
      </c>
      <c r="AA81" s="360">
        <v>0</v>
      </c>
      <c r="AB81" s="360">
        <v>0</v>
      </c>
      <c r="AC81" s="360">
        <v>0</v>
      </c>
      <c r="AD81" s="360">
        <v>0</v>
      </c>
      <c r="AE81" s="360">
        <v>-1</v>
      </c>
      <c r="AF81" s="360">
        <v>-1</v>
      </c>
      <c r="AG81" s="360">
        <v>0</v>
      </c>
      <c r="AH81" s="360">
        <v>0</v>
      </c>
      <c r="AI81" s="256"/>
      <c r="AJ81" s="257"/>
      <c r="AK81" s="257"/>
    </row>
    <row r="82" spans="2:37">
      <c r="B82" s="189" t="s">
        <v>320</v>
      </c>
      <c r="C82" s="360">
        <v>0</v>
      </c>
      <c r="D82" s="360">
        <v>0</v>
      </c>
      <c r="E82" s="360">
        <v>0</v>
      </c>
      <c r="F82" s="360">
        <v>0</v>
      </c>
      <c r="G82" s="360">
        <v>0</v>
      </c>
      <c r="H82" s="360">
        <v>0</v>
      </c>
      <c r="I82" s="360">
        <v>0</v>
      </c>
      <c r="J82" s="360">
        <v>0</v>
      </c>
      <c r="K82" s="360">
        <v>-224.244</v>
      </c>
      <c r="L82" s="360">
        <v>0</v>
      </c>
      <c r="M82" s="360">
        <v>0</v>
      </c>
      <c r="N82" s="360">
        <v>19.914999999999999</v>
      </c>
      <c r="O82" s="360">
        <v>0</v>
      </c>
      <c r="P82" s="360">
        <v>0</v>
      </c>
      <c r="Q82" s="360">
        <v>0</v>
      </c>
      <c r="R82" s="360">
        <v>-2.5</v>
      </c>
      <c r="S82" s="360">
        <v>0</v>
      </c>
      <c r="T82" s="360">
        <v>0</v>
      </c>
      <c r="U82" s="360">
        <v>0</v>
      </c>
      <c r="V82" s="360">
        <v>0</v>
      </c>
      <c r="W82" s="360"/>
      <c r="X82" s="360">
        <v>0</v>
      </c>
      <c r="Y82" s="360">
        <v>0</v>
      </c>
      <c r="Z82" s="360">
        <v>0</v>
      </c>
      <c r="AA82" s="360">
        <v>0</v>
      </c>
      <c r="AB82" s="360">
        <v>0</v>
      </c>
      <c r="AC82" s="360">
        <v>0</v>
      </c>
      <c r="AD82" s="360">
        <v>0</v>
      </c>
      <c r="AE82" s="360">
        <v>0</v>
      </c>
      <c r="AF82" s="360">
        <v>0</v>
      </c>
      <c r="AG82" s="360">
        <v>0</v>
      </c>
      <c r="AH82" s="360">
        <v>0</v>
      </c>
      <c r="AI82" s="256"/>
      <c r="AJ82" s="257"/>
      <c r="AK82" s="257"/>
    </row>
    <row r="83" spans="2:37">
      <c r="B83" s="189" t="s">
        <v>334</v>
      </c>
      <c r="C83" s="360">
        <v>0</v>
      </c>
      <c r="D83" s="360">
        <v>0</v>
      </c>
      <c r="E83" s="360">
        <v>0</v>
      </c>
      <c r="F83" s="360">
        <v>0</v>
      </c>
      <c r="G83" s="360">
        <v>0</v>
      </c>
      <c r="H83" s="360">
        <v>0</v>
      </c>
      <c r="I83" s="360">
        <v>0</v>
      </c>
      <c r="J83" s="360">
        <v>0</v>
      </c>
      <c r="K83" s="360">
        <v>0</v>
      </c>
      <c r="L83" s="360">
        <v>0</v>
      </c>
      <c r="M83" s="360">
        <v>0</v>
      </c>
      <c r="N83" s="360">
        <v>0</v>
      </c>
      <c r="O83" s="360">
        <v>0</v>
      </c>
      <c r="P83" s="360">
        <v>0</v>
      </c>
      <c r="Q83" s="360">
        <v>0</v>
      </c>
      <c r="R83" s="360">
        <v>0</v>
      </c>
      <c r="S83" s="360">
        <v>-128.24600000000001</v>
      </c>
      <c r="T83" s="360">
        <v>0</v>
      </c>
      <c r="U83" s="360">
        <v>0</v>
      </c>
      <c r="V83" s="360">
        <v>2.0000000000095497E-3</v>
      </c>
      <c r="W83" s="360"/>
      <c r="X83" s="360">
        <v>0</v>
      </c>
      <c r="Y83" s="360">
        <v>0</v>
      </c>
      <c r="Z83" s="360">
        <v>0</v>
      </c>
      <c r="AA83" s="360">
        <v>0</v>
      </c>
      <c r="AB83" s="360">
        <v>0</v>
      </c>
      <c r="AC83" s="360">
        <v>0</v>
      </c>
      <c r="AD83" s="360">
        <v>0</v>
      </c>
      <c r="AE83" s="360">
        <v>0</v>
      </c>
      <c r="AF83" s="360">
        <v>0</v>
      </c>
      <c r="AG83" s="360">
        <v>0</v>
      </c>
      <c r="AH83" s="360">
        <v>0</v>
      </c>
      <c r="AI83" s="256"/>
      <c r="AJ83" s="257"/>
      <c r="AK83" s="257"/>
    </row>
    <row r="84" spans="2:37">
      <c r="B84" s="189" t="s">
        <v>335</v>
      </c>
      <c r="C84" s="360"/>
      <c r="D84" s="360"/>
      <c r="E84" s="360"/>
      <c r="F84" s="360"/>
      <c r="G84" s="360"/>
      <c r="H84" s="360"/>
      <c r="I84" s="360"/>
      <c r="J84" s="360"/>
      <c r="K84" s="360"/>
      <c r="L84" s="360"/>
      <c r="M84" s="360"/>
      <c r="N84" s="360"/>
      <c r="O84" s="360"/>
      <c r="P84" s="360"/>
      <c r="Q84" s="360"/>
      <c r="R84" s="360"/>
      <c r="S84" s="360"/>
      <c r="T84" s="360"/>
      <c r="U84" s="360"/>
      <c r="V84" s="360">
        <v>-49</v>
      </c>
      <c r="W84" s="360">
        <v>-49</v>
      </c>
      <c r="X84" s="360">
        <v>0</v>
      </c>
      <c r="Y84" s="360">
        <v>0</v>
      </c>
      <c r="Z84" s="360">
        <v>0</v>
      </c>
      <c r="AA84" s="360">
        <v>0</v>
      </c>
      <c r="AB84" s="360">
        <v>0</v>
      </c>
      <c r="AC84" s="360">
        <v>0</v>
      </c>
      <c r="AD84" s="360">
        <v>0</v>
      </c>
      <c r="AE84" s="360">
        <v>0</v>
      </c>
      <c r="AF84" s="360">
        <v>0</v>
      </c>
      <c r="AG84" s="360">
        <v>0</v>
      </c>
      <c r="AH84" s="360">
        <v>0</v>
      </c>
      <c r="AI84" s="256"/>
      <c r="AJ84" s="257"/>
      <c r="AK84" s="257"/>
    </row>
    <row r="85" spans="2:37">
      <c r="B85" s="363" t="s">
        <v>337</v>
      </c>
      <c r="C85" s="360"/>
      <c r="D85" s="360"/>
      <c r="E85" s="360"/>
      <c r="F85" s="360"/>
      <c r="G85" s="360"/>
      <c r="H85" s="360"/>
      <c r="I85" s="360"/>
      <c r="J85" s="360"/>
      <c r="K85" s="360"/>
      <c r="L85" s="360"/>
      <c r="M85" s="360"/>
      <c r="N85" s="360"/>
      <c r="O85" s="360"/>
      <c r="P85" s="360"/>
      <c r="Q85" s="360"/>
      <c r="R85" s="360"/>
      <c r="S85" s="360"/>
      <c r="T85" s="360"/>
      <c r="U85" s="360"/>
      <c r="V85" s="360">
        <v>-24.632000000000001</v>
      </c>
      <c r="W85" s="360"/>
      <c r="X85" s="360">
        <v>0</v>
      </c>
      <c r="Y85" s="360">
        <v>0</v>
      </c>
      <c r="Z85" s="360">
        <v>0</v>
      </c>
      <c r="AA85" s="360">
        <v>0</v>
      </c>
      <c r="AB85" s="360">
        <v>0</v>
      </c>
      <c r="AC85" s="360">
        <v>0</v>
      </c>
      <c r="AD85" s="360">
        <v>0</v>
      </c>
      <c r="AE85" s="360">
        <v>0</v>
      </c>
      <c r="AF85" s="360">
        <v>0</v>
      </c>
      <c r="AG85" s="360">
        <v>0</v>
      </c>
      <c r="AH85" s="360">
        <v>0</v>
      </c>
      <c r="AI85" s="256"/>
      <c r="AJ85" s="257"/>
      <c r="AK85" s="257"/>
    </row>
    <row r="86" spans="2:37">
      <c r="B86" s="363" t="s">
        <v>336</v>
      </c>
      <c r="C86" s="360"/>
      <c r="D86" s="360"/>
      <c r="E86" s="360"/>
      <c r="F86" s="360"/>
      <c r="G86" s="360"/>
      <c r="H86" s="360"/>
      <c r="I86" s="360"/>
      <c r="J86" s="360"/>
      <c r="K86" s="360"/>
      <c r="L86" s="360"/>
      <c r="M86" s="360"/>
      <c r="N86" s="360"/>
      <c r="O86" s="360"/>
      <c r="P86" s="360"/>
      <c r="Q86" s="360"/>
      <c r="R86" s="360"/>
      <c r="S86" s="360"/>
      <c r="T86" s="360"/>
      <c r="U86" s="360"/>
      <c r="V86" s="360">
        <v>47.5</v>
      </c>
      <c r="W86" s="360"/>
      <c r="X86" s="360">
        <v>0</v>
      </c>
      <c r="Y86" s="360">
        <v>0</v>
      </c>
      <c r="Z86" s="360">
        <v>0</v>
      </c>
      <c r="AA86" s="360">
        <v>0</v>
      </c>
      <c r="AB86" s="360">
        <v>0</v>
      </c>
      <c r="AC86" s="360">
        <v>0</v>
      </c>
      <c r="AD86" s="360">
        <v>0</v>
      </c>
      <c r="AE86" s="360">
        <v>0</v>
      </c>
      <c r="AF86" s="360">
        <v>0</v>
      </c>
      <c r="AG86" s="360">
        <v>0</v>
      </c>
      <c r="AH86" s="360">
        <v>0</v>
      </c>
      <c r="AI86" s="256"/>
      <c r="AJ86" s="257"/>
      <c r="AK86" s="257"/>
    </row>
    <row r="87" spans="2:37">
      <c r="B87" s="189" t="s">
        <v>325</v>
      </c>
      <c r="C87" s="360">
        <v>0</v>
      </c>
      <c r="D87" s="360">
        <v>0</v>
      </c>
      <c r="E87" s="360">
        <v>0</v>
      </c>
      <c r="F87" s="360">
        <v>0</v>
      </c>
      <c r="G87" s="360">
        <v>0</v>
      </c>
      <c r="H87" s="360">
        <v>0</v>
      </c>
      <c r="I87" s="360">
        <v>0</v>
      </c>
      <c r="J87" s="360">
        <v>0</v>
      </c>
      <c r="K87" s="360">
        <v>0</v>
      </c>
      <c r="L87" s="360">
        <v>0</v>
      </c>
      <c r="M87" s="360">
        <v>0</v>
      </c>
      <c r="N87" s="360">
        <v>0</v>
      </c>
      <c r="O87" s="360">
        <v>0</v>
      </c>
      <c r="P87" s="360">
        <v>0</v>
      </c>
      <c r="Q87" s="360">
        <v>0</v>
      </c>
      <c r="R87" s="360">
        <v>12.827999999999999</v>
      </c>
      <c r="S87" s="360">
        <v>0</v>
      </c>
      <c r="T87" s="360">
        <v>0</v>
      </c>
      <c r="U87" s="360">
        <v>0</v>
      </c>
      <c r="V87" s="360">
        <v>0</v>
      </c>
      <c r="W87" s="360"/>
      <c r="X87" s="360">
        <v>0</v>
      </c>
      <c r="Y87" s="360">
        <v>0</v>
      </c>
      <c r="Z87" s="360">
        <v>0</v>
      </c>
      <c r="AA87" s="360">
        <v>0</v>
      </c>
      <c r="AB87" s="360">
        <v>0</v>
      </c>
      <c r="AC87" s="360">
        <v>0</v>
      </c>
      <c r="AD87" s="360">
        <v>0</v>
      </c>
      <c r="AE87" s="360">
        <v>0</v>
      </c>
      <c r="AF87" s="360">
        <v>0</v>
      </c>
      <c r="AG87" s="360">
        <v>0</v>
      </c>
      <c r="AH87" s="360">
        <v>0</v>
      </c>
      <c r="AI87" s="256"/>
      <c r="AJ87" s="257"/>
      <c r="AK87" s="257"/>
    </row>
    <row r="88" spans="2:37">
      <c r="B88" s="363" t="s">
        <v>288</v>
      </c>
      <c r="C88" s="360"/>
      <c r="D88" s="360"/>
      <c r="E88" s="360"/>
      <c r="F88" s="360"/>
      <c r="G88" s="360"/>
      <c r="H88" s="360"/>
      <c r="I88" s="360"/>
      <c r="J88" s="360"/>
      <c r="K88" s="360"/>
      <c r="L88" s="360"/>
      <c r="M88" s="360"/>
      <c r="N88" s="360"/>
      <c r="O88" s="360"/>
      <c r="P88" s="360"/>
      <c r="Q88" s="360"/>
      <c r="R88" s="360"/>
      <c r="S88" s="360"/>
      <c r="T88" s="360"/>
      <c r="U88" s="360"/>
      <c r="V88" s="360"/>
      <c r="W88" s="360">
        <v>-34.584000000000003</v>
      </c>
      <c r="X88" s="360">
        <v>0</v>
      </c>
      <c r="Y88" s="360">
        <v>-32.415999999999997</v>
      </c>
      <c r="Z88" s="360">
        <v>0</v>
      </c>
      <c r="AA88" s="360">
        <v>0</v>
      </c>
      <c r="AB88" s="360">
        <v>0</v>
      </c>
      <c r="AC88" s="360">
        <v>0</v>
      </c>
      <c r="AD88" s="360">
        <v>0</v>
      </c>
      <c r="AE88" s="360">
        <v>0</v>
      </c>
      <c r="AF88" s="360">
        <v>0</v>
      </c>
      <c r="AG88" s="360">
        <v>0</v>
      </c>
      <c r="AH88" s="360">
        <v>0</v>
      </c>
      <c r="AI88" s="256"/>
      <c r="AJ88" s="257"/>
      <c r="AK88" s="257"/>
    </row>
    <row r="89" spans="2:37" s="70" customFormat="1">
      <c r="B89" s="189" t="s">
        <v>536</v>
      </c>
      <c r="C89" s="360">
        <v>0</v>
      </c>
      <c r="D89" s="360">
        <v>0</v>
      </c>
      <c r="E89" s="360">
        <v>0</v>
      </c>
      <c r="F89" s="360">
        <v>0</v>
      </c>
      <c r="G89" s="70">
        <v>0</v>
      </c>
      <c r="H89" s="360">
        <v>16.734000000000002</v>
      </c>
      <c r="I89" s="360">
        <v>-16.734000000000002</v>
      </c>
      <c r="J89" s="360">
        <v>0</v>
      </c>
      <c r="K89" s="360">
        <v>3.95</v>
      </c>
      <c r="L89" s="360">
        <v>6.1970000000000001</v>
      </c>
      <c r="M89" s="360">
        <v>-10.147</v>
      </c>
      <c r="N89" s="360">
        <v>0</v>
      </c>
      <c r="O89" s="360">
        <v>0</v>
      </c>
      <c r="P89" s="360">
        <v>0</v>
      </c>
      <c r="Q89" s="360">
        <v>0</v>
      </c>
      <c r="R89" s="360">
        <v>0</v>
      </c>
      <c r="S89" s="360">
        <v>0</v>
      </c>
      <c r="T89" s="360">
        <v>0</v>
      </c>
      <c r="U89" s="360">
        <v>0</v>
      </c>
      <c r="V89" s="360">
        <v>0</v>
      </c>
      <c r="W89" s="360"/>
      <c r="X89" s="360">
        <v>0</v>
      </c>
      <c r="Y89" s="360">
        <v>0</v>
      </c>
      <c r="Z89" s="360">
        <v>0</v>
      </c>
      <c r="AA89" s="360">
        <v>0</v>
      </c>
      <c r="AB89" s="360">
        <v>0</v>
      </c>
      <c r="AC89" s="360">
        <v>0</v>
      </c>
      <c r="AD89" s="360">
        <v>0</v>
      </c>
      <c r="AE89" s="360">
        <v>0</v>
      </c>
      <c r="AF89" s="360">
        <v>0</v>
      </c>
      <c r="AG89" s="360">
        <v>0</v>
      </c>
      <c r="AH89" s="360">
        <v>0</v>
      </c>
      <c r="AI89" s="257"/>
      <c r="AJ89" s="257"/>
      <c r="AK89" s="257"/>
    </row>
    <row r="90" spans="2:37">
      <c r="B90" s="189" t="s">
        <v>304</v>
      </c>
      <c r="C90" s="360">
        <v>0</v>
      </c>
      <c r="D90" s="360">
        <v>0</v>
      </c>
      <c r="E90" s="360">
        <v>0</v>
      </c>
      <c r="F90" s="360">
        <v>0</v>
      </c>
      <c r="G90" s="360">
        <v>0</v>
      </c>
      <c r="H90" s="360">
        <v>1.4219999999999999</v>
      </c>
      <c r="I90" s="360">
        <v>-1.4219999999999999</v>
      </c>
      <c r="J90" s="360">
        <v>0</v>
      </c>
      <c r="K90" s="360">
        <v>9.8520000000000003</v>
      </c>
      <c r="L90" s="360">
        <v>-9.8520000000000003</v>
      </c>
      <c r="M90" s="360">
        <v>0</v>
      </c>
      <c r="N90" s="360">
        <v>0</v>
      </c>
      <c r="O90" s="360">
        <v>0</v>
      </c>
      <c r="P90" s="360">
        <v>0</v>
      </c>
      <c r="Q90" s="360">
        <v>0</v>
      </c>
      <c r="R90" s="360">
        <v>0</v>
      </c>
      <c r="S90" s="360">
        <v>0</v>
      </c>
      <c r="T90" s="360">
        <v>0.66400000000000003</v>
      </c>
      <c r="U90" s="360">
        <v>0</v>
      </c>
      <c r="V90" s="360">
        <v>45.863999999999997</v>
      </c>
      <c r="W90" s="360"/>
      <c r="X90" s="360">
        <v>39</v>
      </c>
      <c r="Y90" s="360">
        <v>51</v>
      </c>
      <c r="Z90" s="360">
        <v>36.204000000000001</v>
      </c>
      <c r="AA90" s="360">
        <v>0</v>
      </c>
      <c r="AB90" s="360">
        <v>57.237000000000002</v>
      </c>
      <c r="AC90" s="360">
        <v>41</v>
      </c>
      <c r="AD90" s="360">
        <v>59.483000000000004</v>
      </c>
      <c r="AE90" s="360">
        <v>0</v>
      </c>
      <c r="AF90" s="360">
        <v>0</v>
      </c>
      <c r="AG90" s="360">
        <v>0</v>
      </c>
      <c r="AH90" s="360">
        <v>0</v>
      </c>
      <c r="AI90" s="256"/>
      <c r="AJ90" s="257"/>
      <c r="AK90" s="257"/>
    </row>
    <row r="91" spans="2:37">
      <c r="B91" s="189" t="s">
        <v>319</v>
      </c>
      <c r="C91" s="360">
        <v>0</v>
      </c>
      <c r="D91" s="360">
        <v>0</v>
      </c>
      <c r="E91" s="360">
        <v>0</v>
      </c>
      <c r="F91" s="360">
        <v>0</v>
      </c>
      <c r="G91" s="360">
        <v>0</v>
      </c>
      <c r="H91" s="360">
        <v>0</v>
      </c>
      <c r="I91" s="360">
        <v>0</v>
      </c>
      <c r="J91" s="360">
        <v>0</v>
      </c>
      <c r="K91" s="360">
        <v>0</v>
      </c>
      <c r="L91" s="360">
        <v>0</v>
      </c>
      <c r="M91" s="360">
        <v>-22.602</v>
      </c>
      <c r="N91" s="360">
        <v>33.845999999999997</v>
      </c>
      <c r="O91" s="360">
        <v>0</v>
      </c>
      <c r="P91" s="360">
        <v>0</v>
      </c>
      <c r="Q91" s="360">
        <v>0</v>
      </c>
      <c r="R91" s="360">
        <v>0</v>
      </c>
      <c r="S91" s="360">
        <v>0</v>
      </c>
      <c r="T91" s="360">
        <v>0</v>
      </c>
      <c r="U91" s="360">
        <v>0</v>
      </c>
      <c r="V91" s="360">
        <v>0</v>
      </c>
      <c r="W91" s="360"/>
      <c r="X91" s="360">
        <v>0</v>
      </c>
      <c r="Y91" s="360">
        <v>0</v>
      </c>
      <c r="Z91" s="360"/>
      <c r="AA91" s="360"/>
      <c r="AB91" s="360"/>
      <c r="AC91" s="360">
        <v>0</v>
      </c>
      <c r="AD91" s="360">
        <v>0</v>
      </c>
      <c r="AE91" s="360">
        <v>0</v>
      </c>
      <c r="AF91" s="360">
        <v>64</v>
      </c>
      <c r="AG91" s="360">
        <v>38</v>
      </c>
      <c r="AH91" s="360">
        <v>48</v>
      </c>
      <c r="AI91" s="256"/>
      <c r="AJ91" s="257"/>
      <c r="AK91" s="257"/>
    </row>
    <row r="92" spans="2:37">
      <c r="B92" s="372"/>
      <c r="C92" s="360"/>
      <c r="D92" s="360"/>
      <c r="E92" s="360"/>
      <c r="F92" s="360"/>
      <c r="G92" s="360"/>
      <c r="H92" s="360"/>
      <c r="I92" s="360"/>
      <c r="J92" s="360"/>
      <c r="K92" s="360" t="s">
        <v>28</v>
      </c>
      <c r="L92" s="360"/>
      <c r="M92" s="360"/>
      <c r="N92" s="360"/>
      <c r="O92" s="360" t="s">
        <v>28</v>
      </c>
      <c r="P92" s="360"/>
      <c r="Q92" s="360"/>
      <c r="R92" s="360"/>
      <c r="S92" s="360"/>
      <c r="T92" s="360"/>
      <c r="U92" s="360"/>
      <c r="V92" s="360"/>
      <c r="W92" s="360"/>
      <c r="X92" s="360"/>
      <c r="Y92" s="360"/>
      <c r="Z92" s="360"/>
      <c r="AA92" s="360"/>
      <c r="AB92" s="360"/>
      <c r="AC92" s="360">
        <v>0</v>
      </c>
      <c r="AD92" s="360">
        <v>0</v>
      </c>
      <c r="AE92" s="360">
        <v>0</v>
      </c>
      <c r="AF92" s="360"/>
      <c r="AG92" s="360"/>
      <c r="AH92" s="360"/>
      <c r="AI92" s="256"/>
      <c r="AJ92" s="257"/>
      <c r="AK92" s="257"/>
    </row>
    <row r="93" spans="2:37" ht="14.4" thickBot="1">
      <c r="B93" s="72" t="s">
        <v>289</v>
      </c>
      <c r="C93" s="361">
        <f>SUM(C73:C91)</f>
        <v>50.509000000000007</v>
      </c>
      <c r="D93" s="361">
        <f t="shared" ref="D93:AC93" si="6">SUM(D73:D91)</f>
        <v>94.951000000000008</v>
      </c>
      <c r="E93" s="361">
        <f t="shared" si="6"/>
        <v>166.27200000000002</v>
      </c>
      <c r="F93" s="361">
        <f t="shared" si="6"/>
        <v>13.153999999999996</v>
      </c>
      <c r="G93" s="361">
        <f t="shared" si="6"/>
        <v>-83.480999999999995</v>
      </c>
      <c r="H93" s="361">
        <f t="shared" si="6"/>
        <v>-128.14099999999999</v>
      </c>
      <c r="I93" s="361">
        <f t="shared" si="6"/>
        <v>-150.084</v>
      </c>
      <c r="J93" s="361">
        <f t="shared" si="6"/>
        <v>94.70999999999998</v>
      </c>
      <c r="K93" s="361">
        <f t="shared" si="6"/>
        <v>-229.21800000000002</v>
      </c>
      <c r="L93" s="361">
        <f t="shared" si="6"/>
        <v>-25.508000000000003</v>
      </c>
      <c r="M93" s="361">
        <f t="shared" si="6"/>
        <v>-308.32799999999992</v>
      </c>
      <c r="N93" s="361">
        <f t="shared" si="6"/>
        <v>-147.53100000000001</v>
      </c>
      <c r="O93" s="361">
        <f t="shared" si="6"/>
        <v>198.596</v>
      </c>
      <c r="P93" s="361">
        <f t="shared" si="6"/>
        <v>-188.43900000000002</v>
      </c>
      <c r="Q93" s="361">
        <f t="shared" si="6"/>
        <v>-447.9</v>
      </c>
      <c r="R93" s="361">
        <f t="shared" si="6"/>
        <v>153.09299999999999</v>
      </c>
      <c r="S93" s="361">
        <f t="shared" si="6"/>
        <v>-290.476</v>
      </c>
      <c r="T93" s="361">
        <f t="shared" si="6"/>
        <v>-119.477</v>
      </c>
      <c r="U93" s="361">
        <f t="shared" si="6"/>
        <v>-310</v>
      </c>
      <c r="V93" s="361">
        <f t="shared" si="6"/>
        <v>-263.66400000000004</v>
      </c>
      <c r="W93" s="361">
        <f t="shared" si="6"/>
        <v>-401.84199999999998</v>
      </c>
      <c r="X93" s="361">
        <f t="shared" si="6"/>
        <v>-98</v>
      </c>
      <c r="Y93" s="361">
        <f t="shared" si="6"/>
        <v>-240.96899999999999</v>
      </c>
      <c r="Z93" s="361">
        <f t="shared" si="6"/>
        <v>-83.776999999999987</v>
      </c>
      <c r="AA93" s="361">
        <f t="shared" si="6"/>
        <v>-207.45</v>
      </c>
      <c r="AB93" s="361">
        <f t="shared" si="6"/>
        <v>-108.45800000000003</v>
      </c>
      <c r="AC93" s="361">
        <f t="shared" si="6"/>
        <v>-39</v>
      </c>
      <c r="AD93" s="361">
        <f t="shared" ref="AD93" si="7">SUM(AD73:AD91)</f>
        <v>-4.261999999999972</v>
      </c>
      <c r="AE93" s="361">
        <f t="shared" ref="AE93:AH93" si="8">SUM(AE73:AE91)</f>
        <v>6</v>
      </c>
      <c r="AF93" s="361">
        <f t="shared" si="8"/>
        <v>-1</v>
      </c>
      <c r="AG93" s="361">
        <f t="shared" si="8"/>
        <v>-171</v>
      </c>
      <c r="AH93" s="361">
        <f t="shared" si="8"/>
        <v>-167</v>
      </c>
      <c r="AI93" s="256"/>
      <c r="AJ93" s="257"/>
      <c r="AK93" s="257"/>
    </row>
    <row r="94" spans="2:37">
      <c r="B94" s="255"/>
      <c r="C94" s="358"/>
      <c r="D94" s="358"/>
      <c r="E94" s="358"/>
      <c r="F94" s="358"/>
      <c r="G94" s="358"/>
      <c r="H94" s="358"/>
      <c r="I94" s="358"/>
      <c r="J94" s="358"/>
      <c r="K94" s="358"/>
      <c r="L94" s="358"/>
      <c r="M94" s="358"/>
      <c r="N94" s="358"/>
      <c r="O94" s="358"/>
      <c r="P94" s="358"/>
      <c r="Q94" s="358"/>
      <c r="R94" s="358"/>
      <c r="S94" s="358"/>
      <c r="T94" s="358"/>
      <c r="U94" s="358"/>
      <c r="V94" s="358"/>
      <c r="W94" s="358"/>
      <c r="X94" s="358"/>
      <c r="Y94" s="358"/>
      <c r="Z94" s="358"/>
      <c r="AA94" s="358"/>
      <c r="AB94" s="358"/>
      <c r="AC94" s="358"/>
      <c r="AD94" s="358"/>
      <c r="AE94" s="358"/>
      <c r="AF94" s="358"/>
      <c r="AG94" s="358"/>
      <c r="AH94" s="358"/>
      <c r="AI94" s="256"/>
      <c r="AJ94" s="257"/>
      <c r="AK94" s="257"/>
    </row>
    <row r="95" spans="2:37">
      <c r="B95" s="243" t="s">
        <v>303</v>
      </c>
      <c r="C95" s="359"/>
      <c r="D95" s="359"/>
      <c r="E95" s="359"/>
      <c r="F95" s="359"/>
      <c r="G95" s="359"/>
      <c r="H95" s="359"/>
      <c r="I95" s="359"/>
      <c r="J95" s="359"/>
      <c r="K95" s="359"/>
      <c r="L95" s="359"/>
      <c r="M95" s="359"/>
      <c r="N95" s="359"/>
      <c r="O95" s="359"/>
      <c r="P95" s="359"/>
      <c r="Q95" s="359"/>
      <c r="R95" s="359"/>
      <c r="S95" s="359"/>
      <c r="T95" s="359"/>
      <c r="U95" s="359"/>
      <c r="V95" s="359"/>
      <c r="W95" s="359"/>
      <c r="X95" s="359"/>
      <c r="Y95" s="359"/>
      <c r="Z95" s="359"/>
      <c r="AA95" s="359"/>
      <c r="AB95" s="359"/>
      <c r="AC95" s="359"/>
      <c r="AD95" s="359"/>
      <c r="AE95" s="359"/>
      <c r="AF95" s="359"/>
      <c r="AG95" s="359"/>
      <c r="AH95" s="359"/>
      <c r="AI95" s="256"/>
      <c r="AJ95" s="257"/>
      <c r="AK95" s="257"/>
    </row>
    <row r="96" spans="2:37">
      <c r="B96" s="189" t="s">
        <v>300</v>
      </c>
      <c r="C96" s="360">
        <v>0</v>
      </c>
      <c r="D96" s="360">
        <v>8.8710000000000004</v>
      </c>
      <c r="E96" s="360">
        <v>26.08</v>
      </c>
      <c r="F96" s="360">
        <v>-4.9000000000000002E-2</v>
      </c>
      <c r="G96" s="360">
        <v>0</v>
      </c>
      <c r="H96" s="360">
        <v>1084.8800000000001</v>
      </c>
      <c r="I96" s="360">
        <v>90</v>
      </c>
      <c r="J96" s="360">
        <v>0.28799999999999998</v>
      </c>
      <c r="K96" s="360">
        <v>250</v>
      </c>
      <c r="L96" s="360">
        <v>33</v>
      </c>
      <c r="M96" s="360">
        <v>250</v>
      </c>
      <c r="N96" s="360">
        <v>0</v>
      </c>
      <c r="O96" s="360">
        <v>0</v>
      </c>
      <c r="P96" s="360">
        <v>0</v>
      </c>
      <c r="Q96" s="360">
        <v>0</v>
      </c>
      <c r="R96" s="360">
        <v>308.928</v>
      </c>
      <c r="S96" s="360">
        <v>0</v>
      </c>
      <c r="T96" s="360">
        <v>0</v>
      </c>
      <c r="U96" s="360">
        <v>499</v>
      </c>
      <c r="V96" s="360">
        <v>35.971000000000004</v>
      </c>
      <c r="W96" s="360">
        <v>736.66399999999999</v>
      </c>
      <c r="X96" s="360">
        <v>500</v>
      </c>
      <c r="Y96" s="360">
        <f>1732-SUM(W96:X96)</f>
        <v>495.33600000000001</v>
      </c>
      <c r="Z96" s="360">
        <v>32.918999999999997</v>
      </c>
      <c r="AA96" s="360"/>
      <c r="AB96" s="360">
        <f>498045/10^3</f>
        <v>498.04500000000002</v>
      </c>
      <c r="AC96" s="360">
        <v>0</v>
      </c>
      <c r="AD96" s="360">
        <v>25.90100000000001</v>
      </c>
      <c r="AE96" s="360">
        <v>9</v>
      </c>
      <c r="AF96" s="360">
        <v>33</v>
      </c>
      <c r="AG96" s="360">
        <v>1105</v>
      </c>
      <c r="AH96" s="360">
        <v>0</v>
      </c>
      <c r="AI96" s="256"/>
      <c r="AJ96" s="257"/>
      <c r="AK96" s="257"/>
    </row>
    <row r="97" spans="2:37">
      <c r="B97" s="189" t="s">
        <v>533</v>
      </c>
      <c r="C97" s="360"/>
      <c r="D97" s="360"/>
      <c r="E97" s="360"/>
      <c r="F97" s="360"/>
      <c r="G97" s="360"/>
      <c r="H97" s="360"/>
      <c r="I97" s="360"/>
      <c r="J97" s="360"/>
      <c r="K97" s="360"/>
      <c r="L97" s="360"/>
      <c r="M97" s="360"/>
      <c r="N97" s="360"/>
      <c r="O97" s="360"/>
      <c r="P97" s="360"/>
      <c r="Q97" s="360"/>
      <c r="R97" s="360"/>
      <c r="S97" s="360"/>
      <c r="T97" s="360"/>
      <c r="U97" s="360"/>
      <c r="V97" s="360"/>
      <c r="W97" s="360"/>
      <c r="X97" s="360"/>
      <c r="Y97" s="360"/>
      <c r="Z97" s="360"/>
      <c r="AA97" s="360"/>
      <c r="AB97" s="360"/>
      <c r="AC97" s="360"/>
      <c r="AD97" s="360"/>
      <c r="AE97" s="360"/>
      <c r="AF97" s="360"/>
      <c r="AG97" s="360">
        <v>-42</v>
      </c>
      <c r="AH97" s="360">
        <v>-3</v>
      </c>
      <c r="AI97" s="256"/>
      <c r="AJ97" s="257"/>
      <c r="AK97" s="257"/>
    </row>
    <row r="98" spans="2:37">
      <c r="B98" s="189" t="s">
        <v>317</v>
      </c>
      <c r="C98" s="360">
        <v>0</v>
      </c>
      <c r="D98" s="360">
        <v>0</v>
      </c>
      <c r="E98" s="360">
        <v>0</v>
      </c>
      <c r="F98" s="360">
        <v>0</v>
      </c>
      <c r="G98" s="360">
        <v>0</v>
      </c>
      <c r="H98" s="360">
        <v>0</v>
      </c>
      <c r="I98" s="360">
        <v>0</v>
      </c>
      <c r="J98" s="360">
        <v>0</v>
      </c>
      <c r="K98" s="360">
        <v>0</v>
      </c>
      <c r="L98" s="360">
        <v>0</v>
      </c>
      <c r="M98" s="360">
        <v>0</v>
      </c>
      <c r="N98" s="360">
        <v>0</v>
      </c>
      <c r="O98" s="360">
        <v>0</v>
      </c>
      <c r="P98" s="360">
        <v>0</v>
      </c>
      <c r="Q98" s="360">
        <v>700</v>
      </c>
      <c r="R98" s="360">
        <v>0</v>
      </c>
      <c r="S98" s="360">
        <v>0</v>
      </c>
      <c r="T98" s="360">
        <v>0</v>
      </c>
      <c r="U98" s="360">
        <v>0</v>
      </c>
      <c r="V98" s="360">
        <v>0</v>
      </c>
      <c r="W98" s="360"/>
      <c r="X98" s="360">
        <v>0</v>
      </c>
      <c r="Y98" s="360">
        <v>0</v>
      </c>
      <c r="Z98" s="360">
        <v>0</v>
      </c>
      <c r="AA98" s="360"/>
      <c r="AB98" s="360"/>
      <c r="AC98" s="360">
        <v>0</v>
      </c>
      <c r="AD98" s="360">
        <v>0</v>
      </c>
      <c r="AE98" s="360">
        <v>0</v>
      </c>
      <c r="AF98" s="360">
        <v>0</v>
      </c>
      <c r="AG98" s="360">
        <v>0</v>
      </c>
      <c r="AH98" s="360">
        <v>0</v>
      </c>
      <c r="AI98" s="256"/>
      <c r="AJ98" s="257"/>
      <c r="AK98" s="257"/>
    </row>
    <row r="99" spans="2:37">
      <c r="B99" s="363" t="s">
        <v>338</v>
      </c>
      <c r="C99" s="360"/>
      <c r="D99" s="360"/>
      <c r="E99" s="360"/>
      <c r="F99" s="360"/>
      <c r="G99" s="360"/>
      <c r="H99" s="360"/>
      <c r="I99" s="360"/>
      <c r="J99" s="360"/>
      <c r="K99" s="360"/>
      <c r="L99" s="360"/>
      <c r="M99" s="360"/>
      <c r="N99" s="360"/>
      <c r="O99" s="360"/>
      <c r="P99" s="360"/>
      <c r="Q99" s="360"/>
      <c r="R99" s="360"/>
      <c r="S99" s="360"/>
      <c r="T99" s="360"/>
      <c r="U99" s="360"/>
      <c r="V99" s="360">
        <v>16.420999999999999</v>
      </c>
      <c r="W99" s="360"/>
      <c r="X99" s="360">
        <v>0</v>
      </c>
      <c r="Y99" s="360">
        <v>0</v>
      </c>
      <c r="Z99" s="360">
        <v>0</v>
      </c>
      <c r="AA99" s="360"/>
      <c r="AB99" s="360"/>
      <c r="AC99" s="360">
        <v>0</v>
      </c>
      <c r="AD99" s="360">
        <v>0</v>
      </c>
      <c r="AE99" s="360">
        <v>0</v>
      </c>
      <c r="AF99" s="360">
        <v>0</v>
      </c>
      <c r="AG99" s="360">
        <v>0</v>
      </c>
      <c r="AH99" s="360">
        <v>0</v>
      </c>
      <c r="AI99" s="256"/>
      <c r="AJ99" s="257"/>
      <c r="AK99" s="257"/>
    </row>
    <row r="100" spans="2:37">
      <c r="B100" s="189" t="s">
        <v>301</v>
      </c>
      <c r="C100" s="360">
        <v>0</v>
      </c>
      <c r="D100" s="360">
        <v>0</v>
      </c>
      <c r="E100" s="360">
        <v>0</v>
      </c>
      <c r="F100" s="360">
        <v>0</v>
      </c>
      <c r="G100" s="360">
        <v>0</v>
      </c>
      <c r="H100" s="360">
        <v>0</v>
      </c>
      <c r="I100" s="360">
        <v>0</v>
      </c>
      <c r="J100" s="360">
        <v>0</v>
      </c>
      <c r="K100" s="360">
        <v>0</v>
      </c>
      <c r="L100" s="360">
        <v>0</v>
      </c>
      <c r="M100" s="360">
        <v>0</v>
      </c>
      <c r="N100" s="360">
        <v>0</v>
      </c>
      <c r="O100" s="360">
        <v>0</v>
      </c>
      <c r="P100" s="360">
        <v>0</v>
      </c>
      <c r="Q100" s="360">
        <v>-42.87</v>
      </c>
      <c r="R100" s="360">
        <v>-1.28</v>
      </c>
      <c r="S100" s="360">
        <v>-5.1999999999999998E-2</v>
      </c>
      <c r="T100" s="360">
        <v>-0.21</v>
      </c>
      <c r="U100" s="360">
        <v>0</v>
      </c>
      <c r="V100" s="360">
        <v>0</v>
      </c>
      <c r="W100" s="360">
        <v>0</v>
      </c>
      <c r="X100" s="360">
        <v>0</v>
      </c>
      <c r="Y100" s="360">
        <v>0</v>
      </c>
      <c r="Z100" s="360">
        <v>0</v>
      </c>
      <c r="AA100" s="360"/>
      <c r="AB100" s="360"/>
      <c r="AC100" s="360">
        <v>0</v>
      </c>
      <c r="AD100" s="360">
        <v>0</v>
      </c>
      <c r="AE100" s="360">
        <v>0</v>
      </c>
      <c r="AF100" s="360">
        <v>0</v>
      </c>
      <c r="AG100" s="360">
        <v>0</v>
      </c>
      <c r="AH100" s="360">
        <v>0</v>
      </c>
      <c r="AI100" s="256"/>
      <c r="AJ100" s="257"/>
      <c r="AK100" s="257"/>
    </row>
    <row r="101" spans="2:37">
      <c r="B101" s="189" t="s">
        <v>318</v>
      </c>
      <c r="C101" s="360">
        <v>0</v>
      </c>
      <c r="D101" s="360">
        <v>-205.983</v>
      </c>
      <c r="E101" s="360">
        <v>0</v>
      </c>
      <c r="F101" s="360">
        <v>0</v>
      </c>
      <c r="G101" s="360">
        <v>0</v>
      </c>
      <c r="H101" s="360">
        <v>0</v>
      </c>
      <c r="I101" s="360">
        <v>0</v>
      </c>
      <c r="J101" s="360">
        <v>0</v>
      </c>
      <c r="K101" s="360">
        <v>0</v>
      </c>
      <c r="L101" s="360">
        <v>-14</v>
      </c>
      <c r="M101" s="360">
        <v>0</v>
      </c>
      <c r="N101" s="360">
        <v>-23.510999999999999</v>
      </c>
      <c r="O101" s="360">
        <v>-380.5</v>
      </c>
      <c r="P101" s="360">
        <v>-37.195</v>
      </c>
      <c r="Q101" s="360">
        <v>10.673</v>
      </c>
      <c r="R101" s="360">
        <v>0</v>
      </c>
      <c r="S101" s="360">
        <v>0</v>
      </c>
      <c r="T101" s="360">
        <v>0</v>
      </c>
      <c r="U101" s="360">
        <v>0</v>
      </c>
      <c r="V101" s="360">
        <v>0</v>
      </c>
      <c r="W101" s="360"/>
      <c r="X101" s="360">
        <v>0</v>
      </c>
      <c r="Y101" s="360">
        <v>0</v>
      </c>
      <c r="Z101" s="360">
        <v>0</v>
      </c>
      <c r="AA101" s="360"/>
      <c r="AB101" s="360"/>
      <c r="AC101" s="360">
        <v>0</v>
      </c>
      <c r="AD101" s="360">
        <v>0</v>
      </c>
      <c r="AE101" s="360">
        <v>0</v>
      </c>
      <c r="AF101" s="360">
        <v>0</v>
      </c>
      <c r="AG101" s="360">
        <v>0</v>
      </c>
      <c r="AH101" s="360">
        <v>0</v>
      </c>
      <c r="AI101" s="256"/>
      <c r="AJ101" s="257"/>
      <c r="AK101" s="257"/>
    </row>
    <row r="102" spans="2:37">
      <c r="B102" s="189" t="s">
        <v>321</v>
      </c>
      <c r="C102" s="360">
        <v>0</v>
      </c>
      <c r="D102" s="360">
        <v>0</v>
      </c>
      <c r="E102" s="360">
        <v>0</v>
      </c>
      <c r="F102" s="360">
        <v>0</v>
      </c>
      <c r="G102" s="360">
        <v>0</v>
      </c>
      <c r="H102" s="360">
        <v>-8.4</v>
      </c>
      <c r="I102" s="360">
        <v>8.4</v>
      </c>
      <c r="J102" s="360">
        <v>0</v>
      </c>
      <c r="K102" s="360">
        <v>0</v>
      </c>
      <c r="L102" s="360">
        <v>0</v>
      </c>
      <c r="M102" s="360">
        <v>0</v>
      </c>
      <c r="N102" s="360">
        <v>0</v>
      </c>
      <c r="O102" s="360">
        <v>0</v>
      </c>
      <c r="P102" s="360">
        <v>0</v>
      </c>
      <c r="Q102" s="360">
        <v>0</v>
      </c>
      <c r="R102" s="360">
        <v>0</v>
      </c>
      <c r="S102" s="360">
        <v>0</v>
      </c>
      <c r="T102" s="360">
        <v>0</v>
      </c>
      <c r="U102" s="360">
        <v>0</v>
      </c>
      <c r="V102" s="360">
        <v>0</v>
      </c>
      <c r="W102" s="360"/>
      <c r="X102" s="360">
        <v>0</v>
      </c>
      <c r="Y102" s="360">
        <v>0</v>
      </c>
      <c r="Z102" s="360">
        <v>0</v>
      </c>
      <c r="AA102" s="360"/>
      <c r="AB102" s="360"/>
      <c r="AC102" s="360">
        <v>0</v>
      </c>
      <c r="AD102" s="360">
        <v>0</v>
      </c>
      <c r="AE102" s="360">
        <v>0</v>
      </c>
      <c r="AF102" s="360">
        <v>0</v>
      </c>
      <c r="AG102" s="360">
        <v>0</v>
      </c>
      <c r="AH102" s="360">
        <v>0</v>
      </c>
      <c r="AI102" s="256"/>
      <c r="AJ102" s="257"/>
      <c r="AK102" s="257"/>
    </row>
    <row r="103" spans="2:37" s="70" customFormat="1">
      <c r="B103" s="189" t="s">
        <v>305</v>
      </c>
      <c r="C103" s="360">
        <v>0</v>
      </c>
      <c r="D103" s="360">
        <v>-12.763999999999999</v>
      </c>
      <c r="E103" s="360">
        <v>4.7E-2</v>
      </c>
      <c r="F103" s="360">
        <v>8.2000000000000003E-2</v>
      </c>
      <c r="G103" s="360">
        <v>0</v>
      </c>
      <c r="H103" s="360">
        <v>0</v>
      </c>
      <c r="I103" s="360">
        <v>-1.149</v>
      </c>
      <c r="J103" s="360">
        <v>-54.066000000000003</v>
      </c>
      <c r="K103" s="360">
        <v>0</v>
      </c>
      <c r="L103" s="360">
        <v>-21.419</v>
      </c>
      <c r="M103" s="360">
        <v>21.419</v>
      </c>
      <c r="N103" s="360">
        <v>0</v>
      </c>
      <c r="O103" s="360">
        <v>0</v>
      </c>
      <c r="P103" s="360">
        <v>-33.158999999999999</v>
      </c>
      <c r="Q103" s="360">
        <v>21.768000000000001</v>
      </c>
      <c r="R103" s="360">
        <v>0</v>
      </c>
      <c r="S103" s="360">
        <v>0</v>
      </c>
      <c r="T103" s="360">
        <v>-217.24100000000001</v>
      </c>
      <c r="U103" s="360">
        <v>0</v>
      </c>
      <c r="V103" s="360">
        <v>-106.84899999999996</v>
      </c>
      <c r="W103" s="360"/>
      <c r="X103" s="360">
        <v>0</v>
      </c>
      <c r="Y103" s="360">
        <v>0</v>
      </c>
      <c r="Z103" s="360">
        <v>-82.845694279999989</v>
      </c>
      <c r="AA103" s="360"/>
      <c r="AB103" s="360"/>
      <c r="AC103" s="360">
        <v>-59</v>
      </c>
      <c r="AD103" s="360">
        <v>-70.814999999999998</v>
      </c>
      <c r="AE103" s="360">
        <v>0</v>
      </c>
      <c r="AF103" s="360">
        <v>-11</v>
      </c>
      <c r="AG103" s="360">
        <v>-48</v>
      </c>
      <c r="AH103" s="360">
        <v>-36</v>
      </c>
      <c r="AI103" s="257"/>
      <c r="AJ103" s="257"/>
      <c r="AK103" s="257"/>
    </row>
    <row r="104" spans="2:37">
      <c r="B104" s="189" t="s">
        <v>156</v>
      </c>
      <c r="C104" s="360">
        <v>0</v>
      </c>
      <c r="D104" s="360">
        <v>0</v>
      </c>
      <c r="E104" s="360">
        <v>-113.76900000000001</v>
      </c>
      <c r="F104" s="360">
        <v>-34.103999999999999</v>
      </c>
      <c r="G104" s="360">
        <v>0</v>
      </c>
      <c r="H104" s="360">
        <v>0</v>
      </c>
      <c r="I104" s="360">
        <v>118.282</v>
      </c>
      <c r="J104" s="360">
        <v>-118.27200000000001</v>
      </c>
      <c r="K104" s="360">
        <v>0</v>
      </c>
      <c r="L104" s="360">
        <v>-29.975999999999999</v>
      </c>
      <c r="M104" s="360">
        <v>-47.094000000000001</v>
      </c>
      <c r="N104" s="360">
        <v>79.138000000000005</v>
      </c>
      <c r="O104" s="360">
        <v>4.7480000000000002</v>
      </c>
      <c r="P104" s="360">
        <v>1.7450000000000001</v>
      </c>
      <c r="Q104" s="360">
        <v>2.113</v>
      </c>
      <c r="R104" s="360">
        <v>7.42</v>
      </c>
      <c r="S104" s="360">
        <v>2.145</v>
      </c>
      <c r="T104" s="360">
        <v>3.64</v>
      </c>
      <c r="U104" s="360">
        <v>-1</v>
      </c>
      <c r="V104" s="360">
        <v>-0.69399999999999995</v>
      </c>
      <c r="W104" s="360">
        <v>1.619</v>
      </c>
      <c r="X104" s="360">
        <v>22</v>
      </c>
      <c r="Y104" s="360">
        <f>35-SUM(W104:X104)</f>
        <v>11.381</v>
      </c>
      <c r="Z104" s="360">
        <v>9.4580000000000002</v>
      </c>
      <c r="AA104" s="360">
        <f>19002/1000</f>
        <v>19.001999999999999</v>
      </c>
      <c r="AB104" s="360">
        <f>80376/10^3-AA104</f>
        <v>61.374000000000009</v>
      </c>
      <c r="AC104" s="360">
        <v>-18</v>
      </c>
      <c r="AD104" s="360">
        <v>153.37100000000001</v>
      </c>
      <c r="AE104" s="360">
        <v>-35</v>
      </c>
      <c r="AF104" s="360">
        <v>-29</v>
      </c>
      <c r="AG104" s="360">
        <v>-18</v>
      </c>
      <c r="AH104" s="360">
        <v>5</v>
      </c>
      <c r="AI104" s="256"/>
      <c r="AJ104" s="257"/>
      <c r="AK104" s="257"/>
    </row>
    <row r="105" spans="2:37">
      <c r="B105" s="189" t="s">
        <v>298</v>
      </c>
      <c r="C105" s="360">
        <v>-45.844000000000001</v>
      </c>
      <c r="D105" s="360">
        <v>-31.87</v>
      </c>
      <c r="E105" s="360">
        <v>-109.986</v>
      </c>
      <c r="F105" s="360">
        <v>-29.940999999999999</v>
      </c>
      <c r="G105" s="360">
        <v>-20.9</v>
      </c>
      <c r="H105" s="360">
        <v>-1028.2190000000001</v>
      </c>
      <c r="I105" s="360">
        <v>-51.475000000000001</v>
      </c>
      <c r="J105" s="360">
        <v>-21.082000000000001</v>
      </c>
      <c r="K105" s="360">
        <v>-21.158000000000001</v>
      </c>
      <c r="L105" s="360">
        <v>-10.835000000000001</v>
      </c>
      <c r="M105" s="360">
        <v>-89.010999999999996</v>
      </c>
      <c r="N105" s="360">
        <v>-187.685</v>
      </c>
      <c r="O105" s="360">
        <v>-26.893999999999998</v>
      </c>
      <c r="P105" s="360">
        <v>-5.1070000000000002</v>
      </c>
      <c r="Q105" s="360">
        <v>-33.692999999999998</v>
      </c>
      <c r="R105" s="360">
        <v>-289.04700000000003</v>
      </c>
      <c r="S105" s="360">
        <v>-4.8109999999999999</v>
      </c>
      <c r="T105" s="360">
        <v>-61.133000000000003</v>
      </c>
      <c r="U105" s="360">
        <v>-441</v>
      </c>
      <c r="V105" s="360">
        <v>-4.5910000000000082</v>
      </c>
      <c r="W105" s="360">
        <v>-4.8109999999999999</v>
      </c>
      <c r="X105" s="360">
        <v>-5</v>
      </c>
      <c r="Y105" s="360">
        <f>-294-SUM(W105:X105)</f>
        <v>-284.18900000000002</v>
      </c>
      <c r="Z105" s="360">
        <v>-5.3449999999999998</v>
      </c>
      <c r="AA105" s="360">
        <v>-6.4089999999999998</v>
      </c>
      <c r="AB105" s="360">
        <f>-12331/10^3-AA105</f>
        <v>-5.9219999999999997</v>
      </c>
      <c r="AC105" s="360">
        <v>-476</v>
      </c>
      <c r="AD105" s="360">
        <v>-578.10700000000008</v>
      </c>
      <c r="AE105" s="360">
        <v>-513</v>
      </c>
      <c r="AF105" s="360">
        <v>-7</v>
      </c>
      <c r="AG105" s="360">
        <v>-570</v>
      </c>
      <c r="AH105" s="360">
        <v>-10</v>
      </c>
      <c r="AI105" s="256"/>
      <c r="AJ105" s="257"/>
      <c r="AK105" s="257"/>
    </row>
    <row r="106" spans="2:37">
      <c r="B106" s="189" t="s">
        <v>299</v>
      </c>
      <c r="C106" s="360">
        <v>0</v>
      </c>
      <c r="D106" s="360">
        <v>0</v>
      </c>
      <c r="E106" s="360">
        <v>0</v>
      </c>
      <c r="F106" s="360">
        <v>0</v>
      </c>
      <c r="G106" s="360">
        <v>-3.2280000000000002</v>
      </c>
      <c r="H106" s="360">
        <v>3.2280000000000002</v>
      </c>
      <c r="I106" s="360">
        <v>-13.792</v>
      </c>
      <c r="J106" s="360">
        <v>-1.7849999999999999</v>
      </c>
      <c r="K106" s="360">
        <v>-3.1080000000000001</v>
      </c>
      <c r="L106" s="360">
        <v>-1.8939999999999999</v>
      </c>
      <c r="M106" s="360">
        <v>-4.4749999999999996</v>
      </c>
      <c r="N106" s="360">
        <v>-8.6440000000000001</v>
      </c>
      <c r="O106" s="360">
        <v>-4.0860000000000003</v>
      </c>
      <c r="P106" s="360">
        <v>-4.4569999999999999</v>
      </c>
      <c r="Q106" s="360">
        <v>-16.751999999999999</v>
      </c>
      <c r="R106" s="360">
        <v>-7.6289999999999996</v>
      </c>
      <c r="S106" s="360">
        <v>-7.3150000000000004</v>
      </c>
      <c r="T106" s="360">
        <v>-7.5679999999999996</v>
      </c>
      <c r="U106" s="360">
        <v>-8</v>
      </c>
      <c r="V106" s="360">
        <v>-7.1189999999999998</v>
      </c>
      <c r="W106" s="360">
        <v>-8.718</v>
      </c>
      <c r="X106" s="360">
        <v>-5</v>
      </c>
      <c r="Y106" s="360">
        <f>-22-SUM(W106:X106)</f>
        <v>-8.282</v>
      </c>
      <c r="Z106" s="360">
        <v>-13.356999999999999</v>
      </c>
      <c r="AA106" s="360">
        <v>-8.1470000000000002</v>
      </c>
      <c r="AB106" s="360">
        <f>-12918/10^3-AA106</f>
        <v>-4.770999999999999</v>
      </c>
      <c r="AC106" s="360">
        <v>-14</v>
      </c>
      <c r="AD106" s="360">
        <v>-33.566000000000003</v>
      </c>
      <c r="AE106" s="360">
        <v>-22</v>
      </c>
      <c r="AF106" s="360">
        <v>-20</v>
      </c>
      <c r="AG106" s="360">
        <v>-20</v>
      </c>
      <c r="AH106" s="360">
        <v>-32</v>
      </c>
      <c r="AI106" s="256"/>
      <c r="AJ106" s="257"/>
      <c r="AK106" s="257"/>
    </row>
    <row r="107" spans="2:37">
      <c r="B107" s="189" t="s">
        <v>499</v>
      </c>
      <c r="C107" s="360"/>
      <c r="D107" s="360"/>
      <c r="E107" s="360"/>
      <c r="F107" s="360"/>
      <c r="G107" s="360"/>
      <c r="H107" s="360"/>
      <c r="I107" s="360"/>
      <c r="J107" s="360"/>
      <c r="K107" s="360"/>
      <c r="L107" s="360"/>
      <c r="M107" s="360"/>
      <c r="N107" s="360"/>
      <c r="O107" s="360"/>
      <c r="P107" s="360"/>
      <c r="Q107" s="360"/>
      <c r="R107" s="360"/>
      <c r="S107" s="360"/>
      <c r="T107" s="360"/>
      <c r="U107" s="360"/>
      <c r="V107" s="360"/>
      <c r="W107" s="360"/>
      <c r="X107" s="360"/>
      <c r="Y107" s="360"/>
      <c r="Z107" s="360"/>
      <c r="AA107" s="360">
        <f>20871/1000</f>
        <v>20.870999999999999</v>
      </c>
      <c r="AB107" s="360">
        <f>20871/10^3-AA107</f>
        <v>0</v>
      </c>
      <c r="AC107" s="360">
        <v>0</v>
      </c>
      <c r="AD107" s="360">
        <v>0</v>
      </c>
      <c r="AE107" s="360">
        <v>0</v>
      </c>
      <c r="AF107" s="360">
        <v>0</v>
      </c>
      <c r="AG107" s="360">
        <v>0</v>
      </c>
      <c r="AH107" s="360">
        <v>0</v>
      </c>
      <c r="AI107" s="256"/>
      <c r="AJ107" s="257"/>
      <c r="AK107" s="257"/>
    </row>
    <row r="108" spans="2:37">
      <c r="B108" s="189" t="s">
        <v>166</v>
      </c>
      <c r="C108" s="360">
        <v>-79.858000000000004</v>
      </c>
      <c r="D108" s="360">
        <v>-30.635000000000002</v>
      </c>
      <c r="E108" s="360">
        <v>-178.154</v>
      </c>
      <c r="F108" s="360">
        <v>288.64699999999999</v>
      </c>
      <c r="G108" s="360">
        <v>-3.0179999999999998</v>
      </c>
      <c r="H108" s="360">
        <v>-76.891000000000005</v>
      </c>
      <c r="I108" s="360">
        <v>-71.224999999999994</v>
      </c>
      <c r="J108" s="360">
        <v>151.13399999999999</v>
      </c>
      <c r="K108" s="360">
        <v>0</v>
      </c>
      <c r="L108" s="360">
        <v>0</v>
      </c>
      <c r="M108" s="360">
        <v>0</v>
      </c>
      <c r="N108" s="360">
        <v>0</v>
      </c>
      <c r="O108" s="360">
        <v>0</v>
      </c>
      <c r="P108" s="360">
        <v>0</v>
      </c>
      <c r="Q108" s="360">
        <v>0</v>
      </c>
      <c r="R108" s="360">
        <v>0</v>
      </c>
      <c r="S108" s="360">
        <v>0</v>
      </c>
      <c r="T108" s="360">
        <v>0</v>
      </c>
      <c r="U108" s="360">
        <v>0</v>
      </c>
      <c r="V108" s="360">
        <v>0</v>
      </c>
      <c r="W108" s="360"/>
      <c r="X108" s="360">
        <v>0</v>
      </c>
      <c r="Y108" s="360">
        <v>0</v>
      </c>
      <c r="Z108" s="360">
        <v>0</v>
      </c>
      <c r="AA108" s="360">
        <v>0</v>
      </c>
      <c r="AB108" s="360">
        <v>0</v>
      </c>
      <c r="AC108" s="360">
        <v>0</v>
      </c>
      <c r="AD108" s="360">
        <v>0</v>
      </c>
      <c r="AE108" s="360">
        <v>0</v>
      </c>
      <c r="AF108" s="360">
        <v>0</v>
      </c>
      <c r="AG108" s="360">
        <v>0</v>
      </c>
      <c r="AH108" s="360">
        <v>0</v>
      </c>
      <c r="AI108" s="256"/>
      <c r="AJ108" s="257"/>
      <c r="AK108" s="257"/>
    </row>
    <row r="109" spans="2:37">
      <c r="B109" s="372"/>
      <c r="C109" s="360"/>
      <c r="D109" s="360"/>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v>0</v>
      </c>
      <c r="AG109" s="360">
        <v>0</v>
      </c>
      <c r="AH109" s="360"/>
      <c r="AI109" s="256"/>
      <c r="AK109" s="257"/>
    </row>
    <row r="110" spans="2:37" ht="14.4" thickBot="1">
      <c r="B110" s="72" t="s">
        <v>291</v>
      </c>
      <c r="C110" s="361">
        <f t="shared" ref="C110:AF110" si="9">SUM(C96:C108)</f>
        <v>-125.702</v>
      </c>
      <c r="D110" s="361">
        <f t="shared" si="9"/>
        <v>-272.38100000000003</v>
      </c>
      <c r="E110" s="361">
        <f t="shared" si="9"/>
        <v>-375.78200000000004</v>
      </c>
      <c r="F110" s="361">
        <f t="shared" si="9"/>
        <v>224.63499999999999</v>
      </c>
      <c r="G110" s="361">
        <f t="shared" si="9"/>
        <v>-27.146000000000001</v>
      </c>
      <c r="H110" s="361">
        <f t="shared" si="9"/>
        <v>-25.402000000000037</v>
      </c>
      <c r="I110" s="361">
        <f t="shared" si="9"/>
        <v>79.041000000000025</v>
      </c>
      <c r="J110" s="361">
        <f t="shared" si="9"/>
        <v>-43.783000000000015</v>
      </c>
      <c r="K110" s="361">
        <f t="shared" si="9"/>
        <v>225.73399999999998</v>
      </c>
      <c r="L110" s="361">
        <f t="shared" si="9"/>
        <v>-45.123999999999995</v>
      </c>
      <c r="M110" s="361">
        <f t="shared" si="9"/>
        <v>130.839</v>
      </c>
      <c r="N110" s="361">
        <f t="shared" si="9"/>
        <v>-140.702</v>
      </c>
      <c r="O110" s="361">
        <f t="shared" si="9"/>
        <v>-406.73200000000003</v>
      </c>
      <c r="P110" s="361">
        <f t="shared" si="9"/>
        <v>-78.172999999999988</v>
      </c>
      <c r="Q110" s="361">
        <f t="shared" si="9"/>
        <v>641.23900000000015</v>
      </c>
      <c r="R110" s="361">
        <f t="shared" si="9"/>
        <v>18.392000000000017</v>
      </c>
      <c r="S110" s="361">
        <f t="shared" si="9"/>
        <v>-10.033000000000001</v>
      </c>
      <c r="T110" s="361">
        <f t="shared" si="9"/>
        <v>-282.512</v>
      </c>
      <c r="U110" s="361">
        <f t="shared" si="9"/>
        <v>49</v>
      </c>
      <c r="V110" s="361">
        <f t="shared" si="9"/>
        <v>-66.860999999999962</v>
      </c>
      <c r="W110" s="361">
        <f t="shared" si="9"/>
        <v>724.75400000000002</v>
      </c>
      <c r="X110" s="361">
        <f t="shared" si="9"/>
        <v>512</v>
      </c>
      <c r="Y110" s="361">
        <f t="shared" si="9"/>
        <v>214.24599999999995</v>
      </c>
      <c r="Z110" s="361">
        <f t="shared" si="9"/>
        <v>-59.170694279999992</v>
      </c>
      <c r="AA110" s="361">
        <f t="shared" si="9"/>
        <v>25.317</v>
      </c>
      <c r="AB110" s="361">
        <f t="shared" si="9"/>
        <v>548.726</v>
      </c>
      <c r="AC110" s="361">
        <f t="shared" si="9"/>
        <v>-567</v>
      </c>
      <c r="AD110" s="361">
        <f t="shared" si="9"/>
        <v>-503.21600000000012</v>
      </c>
      <c r="AE110" s="361">
        <f t="shared" si="9"/>
        <v>-561</v>
      </c>
      <c r="AF110" s="361">
        <f t="shared" si="9"/>
        <v>-34</v>
      </c>
      <c r="AG110" s="361">
        <f>SUM(AG96:AG109)</f>
        <v>407</v>
      </c>
      <c r="AH110" s="361">
        <f>SUM(AH96:AH109)</f>
        <v>-76</v>
      </c>
      <c r="AK110" s="257"/>
    </row>
    <row r="111" spans="2:37">
      <c r="B111" s="255"/>
      <c r="C111" s="358"/>
      <c r="D111" s="358"/>
      <c r="E111" s="358"/>
      <c r="F111" s="358"/>
      <c r="G111" s="358"/>
      <c r="H111" s="358"/>
      <c r="I111" s="358"/>
      <c r="J111" s="358"/>
      <c r="K111" s="358"/>
      <c r="L111" s="358"/>
      <c r="M111" s="358"/>
      <c r="N111" s="358"/>
      <c r="O111" s="358"/>
      <c r="P111" s="358"/>
      <c r="Q111" s="358"/>
      <c r="R111" s="358"/>
      <c r="S111" s="358"/>
      <c r="T111" s="358"/>
      <c r="U111" s="358"/>
      <c r="V111" s="358"/>
      <c r="W111" s="358"/>
      <c r="X111" s="358"/>
      <c r="Y111" s="358"/>
      <c r="Z111" s="358"/>
      <c r="AA111" s="358"/>
      <c r="AB111" s="358"/>
      <c r="AC111" s="358"/>
      <c r="AD111" s="360"/>
      <c r="AE111" s="358"/>
      <c r="AF111" s="358"/>
      <c r="AG111" s="358"/>
      <c r="AH111" s="358"/>
      <c r="AK111" s="257"/>
    </row>
    <row r="112" spans="2:37">
      <c r="B112" s="74" t="s">
        <v>534</v>
      </c>
      <c r="C112" s="358"/>
      <c r="D112" s="358"/>
      <c r="E112" s="358"/>
      <c r="F112" s="358"/>
      <c r="G112" s="358"/>
      <c r="H112" s="358"/>
      <c r="I112" s="358"/>
      <c r="J112" s="358"/>
      <c r="K112" s="358"/>
      <c r="L112" s="358"/>
      <c r="M112" s="358"/>
      <c r="N112" s="358"/>
      <c r="O112" s="358"/>
      <c r="P112" s="358"/>
      <c r="Q112" s="358"/>
      <c r="R112" s="358"/>
      <c r="S112" s="358"/>
      <c r="T112" s="358"/>
      <c r="U112" s="358"/>
      <c r="V112" s="358"/>
      <c r="W112" s="358"/>
      <c r="X112" s="358"/>
      <c r="Y112" s="358"/>
      <c r="Z112" s="358"/>
      <c r="AA112" s="358"/>
      <c r="AB112" s="358"/>
      <c r="AC112" s="358"/>
      <c r="AD112" s="360"/>
      <c r="AE112" s="360">
        <v>-43</v>
      </c>
      <c r="AF112" s="360">
        <v>-8</v>
      </c>
      <c r="AG112" s="358">
        <v>0</v>
      </c>
      <c r="AH112" s="358">
        <v>10</v>
      </c>
    </row>
    <row r="113" spans="2:34">
      <c r="B113" s="74" t="s">
        <v>294</v>
      </c>
      <c r="C113" s="360">
        <v>27.683999999999997</v>
      </c>
      <c r="D113" s="360">
        <v>1.6149999999999523</v>
      </c>
      <c r="E113" s="360">
        <v>-16.108999999999867</v>
      </c>
      <c r="F113" s="360">
        <v>84.767000000000053</v>
      </c>
      <c r="G113" s="360">
        <v>-40.105000000000047</v>
      </c>
      <c r="H113" s="360">
        <v>-16.981000000000023</v>
      </c>
      <c r="I113" s="360">
        <v>27.993000000000045</v>
      </c>
      <c r="J113" s="360">
        <v>102.60299999999992</v>
      </c>
      <c r="K113" s="360">
        <v>3.5329999999999977</v>
      </c>
      <c r="L113" s="360">
        <v>-21.814999999999984</v>
      </c>
      <c r="M113" s="360">
        <v>285.96100000000007</v>
      </c>
      <c r="N113" s="360">
        <v>174.43800000000007</v>
      </c>
      <c r="O113" s="360">
        <v>-117.81400000000008</v>
      </c>
      <c r="P113" s="360">
        <v>-219.3370000000001</v>
      </c>
      <c r="Q113" s="360">
        <v>391.01800000000026</v>
      </c>
      <c r="R113" s="360">
        <v>762.75400000000002</v>
      </c>
      <c r="S113" s="360">
        <v>-197.92500000000001</v>
      </c>
      <c r="T113" s="360">
        <v>-140.84900000000005</v>
      </c>
      <c r="U113" s="360">
        <v>51</v>
      </c>
      <c r="V113" s="360">
        <v>-328.12699999999978</v>
      </c>
      <c r="W113" s="360">
        <v>37</v>
      </c>
      <c r="X113" s="360">
        <v>142</v>
      </c>
      <c r="Y113" s="360">
        <v>-90.943999999999917</v>
      </c>
      <c r="Z113" s="360">
        <v>413.67700000000013</v>
      </c>
      <c r="AA113" s="360">
        <v>-277.33699999999999</v>
      </c>
      <c r="AB113" s="360">
        <v>507.40199999999999</v>
      </c>
      <c r="AC113" s="360">
        <v>-297</v>
      </c>
      <c r="AD113" s="360">
        <v>-141.03500000000008</v>
      </c>
      <c r="AE113" s="360">
        <v>-489</v>
      </c>
      <c r="AF113" s="360">
        <v>-73</v>
      </c>
      <c r="AG113" s="360">
        <v>523</v>
      </c>
      <c r="AH113" s="360">
        <v>158</v>
      </c>
    </row>
    <row r="114" spans="2:34">
      <c r="B114" s="74" t="s">
        <v>339</v>
      </c>
      <c r="C114" s="360"/>
      <c r="D114" s="360"/>
      <c r="E114" s="360"/>
      <c r="F114" s="360"/>
      <c r="G114" s="360"/>
      <c r="H114" s="360"/>
      <c r="I114" s="360"/>
      <c r="J114" s="360"/>
      <c r="K114" s="360"/>
      <c r="L114" s="360"/>
      <c r="M114" s="360"/>
      <c r="N114" s="360"/>
      <c r="O114" s="360"/>
      <c r="P114" s="360"/>
      <c r="Q114" s="360"/>
      <c r="R114" s="360"/>
      <c r="S114" s="360"/>
      <c r="T114" s="360"/>
      <c r="U114" s="360"/>
      <c r="V114" s="360"/>
      <c r="W114" s="360"/>
      <c r="X114" s="360">
        <v>0</v>
      </c>
      <c r="Y114" s="360"/>
      <c r="Z114" s="360"/>
      <c r="AA114" s="360"/>
      <c r="AB114" s="360"/>
      <c r="AC114" s="360"/>
      <c r="AD114" s="360"/>
      <c r="AE114" s="360">
        <v>0</v>
      </c>
      <c r="AF114" s="360">
        <v>0</v>
      </c>
      <c r="AG114" s="360">
        <v>0</v>
      </c>
      <c r="AH114" s="360">
        <v>0</v>
      </c>
    </row>
    <row r="115" spans="2:34">
      <c r="B115" s="74" t="s">
        <v>295</v>
      </c>
      <c r="C115" s="360">
        <v>0</v>
      </c>
      <c r="D115" s="360">
        <v>0</v>
      </c>
      <c r="E115" s="360">
        <v>0</v>
      </c>
      <c r="F115" s="360">
        <v>0</v>
      </c>
      <c r="G115" s="360">
        <v>0</v>
      </c>
      <c r="H115" s="360">
        <v>0</v>
      </c>
      <c r="I115" s="360">
        <v>0</v>
      </c>
      <c r="J115" s="360">
        <v>0</v>
      </c>
      <c r="K115" s="360">
        <v>6.8369999999999997</v>
      </c>
      <c r="L115" s="360">
        <v>0</v>
      </c>
      <c r="M115" s="360">
        <v>0</v>
      </c>
      <c r="N115" s="360">
        <v>0</v>
      </c>
      <c r="O115" s="360">
        <v>0</v>
      </c>
      <c r="P115" s="360">
        <v>0</v>
      </c>
      <c r="Q115" s="360">
        <v>0</v>
      </c>
      <c r="R115" s="360">
        <v>0</v>
      </c>
      <c r="S115" s="360">
        <v>11.589</v>
      </c>
      <c r="T115" s="360">
        <v>4.0579999999999998</v>
      </c>
      <c r="U115" s="360">
        <v>0</v>
      </c>
      <c r="V115" s="360">
        <v>0</v>
      </c>
      <c r="W115" s="360">
        <v>0</v>
      </c>
      <c r="X115" s="360">
        <v>0</v>
      </c>
      <c r="Y115" s="360">
        <v>0</v>
      </c>
      <c r="Z115" s="360">
        <v>0</v>
      </c>
      <c r="AA115" s="360"/>
      <c r="AB115" s="360"/>
      <c r="AC115" s="360"/>
      <c r="AD115" s="360"/>
      <c r="AE115" s="360">
        <v>0</v>
      </c>
      <c r="AF115" s="360">
        <v>0</v>
      </c>
      <c r="AG115" s="360">
        <v>0</v>
      </c>
      <c r="AH115" s="360">
        <v>0</v>
      </c>
    </row>
    <row r="116" spans="2:34">
      <c r="B116" s="74"/>
      <c r="C116" s="360"/>
      <c r="D116" s="360"/>
      <c r="E116" s="360"/>
      <c r="F116" s="360"/>
      <c r="G116" s="360"/>
      <c r="H116" s="360"/>
      <c r="I116" s="360"/>
      <c r="J116" s="360"/>
      <c r="K116" s="360"/>
      <c r="L116" s="360"/>
      <c r="M116" s="360"/>
      <c r="N116" s="360"/>
      <c r="O116" s="360"/>
      <c r="P116" s="360"/>
      <c r="Q116" s="360"/>
      <c r="R116" s="360"/>
      <c r="S116" s="360"/>
      <c r="T116" s="360"/>
      <c r="U116" s="360"/>
      <c r="V116" s="360"/>
      <c r="W116" s="360"/>
      <c r="X116" s="360"/>
      <c r="Y116" s="360"/>
      <c r="Z116" s="360"/>
      <c r="AA116" s="360"/>
      <c r="AB116" s="360"/>
      <c r="AC116" s="360"/>
      <c r="AD116" s="391"/>
      <c r="AE116" s="360"/>
      <c r="AF116" s="360"/>
      <c r="AG116" s="360"/>
      <c r="AH116" s="360"/>
    </row>
    <row r="117" spans="2:34">
      <c r="B117" s="74" t="s">
        <v>296</v>
      </c>
      <c r="C117" s="391">
        <v>18.537999999999997</v>
      </c>
      <c r="D117" s="391">
        <v>46.537999999999997</v>
      </c>
      <c r="E117" s="391">
        <v>48.152999999999999</v>
      </c>
      <c r="F117" s="391">
        <v>32.043999999999997</v>
      </c>
      <c r="G117" s="391">
        <v>116.81100000000001</v>
      </c>
      <c r="H117" s="391">
        <v>76.706000000000003</v>
      </c>
      <c r="I117" s="391">
        <v>59.725000000000001</v>
      </c>
      <c r="J117" s="391">
        <v>87.718000000000004</v>
      </c>
      <c r="K117" s="391">
        <v>190.321</v>
      </c>
      <c r="L117" s="391">
        <v>193.85400000000001</v>
      </c>
      <c r="M117" s="391">
        <v>172.03899999999999</v>
      </c>
      <c r="N117" s="391">
        <v>458</v>
      </c>
      <c r="O117" s="391">
        <v>632.43799999999999</v>
      </c>
      <c r="P117" s="391">
        <v>514.62400000000002</v>
      </c>
      <c r="Q117" s="391">
        <v>296</v>
      </c>
      <c r="R117" s="391">
        <v>686</v>
      </c>
      <c r="S117" s="391">
        <v>1449.345</v>
      </c>
      <c r="T117" s="391">
        <v>1263.009</v>
      </c>
      <c r="U117" s="391">
        <v>1263.009</v>
      </c>
      <c r="V117" s="391">
        <v>1449.345</v>
      </c>
      <c r="W117" s="391">
        <v>849.08199999999999</v>
      </c>
      <c r="X117" s="391">
        <v>886</v>
      </c>
      <c r="Y117" s="391">
        <v>1028</v>
      </c>
      <c r="Z117" s="391">
        <v>937</v>
      </c>
      <c r="AA117" s="391">
        <v>1350.229</v>
      </c>
      <c r="AB117" s="391">
        <v>1072.8920000000001</v>
      </c>
      <c r="AC117" s="391">
        <v>1580.2940000000001</v>
      </c>
      <c r="AD117" s="391">
        <v>1284</v>
      </c>
      <c r="AE117" s="391">
        <v>1142</v>
      </c>
      <c r="AF117" s="391">
        <v>653</v>
      </c>
      <c r="AG117" s="391">
        <v>580</v>
      </c>
      <c r="AH117" s="391">
        <v>1100</v>
      </c>
    </row>
    <row r="118" spans="2:34">
      <c r="B118" s="74" t="s">
        <v>297</v>
      </c>
      <c r="C118" s="391">
        <v>46.537999999999997</v>
      </c>
      <c r="D118" s="391">
        <v>48.152999999999999</v>
      </c>
      <c r="E118" s="391">
        <v>32.043999999999997</v>
      </c>
      <c r="F118" s="391">
        <v>116.81100000000001</v>
      </c>
      <c r="G118" s="391">
        <v>76.706000000000003</v>
      </c>
      <c r="H118" s="391">
        <v>59.725000000000001</v>
      </c>
      <c r="I118" s="391">
        <v>87.718000000000004</v>
      </c>
      <c r="J118" s="391">
        <v>190.321</v>
      </c>
      <c r="K118" s="391">
        <v>193.85400000000001</v>
      </c>
      <c r="L118" s="391">
        <v>172.03899999999999</v>
      </c>
      <c r="M118" s="391">
        <v>458</v>
      </c>
      <c r="N118" s="391">
        <v>632.43799999999999</v>
      </c>
      <c r="O118" s="391">
        <v>514.62400000000002</v>
      </c>
      <c r="P118" s="391">
        <v>296</v>
      </c>
      <c r="Q118" s="391">
        <v>686</v>
      </c>
      <c r="R118" s="391">
        <v>1449.345</v>
      </c>
      <c r="S118" s="391">
        <v>1263.009</v>
      </c>
      <c r="T118" s="391">
        <v>1126</v>
      </c>
      <c r="U118" s="391">
        <v>1177</v>
      </c>
      <c r="V118" s="391">
        <v>849.08199999999999</v>
      </c>
      <c r="W118" s="391">
        <v>886.06299999999999</v>
      </c>
      <c r="X118" s="391">
        <v>1028</v>
      </c>
      <c r="Y118" s="391">
        <v>937</v>
      </c>
      <c r="Z118" s="391">
        <v>1350.229</v>
      </c>
      <c r="AA118" s="391">
        <v>1072.8920000000001</v>
      </c>
      <c r="AB118" s="391">
        <v>1580.2940000000001</v>
      </c>
      <c r="AC118" s="391">
        <v>1284</v>
      </c>
      <c r="AD118" s="391">
        <v>1141.9649999999999</v>
      </c>
      <c r="AE118" s="391">
        <v>653</v>
      </c>
      <c r="AF118" s="391">
        <v>580</v>
      </c>
      <c r="AG118" s="391">
        <v>1100</v>
      </c>
      <c r="AH118" s="391">
        <v>1268</v>
      </c>
    </row>
    <row r="119" spans="2:34">
      <c r="V119" s="362"/>
      <c r="W119" s="362"/>
      <c r="X119" s="362"/>
      <c r="Y119" s="362"/>
      <c r="Z119" s="362"/>
      <c r="AA119" s="362"/>
      <c r="AB119" s="362"/>
      <c r="AC119" s="362"/>
      <c r="AD119" s="362"/>
      <c r="AE119" s="362"/>
      <c r="AF119" s="362"/>
      <c r="AG119" s="362"/>
      <c r="AH119" s="362"/>
    </row>
  </sheetData>
  <phoneticPr fontId="83" type="noConversion"/>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M27"/>
  <sheetViews>
    <sheetView showGridLines="0" zoomScaleNormal="100" workbookViewId="0">
      <selection activeCell="H11" sqref="H11"/>
    </sheetView>
  </sheetViews>
  <sheetFormatPr defaultColWidth="9.21875" defaultRowHeight="13.2"/>
  <cols>
    <col min="1" max="1" width="2.21875" style="18" customWidth="1"/>
    <col min="2" max="2" width="23" style="18" customWidth="1"/>
    <col min="3" max="3" width="11.44140625" style="18" customWidth="1"/>
    <col min="4" max="11" width="9.21875" style="18"/>
    <col min="12" max="12" width="12.5546875" style="18" bestFit="1" customWidth="1"/>
    <col min="13" max="16384" width="9.21875" style="18"/>
  </cols>
  <sheetData>
    <row r="4" spans="2:13" ht="26.25" customHeight="1"/>
    <row r="5" spans="2:13" ht="16.5" customHeight="1"/>
    <row r="6" spans="2:13" ht="19.5" customHeight="1">
      <c r="B6" s="274" t="s">
        <v>33</v>
      </c>
      <c r="C6" s="78"/>
      <c r="D6" s="78"/>
      <c r="E6" s="19"/>
      <c r="F6" s="19"/>
      <c r="G6" s="19"/>
      <c r="H6" s="19"/>
      <c r="I6" s="19"/>
      <c r="J6" s="20"/>
      <c r="K6" s="20"/>
      <c r="L6" s="20"/>
      <c r="M6" s="20"/>
    </row>
    <row r="7" spans="2:13" ht="16.5" customHeight="1">
      <c r="B7" s="275" t="s">
        <v>34</v>
      </c>
      <c r="C7" s="79"/>
      <c r="D7" s="79"/>
      <c r="E7" s="79"/>
      <c r="F7" s="79"/>
      <c r="G7" s="21"/>
      <c r="H7" s="21"/>
      <c r="I7" s="21"/>
      <c r="J7" s="20"/>
      <c r="K7" s="20"/>
      <c r="L7" s="20"/>
      <c r="M7" s="20"/>
    </row>
    <row r="8" spans="2:13" ht="18.75" customHeight="1">
      <c r="B8" s="276" t="s">
        <v>35</v>
      </c>
      <c r="C8" s="79"/>
      <c r="D8" s="79"/>
      <c r="E8" s="79"/>
      <c r="F8" s="79"/>
      <c r="G8" s="21"/>
      <c r="H8" s="21"/>
      <c r="I8" s="21"/>
      <c r="J8" s="20"/>
      <c r="K8" s="20"/>
      <c r="L8" s="20"/>
      <c r="M8" s="20"/>
    </row>
    <row r="9" spans="2:13" ht="19.5" customHeight="1">
      <c r="B9" s="276" t="s">
        <v>36</v>
      </c>
      <c r="C9" s="79"/>
      <c r="D9" s="79"/>
      <c r="E9" s="79"/>
      <c r="F9" s="79"/>
      <c r="G9" s="21"/>
      <c r="H9" s="21"/>
      <c r="I9" s="21"/>
      <c r="J9" s="20"/>
      <c r="K9" s="20"/>
      <c r="L9" s="20"/>
      <c r="M9" s="20"/>
    </row>
    <row r="10" spans="2:13" ht="18" customHeight="1">
      <c r="B10" s="276" t="s">
        <v>37</v>
      </c>
      <c r="C10" s="79"/>
      <c r="D10" s="79"/>
      <c r="E10" s="79"/>
      <c r="F10" s="79"/>
      <c r="G10" s="21"/>
      <c r="H10" s="21"/>
      <c r="I10" s="21"/>
      <c r="J10" s="20"/>
      <c r="K10" s="20"/>
      <c r="L10" s="20"/>
      <c r="M10" s="20"/>
    </row>
    <row r="11" spans="2:13" ht="19.5" customHeight="1">
      <c r="B11" s="276" t="s">
        <v>38</v>
      </c>
      <c r="C11" s="79"/>
      <c r="D11" s="79"/>
      <c r="F11" s="79"/>
      <c r="G11" s="21"/>
      <c r="H11" s="21"/>
      <c r="I11" s="21"/>
      <c r="J11" s="20"/>
      <c r="K11" s="20"/>
      <c r="L11" s="23"/>
      <c r="M11" s="20"/>
    </row>
    <row r="12" spans="2:13" ht="16.5" customHeight="1">
      <c r="B12" s="277"/>
      <c r="C12" s="80"/>
      <c r="D12" s="80"/>
      <c r="E12" s="80"/>
      <c r="F12" s="80"/>
      <c r="G12" s="24"/>
      <c r="H12" s="24"/>
      <c r="I12" s="24"/>
      <c r="J12" s="25"/>
      <c r="K12" s="25"/>
      <c r="L12" s="25"/>
      <c r="M12" s="25"/>
    </row>
    <row r="13" spans="2:13" ht="21" customHeight="1">
      <c r="B13" s="278" t="s">
        <v>39</v>
      </c>
      <c r="C13" s="81"/>
      <c r="D13" s="82"/>
      <c r="E13" s="82"/>
      <c r="F13" s="82"/>
      <c r="G13" s="27"/>
      <c r="H13" s="27"/>
      <c r="I13" s="27"/>
    </row>
    <row r="14" spans="2:13" ht="15.75" customHeight="1">
      <c r="B14" s="28"/>
      <c r="C14" s="26"/>
      <c r="D14" s="27"/>
      <c r="E14" s="27"/>
      <c r="F14" s="27"/>
      <c r="G14" s="27"/>
      <c r="H14" s="27"/>
      <c r="I14" s="27"/>
    </row>
    <row r="15" spans="2:13">
      <c r="B15" s="28"/>
      <c r="C15" s="26"/>
      <c r="D15" s="27"/>
      <c r="E15" s="27"/>
      <c r="F15" s="29"/>
      <c r="G15" s="27"/>
      <c r="H15" s="27"/>
      <c r="I15" s="27"/>
    </row>
    <row r="16" spans="2:13" ht="18" customHeight="1">
      <c r="B16" s="28"/>
      <c r="C16" s="30" t="s">
        <v>0</v>
      </c>
      <c r="D16" s="26"/>
      <c r="E16" s="27"/>
      <c r="F16" s="27"/>
      <c r="G16" s="27"/>
      <c r="H16" s="27"/>
      <c r="I16" s="27"/>
      <c r="J16" s="27"/>
    </row>
    <row r="17" spans="2:13" ht="8.5500000000000007" customHeight="1">
      <c r="B17" s="27"/>
      <c r="C17" s="31"/>
      <c r="D17" s="27"/>
      <c r="E17" s="27"/>
      <c r="F17" s="27"/>
      <c r="G17" s="27"/>
      <c r="H17" s="27"/>
      <c r="I17" s="27"/>
    </row>
    <row r="18" spans="2:13">
      <c r="B18" s="32"/>
      <c r="C18" s="31"/>
      <c r="D18" s="27"/>
      <c r="E18" s="27"/>
      <c r="F18" s="27"/>
      <c r="G18" s="27"/>
      <c r="H18" s="27"/>
      <c r="I18" s="27"/>
    </row>
    <row r="19" spans="2:13" ht="13.5" customHeight="1">
      <c r="B19" s="33"/>
      <c r="C19" s="33"/>
      <c r="D19" s="33"/>
      <c r="E19" s="33"/>
      <c r="F19" s="33"/>
      <c r="G19" s="33"/>
      <c r="H19" s="33"/>
      <c r="I19" s="33"/>
    </row>
    <row r="20" spans="2:13" ht="14.25" customHeight="1">
      <c r="B20" s="33"/>
      <c r="C20" s="33"/>
      <c r="D20" s="33"/>
      <c r="E20" s="33"/>
      <c r="F20" s="33"/>
      <c r="G20" s="33"/>
      <c r="H20" s="33"/>
      <c r="I20" s="33"/>
    </row>
    <row r="21" spans="2:13">
      <c r="B21" s="33"/>
      <c r="C21" s="33"/>
      <c r="D21" s="33"/>
      <c r="E21" s="33"/>
      <c r="F21" s="33"/>
      <c r="G21" s="33"/>
      <c r="H21" s="33"/>
      <c r="I21" s="33"/>
    </row>
    <row r="22" spans="2:13" ht="12" customHeight="1">
      <c r="B22" s="33"/>
      <c r="C22" s="33"/>
      <c r="D22" s="33"/>
      <c r="E22" s="33"/>
      <c r="F22" s="33"/>
      <c r="G22" s="33"/>
      <c r="H22" s="33"/>
      <c r="I22" s="33"/>
    </row>
    <row r="23" spans="2:13" ht="19.350000000000001" customHeight="1">
      <c r="B23" s="27"/>
      <c r="C23" s="34"/>
      <c r="D23" s="34"/>
      <c r="E23" s="34"/>
      <c r="F23" s="34"/>
      <c r="G23" s="34"/>
      <c r="H23" s="34"/>
      <c r="I23" s="34"/>
      <c r="J23" s="34"/>
      <c r="K23" s="34"/>
      <c r="L23" s="34"/>
      <c r="M23" s="34"/>
    </row>
    <row r="24" spans="2:13">
      <c r="B24" s="34"/>
      <c r="C24" s="34"/>
      <c r="D24" s="34"/>
      <c r="E24" s="34"/>
      <c r="F24" s="34"/>
      <c r="G24" s="34"/>
      <c r="H24" s="34"/>
      <c r="I24" s="34"/>
      <c r="J24" s="34"/>
      <c r="K24" s="34"/>
      <c r="L24" s="34"/>
      <c r="M24" s="34"/>
    </row>
    <row r="25" spans="2:13">
      <c r="B25" s="34"/>
      <c r="C25" s="34"/>
      <c r="D25" s="34"/>
      <c r="E25" s="34"/>
      <c r="F25" s="34"/>
      <c r="G25" s="34"/>
      <c r="H25" s="34"/>
      <c r="I25" s="34"/>
      <c r="J25" s="34"/>
      <c r="K25" s="34"/>
      <c r="L25" s="34"/>
      <c r="M25" s="34"/>
    </row>
    <row r="26" spans="2:13">
      <c r="B26" s="34"/>
      <c r="C26" s="34"/>
      <c r="D26" s="34"/>
      <c r="E26" s="34"/>
      <c r="F26" s="34"/>
      <c r="G26" s="34"/>
      <c r="H26" s="34"/>
      <c r="I26" s="34"/>
      <c r="J26" s="34"/>
      <c r="K26" s="34"/>
      <c r="L26" s="34"/>
      <c r="M26" s="34"/>
    </row>
    <row r="27" spans="2:13" ht="20.55" customHeight="1">
      <c r="B27" s="33"/>
      <c r="C27" s="33"/>
      <c r="D27" s="33"/>
      <c r="E27" s="33"/>
      <c r="F27" s="33"/>
      <c r="G27" s="33"/>
      <c r="H27" s="33"/>
      <c r="I27" s="33"/>
      <c r="J27" s="33"/>
      <c r="K27" s="33"/>
      <c r="L27" s="33"/>
      <c r="M27" s="33"/>
    </row>
  </sheetData>
  <pageMargins left="0.78740157480314965" right="0.78740157480314965" top="0.98425196850393704" bottom="0.98425196850393704" header="0.51181102362204722" footer="0.51181102362204722"/>
  <pageSetup paperSize="9" scale="61" orientation="landscape" r:id="rId1"/>
  <headerFooter alignWithMargins="0"/>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73"/>
  <sheetViews>
    <sheetView showGridLines="0" zoomScaleNormal="100" workbookViewId="0">
      <selection activeCell="N7" sqref="N7"/>
    </sheetView>
  </sheetViews>
  <sheetFormatPr defaultColWidth="9.21875" defaultRowHeight="13.2"/>
  <cols>
    <col min="1" max="1" width="10.21875" style="18" customWidth="1"/>
    <col min="2" max="2" width="23.21875" style="18" customWidth="1"/>
    <col min="3" max="3" width="12.21875" style="18" customWidth="1"/>
    <col min="4" max="4" width="8.21875" style="18" customWidth="1"/>
    <col min="5" max="5" width="22.44140625" style="18" customWidth="1"/>
    <col min="6" max="6" width="6.77734375" style="18" customWidth="1"/>
    <col min="7" max="7" width="13.77734375" style="18" customWidth="1"/>
    <col min="8" max="8" width="7" style="18" customWidth="1"/>
    <col min="9" max="9" width="9.21875" style="18"/>
    <col min="10" max="10" width="5.77734375" style="18" customWidth="1"/>
    <col min="11" max="16384" width="9.21875" style="18"/>
  </cols>
  <sheetData>
    <row r="3" spans="12:12" ht="58.5" customHeight="1"/>
    <row r="6" spans="12:12" ht="18.75" customHeight="1"/>
    <row r="7" spans="12:12">
      <c r="L7" s="35"/>
    </row>
    <row r="16" spans="12:12" ht="6" customHeight="1"/>
    <row r="31" ht="24.75" customHeight="1"/>
    <row r="32" ht="11.25" hidden="1" customHeight="1"/>
    <row r="33" spans="1:2" ht="54" hidden="1" customHeight="1">
      <c r="A33" s="36"/>
      <c r="B33" s="37"/>
    </row>
    <row r="34" spans="1:2" ht="18" hidden="1" customHeight="1">
      <c r="B34" s="22"/>
    </row>
    <row r="73" spans="2:10" ht="15.6">
      <c r="B73" s="279" t="s">
        <v>40</v>
      </c>
      <c r="J73" s="279" t="s">
        <v>41</v>
      </c>
    </row>
  </sheetData>
  <hyperlinks>
    <hyperlink ref="J73" r:id="rId1"/>
  </hyperlinks>
  <pageMargins left="0.35433070866141736" right="0.31496062992125984" top="0.39370078740157483" bottom="0.23622047244094491" header="0.35433070866141736" footer="0.27559055118110237"/>
  <pageSetup paperSize="9" scale="64"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38"/>
  <sheetViews>
    <sheetView showGridLines="0" topLeftCell="D1" zoomScale="70" zoomScaleNormal="70" workbookViewId="0">
      <selection activeCell="AG10" sqref="AG10"/>
    </sheetView>
  </sheetViews>
  <sheetFormatPr defaultColWidth="8.77734375" defaultRowHeight="12.6" outlineLevelCol="1"/>
  <cols>
    <col min="1" max="1" width="2.77734375" style="429" customWidth="1"/>
    <col min="2" max="2" width="15.5546875" style="467" customWidth="1"/>
    <col min="3" max="3" width="20.5546875" style="468" bestFit="1" customWidth="1"/>
    <col min="4" max="4" width="24.21875" style="469" customWidth="1"/>
    <col min="5" max="5" width="42.44140625" style="469" customWidth="1"/>
    <col min="6" max="6" width="20.77734375" style="469" bestFit="1" customWidth="1"/>
    <col min="7" max="7" width="17.21875" style="469" bestFit="1" customWidth="1"/>
    <col min="8" max="11" width="10.5546875" style="469" hidden="1" customWidth="1" outlineLevel="1"/>
    <col min="12" max="12" width="15.5546875" style="470" customWidth="1" collapsed="1"/>
    <col min="13" max="16" width="10.5546875" style="469" hidden="1" customWidth="1" outlineLevel="1"/>
    <col min="17" max="17" width="15.5546875" style="470" customWidth="1" collapsed="1"/>
    <col min="18" max="18" width="17.77734375" style="469" customWidth="1"/>
    <col min="19" max="19" width="12.21875" style="469" bestFit="1" customWidth="1"/>
    <col min="20" max="22" width="10.5546875" style="469" customWidth="1"/>
    <col min="23" max="23" width="15.44140625" style="469" customWidth="1"/>
    <col min="24" max="24" width="12.21875" style="469" bestFit="1" customWidth="1"/>
    <col min="25" max="27" width="12.21875" style="469" customWidth="1"/>
    <col min="28" max="28" width="15.44140625" style="469" customWidth="1"/>
    <col min="29" max="16384" width="8.77734375" style="429"/>
  </cols>
  <sheetData>
    <row r="2" spans="2:28" ht="32.549999999999997" customHeight="1">
      <c r="B2" s="585"/>
      <c r="C2" s="585"/>
      <c r="D2" s="585"/>
      <c r="E2" s="585"/>
      <c r="F2" s="585"/>
      <c r="G2" s="585"/>
      <c r="H2" s="585"/>
      <c r="I2" s="585"/>
      <c r="J2" s="585"/>
      <c r="K2" s="585"/>
      <c r="L2" s="585"/>
      <c r="M2" s="585"/>
      <c r="N2" s="585"/>
      <c r="O2" s="585"/>
      <c r="P2" s="585"/>
      <c r="Q2" s="585"/>
      <c r="R2" s="585"/>
      <c r="S2" s="478"/>
      <c r="X2" s="478"/>
      <c r="Y2" s="478"/>
      <c r="Z2" s="478"/>
      <c r="AA2" s="478"/>
    </row>
    <row r="3" spans="2:28" ht="17.25" customHeight="1" thickBot="1">
      <c r="B3" s="430"/>
      <c r="C3" s="430"/>
      <c r="D3" s="430"/>
      <c r="E3" s="430"/>
      <c r="F3" s="430"/>
      <c r="G3" s="430"/>
      <c r="H3" s="430"/>
      <c r="I3" s="430"/>
      <c r="J3" s="430"/>
      <c r="K3" s="430"/>
      <c r="L3" s="430"/>
      <c r="M3" s="430"/>
      <c r="N3" s="430"/>
      <c r="O3" s="430"/>
      <c r="P3" s="430"/>
      <c r="Q3" s="430"/>
      <c r="R3" s="430"/>
      <c r="S3" s="430"/>
      <c r="T3" s="430"/>
      <c r="U3" s="430"/>
      <c r="V3" s="430"/>
      <c r="W3" s="478"/>
      <c r="X3" s="430"/>
      <c r="Y3" s="478"/>
      <c r="Z3" s="478"/>
      <c r="AA3" s="478"/>
      <c r="AB3" s="478"/>
    </row>
    <row r="4" spans="2:28" ht="23.1" customHeight="1" thickTop="1">
      <c r="B4" s="586" t="s">
        <v>405</v>
      </c>
      <c r="C4" s="586" t="s">
        <v>406</v>
      </c>
      <c r="D4" s="586" t="s">
        <v>407</v>
      </c>
      <c r="E4" s="586" t="s">
        <v>420</v>
      </c>
      <c r="F4" s="586" t="s">
        <v>421</v>
      </c>
      <c r="G4" s="588" t="s">
        <v>422</v>
      </c>
      <c r="H4" s="582" t="s">
        <v>423</v>
      </c>
      <c r="I4" s="583"/>
      <c r="J4" s="583"/>
      <c r="K4" s="584"/>
      <c r="L4" s="431" t="s">
        <v>424</v>
      </c>
      <c r="M4" s="582" t="s">
        <v>423</v>
      </c>
      <c r="N4" s="583"/>
      <c r="O4" s="583"/>
      <c r="P4" s="584"/>
      <c r="Q4" s="431" t="s">
        <v>424</v>
      </c>
      <c r="R4" s="590" t="s">
        <v>425</v>
      </c>
      <c r="S4" s="582" t="s">
        <v>423</v>
      </c>
      <c r="T4" s="583"/>
      <c r="U4" s="583"/>
      <c r="V4" s="584"/>
      <c r="W4" s="431" t="s">
        <v>424</v>
      </c>
      <c r="X4" s="582" t="s">
        <v>423</v>
      </c>
      <c r="Y4" s="583"/>
      <c r="Z4" s="583"/>
      <c r="AA4" s="584"/>
      <c r="AB4" s="431" t="s">
        <v>424</v>
      </c>
    </row>
    <row r="5" spans="2:28" ht="23.1" customHeight="1" thickBot="1">
      <c r="B5" s="587"/>
      <c r="C5" s="587"/>
      <c r="D5" s="587"/>
      <c r="E5" s="587"/>
      <c r="F5" s="587"/>
      <c r="G5" s="589"/>
      <c r="H5" s="432" t="s">
        <v>91</v>
      </c>
      <c r="I5" s="432" t="s">
        <v>92</v>
      </c>
      <c r="J5" s="432" t="s">
        <v>93</v>
      </c>
      <c r="K5" s="432" t="s">
        <v>331</v>
      </c>
      <c r="L5" s="432">
        <v>2022</v>
      </c>
      <c r="M5" s="432" t="s">
        <v>341</v>
      </c>
      <c r="N5" s="432" t="s">
        <v>374</v>
      </c>
      <c r="O5" s="432" t="s">
        <v>382</v>
      </c>
      <c r="P5" s="432" t="s">
        <v>384</v>
      </c>
      <c r="Q5" s="432">
        <v>2023</v>
      </c>
      <c r="R5" s="591"/>
      <c r="S5" s="432" t="s">
        <v>461</v>
      </c>
      <c r="T5" s="432" t="s">
        <v>465</v>
      </c>
      <c r="U5" s="432" t="s">
        <v>466</v>
      </c>
      <c r="V5" s="432" t="s">
        <v>467</v>
      </c>
      <c r="W5" s="432">
        <v>2024</v>
      </c>
      <c r="X5" s="432" t="s">
        <v>513</v>
      </c>
      <c r="Y5" s="432" t="s">
        <v>519</v>
      </c>
      <c r="Z5" s="432" t="s">
        <v>528</v>
      </c>
      <c r="AA5" s="432" t="s">
        <v>514</v>
      </c>
      <c r="AB5" s="432">
        <v>2025</v>
      </c>
    </row>
    <row r="6" spans="2:28" ht="31.5" customHeight="1" thickTop="1">
      <c r="B6" s="597" t="s">
        <v>403</v>
      </c>
      <c r="C6" s="600" t="s">
        <v>385</v>
      </c>
      <c r="D6" s="602" t="s">
        <v>408</v>
      </c>
      <c r="E6" s="472" t="s">
        <v>510</v>
      </c>
      <c r="F6" s="433" t="s">
        <v>436</v>
      </c>
      <c r="G6" s="433" t="s">
        <v>419</v>
      </c>
      <c r="H6" s="433" t="s">
        <v>387</v>
      </c>
      <c r="I6" s="433" t="s">
        <v>387</v>
      </c>
      <c r="J6" s="433" t="s">
        <v>387</v>
      </c>
      <c r="K6" s="433" t="s">
        <v>387</v>
      </c>
      <c r="L6" s="434">
        <v>2.97</v>
      </c>
      <c r="M6" s="433" t="s">
        <v>387</v>
      </c>
      <c r="N6" s="433" t="s">
        <v>387</v>
      </c>
      <c r="O6" s="433" t="s">
        <v>387</v>
      </c>
      <c r="P6" s="433" t="s">
        <v>387</v>
      </c>
      <c r="Q6" s="434">
        <v>2.98</v>
      </c>
      <c r="R6" s="435">
        <f>(Q6-L6)/L6</f>
        <v>3.3670033670032949E-3</v>
      </c>
      <c r="S6" s="433" t="s">
        <v>387</v>
      </c>
      <c r="T6" s="433" t="s">
        <v>387</v>
      </c>
      <c r="U6" s="433" t="s">
        <v>387</v>
      </c>
      <c r="V6" s="433"/>
      <c r="W6" s="434">
        <v>2.69</v>
      </c>
      <c r="X6" s="433" t="s">
        <v>342</v>
      </c>
      <c r="Y6" s="433" t="s">
        <v>342</v>
      </c>
      <c r="Z6" s="433" t="s">
        <v>342</v>
      </c>
      <c r="AA6" s="433" t="s">
        <v>342</v>
      </c>
      <c r="AB6" s="434" t="s">
        <v>554</v>
      </c>
    </row>
    <row r="7" spans="2:28" ht="32.1" customHeight="1">
      <c r="B7" s="597"/>
      <c r="C7" s="601"/>
      <c r="D7" s="603"/>
      <c r="E7" s="472" t="s">
        <v>511</v>
      </c>
      <c r="F7" s="436" t="s">
        <v>350</v>
      </c>
      <c r="G7" s="433" t="s">
        <v>419</v>
      </c>
      <c r="H7" s="437" t="s">
        <v>387</v>
      </c>
      <c r="I7" s="437" t="s">
        <v>387</v>
      </c>
      <c r="J7" s="437" t="s">
        <v>387</v>
      </c>
      <c r="K7" s="437" t="s">
        <v>387</v>
      </c>
      <c r="L7" s="438">
        <v>0.26100000000000001</v>
      </c>
      <c r="M7" s="437" t="s">
        <v>387</v>
      </c>
      <c r="N7" s="437" t="s">
        <v>387</v>
      </c>
      <c r="O7" s="437" t="s">
        <v>387</v>
      </c>
      <c r="P7" s="437" t="s">
        <v>387</v>
      </c>
      <c r="Q7" s="438">
        <v>0.26</v>
      </c>
      <c r="R7" s="435">
        <f>(Q7-L7)/L7</f>
        <v>-3.8314176245210761E-3</v>
      </c>
      <c r="S7" s="437" t="s">
        <v>387</v>
      </c>
      <c r="T7" s="437" t="s">
        <v>387</v>
      </c>
      <c r="U7" s="437" t="s">
        <v>387</v>
      </c>
      <c r="V7" s="437"/>
      <c r="W7" s="438">
        <v>0.33</v>
      </c>
      <c r="X7" s="437" t="s">
        <v>342</v>
      </c>
      <c r="Y7" s="437" t="s">
        <v>342</v>
      </c>
      <c r="Z7" s="437" t="s">
        <v>342</v>
      </c>
      <c r="AA7" s="437" t="s">
        <v>342</v>
      </c>
      <c r="AB7" s="438" t="s">
        <v>555</v>
      </c>
    </row>
    <row r="8" spans="2:28" ht="27" customHeight="1">
      <c r="B8" s="598"/>
      <c r="C8" s="604" t="s">
        <v>388</v>
      </c>
      <c r="D8" s="605" t="s">
        <v>409</v>
      </c>
      <c r="E8" s="471" t="s">
        <v>431</v>
      </c>
      <c r="F8" s="436" t="s">
        <v>350</v>
      </c>
      <c r="G8" s="433" t="s">
        <v>419</v>
      </c>
      <c r="H8" s="436" t="s">
        <v>387</v>
      </c>
      <c r="I8" s="436" t="s">
        <v>387</v>
      </c>
      <c r="J8" s="436" t="s">
        <v>387</v>
      </c>
      <c r="K8" s="436" t="s">
        <v>387</v>
      </c>
      <c r="L8" s="440">
        <v>1</v>
      </c>
      <c r="M8" s="436" t="s">
        <v>387</v>
      </c>
      <c r="N8" s="436" t="s">
        <v>387</v>
      </c>
      <c r="O8" s="436" t="s">
        <v>387</v>
      </c>
      <c r="P8" s="436" t="s">
        <v>387</v>
      </c>
      <c r="Q8" s="441">
        <v>1</v>
      </c>
      <c r="R8" s="435">
        <f>(Q8-L8)/L8</f>
        <v>0</v>
      </c>
      <c r="S8" s="436" t="s">
        <v>387</v>
      </c>
      <c r="T8" s="436" t="s">
        <v>387</v>
      </c>
      <c r="U8" s="436" t="s">
        <v>387</v>
      </c>
      <c r="V8" s="436" t="s">
        <v>342</v>
      </c>
      <c r="W8" s="441">
        <v>1</v>
      </c>
      <c r="X8" s="436" t="s">
        <v>342</v>
      </c>
      <c r="Y8" s="436" t="s">
        <v>342</v>
      </c>
      <c r="Z8" s="436" t="s">
        <v>342</v>
      </c>
      <c r="AA8" s="436" t="s">
        <v>342</v>
      </c>
      <c r="AB8" s="441">
        <v>1</v>
      </c>
    </row>
    <row r="9" spans="2:28" ht="27" customHeight="1">
      <c r="B9" s="598"/>
      <c r="C9" s="600"/>
      <c r="D9" s="606"/>
      <c r="E9" s="471" t="s">
        <v>432</v>
      </c>
      <c r="F9" s="436" t="s">
        <v>389</v>
      </c>
      <c r="G9" s="436" t="s">
        <v>426</v>
      </c>
      <c r="H9" s="442">
        <v>1429.9</v>
      </c>
      <c r="I9" s="442">
        <v>1429.9</v>
      </c>
      <c r="J9" s="442">
        <v>1429.9</v>
      </c>
      <c r="K9" s="442">
        <v>1429.9</v>
      </c>
      <c r="L9" s="443">
        <v>1429.9</v>
      </c>
      <c r="M9" s="442">
        <v>1439.6</v>
      </c>
      <c r="N9" s="442">
        <v>1444.5</v>
      </c>
      <c r="O9" s="442">
        <v>1444.5</v>
      </c>
      <c r="P9" s="442">
        <v>1451</v>
      </c>
      <c r="Q9" s="443">
        <v>1444.9</v>
      </c>
      <c r="R9" s="435">
        <f>(Q9-L9)/L9</f>
        <v>1.0490244073012097E-2</v>
      </c>
      <c r="S9" s="442" t="s">
        <v>460</v>
      </c>
      <c r="T9" s="442" t="s">
        <v>460</v>
      </c>
      <c r="U9" s="442" t="s">
        <v>460</v>
      </c>
      <c r="V9" s="442" t="s">
        <v>460</v>
      </c>
      <c r="W9" s="443" t="s">
        <v>460</v>
      </c>
      <c r="X9" s="442" t="s">
        <v>460</v>
      </c>
      <c r="Y9" s="442" t="s">
        <v>460</v>
      </c>
      <c r="Z9" s="442" t="s">
        <v>460</v>
      </c>
      <c r="AA9" s="442" t="s">
        <v>460</v>
      </c>
      <c r="AB9" s="443" t="s">
        <v>460</v>
      </c>
    </row>
    <row r="10" spans="2:28" ht="27" customHeight="1">
      <c r="B10" s="598"/>
      <c r="C10" s="600"/>
      <c r="D10" s="603"/>
      <c r="E10" s="471" t="s">
        <v>433</v>
      </c>
      <c r="F10" s="436" t="s">
        <v>389</v>
      </c>
      <c r="G10" s="436" t="s">
        <v>426</v>
      </c>
      <c r="H10" s="436">
        <v>0</v>
      </c>
      <c r="I10" s="436">
        <v>0</v>
      </c>
      <c r="J10" s="436">
        <v>0</v>
      </c>
      <c r="K10" s="436">
        <v>0</v>
      </c>
      <c r="L10" s="444">
        <v>0</v>
      </c>
      <c r="M10" s="436">
        <v>152.4</v>
      </c>
      <c r="N10" s="436">
        <v>168.2</v>
      </c>
      <c r="O10" s="436">
        <v>168.2</v>
      </c>
      <c r="P10" s="436">
        <v>168.2</v>
      </c>
      <c r="Q10" s="444">
        <v>164.2</v>
      </c>
      <c r="R10" s="435" t="s">
        <v>390</v>
      </c>
      <c r="S10" s="436">
        <v>168.2</v>
      </c>
      <c r="T10" s="436">
        <v>168.2</v>
      </c>
      <c r="U10" s="436">
        <v>168.2</v>
      </c>
      <c r="V10" s="436">
        <v>168.2</v>
      </c>
      <c r="W10" s="444">
        <v>168.2</v>
      </c>
      <c r="X10" s="436">
        <v>168.2</v>
      </c>
      <c r="Y10" s="436">
        <v>169.2</v>
      </c>
      <c r="Z10" s="436">
        <v>169.2</v>
      </c>
      <c r="AA10" s="436">
        <v>169.2</v>
      </c>
      <c r="AB10" s="444">
        <v>169.2</v>
      </c>
    </row>
    <row r="11" spans="2:28" ht="30">
      <c r="B11" s="598"/>
      <c r="C11" s="604" t="s">
        <v>391</v>
      </c>
      <c r="D11" s="605" t="s">
        <v>410</v>
      </c>
      <c r="E11" s="471" t="s">
        <v>471</v>
      </c>
      <c r="F11" s="436" t="s">
        <v>350</v>
      </c>
      <c r="G11" s="433" t="s">
        <v>419</v>
      </c>
      <c r="H11" s="433" t="s">
        <v>387</v>
      </c>
      <c r="I11" s="433" t="s">
        <v>387</v>
      </c>
      <c r="J11" s="433" t="s">
        <v>387</v>
      </c>
      <c r="K11" s="433" t="s">
        <v>387</v>
      </c>
      <c r="L11" s="441">
        <v>0.65100000000000002</v>
      </c>
      <c r="M11" s="433" t="s">
        <v>387</v>
      </c>
      <c r="N11" s="433" t="s">
        <v>387</v>
      </c>
      <c r="O11" s="433" t="s">
        <v>387</v>
      </c>
      <c r="P11" s="433" t="s">
        <v>387</v>
      </c>
      <c r="Q11" s="441">
        <v>0.66900000000000004</v>
      </c>
      <c r="R11" s="435">
        <f>(Q11-L11)/L11</f>
        <v>2.7649769585253479E-2</v>
      </c>
      <c r="S11" s="433" t="s">
        <v>387</v>
      </c>
      <c r="T11" s="433" t="s">
        <v>387</v>
      </c>
      <c r="U11" s="433" t="s">
        <v>387</v>
      </c>
      <c r="V11" s="433" t="s">
        <v>342</v>
      </c>
      <c r="W11" s="441">
        <v>0.66700000000000004</v>
      </c>
      <c r="X11" s="433" t="s">
        <v>342</v>
      </c>
      <c r="Y11" s="433" t="s">
        <v>342</v>
      </c>
      <c r="Z11" s="433" t="s">
        <v>342</v>
      </c>
      <c r="AA11" s="433" t="s">
        <v>342</v>
      </c>
      <c r="AB11" s="441" t="s">
        <v>556</v>
      </c>
    </row>
    <row r="12" spans="2:28" ht="63" customHeight="1">
      <c r="B12" s="598"/>
      <c r="C12" s="600"/>
      <c r="D12" s="606"/>
      <c r="E12" s="471" t="s">
        <v>472</v>
      </c>
      <c r="F12" s="436" t="s">
        <v>350</v>
      </c>
      <c r="G12" s="433" t="s">
        <v>419</v>
      </c>
      <c r="H12" s="433" t="s">
        <v>387</v>
      </c>
      <c r="I12" s="433" t="s">
        <v>387</v>
      </c>
      <c r="J12" s="433" t="s">
        <v>387</v>
      </c>
      <c r="K12" s="433" t="s">
        <v>387</v>
      </c>
      <c r="L12" s="441">
        <v>0.20699999999999999</v>
      </c>
      <c r="M12" s="433" t="s">
        <v>387</v>
      </c>
      <c r="N12" s="433" t="s">
        <v>387</v>
      </c>
      <c r="O12" s="433" t="s">
        <v>387</v>
      </c>
      <c r="P12" s="433" t="s">
        <v>387</v>
      </c>
      <c r="Q12" s="441">
        <v>0.16</v>
      </c>
      <c r="R12" s="435">
        <f>(Q12-L12)/L12</f>
        <v>-0.22705314009661831</v>
      </c>
      <c r="S12" s="433" t="s">
        <v>387</v>
      </c>
      <c r="T12" s="433" t="s">
        <v>387</v>
      </c>
      <c r="U12" s="433" t="s">
        <v>387</v>
      </c>
      <c r="V12" s="433" t="s">
        <v>342</v>
      </c>
      <c r="W12" s="441">
        <v>0.23</v>
      </c>
      <c r="X12" s="433" t="s">
        <v>342</v>
      </c>
      <c r="Y12" s="433" t="s">
        <v>342</v>
      </c>
      <c r="Z12" s="437" t="s">
        <v>342</v>
      </c>
      <c r="AA12" s="437" t="s">
        <v>342</v>
      </c>
      <c r="AB12" s="441" t="s">
        <v>557</v>
      </c>
    </row>
    <row r="13" spans="2:28" ht="43.8">
      <c r="B13" s="598"/>
      <c r="C13" s="600"/>
      <c r="D13" s="603"/>
      <c r="E13" s="471" t="s">
        <v>473</v>
      </c>
      <c r="F13" s="436" t="s">
        <v>350</v>
      </c>
      <c r="G13" s="433" t="s">
        <v>419</v>
      </c>
      <c r="H13" s="433" t="s">
        <v>387</v>
      </c>
      <c r="I13" s="433" t="s">
        <v>387</v>
      </c>
      <c r="J13" s="433" t="s">
        <v>387</v>
      </c>
      <c r="K13" s="433" t="s">
        <v>387</v>
      </c>
      <c r="L13" s="440">
        <v>0.91</v>
      </c>
      <c r="M13" s="433" t="s">
        <v>387</v>
      </c>
      <c r="N13" s="433" t="s">
        <v>387</v>
      </c>
      <c r="O13" s="433" t="s">
        <v>387</v>
      </c>
      <c r="P13" s="433" t="s">
        <v>387</v>
      </c>
      <c r="Q13" s="441">
        <v>0.93400000000000005</v>
      </c>
      <c r="R13" s="435">
        <f>(Q13-L13)/L13</f>
        <v>2.6373626373626394E-2</v>
      </c>
      <c r="S13" s="433" t="s">
        <v>387</v>
      </c>
      <c r="T13" s="433" t="s">
        <v>387</v>
      </c>
      <c r="U13" s="433" t="s">
        <v>387</v>
      </c>
      <c r="V13" s="433" t="s">
        <v>342</v>
      </c>
      <c r="W13" s="441">
        <v>0.92</v>
      </c>
      <c r="X13" s="433" t="s">
        <v>342</v>
      </c>
      <c r="Y13" s="433" t="s">
        <v>342</v>
      </c>
      <c r="Z13" s="436" t="s">
        <v>342</v>
      </c>
      <c r="AA13" s="436" t="s">
        <v>342</v>
      </c>
      <c r="AB13" s="441" t="s">
        <v>558</v>
      </c>
    </row>
    <row r="14" spans="2:28" ht="41.4">
      <c r="B14" s="598"/>
      <c r="C14" s="601"/>
      <c r="D14" s="439" t="s">
        <v>411</v>
      </c>
      <c r="E14" s="471" t="s">
        <v>434</v>
      </c>
      <c r="F14" s="436" t="s">
        <v>392</v>
      </c>
      <c r="G14" s="436" t="s">
        <v>426</v>
      </c>
      <c r="H14" s="445">
        <v>0</v>
      </c>
      <c r="I14" s="445">
        <v>0</v>
      </c>
      <c r="J14" s="445">
        <v>0</v>
      </c>
      <c r="K14" s="445">
        <v>0</v>
      </c>
      <c r="L14" s="446">
        <v>0</v>
      </c>
      <c r="M14" s="447">
        <v>0</v>
      </c>
      <c r="N14" s="447">
        <v>13.53</v>
      </c>
      <c r="O14" s="447">
        <v>180.95500000000001</v>
      </c>
      <c r="P14" s="447">
        <v>81.14</v>
      </c>
      <c r="Q14" s="448">
        <v>275.63</v>
      </c>
      <c r="R14" s="435" t="s">
        <v>390</v>
      </c>
      <c r="S14" s="447">
        <v>194.36</v>
      </c>
      <c r="T14" s="447">
        <v>95.87</v>
      </c>
      <c r="U14" s="447">
        <v>352</v>
      </c>
      <c r="V14" s="447">
        <v>159.25</v>
      </c>
      <c r="W14" s="448">
        <v>484.68</v>
      </c>
      <c r="X14" s="447">
        <v>0</v>
      </c>
      <c r="Y14" s="447">
        <v>0</v>
      </c>
      <c r="Z14" s="447">
        <v>0</v>
      </c>
      <c r="AA14" s="447">
        <v>44</v>
      </c>
      <c r="AB14" s="448">
        <v>44</v>
      </c>
    </row>
    <row r="15" spans="2:28" ht="39.6" customHeight="1" thickBot="1">
      <c r="B15" s="599"/>
      <c r="C15" s="449" t="s">
        <v>393</v>
      </c>
      <c r="D15" s="450" t="s">
        <v>412</v>
      </c>
      <c r="E15" s="475" t="s">
        <v>474</v>
      </c>
      <c r="F15" s="451" t="s">
        <v>394</v>
      </c>
      <c r="G15" s="451" t="s">
        <v>426</v>
      </c>
      <c r="H15" s="452">
        <v>6.32</v>
      </c>
      <c r="I15" s="452">
        <v>6</v>
      </c>
      <c r="J15" s="452">
        <v>6.71</v>
      </c>
      <c r="K15" s="452">
        <v>6.28</v>
      </c>
      <c r="L15" s="453">
        <v>6.28</v>
      </c>
      <c r="M15" s="452">
        <v>6.6</v>
      </c>
      <c r="N15" s="452">
        <v>5.0999999999999996</v>
      </c>
      <c r="O15" s="452">
        <v>5.83</v>
      </c>
      <c r="P15" s="452">
        <v>5.87</v>
      </c>
      <c r="Q15" s="453">
        <v>5.87</v>
      </c>
      <c r="R15" s="454">
        <f t="shared" ref="R15:R24" si="0">(Q15-L15)/L15</f>
        <v>-6.5286624203821669E-2</v>
      </c>
      <c r="S15" s="452">
        <v>4.63</v>
      </c>
      <c r="T15" s="452">
        <v>5.33</v>
      </c>
      <c r="U15" s="452">
        <v>4.82</v>
      </c>
      <c r="V15" s="452">
        <v>4.67</v>
      </c>
      <c r="W15" s="453">
        <v>5.08</v>
      </c>
      <c r="X15" s="452">
        <v>7.4</v>
      </c>
      <c r="Y15" s="452">
        <v>7.2</v>
      </c>
      <c r="Z15" s="452">
        <v>7.2</v>
      </c>
      <c r="AA15" s="452">
        <v>6.02</v>
      </c>
      <c r="AB15" s="453">
        <v>6.71</v>
      </c>
    </row>
    <row r="16" spans="2:28" ht="33" customHeight="1" thickTop="1">
      <c r="B16" s="610" t="s">
        <v>395</v>
      </c>
      <c r="C16" s="601" t="s">
        <v>396</v>
      </c>
      <c r="D16" s="614" t="s">
        <v>413</v>
      </c>
      <c r="E16" s="472" t="s">
        <v>435</v>
      </c>
      <c r="F16" s="433" t="s">
        <v>350</v>
      </c>
      <c r="G16" s="433" t="s">
        <v>426</v>
      </c>
      <c r="H16" s="455">
        <v>0.17599999999999999</v>
      </c>
      <c r="I16" s="455">
        <v>0.182</v>
      </c>
      <c r="J16" s="455">
        <v>0.189</v>
      </c>
      <c r="K16" s="455">
        <v>0.20399999999999999</v>
      </c>
      <c r="L16" s="438">
        <v>0.20399999999999999</v>
      </c>
      <c r="M16" s="455">
        <v>0.20300000000000001</v>
      </c>
      <c r="N16" s="455">
        <v>0.215</v>
      </c>
      <c r="O16" s="455">
        <v>0.21099999999999999</v>
      </c>
      <c r="P16" s="455">
        <v>0.215</v>
      </c>
      <c r="Q16" s="438">
        <v>0.215</v>
      </c>
      <c r="R16" s="435">
        <f t="shared" si="0"/>
        <v>5.3921568627451032E-2</v>
      </c>
      <c r="S16" s="455">
        <v>0.22600000000000001</v>
      </c>
      <c r="T16" s="455">
        <v>0.223</v>
      </c>
      <c r="U16" s="455">
        <v>0.217</v>
      </c>
      <c r="V16" s="455">
        <v>0.221</v>
      </c>
      <c r="W16" s="438">
        <v>0.221</v>
      </c>
      <c r="X16" s="455"/>
      <c r="Y16" s="455">
        <v>0.222</v>
      </c>
      <c r="Z16" s="455">
        <v>0.23400000000000001</v>
      </c>
      <c r="AA16" s="455">
        <v>0.224</v>
      </c>
      <c r="AB16" s="438">
        <v>0.224</v>
      </c>
    </row>
    <row r="17" spans="2:28" ht="33" customHeight="1">
      <c r="B17" s="611"/>
      <c r="C17" s="613"/>
      <c r="D17" s="615"/>
      <c r="E17" s="471" t="s">
        <v>427</v>
      </c>
      <c r="F17" s="436" t="s">
        <v>350</v>
      </c>
      <c r="G17" s="433" t="s">
        <v>426</v>
      </c>
      <c r="H17" s="457">
        <v>0.153</v>
      </c>
      <c r="I17" s="457">
        <v>0.16300000000000001</v>
      </c>
      <c r="J17" s="457">
        <v>0.16600000000000001</v>
      </c>
      <c r="K17" s="457">
        <v>0.17</v>
      </c>
      <c r="L17" s="441">
        <v>0.17</v>
      </c>
      <c r="M17" s="457">
        <v>0.17299999999999999</v>
      </c>
      <c r="N17" s="457">
        <v>0.17199999999999999</v>
      </c>
      <c r="O17" s="457">
        <v>0.16800000000000001</v>
      </c>
      <c r="P17" s="457">
        <v>0.17299999999999999</v>
      </c>
      <c r="Q17" s="441">
        <v>0.17299999999999999</v>
      </c>
      <c r="R17" s="435">
        <f t="shared" si="0"/>
        <v>1.7647058823529262E-2</v>
      </c>
      <c r="S17" s="457">
        <v>0.17199999999999999</v>
      </c>
      <c r="T17" s="457">
        <v>0.17599999999999999</v>
      </c>
      <c r="U17" s="457">
        <v>0.186</v>
      </c>
      <c r="V17" s="457">
        <v>0.189</v>
      </c>
      <c r="W17" s="441">
        <v>0.189</v>
      </c>
      <c r="X17" s="457"/>
      <c r="Y17" s="457">
        <v>0.189</v>
      </c>
      <c r="Z17" s="457">
        <v>0.188</v>
      </c>
      <c r="AA17" s="457">
        <v>0.192</v>
      </c>
      <c r="AB17" s="441">
        <v>0.192</v>
      </c>
    </row>
    <row r="18" spans="2:28" ht="33" customHeight="1">
      <c r="B18" s="611"/>
      <c r="C18" s="613"/>
      <c r="D18" s="592" t="s">
        <v>414</v>
      </c>
      <c r="E18" s="471" t="s">
        <v>475</v>
      </c>
      <c r="F18" s="436" t="s">
        <v>439</v>
      </c>
      <c r="G18" s="433" t="s">
        <v>426</v>
      </c>
      <c r="H18" s="458">
        <v>2</v>
      </c>
      <c r="I18" s="458">
        <v>1</v>
      </c>
      <c r="J18" s="458">
        <v>0</v>
      </c>
      <c r="K18" s="458">
        <v>1</v>
      </c>
      <c r="L18" s="444">
        <f>SUM(H18:K18)</f>
        <v>4</v>
      </c>
      <c r="M18" s="458">
        <v>0</v>
      </c>
      <c r="N18" s="458">
        <v>0</v>
      </c>
      <c r="O18" s="458">
        <v>0</v>
      </c>
      <c r="P18" s="458">
        <v>1</v>
      </c>
      <c r="Q18" s="444">
        <v>1</v>
      </c>
      <c r="R18" s="435">
        <f t="shared" si="0"/>
        <v>-0.75</v>
      </c>
      <c r="S18" s="458">
        <v>1</v>
      </c>
      <c r="T18" s="458">
        <v>1</v>
      </c>
      <c r="U18" s="458">
        <v>0</v>
      </c>
      <c r="V18" s="458">
        <v>1</v>
      </c>
      <c r="W18" s="444">
        <v>3</v>
      </c>
      <c r="X18" s="458">
        <v>0</v>
      </c>
      <c r="Y18" s="458">
        <v>1</v>
      </c>
      <c r="Z18" s="458">
        <v>0</v>
      </c>
      <c r="AA18" s="458">
        <v>0</v>
      </c>
      <c r="AB18" s="444">
        <v>1</v>
      </c>
    </row>
    <row r="19" spans="2:28" ht="33" customHeight="1">
      <c r="B19" s="611"/>
      <c r="C19" s="613"/>
      <c r="D19" s="592"/>
      <c r="E19" s="471" t="s">
        <v>476</v>
      </c>
      <c r="F19" s="436" t="s">
        <v>397</v>
      </c>
      <c r="G19" s="433" t="s">
        <v>426</v>
      </c>
      <c r="H19" s="436">
        <v>1.87</v>
      </c>
      <c r="I19" s="436">
        <v>2.5499999999999998</v>
      </c>
      <c r="J19" s="436">
        <v>2.27</v>
      </c>
      <c r="K19" s="436">
        <v>2.2599999999999998</v>
      </c>
      <c r="L19" s="444">
        <v>2.2599999999999998</v>
      </c>
      <c r="M19" s="436">
        <v>1.98</v>
      </c>
      <c r="N19" s="436">
        <v>1.47</v>
      </c>
      <c r="O19" s="436">
        <v>1.65</v>
      </c>
      <c r="P19" s="436">
        <v>1.76</v>
      </c>
      <c r="Q19" s="444">
        <v>1.76</v>
      </c>
      <c r="R19" s="435">
        <f t="shared" si="0"/>
        <v>-0.22123893805309727</v>
      </c>
      <c r="S19" s="436">
        <v>1.8</v>
      </c>
      <c r="T19" s="436">
        <v>1.93</v>
      </c>
      <c r="U19" s="436">
        <v>1.77</v>
      </c>
      <c r="V19" s="436">
        <v>1.6</v>
      </c>
      <c r="W19" s="444">
        <v>1.6</v>
      </c>
      <c r="X19" s="436">
        <v>1.88</v>
      </c>
      <c r="Y19" s="436">
        <v>1.97</v>
      </c>
      <c r="Z19" s="436">
        <v>2.19</v>
      </c>
      <c r="AA19" s="436">
        <v>2.63</v>
      </c>
      <c r="AB19" s="444">
        <v>2.63</v>
      </c>
    </row>
    <row r="20" spans="2:28" ht="48" customHeight="1" thickBot="1">
      <c r="B20" s="612"/>
      <c r="C20" s="449" t="s">
        <v>398</v>
      </c>
      <c r="D20" s="450" t="s">
        <v>415</v>
      </c>
      <c r="E20" s="475" t="s">
        <v>477</v>
      </c>
      <c r="F20" s="451" t="s">
        <v>350</v>
      </c>
      <c r="G20" s="451" t="s">
        <v>426</v>
      </c>
      <c r="H20" s="459">
        <v>1</v>
      </c>
      <c r="I20" s="459">
        <v>0.98819999999999997</v>
      </c>
      <c r="J20" s="459">
        <v>1.01</v>
      </c>
      <c r="K20" s="459">
        <v>1.1241000000000001</v>
      </c>
      <c r="L20" s="460">
        <v>1.1240000000000001</v>
      </c>
      <c r="M20" s="459">
        <v>0.96950000000000003</v>
      </c>
      <c r="N20" s="459">
        <v>0.98480000000000001</v>
      </c>
      <c r="O20" s="459">
        <v>1.0066999999999999</v>
      </c>
      <c r="P20" s="459">
        <v>1.1162000000000001</v>
      </c>
      <c r="Q20" s="461">
        <f>P20</f>
        <v>1.1162000000000001</v>
      </c>
      <c r="R20" s="454">
        <f t="shared" si="0"/>
        <v>-6.9395017793594561E-3</v>
      </c>
      <c r="S20" s="459">
        <v>0.98</v>
      </c>
      <c r="T20" s="459">
        <v>0.98699999999999999</v>
      </c>
      <c r="U20" s="459">
        <v>0.98299999999999998</v>
      </c>
      <c r="V20" s="459">
        <v>1.129</v>
      </c>
      <c r="W20" s="461">
        <v>1.129</v>
      </c>
      <c r="X20" s="459" t="s">
        <v>390</v>
      </c>
      <c r="Y20" s="565">
        <v>0.996</v>
      </c>
      <c r="Z20" s="565">
        <v>0.996</v>
      </c>
      <c r="AA20" s="565">
        <v>1.0920000000000001</v>
      </c>
      <c r="AB20" s="461">
        <v>1.0920000000000001</v>
      </c>
    </row>
    <row r="21" spans="2:28" ht="26.1" customHeight="1" thickTop="1">
      <c r="B21" s="616" t="s">
        <v>404</v>
      </c>
      <c r="C21" s="601" t="s">
        <v>399</v>
      </c>
      <c r="D21" s="603" t="s">
        <v>416</v>
      </c>
      <c r="E21" s="472" t="s">
        <v>428</v>
      </c>
      <c r="F21" s="433" t="s">
        <v>350</v>
      </c>
      <c r="G21" s="433" t="s">
        <v>419</v>
      </c>
      <c r="H21" s="433" t="s">
        <v>387</v>
      </c>
      <c r="I21" s="433" t="s">
        <v>387</v>
      </c>
      <c r="J21" s="433" t="s">
        <v>387</v>
      </c>
      <c r="K21" s="433" t="s">
        <v>387</v>
      </c>
      <c r="L21" s="438">
        <v>0.753</v>
      </c>
      <c r="M21" s="433" t="s">
        <v>387</v>
      </c>
      <c r="N21" s="433" t="s">
        <v>387</v>
      </c>
      <c r="O21" s="433" t="s">
        <v>387</v>
      </c>
      <c r="P21" s="433" t="s">
        <v>387</v>
      </c>
      <c r="Q21" s="462">
        <v>0.97</v>
      </c>
      <c r="R21" s="435">
        <f t="shared" si="0"/>
        <v>0.2881806108897742</v>
      </c>
      <c r="S21" s="433" t="s">
        <v>387</v>
      </c>
      <c r="T21" s="433" t="s">
        <v>387</v>
      </c>
      <c r="U21" s="433" t="s">
        <v>387</v>
      </c>
      <c r="V21" s="433" t="s">
        <v>342</v>
      </c>
      <c r="W21" s="462">
        <v>1</v>
      </c>
      <c r="X21" s="433" t="s">
        <v>342</v>
      </c>
      <c r="Y21" s="433" t="s">
        <v>342</v>
      </c>
      <c r="Z21" s="433" t="s">
        <v>342</v>
      </c>
      <c r="AA21" s="433" t="s">
        <v>342</v>
      </c>
      <c r="AB21" s="462">
        <v>1</v>
      </c>
    </row>
    <row r="22" spans="2:28" ht="26.1" customHeight="1">
      <c r="B22" s="617"/>
      <c r="C22" s="613"/>
      <c r="D22" s="592"/>
      <c r="E22" s="471" t="s">
        <v>478</v>
      </c>
      <c r="F22" s="436" t="s">
        <v>400</v>
      </c>
      <c r="G22" s="433" t="s">
        <v>419</v>
      </c>
      <c r="H22" s="436" t="s">
        <v>387</v>
      </c>
      <c r="I22" s="436" t="s">
        <v>387</v>
      </c>
      <c r="J22" s="436" t="s">
        <v>387</v>
      </c>
      <c r="K22" s="436" t="s">
        <v>387</v>
      </c>
      <c r="L22" s="440">
        <f>515644246/5764506306</f>
        <v>8.9451588501740467E-2</v>
      </c>
      <c r="M22" s="436" t="s">
        <v>387</v>
      </c>
      <c r="N22" s="436" t="s">
        <v>387</v>
      </c>
      <c r="O22" s="436" t="s">
        <v>387</v>
      </c>
      <c r="P22" s="436" t="s">
        <v>387</v>
      </c>
      <c r="Q22" s="440">
        <f>439497975/5740470618</f>
        <v>7.6561314262614005E-2</v>
      </c>
      <c r="R22" s="435">
        <f t="shared" si="0"/>
        <v>-0.14410335752590525</v>
      </c>
      <c r="S22" s="436" t="s">
        <v>387</v>
      </c>
      <c r="T22" s="436" t="s">
        <v>387</v>
      </c>
      <c r="U22" s="436" t="s">
        <v>387</v>
      </c>
      <c r="V22" s="436" t="s">
        <v>342</v>
      </c>
      <c r="W22" s="440">
        <v>0.16</v>
      </c>
      <c r="X22" s="436" t="s">
        <v>342</v>
      </c>
      <c r="Y22" s="436" t="s">
        <v>342</v>
      </c>
      <c r="Z22" s="437" t="s">
        <v>342</v>
      </c>
      <c r="AA22" s="437" t="s">
        <v>342</v>
      </c>
      <c r="AB22" s="440">
        <v>0.19700000000000001</v>
      </c>
    </row>
    <row r="23" spans="2:28" ht="26.1" customHeight="1">
      <c r="B23" s="617"/>
      <c r="C23" s="613"/>
      <c r="D23" s="592"/>
      <c r="E23" s="471" t="s">
        <v>479</v>
      </c>
      <c r="F23" s="436" t="s">
        <v>350</v>
      </c>
      <c r="G23" s="433" t="s">
        <v>419</v>
      </c>
      <c r="H23" s="436" t="s">
        <v>387</v>
      </c>
      <c r="I23" s="436" t="s">
        <v>387</v>
      </c>
      <c r="J23" s="436" t="s">
        <v>387</v>
      </c>
      <c r="K23" s="436" t="s">
        <v>387</v>
      </c>
      <c r="L23" s="440">
        <v>0.08</v>
      </c>
      <c r="M23" s="436" t="s">
        <v>387</v>
      </c>
      <c r="N23" s="436" t="s">
        <v>387</v>
      </c>
      <c r="O23" s="436" t="s">
        <v>387</v>
      </c>
      <c r="P23" s="436" t="s">
        <v>387</v>
      </c>
      <c r="Q23" s="440">
        <v>0.08</v>
      </c>
      <c r="R23" s="435">
        <f t="shared" si="0"/>
        <v>0</v>
      </c>
      <c r="S23" s="436" t="s">
        <v>387</v>
      </c>
      <c r="T23" s="436" t="s">
        <v>387</v>
      </c>
      <c r="U23" s="436" t="s">
        <v>387</v>
      </c>
      <c r="V23" s="436" t="s">
        <v>342</v>
      </c>
      <c r="W23" s="440">
        <v>0.08</v>
      </c>
      <c r="X23" s="436" t="s">
        <v>342</v>
      </c>
      <c r="Y23" s="436" t="s">
        <v>342</v>
      </c>
      <c r="Z23" s="436" t="s">
        <v>342</v>
      </c>
      <c r="AA23" s="436" t="s">
        <v>342</v>
      </c>
      <c r="AB23" s="440">
        <v>7.0966195157036685E-2</v>
      </c>
    </row>
    <row r="24" spans="2:28" ht="26.1" customHeight="1">
      <c r="B24" s="617"/>
      <c r="C24" s="613"/>
      <c r="D24" s="592" t="s">
        <v>417</v>
      </c>
      <c r="E24" s="471" t="s">
        <v>512</v>
      </c>
      <c r="F24" s="436" t="s">
        <v>437</v>
      </c>
      <c r="G24" s="433" t="s">
        <v>419</v>
      </c>
      <c r="H24" s="436" t="s">
        <v>387</v>
      </c>
      <c r="I24" s="436" t="s">
        <v>387</v>
      </c>
      <c r="J24" s="436" t="s">
        <v>387</v>
      </c>
      <c r="K24" s="436" t="s">
        <v>387</v>
      </c>
      <c r="L24" s="444">
        <v>2.19</v>
      </c>
      <c r="M24" s="436" t="s">
        <v>387</v>
      </c>
      <c r="N24" s="436" t="s">
        <v>387</v>
      </c>
      <c r="O24" s="436" t="s">
        <v>387</v>
      </c>
      <c r="P24" s="436" t="s">
        <v>387</v>
      </c>
      <c r="Q24" s="444">
        <v>2.2799999999999998</v>
      </c>
      <c r="R24" s="435">
        <f t="shared" si="0"/>
        <v>4.1095890410958839E-2</v>
      </c>
      <c r="S24" s="436" t="s">
        <v>387</v>
      </c>
      <c r="T24" s="436" t="s">
        <v>387</v>
      </c>
      <c r="U24" s="436" t="s">
        <v>387</v>
      </c>
      <c r="V24" s="436" t="s">
        <v>342</v>
      </c>
      <c r="W24" s="444">
        <v>2.25</v>
      </c>
      <c r="X24" s="436" t="s">
        <v>342</v>
      </c>
      <c r="Y24" s="436" t="s">
        <v>342</v>
      </c>
      <c r="Z24" s="433" t="s">
        <v>342</v>
      </c>
      <c r="AA24" s="433" t="s">
        <v>342</v>
      </c>
      <c r="AB24" s="444" t="s">
        <v>559</v>
      </c>
    </row>
    <row r="25" spans="2:28" ht="26.1" customHeight="1">
      <c r="B25" s="617"/>
      <c r="C25" s="613"/>
      <c r="D25" s="592"/>
      <c r="E25" s="471" t="s">
        <v>429</v>
      </c>
      <c r="F25" s="436" t="s">
        <v>439</v>
      </c>
      <c r="G25" s="436" t="s">
        <v>426</v>
      </c>
      <c r="H25" s="436">
        <v>0</v>
      </c>
      <c r="I25" s="436">
        <v>0</v>
      </c>
      <c r="J25" s="436">
        <v>0</v>
      </c>
      <c r="K25" s="436">
        <v>0</v>
      </c>
      <c r="L25" s="444">
        <v>0</v>
      </c>
      <c r="M25" s="436">
        <v>0</v>
      </c>
      <c r="N25" s="436">
        <v>2</v>
      </c>
      <c r="O25" s="436">
        <v>2</v>
      </c>
      <c r="P25" s="436">
        <v>1</v>
      </c>
      <c r="Q25" s="444">
        <v>5</v>
      </c>
      <c r="R25" s="435" t="s">
        <v>390</v>
      </c>
      <c r="S25" s="436">
        <v>5</v>
      </c>
      <c r="T25" s="436">
        <v>6</v>
      </c>
      <c r="U25" s="436">
        <v>9</v>
      </c>
      <c r="V25" s="436">
        <v>11</v>
      </c>
      <c r="W25" s="444">
        <v>11</v>
      </c>
      <c r="X25" s="436">
        <v>11</v>
      </c>
      <c r="Y25" s="436">
        <v>12</v>
      </c>
      <c r="Z25" s="436">
        <v>12</v>
      </c>
      <c r="AA25" s="436">
        <v>12</v>
      </c>
      <c r="AB25" s="444">
        <v>12</v>
      </c>
    </row>
    <row r="26" spans="2:28" ht="48" customHeight="1">
      <c r="B26" s="617"/>
      <c r="C26" s="456" t="s">
        <v>401</v>
      </c>
      <c r="D26" s="439" t="s">
        <v>418</v>
      </c>
      <c r="E26" s="471" t="s">
        <v>480</v>
      </c>
      <c r="F26" s="436" t="s">
        <v>439</v>
      </c>
      <c r="G26" s="433" t="s">
        <v>419</v>
      </c>
      <c r="H26" s="436" t="s">
        <v>387</v>
      </c>
      <c r="I26" s="436" t="s">
        <v>387</v>
      </c>
      <c r="J26" s="436" t="s">
        <v>387</v>
      </c>
      <c r="K26" s="436" t="s">
        <v>387</v>
      </c>
      <c r="L26" s="444">
        <v>3.3</v>
      </c>
      <c r="M26" s="436" t="s">
        <v>387</v>
      </c>
      <c r="N26" s="436" t="s">
        <v>387</v>
      </c>
      <c r="O26" s="436" t="s">
        <v>387</v>
      </c>
      <c r="P26" s="436" t="s">
        <v>387</v>
      </c>
      <c r="Q26" s="444">
        <v>3.3</v>
      </c>
      <c r="R26" s="435">
        <f>(Q26-L26)/L26</f>
        <v>0</v>
      </c>
      <c r="S26" s="436" t="s">
        <v>387</v>
      </c>
      <c r="T26" s="436" t="s">
        <v>387</v>
      </c>
      <c r="U26" s="436" t="s">
        <v>387</v>
      </c>
      <c r="V26" s="436" t="s">
        <v>342</v>
      </c>
      <c r="W26" s="444">
        <v>3.81</v>
      </c>
      <c r="X26" s="436" t="s">
        <v>342</v>
      </c>
      <c r="Y26" s="436" t="s">
        <v>342</v>
      </c>
      <c r="Z26" s="436" t="s">
        <v>342</v>
      </c>
      <c r="AA26" s="436" t="s">
        <v>342</v>
      </c>
      <c r="AB26" s="444">
        <v>3.81</v>
      </c>
    </row>
    <row r="27" spans="2:28" ht="26.1" customHeight="1">
      <c r="B27" s="617"/>
      <c r="C27" s="593" t="s">
        <v>402</v>
      </c>
      <c r="D27" s="595" t="s">
        <v>402</v>
      </c>
      <c r="E27" s="471" t="s">
        <v>438</v>
      </c>
      <c r="F27" s="436" t="s">
        <v>350</v>
      </c>
      <c r="G27" s="433" t="s">
        <v>419</v>
      </c>
      <c r="H27" s="463" t="s">
        <v>387</v>
      </c>
      <c r="I27" s="463" t="s">
        <v>387</v>
      </c>
      <c r="J27" s="463" t="s">
        <v>387</v>
      </c>
      <c r="K27" s="463" t="s">
        <v>387</v>
      </c>
      <c r="L27" s="440">
        <v>0.7</v>
      </c>
      <c r="M27" s="436" t="s">
        <v>387</v>
      </c>
      <c r="N27" s="436" t="s">
        <v>387</v>
      </c>
      <c r="O27" s="436" t="s">
        <v>387</v>
      </c>
      <c r="P27" s="436" t="s">
        <v>387</v>
      </c>
      <c r="Q27" s="440">
        <v>0.7</v>
      </c>
      <c r="R27" s="435">
        <f>(Q27-L27)/L27</f>
        <v>0</v>
      </c>
      <c r="S27" s="436" t="s">
        <v>387</v>
      </c>
      <c r="T27" s="436" t="s">
        <v>387</v>
      </c>
      <c r="U27" s="436" t="s">
        <v>387</v>
      </c>
      <c r="V27" s="436" t="s">
        <v>342</v>
      </c>
      <c r="W27" s="440">
        <v>0.7</v>
      </c>
      <c r="X27" s="436" t="s">
        <v>342</v>
      </c>
      <c r="Y27" s="436" t="s">
        <v>342</v>
      </c>
      <c r="Z27" s="436" t="s">
        <v>342</v>
      </c>
      <c r="AA27" s="436" t="s">
        <v>342</v>
      </c>
      <c r="AB27" s="440">
        <v>0.7</v>
      </c>
    </row>
    <row r="28" spans="2:28" ht="26.1" customHeight="1">
      <c r="B28" s="617"/>
      <c r="C28" s="593"/>
      <c r="D28" s="595"/>
      <c r="E28" s="473" t="s">
        <v>481</v>
      </c>
      <c r="F28" s="436" t="s">
        <v>350</v>
      </c>
      <c r="G28" s="433" t="s">
        <v>419</v>
      </c>
      <c r="H28" s="463" t="s">
        <v>387</v>
      </c>
      <c r="I28" s="463" t="s">
        <v>387</v>
      </c>
      <c r="J28" s="463" t="s">
        <v>387</v>
      </c>
      <c r="K28" s="463" t="s">
        <v>387</v>
      </c>
      <c r="L28" s="440">
        <v>0.25</v>
      </c>
      <c r="M28" s="436" t="s">
        <v>387</v>
      </c>
      <c r="N28" s="436" t="s">
        <v>387</v>
      </c>
      <c r="O28" s="436" t="s">
        <v>387</v>
      </c>
      <c r="P28" s="436" t="s">
        <v>387</v>
      </c>
      <c r="Q28" s="440">
        <v>1</v>
      </c>
      <c r="R28" s="435">
        <f>(Q28-L28)/L28</f>
        <v>3</v>
      </c>
      <c r="S28" s="436" t="s">
        <v>387</v>
      </c>
      <c r="T28" s="436" t="s">
        <v>387</v>
      </c>
      <c r="U28" s="436" t="s">
        <v>387</v>
      </c>
      <c r="V28" s="436" t="s">
        <v>342</v>
      </c>
      <c r="W28" s="440">
        <v>1</v>
      </c>
      <c r="X28" s="436" t="s">
        <v>342</v>
      </c>
      <c r="Y28" s="436" t="s">
        <v>342</v>
      </c>
      <c r="Z28" s="436" t="s">
        <v>342</v>
      </c>
      <c r="AA28" s="436" t="s">
        <v>342</v>
      </c>
      <c r="AB28" s="440">
        <v>1</v>
      </c>
    </row>
    <row r="29" spans="2:28" ht="48" customHeight="1" thickBot="1">
      <c r="B29" s="618"/>
      <c r="C29" s="594"/>
      <c r="D29" s="596"/>
      <c r="E29" s="474" t="s">
        <v>430</v>
      </c>
      <c r="F29" s="464" t="s">
        <v>350</v>
      </c>
      <c r="G29" s="464" t="s">
        <v>386</v>
      </c>
      <c r="H29" s="465" t="s">
        <v>387</v>
      </c>
      <c r="I29" s="465" t="s">
        <v>387</v>
      </c>
      <c r="J29" s="465" t="s">
        <v>387</v>
      </c>
      <c r="K29" s="465" t="s">
        <v>387</v>
      </c>
      <c r="L29" s="461">
        <v>1</v>
      </c>
      <c r="M29" s="465" t="s">
        <v>387</v>
      </c>
      <c r="N29" s="465" t="s">
        <v>387</v>
      </c>
      <c r="O29" s="465" t="s">
        <v>387</v>
      </c>
      <c r="P29" s="465" t="s">
        <v>387</v>
      </c>
      <c r="Q29" s="461">
        <v>0.43</v>
      </c>
      <c r="R29" s="466">
        <f>(Q29-L29)/L29</f>
        <v>-0.57000000000000006</v>
      </c>
      <c r="S29" s="465" t="s">
        <v>387</v>
      </c>
      <c r="T29" s="465" t="s">
        <v>387</v>
      </c>
      <c r="U29" s="465" t="s">
        <v>387</v>
      </c>
      <c r="V29" s="465" t="s">
        <v>342</v>
      </c>
      <c r="W29" s="461">
        <v>0.45</v>
      </c>
      <c r="X29" s="465" t="s">
        <v>342</v>
      </c>
      <c r="Y29" s="465" t="s">
        <v>342</v>
      </c>
      <c r="Z29" s="566" t="s">
        <v>342</v>
      </c>
      <c r="AA29" s="566" t="s">
        <v>342</v>
      </c>
      <c r="AB29" s="461">
        <v>0.57999999999999996</v>
      </c>
    </row>
    <row r="30" spans="2:28" ht="26.55" customHeight="1" thickTop="1">
      <c r="B30" s="609" t="s">
        <v>440</v>
      </c>
      <c r="C30" s="609"/>
      <c r="D30" s="609"/>
      <c r="E30" s="609"/>
      <c r="F30" s="609"/>
      <c r="G30" s="609"/>
      <c r="H30" s="609"/>
      <c r="I30" s="609"/>
      <c r="J30" s="609"/>
      <c r="K30" s="609"/>
      <c r="L30" s="609"/>
      <c r="M30" s="609"/>
      <c r="N30" s="609"/>
      <c r="O30" s="609"/>
      <c r="P30" s="609"/>
      <c r="Q30" s="609"/>
      <c r="R30" s="609"/>
      <c r="S30" s="480"/>
      <c r="X30" s="480"/>
      <c r="Y30" s="480"/>
      <c r="Z30" s="480"/>
      <c r="AA30" s="480"/>
    </row>
    <row r="31" spans="2:28" ht="14.55" customHeight="1">
      <c r="B31" s="609" t="s">
        <v>470</v>
      </c>
      <c r="C31" s="609"/>
      <c r="D31" s="609"/>
      <c r="E31" s="609"/>
      <c r="F31" s="609"/>
      <c r="G31" s="609"/>
      <c r="H31" s="609"/>
      <c r="I31" s="609"/>
      <c r="J31" s="609"/>
      <c r="K31" s="609"/>
      <c r="L31" s="609"/>
      <c r="M31" s="609"/>
      <c r="N31" s="609"/>
      <c r="O31" s="609"/>
      <c r="P31" s="609"/>
      <c r="Q31" s="609"/>
      <c r="R31" s="609"/>
      <c r="S31" s="480"/>
      <c r="X31" s="480"/>
      <c r="Y31" s="480"/>
      <c r="Z31" s="480"/>
      <c r="AA31" s="480"/>
    </row>
    <row r="32" spans="2:28" ht="14.55" customHeight="1">
      <c r="B32" s="609" t="s">
        <v>505</v>
      </c>
      <c r="C32" s="609"/>
      <c r="D32" s="609"/>
      <c r="E32" s="609"/>
      <c r="F32" s="609"/>
      <c r="G32" s="609"/>
      <c r="H32" s="609"/>
      <c r="I32" s="609"/>
      <c r="J32" s="609"/>
      <c r="K32" s="609"/>
      <c r="L32" s="609"/>
      <c r="M32" s="609"/>
      <c r="N32" s="609"/>
      <c r="O32" s="609"/>
      <c r="P32" s="609"/>
      <c r="Q32" s="609"/>
      <c r="R32" s="609"/>
      <c r="S32" s="480"/>
      <c r="X32" s="480"/>
      <c r="Y32" s="480"/>
      <c r="Z32" s="480"/>
      <c r="AA32" s="480"/>
    </row>
    <row r="33" spans="2:27" ht="14.55" customHeight="1">
      <c r="B33" s="609" t="s">
        <v>506</v>
      </c>
      <c r="C33" s="609"/>
      <c r="D33" s="609"/>
      <c r="E33" s="609"/>
      <c r="F33" s="609"/>
      <c r="G33" s="609"/>
      <c r="H33" s="609"/>
      <c r="I33" s="609"/>
      <c r="J33" s="609"/>
      <c r="K33" s="609"/>
      <c r="L33" s="609"/>
      <c r="M33" s="609"/>
      <c r="N33" s="609"/>
      <c r="O33" s="609"/>
      <c r="P33" s="609"/>
      <c r="Q33" s="609"/>
      <c r="R33" s="609"/>
      <c r="S33" s="480"/>
      <c r="X33" s="480"/>
      <c r="Y33" s="480"/>
      <c r="Z33" s="480"/>
      <c r="AA33" s="480"/>
    </row>
    <row r="34" spans="2:27" ht="14.55" customHeight="1">
      <c r="B34" s="609" t="s">
        <v>507</v>
      </c>
      <c r="C34" s="609"/>
      <c r="D34" s="609"/>
      <c r="E34" s="609"/>
      <c r="F34" s="609"/>
      <c r="G34" s="609"/>
      <c r="H34" s="609"/>
      <c r="I34" s="609"/>
      <c r="J34" s="609"/>
      <c r="K34" s="609"/>
      <c r="L34" s="609"/>
      <c r="M34" s="609"/>
      <c r="N34" s="609"/>
      <c r="O34" s="609"/>
      <c r="P34" s="609"/>
      <c r="Q34" s="609"/>
      <c r="R34" s="609"/>
      <c r="S34" s="480"/>
      <c r="X34" s="479"/>
      <c r="Y34" s="479"/>
      <c r="Z34" s="479"/>
      <c r="AA34" s="479"/>
    </row>
    <row r="35" spans="2:27" ht="14.55" customHeight="1">
      <c r="B35" s="609" t="s">
        <v>508</v>
      </c>
      <c r="C35" s="609"/>
      <c r="D35" s="609"/>
      <c r="E35" s="609"/>
      <c r="F35" s="609"/>
      <c r="G35" s="609"/>
      <c r="H35" s="609"/>
      <c r="I35" s="609"/>
      <c r="J35" s="609"/>
      <c r="K35" s="609"/>
      <c r="L35" s="609"/>
      <c r="M35" s="609"/>
      <c r="N35" s="609"/>
      <c r="O35" s="609"/>
      <c r="P35" s="609"/>
      <c r="Q35" s="609"/>
      <c r="R35" s="609"/>
      <c r="S35" s="480"/>
    </row>
    <row r="36" spans="2:27" ht="22.5" customHeight="1">
      <c r="B36" s="608" t="s">
        <v>509</v>
      </c>
      <c r="C36" s="608"/>
      <c r="D36" s="608"/>
      <c r="E36" s="608"/>
      <c r="F36" s="608"/>
      <c r="G36" s="608"/>
      <c r="H36" s="608"/>
      <c r="I36" s="608"/>
      <c r="J36" s="608"/>
      <c r="K36" s="608"/>
      <c r="L36" s="608"/>
      <c r="M36" s="608"/>
      <c r="N36" s="608"/>
      <c r="O36" s="608"/>
      <c r="P36" s="608"/>
      <c r="Q36" s="608"/>
      <c r="R36" s="608"/>
      <c r="S36" s="479"/>
    </row>
    <row r="38" spans="2:27" ht="13.5" customHeight="1">
      <c r="B38" s="607"/>
      <c r="C38" s="607"/>
      <c r="D38" s="607"/>
      <c r="E38" s="607"/>
      <c r="F38" s="607"/>
      <c r="G38" s="607"/>
      <c r="H38" s="607"/>
      <c r="I38" s="607"/>
      <c r="J38" s="607"/>
      <c r="K38" s="607"/>
      <c r="L38" s="607"/>
      <c r="M38" s="607"/>
      <c r="N38" s="607"/>
      <c r="O38" s="607"/>
      <c r="P38" s="607"/>
      <c r="Q38" s="607"/>
      <c r="R38" s="607"/>
    </row>
  </sheetData>
  <mergeCells count="37">
    <mergeCell ref="X4:AA4"/>
    <mergeCell ref="B38:R38"/>
    <mergeCell ref="B36:R36"/>
    <mergeCell ref="B30:R30"/>
    <mergeCell ref="B31:R31"/>
    <mergeCell ref="B32:R32"/>
    <mergeCell ref="B33:R33"/>
    <mergeCell ref="B34:R34"/>
    <mergeCell ref="B35:R35"/>
    <mergeCell ref="B16:B20"/>
    <mergeCell ref="C16:C19"/>
    <mergeCell ref="D16:D17"/>
    <mergeCell ref="D18:D19"/>
    <mergeCell ref="B21:B29"/>
    <mergeCell ref="C21:C25"/>
    <mergeCell ref="D21:D23"/>
    <mergeCell ref="D24:D25"/>
    <mergeCell ref="C27:C29"/>
    <mergeCell ref="D27:D29"/>
    <mergeCell ref="B6:B15"/>
    <mergeCell ref="C6:C7"/>
    <mergeCell ref="D6:D7"/>
    <mergeCell ref="C8:C10"/>
    <mergeCell ref="D8:D10"/>
    <mergeCell ref="C11:C14"/>
    <mergeCell ref="D11:D13"/>
    <mergeCell ref="S4:V4"/>
    <mergeCell ref="B2:R2"/>
    <mergeCell ref="B4:B5"/>
    <mergeCell ref="C4:C5"/>
    <mergeCell ref="D4:D5"/>
    <mergeCell ref="E4:E5"/>
    <mergeCell ref="F4:F5"/>
    <mergeCell ref="G4:G5"/>
    <mergeCell ref="H4:K4"/>
    <mergeCell ref="M4:P4"/>
    <mergeCell ref="R4:R5"/>
  </mergeCells>
  <phoneticPr fontId="72" type="noConversion"/>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3"/>
  <sheetViews>
    <sheetView showGridLines="0" zoomScale="80" zoomScaleNormal="80" workbookViewId="0">
      <selection activeCell="Y39" sqref="Y39"/>
    </sheetView>
  </sheetViews>
  <sheetFormatPr defaultColWidth="9.21875" defaultRowHeight="13.2" outlineLevelCol="1"/>
  <cols>
    <col min="1" max="1" width="2.21875" style="394" customWidth="1"/>
    <col min="2" max="2" width="41.44140625" style="286" customWidth="1"/>
    <col min="3" max="3" width="7.77734375" style="413" customWidth="1"/>
    <col min="4" max="7" width="12.5546875" style="286" hidden="1" customWidth="1" outlineLevel="1"/>
    <col min="8" max="8" width="12.44140625" style="286" customWidth="1" collapsed="1"/>
    <col min="9" max="12" width="12.44140625" style="286" hidden="1" customWidth="1" outlineLevel="1"/>
    <col min="13" max="13" width="12.44140625" style="286" customWidth="1" collapsed="1"/>
    <col min="14" max="17" width="12.44140625" style="286" hidden="1" customWidth="1" outlineLevel="1"/>
    <col min="18" max="18" width="12.44140625" style="286" customWidth="1" collapsed="1"/>
    <col min="19" max="20" width="12.44140625" style="286" hidden="1" customWidth="1" outlineLevel="1"/>
    <col min="21" max="22" width="12.5546875" style="286" hidden="1" customWidth="1" outlineLevel="1"/>
    <col min="23" max="23" width="12.5546875" style="286" customWidth="1" collapsed="1"/>
    <col min="24" max="28" width="12.44140625" style="286" customWidth="1"/>
    <col min="29" max="16384" width="9.21875" style="392"/>
  </cols>
  <sheetData>
    <row r="1" spans="1:28">
      <c r="B1" s="395"/>
    </row>
    <row r="2" spans="1:28">
      <c r="B2" s="395"/>
    </row>
    <row r="3" spans="1:28">
      <c r="B3" s="395"/>
    </row>
    <row r="4" spans="1:28">
      <c r="B4" s="396"/>
    </row>
    <row r="5" spans="1:28">
      <c r="B5" s="397"/>
      <c r="M5" s="398"/>
    </row>
    <row r="6" spans="1:28">
      <c r="B6" s="399"/>
    </row>
    <row r="7" spans="1:28" ht="13.8">
      <c r="A7" s="400"/>
      <c r="B7" s="418" t="s">
        <v>357</v>
      </c>
      <c r="D7" s="402" t="s">
        <v>87</v>
      </c>
      <c r="E7" s="402" t="s">
        <v>88</v>
      </c>
      <c r="F7" s="402" t="s">
        <v>89</v>
      </c>
      <c r="G7" s="402" t="s">
        <v>90</v>
      </c>
      <c r="H7" s="402">
        <v>2021</v>
      </c>
      <c r="I7" s="402" t="s">
        <v>91</v>
      </c>
      <c r="J7" s="402" t="s">
        <v>92</v>
      </c>
      <c r="K7" s="402" t="s">
        <v>93</v>
      </c>
      <c r="L7" s="402" t="s">
        <v>331</v>
      </c>
      <c r="M7" s="402">
        <v>2022</v>
      </c>
      <c r="N7" s="402" t="s">
        <v>341</v>
      </c>
      <c r="O7" s="402" t="s">
        <v>374</v>
      </c>
      <c r="P7" s="402" t="s">
        <v>382</v>
      </c>
      <c r="Q7" s="402" t="s">
        <v>384</v>
      </c>
      <c r="R7" s="402">
        <v>2023</v>
      </c>
      <c r="S7" s="402" t="s">
        <v>461</v>
      </c>
      <c r="T7" s="402" t="s">
        <v>465</v>
      </c>
      <c r="U7" s="402" t="s">
        <v>466</v>
      </c>
      <c r="V7" s="402" t="s">
        <v>467</v>
      </c>
      <c r="W7" s="402">
        <v>2024</v>
      </c>
      <c r="X7" s="402" t="s">
        <v>513</v>
      </c>
      <c r="Y7" s="402" t="s">
        <v>519</v>
      </c>
      <c r="Z7" s="402" t="s">
        <v>528</v>
      </c>
      <c r="AA7" s="402" t="s">
        <v>514</v>
      </c>
      <c r="AB7" s="402">
        <v>2025</v>
      </c>
    </row>
    <row r="8" spans="1:28" ht="13.8">
      <c r="B8" s="403" t="s">
        <v>517</v>
      </c>
      <c r="D8" s="428"/>
      <c r="E8" s="428"/>
      <c r="F8" s="428"/>
      <c r="G8" s="428"/>
      <c r="H8" s="428"/>
      <c r="I8" s="428"/>
      <c r="J8" s="428"/>
      <c r="K8" s="428"/>
      <c r="L8" s="428"/>
      <c r="M8" s="428"/>
      <c r="N8" s="428"/>
      <c r="O8" s="428"/>
      <c r="P8" s="428"/>
      <c r="Q8" s="428"/>
      <c r="R8" s="403"/>
      <c r="S8" s="403"/>
      <c r="T8" s="403"/>
      <c r="U8" s="403"/>
      <c r="V8" s="540"/>
      <c r="W8" s="540"/>
      <c r="X8" s="403"/>
      <c r="Y8" s="540"/>
      <c r="Z8" s="540"/>
      <c r="AA8" s="540"/>
      <c r="AB8" s="540"/>
    </row>
    <row r="9" spans="1:28" ht="13.8">
      <c r="B9" s="404" t="s">
        <v>358</v>
      </c>
      <c r="C9" s="414"/>
      <c r="D9" s="405">
        <v>200</v>
      </c>
      <c r="E9" s="405">
        <v>200</v>
      </c>
      <c r="F9" s="405">
        <v>200</v>
      </c>
      <c r="G9" s="405">
        <v>200</v>
      </c>
      <c r="H9" s="406">
        <f>SUM(D9:G9)</f>
        <v>800</v>
      </c>
      <c r="I9" s="405">
        <v>200</v>
      </c>
      <c r="J9" s="405">
        <v>200</v>
      </c>
      <c r="K9" s="405">
        <v>200</v>
      </c>
      <c r="L9" s="405">
        <v>200</v>
      </c>
      <c r="M9" s="406">
        <f>SUM(I9:L9)</f>
        <v>800</v>
      </c>
      <c r="N9" s="405">
        <v>200</v>
      </c>
      <c r="O9" s="405">
        <v>200</v>
      </c>
      <c r="P9" s="405">
        <v>200</v>
      </c>
      <c r="Q9" s="405">
        <v>200</v>
      </c>
      <c r="R9" s="406">
        <f>SUM(N9:Q9)</f>
        <v>800</v>
      </c>
      <c r="S9" s="422">
        <v>200</v>
      </c>
      <c r="T9" s="422">
        <v>200</v>
      </c>
      <c r="U9" s="422">
        <v>200</v>
      </c>
      <c r="V9" s="422">
        <v>200</v>
      </c>
      <c r="W9" s="406">
        <f>SUM(S9:V9)</f>
        <v>800</v>
      </c>
      <c r="X9" s="422">
        <v>200</v>
      </c>
      <c r="Y9" s="422">
        <v>200</v>
      </c>
      <c r="Z9" s="422">
        <v>200</v>
      </c>
      <c r="AA9" s="422">
        <v>200</v>
      </c>
      <c r="AB9" s="406">
        <f>SUM(X9:AA9)</f>
        <v>800</v>
      </c>
    </row>
    <row r="10" spans="1:28" ht="13.8">
      <c r="B10" s="404" t="s">
        <v>349</v>
      </c>
      <c r="C10" s="414"/>
      <c r="D10" s="405">
        <v>90</v>
      </c>
      <c r="E10" s="405">
        <v>90</v>
      </c>
      <c r="F10" s="405">
        <v>90</v>
      </c>
      <c r="G10" s="405">
        <v>90</v>
      </c>
      <c r="H10" s="406">
        <f>SUM(D10:G10)</f>
        <v>360</v>
      </c>
      <c r="I10" s="405">
        <v>94</v>
      </c>
      <c r="J10" s="405">
        <v>94</v>
      </c>
      <c r="K10" s="405">
        <v>94</v>
      </c>
      <c r="L10" s="405">
        <v>94</v>
      </c>
      <c r="M10" s="406">
        <f>SUM(I10:L10)</f>
        <v>376</v>
      </c>
      <c r="N10" s="405">
        <v>94</v>
      </c>
      <c r="O10" s="405">
        <v>94</v>
      </c>
      <c r="P10" s="405">
        <v>94</v>
      </c>
      <c r="Q10" s="405">
        <v>94</v>
      </c>
      <c r="R10" s="406">
        <f>SUM(N10:Q10)</f>
        <v>376</v>
      </c>
      <c r="S10" s="422">
        <v>94</v>
      </c>
      <c r="T10" s="422">
        <v>94</v>
      </c>
      <c r="U10" s="422">
        <v>94</v>
      </c>
      <c r="V10" s="405">
        <v>94</v>
      </c>
      <c r="W10" s="406">
        <f t="shared" ref="W10:W13" si="0">SUM(S10:V10)</f>
        <v>376</v>
      </c>
      <c r="X10" s="422">
        <v>94</v>
      </c>
      <c r="Y10" s="422">
        <v>94</v>
      </c>
      <c r="Z10" s="422">
        <v>94</v>
      </c>
      <c r="AA10" s="422">
        <v>94</v>
      </c>
      <c r="AB10" s="406">
        <f t="shared" ref="AB10:AB13" si="1">SUM(X10:AA10)</f>
        <v>376</v>
      </c>
    </row>
    <row r="11" spans="1:28" ht="13.8">
      <c r="B11" s="404" t="s">
        <v>353</v>
      </c>
      <c r="C11" s="414"/>
      <c r="D11" s="405">
        <v>129.60000000000002</v>
      </c>
      <c r="E11" s="405">
        <v>129.60000000000002</v>
      </c>
      <c r="F11" s="405">
        <v>129.60000000000002</v>
      </c>
      <c r="G11" s="405">
        <v>129.60000000000002</v>
      </c>
      <c r="H11" s="406">
        <f t="shared" ref="H11:H13" si="2">SUM(D11:G11)</f>
        <v>518.40000000000009</v>
      </c>
      <c r="I11" s="405">
        <v>129.60000000000002</v>
      </c>
      <c r="J11" s="405">
        <v>129.60000000000002</v>
      </c>
      <c r="K11" s="405">
        <v>129.60000000000002</v>
      </c>
      <c r="L11" s="405">
        <v>129.60000000000002</v>
      </c>
      <c r="M11" s="406">
        <f t="shared" ref="M11:M13" si="3">SUM(I11:L11)</f>
        <v>518.40000000000009</v>
      </c>
      <c r="N11" s="405">
        <v>129.33287671232881</v>
      </c>
      <c r="O11" s="405">
        <v>129.54657534246579</v>
      </c>
      <c r="P11" s="405">
        <v>129.54657534246579</v>
      </c>
      <c r="Q11" s="405">
        <v>129.54657534246579</v>
      </c>
      <c r="R11" s="406">
        <f t="shared" ref="R11:R13" si="4">SUM(N11:Q11)</f>
        <v>517.97260273972609</v>
      </c>
      <c r="S11" s="422">
        <v>129.54657534246579</v>
      </c>
      <c r="T11" s="422">
        <v>129.54657534246579</v>
      </c>
      <c r="U11" s="422">
        <v>129.54657534246579</v>
      </c>
      <c r="V11" s="405">
        <v>129.54657534246579</v>
      </c>
      <c r="W11" s="406">
        <f t="shared" si="0"/>
        <v>518.18630136986314</v>
      </c>
      <c r="X11" s="422">
        <v>129.54657534246579</v>
      </c>
      <c r="Y11" s="422">
        <v>129.54657534246579</v>
      </c>
      <c r="Z11" s="422">
        <v>129.54657534246579</v>
      </c>
      <c r="AA11" s="422">
        <v>129.54657534246579</v>
      </c>
      <c r="AB11" s="406">
        <f t="shared" si="1"/>
        <v>518.18630136986314</v>
      </c>
    </row>
    <row r="12" spans="1:28" ht="13.8">
      <c r="B12" s="404" t="s">
        <v>354</v>
      </c>
      <c r="C12" s="414"/>
      <c r="D12" s="405">
        <v>55</v>
      </c>
      <c r="E12" s="405">
        <v>55</v>
      </c>
      <c r="F12" s="405">
        <v>55</v>
      </c>
      <c r="G12" s="405">
        <v>55</v>
      </c>
      <c r="H12" s="406">
        <f t="shared" si="2"/>
        <v>220</v>
      </c>
      <c r="I12" s="405">
        <v>55</v>
      </c>
      <c r="J12" s="405">
        <v>55</v>
      </c>
      <c r="K12" s="405">
        <v>55</v>
      </c>
      <c r="L12" s="405">
        <v>55</v>
      </c>
      <c r="M12" s="406">
        <f t="shared" si="3"/>
        <v>220</v>
      </c>
      <c r="N12" s="405">
        <v>53.75</v>
      </c>
      <c r="O12" s="405">
        <v>53.75</v>
      </c>
      <c r="P12" s="405">
        <v>53.75</v>
      </c>
      <c r="Q12" s="405">
        <v>53.75</v>
      </c>
      <c r="R12" s="406">
        <f t="shared" si="4"/>
        <v>215</v>
      </c>
      <c r="S12" s="422">
        <v>53.75</v>
      </c>
      <c r="T12" s="422">
        <v>53.75</v>
      </c>
      <c r="U12" s="422">
        <v>53.75</v>
      </c>
      <c r="V12" s="405">
        <v>53.75</v>
      </c>
      <c r="W12" s="406">
        <f t="shared" si="0"/>
        <v>215</v>
      </c>
      <c r="X12" s="422">
        <v>53.75</v>
      </c>
      <c r="Y12" s="422">
        <v>53.75</v>
      </c>
      <c r="Z12" s="422">
        <v>53.75</v>
      </c>
      <c r="AA12" s="422">
        <v>53.75</v>
      </c>
      <c r="AB12" s="406">
        <f t="shared" si="1"/>
        <v>215</v>
      </c>
    </row>
    <row r="13" spans="1:28" ht="13.8">
      <c r="B13" s="404" t="s">
        <v>352</v>
      </c>
      <c r="C13" s="414"/>
      <c r="D13" s="405">
        <v>59.149999999999963</v>
      </c>
      <c r="E13" s="405">
        <v>59.149999999999963</v>
      </c>
      <c r="F13" s="405">
        <v>59.149999999999963</v>
      </c>
      <c r="G13" s="405">
        <v>59.149999999999963</v>
      </c>
      <c r="H13" s="406">
        <f t="shared" si="2"/>
        <v>236.59999999999985</v>
      </c>
      <c r="I13" s="405">
        <v>74.5</v>
      </c>
      <c r="J13" s="405">
        <v>74.5</v>
      </c>
      <c r="K13" s="405">
        <v>74.5</v>
      </c>
      <c r="L13" s="405">
        <v>74.5</v>
      </c>
      <c r="M13" s="406">
        <f t="shared" si="3"/>
        <v>298</v>
      </c>
      <c r="N13" s="405">
        <v>74.399999999999963</v>
      </c>
      <c r="O13" s="405">
        <v>74.399999999999963</v>
      </c>
      <c r="P13" s="405">
        <v>74.399999999999963</v>
      </c>
      <c r="Q13" s="405">
        <v>74.399999999999963</v>
      </c>
      <c r="R13" s="406">
        <f t="shared" si="4"/>
        <v>297.59999999999985</v>
      </c>
      <c r="S13" s="405">
        <v>74.399999999999963</v>
      </c>
      <c r="T13" s="405">
        <v>74.399999999999963</v>
      </c>
      <c r="U13" s="405">
        <v>74.399999999999963</v>
      </c>
      <c r="V13" s="405">
        <v>74.399999999999963</v>
      </c>
      <c r="W13" s="406">
        <f t="shared" si="0"/>
        <v>297.59999999999985</v>
      </c>
      <c r="X13" s="405">
        <v>74.399999999999963</v>
      </c>
      <c r="Y13" s="405">
        <v>74.399999999999963</v>
      </c>
      <c r="Z13" s="405">
        <v>74.399999999999963</v>
      </c>
      <c r="AA13" s="405">
        <v>74.399999999999963</v>
      </c>
      <c r="AB13" s="406">
        <f t="shared" si="1"/>
        <v>297.59999999999985</v>
      </c>
    </row>
    <row r="14" spans="1:28">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407"/>
    </row>
    <row r="15" spans="1:28" ht="13.8">
      <c r="A15" s="400"/>
      <c r="B15" s="418" t="s">
        <v>357</v>
      </c>
      <c r="D15" s="402" t="s">
        <v>87</v>
      </c>
      <c r="E15" s="402" t="s">
        <v>88</v>
      </c>
      <c r="F15" s="402" t="s">
        <v>89</v>
      </c>
      <c r="G15" s="402" t="s">
        <v>90</v>
      </c>
      <c r="H15" s="402">
        <v>2021</v>
      </c>
      <c r="I15" s="402" t="s">
        <v>91</v>
      </c>
      <c r="J15" s="402" t="s">
        <v>92</v>
      </c>
      <c r="K15" s="402" t="s">
        <v>93</v>
      </c>
      <c r="L15" s="402" t="s">
        <v>331</v>
      </c>
      <c r="M15" s="402">
        <v>2022</v>
      </c>
      <c r="N15" s="402" t="s">
        <v>341</v>
      </c>
      <c r="O15" s="402" t="s">
        <v>374</v>
      </c>
      <c r="P15" s="402" t="s">
        <v>382</v>
      </c>
      <c r="Q15" s="402" t="s">
        <v>384</v>
      </c>
      <c r="R15" s="402">
        <v>2023</v>
      </c>
      <c r="S15" s="402" t="s">
        <v>461</v>
      </c>
      <c r="T15" s="402" t="str">
        <f>$T$7</f>
        <v>2Q24</v>
      </c>
      <c r="U15" s="402" t="str">
        <f>U7</f>
        <v>3Q24</v>
      </c>
      <c r="V15" s="402" t="s">
        <v>467</v>
      </c>
      <c r="W15" s="402">
        <f>$W$7</f>
        <v>2024</v>
      </c>
      <c r="X15" s="402" t="str">
        <f>$X$7</f>
        <v>1Q25</v>
      </c>
      <c r="Y15" s="402" t="str">
        <f>Y7</f>
        <v>2Q25</v>
      </c>
      <c r="Z15" s="402" t="str">
        <f>Z7</f>
        <v>3Q25</v>
      </c>
      <c r="AA15" s="402" t="str">
        <f>AA7</f>
        <v>4Q25</v>
      </c>
      <c r="AB15" s="402">
        <f>AB7</f>
        <v>2025</v>
      </c>
    </row>
    <row r="16" spans="1:28" ht="13.8">
      <c r="B16" s="403" t="s">
        <v>356</v>
      </c>
      <c r="D16" s="428"/>
      <c r="E16" s="428"/>
      <c r="F16" s="428"/>
      <c r="G16" s="428"/>
      <c r="H16" s="428"/>
      <c r="I16" s="428"/>
      <c r="J16" s="428"/>
      <c r="K16" s="428"/>
      <c r="L16" s="428"/>
      <c r="M16" s="428"/>
      <c r="N16" s="428"/>
      <c r="O16" s="428"/>
      <c r="P16" s="428"/>
      <c r="Q16" s="428"/>
      <c r="R16" s="403"/>
      <c r="S16" s="403"/>
      <c r="T16" s="403"/>
      <c r="U16" s="403"/>
      <c r="V16" s="540"/>
      <c r="W16" s="540"/>
      <c r="X16" s="403"/>
      <c r="Y16" s="540"/>
      <c r="Z16" s="540"/>
      <c r="AA16" s="540"/>
      <c r="AB16" s="540"/>
    </row>
    <row r="17" spans="1:31" ht="13.8">
      <c r="B17" s="404" t="s">
        <v>358</v>
      </c>
      <c r="C17" s="414"/>
      <c r="D17" s="405">
        <v>192.7</v>
      </c>
      <c r="E17" s="405">
        <v>182.48599999999999</v>
      </c>
      <c r="F17" s="405">
        <v>184.482</v>
      </c>
      <c r="G17" s="405">
        <v>184.57499999999999</v>
      </c>
      <c r="H17" s="406">
        <f>SUM(D17:G17)</f>
        <v>744.24299999999994</v>
      </c>
      <c r="I17" s="405">
        <v>182.44499999999999</v>
      </c>
      <c r="J17" s="405">
        <v>187.43799999999999</v>
      </c>
      <c r="K17" s="405">
        <v>196.18</v>
      </c>
      <c r="L17" s="408">
        <v>167.505</v>
      </c>
      <c r="M17" s="406">
        <f>SUM(I17:L17)</f>
        <v>733.56799999999998</v>
      </c>
      <c r="N17" s="405">
        <v>190.185</v>
      </c>
      <c r="O17" s="405">
        <v>184</v>
      </c>
      <c r="P17" s="405">
        <v>179</v>
      </c>
      <c r="Q17" s="405">
        <v>185</v>
      </c>
      <c r="R17" s="406">
        <f>SUM(N17:Q17)</f>
        <v>738.18499999999995</v>
      </c>
      <c r="S17" s="422">
        <v>184</v>
      </c>
      <c r="T17" s="422">
        <v>189</v>
      </c>
      <c r="U17" s="422">
        <v>203</v>
      </c>
      <c r="V17" s="405">
        <v>192.25</v>
      </c>
      <c r="W17" s="406">
        <f>SUM(S17:V17)</f>
        <v>768.25</v>
      </c>
      <c r="X17" s="422">
        <v>169</v>
      </c>
      <c r="Y17" s="422">
        <v>165.042</v>
      </c>
      <c r="Z17" s="422">
        <v>163</v>
      </c>
      <c r="AA17" s="422">
        <v>175</v>
      </c>
      <c r="AB17" s="406">
        <f>SUM(X17:AA17)</f>
        <v>672.04200000000003</v>
      </c>
    </row>
    <row r="18" spans="1:31" ht="13.8">
      <c r="B18" s="404" t="s">
        <v>349</v>
      </c>
      <c r="C18" s="414"/>
      <c r="D18" s="405">
        <v>84.548930001000002</v>
      </c>
      <c r="E18" s="405">
        <v>86.888590002000001</v>
      </c>
      <c r="F18" s="405">
        <v>87.091770006000004</v>
      </c>
      <c r="G18" s="405">
        <v>86.400676505999996</v>
      </c>
      <c r="H18" s="406">
        <f t="shared" ref="H18:H21" si="5">SUM(D18:G18)</f>
        <v>344.92996651500005</v>
      </c>
      <c r="I18" s="405">
        <v>83.667260000000013</v>
      </c>
      <c r="J18" s="405">
        <v>85.175390499999992</v>
      </c>
      <c r="K18" s="422">
        <v>91.339854502999998</v>
      </c>
      <c r="L18" s="405">
        <v>87.168257002999894</v>
      </c>
      <c r="M18" s="406">
        <f t="shared" ref="M18:M21" si="6">SUM(I18:L18)</f>
        <v>347.35076200599985</v>
      </c>
      <c r="N18" s="405">
        <v>79</v>
      </c>
      <c r="O18" s="405">
        <v>80</v>
      </c>
      <c r="P18" s="405">
        <v>83.937839999999994</v>
      </c>
      <c r="Q18" s="405">
        <v>87</v>
      </c>
      <c r="R18" s="406">
        <f t="shared" ref="R18:R21" si="7">SUM(N18:Q18)</f>
        <v>329.93783999999999</v>
      </c>
      <c r="S18" s="422">
        <v>88</v>
      </c>
      <c r="T18" s="422">
        <v>91</v>
      </c>
      <c r="U18" s="422">
        <v>93</v>
      </c>
      <c r="V18" s="405">
        <v>93.367080000000001</v>
      </c>
      <c r="W18" s="406">
        <f t="shared" ref="W18:W21" si="8">SUM(S18:V18)</f>
        <v>365.36707999999999</v>
      </c>
      <c r="X18" s="422">
        <v>88.334770000000006</v>
      </c>
      <c r="Y18" s="422">
        <v>85.868283500000004</v>
      </c>
      <c r="Z18" s="422">
        <v>93.188923000000003</v>
      </c>
      <c r="AA18" s="422">
        <v>93</v>
      </c>
      <c r="AB18" s="406">
        <f t="shared" ref="AB18:AB21" si="9">SUM(X18:AA18)</f>
        <v>360.3919765</v>
      </c>
    </row>
    <row r="19" spans="1:31" ht="13.8">
      <c r="B19" s="404" t="s">
        <v>353</v>
      </c>
      <c r="C19" s="414"/>
      <c r="D19" s="408">
        <v>90.296617000000012</v>
      </c>
      <c r="E19" s="408">
        <v>90.672048999999987</v>
      </c>
      <c r="F19" s="408">
        <v>90.663606000000001</v>
      </c>
      <c r="G19" s="408">
        <v>90.474244000000013</v>
      </c>
      <c r="H19" s="406">
        <f t="shared" si="5"/>
        <v>362.106516</v>
      </c>
      <c r="I19" s="408">
        <v>86.359637000000021</v>
      </c>
      <c r="J19" s="408">
        <v>87.047460999999998</v>
      </c>
      <c r="K19" s="408">
        <v>93.176201000000006</v>
      </c>
      <c r="L19" s="408">
        <v>90.827029000000024</v>
      </c>
      <c r="M19" s="406">
        <f t="shared" si="6"/>
        <v>357.41032800000005</v>
      </c>
      <c r="N19" s="408">
        <v>87.271220000000014</v>
      </c>
      <c r="O19" s="421">
        <v>88.511746941999988</v>
      </c>
      <c r="P19" s="421">
        <v>89</v>
      </c>
      <c r="Q19" s="421">
        <v>96</v>
      </c>
      <c r="R19" s="406">
        <f t="shared" si="7"/>
        <v>360.78296694200003</v>
      </c>
      <c r="S19" s="421">
        <v>93</v>
      </c>
      <c r="T19" s="421">
        <v>99.350000000000009</v>
      </c>
      <c r="U19" s="421">
        <v>100.83</v>
      </c>
      <c r="V19" s="405">
        <v>98.990000000000009</v>
      </c>
      <c r="W19" s="406">
        <f t="shared" si="8"/>
        <v>392.17</v>
      </c>
      <c r="X19" s="421">
        <v>92.160273749000012</v>
      </c>
      <c r="Y19" s="421">
        <v>93.714542547000008</v>
      </c>
      <c r="Z19" s="421">
        <v>89.482399999999998</v>
      </c>
      <c r="AA19" s="421">
        <v>102.214973</v>
      </c>
      <c r="AB19" s="406">
        <f t="shared" si="9"/>
        <v>377.57218929599998</v>
      </c>
    </row>
    <row r="20" spans="1:31" ht="13.8">
      <c r="B20" s="404" t="s">
        <v>354</v>
      </c>
      <c r="C20" s="415"/>
      <c r="D20" s="405">
        <v>39.201650000000001</v>
      </c>
      <c r="E20" s="405">
        <v>39.276492817000005</v>
      </c>
      <c r="F20" s="405">
        <v>38.757241487000002</v>
      </c>
      <c r="G20" s="405">
        <v>36.500897819000002</v>
      </c>
      <c r="H20" s="406">
        <f t="shared" si="5"/>
        <v>153.73628212300002</v>
      </c>
      <c r="I20" s="405">
        <v>34.168492082999997</v>
      </c>
      <c r="J20" s="405">
        <v>35.296938220000001</v>
      </c>
      <c r="K20" s="405">
        <v>34.975480656000002</v>
      </c>
      <c r="L20" s="405">
        <v>33.842385579000002</v>
      </c>
      <c r="M20" s="406">
        <f t="shared" si="6"/>
        <v>138.283296538</v>
      </c>
      <c r="N20" s="408">
        <v>34.458313736999997</v>
      </c>
      <c r="O20" s="421">
        <v>32.258335113999991</v>
      </c>
      <c r="P20" s="421">
        <v>31.314542478</v>
      </c>
      <c r="Q20" s="421">
        <v>31.172970882999998</v>
      </c>
      <c r="R20" s="406">
        <f t="shared" si="7"/>
        <v>129.204162212</v>
      </c>
      <c r="S20" s="421">
        <v>31.446282222999997</v>
      </c>
      <c r="T20" s="421">
        <v>33.355866992999992</v>
      </c>
      <c r="U20" s="421">
        <v>35.688876697000005</v>
      </c>
      <c r="V20" s="405">
        <v>34.984563432000002</v>
      </c>
      <c r="W20" s="406">
        <f t="shared" si="8"/>
        <v>135.475589345</v>
      </c>
      <c r="X20" s="421">
        <v>33.268828679000009</v>
      </c>
      <c r="Y20" s="421">
        <v>33.370801385000007</v>
      </c>
      <c r="Z20" s="421">
        <v>32.060678910000007</v>
      </c>
      <c r="AA20" s="421">
        <v>33.689618355999997</v>
      </c>
      <c r="AB20" s="406">
        <f t="shared" si="9"/>
        <v>132.38992733000003</v>
      </c>
    </row>
    <row r="21" spans="1:31" ht="13.8">
      <c r="B21" s="404" t="s">
        <v>352</v>
      </c>
      <c r="C21" s="414"/>
      <c r="D21" s="405">
        <v>44.784945651612276</v>
      </c>
      <c r="E21" s="405">
        <v>49.820642551360066</v>
      </c>
      <c r="F21" s="405">
        <v>47.607908267587781</v>
      </c>
      <c r="G21" s="405">
        <v>50.225825052398505</v>
      </c>
      <c r="H21" s="406">
        <f t="shared" si="5"/>
        <v>192.43932152295864</v>
      </c>
      <c r="I21" s="405">
        <v>46.848014079306054</v>
      </c>
      <c r="J21" s="405">
        <v>42.291677973024875</v>
      </c>
      <c r="K21" s="405">
        <v>45.481106363227298</v>
      </c>
      <c r="L21" s="405">
        <v>44.468638725359838</v>
      </c>
      <c r="M21" s="406">
        <f t="shared" si="6"/>
        <v>179.08943714091805</v>
      </c>
      <c r="N21" s="405">
        <v>41.559602659939301</v>
      </c>
      <c r="O21" s="422">
        <v>39</v>
      </c>
      <c r="P21" s="422">
        <v>39.169999999999995</v>
      </c>
      <c r="Q21" s="422">
        <v>37</v>
      </c>
      <c r="R21" s="406">
        <f t="shared" si="7"/>
        <v>156.7296026599393</v>
      </c>
      <c r="S21" s="422">
        <v>35</v>
      </c>
      <c r="T21" s="422">
        <v>45</v>
      </c>
      <c r="U21" s="422">
        <v>45</v>
      </c>
      <c r="V21" s="405">
        <v>42.977049999999998</v>
      </c>
      <c r="W21" s="406">
        <f t="shared" si="8"/>
        <v>167.97704999999999</v>
      </c>
      <c r="X21" s="422">
        <v>40.363465367000003</v>
      </c>
      <c r="Y21" s="422">
        <v>36.992000000000004</v>
      </c>
      <c r="Z21" s="422">
        <v>45.6</v>
      </c>
      <c r="AA21" s="422">
        <v>45.581754633000003</v>
      </c>
      <c r="AB21" s="406">
        <f t="shared" si="9"/>
        <v>168.53722000000002</v>
      </c>
    </row>
    <row r="23" spans="1:31" ht="13.8">
      <c r="B23" s="401" t="s">
        <v>350</v>
      </c>
      <c r="D23" s="402" t="s">
        <v>87</v>
      </c>
      <c r="E23" s="402" t="s">
        <v>88</v>
      </c>
      <c r="F23" s="402" t="s">
        <v>89</v>
      </c>
      <c r="G23" s="402" t="s">
        <v>90</v>
      </c>
      <c r="H23" s="402">
        <v>2021</v>
      </c>
      <c r="I23" s="402" t="s">
        <v>91</v>
      </c>
      <c r="J23" s="402" t="s">
        <v>92</v>
      </c>
      <c r="K23" s="402" t="s">
        <v>93</v>
      </c>
      <c r="L23" s="402" t="s">
        <v>331</v>
      </c>
      <c r="M23" s="402">
        <v>2022</v>
      </c>
      <c r="N23" s="402" t="s">
        <v>341</v>
      </c>
      <c r="O23" s="402" t="s">
        <v>374</v>
      </c>
      <c r="P23" s="402" t="s">
        <v>382</v>
      </c>
      <c r="Q23" s="402" t="s">
        <v>384</v>
      </c>
      <c r="R23" s="402">
        <v>2023</v>
      </c>
      <c r="S23" s="402" t="s">
        <v>461</v>
      </c>
      <c r="T23" s="402" t="str">
        <f>$T$7</f>
        <v>2Q24</v>
      </c>
      <c r="U23" s="402" t="str">
        <f>U7</f>
        <v>3Q24</v>
      </c>
      <c r="V23" s="402" t="s">
        <v>467</v>
      </c>
      <c r="W23" s="402">
        <f>$W$7</f>
        <v>2024</v>
      </c>
      <c r="X23" s="402" t="str">
        <f>$X$7</f>
        <v>1Q25</v>
      </c>
      <c r="Y23" s="402" t="str">
        <f>Y7</f>
        <v>2Q25</v>
      </c>
      <c r="Z23" s="402" t="str">
        <f>Z7</f>
        <v>3Q25</v>
      </c>
      <c r="AA23" s="402" t="str">
        <f>AA7</f>
        <v>4Q25</v>
      </c>
      <c r="AB23" s="402">
        <f>AB15</f>
        <v>2025</v>
      </c>
    </row>
    <row r="24" spans="1:31" ht="13.8">
      <c r="B24" s="403" t="s">
        <v>355</v>
      </c>
      <c r="D24" s="428"/>
      <c r="E24" s="428"/>
      <c r="F24" s="428"/>
      <c r="G24" s="428"/>
      <c r="H24" s="428"/>
      <c r="I24" s="428"/>
      <c r="J24" s="428"/>
      <c r="K24" s="428"/>
      <c r="L24" s="428"/>
      <c r="M24" s="428"/>
      <c r="N24" s="428"/>
      <c r="O24" s="428"/>
      <c r="P24" s="428"/>
      <c r="Q24" s="428"/>
      <c r="R24" s="403"/>
      <c r="S24" s="403"/>
      <c r="T24" s="403"/>
      <c r="U24" s="403"/>
      <c r="V24" s="540"/>
      <c r="W24" s="540"/>
      <c r="X24" s="403"/>
      <c r="Y24" s="540"/>
      <c r="Z24" s="540"/>
      <c r="AA24" s="540"/>
      <c r="AB24" s="540"/>
    </row>
    <row r="25" spans="1:31" s="393" customFormat="1" ht="13.8">
      <c r="A25" s="394"/>
      <c r="B25" s="404" t="s">
        <v>358</v>
      </c>
      <c r="C25" s="413"/>
      <c r="D25" s="409">
        <f t="shared" ref="D25:P26" si="10">D17/D9</f>
        <v>0.96349999999999991</v>
      </c>
      <c r="E25" s="409">
        <f t="shared" si="10"/>
        <v>0.91242999999999996</v>
      </c>
      <c r="F25" s="409">
        <f t="shared" si="10"/>
        <v>0.92240999999999995</v>
      </c>
      <c r="G25" s="409">
        <f t="shared" si="10"/>
        <v>0.92287499999999989</v>
      </c>
      <c r="H25" s="410">
        <f t="shared" si="10"/>
        <v>0.93030374999999987</v>
      </c>
      <c r="I25" s="409">
        <f t="shared" si="10"/>
        <v>0.91222499999999995</v>
      </c>
      <c r="J25" s="409">
        <f t="shared" si="10"/>
        <v>0.93718999999999997</v>
      </c>
      <c r="K25" s="409">
        <f t="shared" si="10"/>
        <v>0.98089999999999999</v>
      </c>
      <c r="L25" s="409">
        <f t="shared" si="10"/>
        <v>0.83752499999999996</v>
      </c>
      <c r="M25" s="410">
        <f t="shared" si="10"/>
        <v>0.91696</v>
      </c>
      <c r="N25" s="409">
        <f t="shared" si="10"/>
        <v>0.95092500000000002</v>
      </c>
      <c r="O25" s="409">
        <f t="shared" si="10"/>
        <v>0.92</v>
      </c>
      <c r="P25" s="409">
        <f t="shared" si="10"/>
        <v>0.89500000000000002</v>
      </c>
      <c r="Q25" s="409">
        <f t="shared" ref="Q25" si="11">Q17/Q9</f>
        <v>0.92500000000000004</v>
      </c>
      <c r="R25" s="410">
        <f t="shared" ref="R25:S29" si="12">R17/R9</f>
        <v>0.92273124999999989</v>
      </c>
      <c r="S25" s="409">
        <f t="shared" si="12"/>
        <v>0.92</v>
      </c>
      <c r="T25" s="409">
        <f t="shared" ref="T25:Y29" si="13">T17/T9</f>
        <v>0.94499999999999995</v>
      </c>
      <c r="U25" s="409">
        <f t="shared" si="13"/>
        <v>1.0149999999999999</v>
      </c>
      <c r="V25" s="409">
        <f t="shared" si="13"/>
        <v>0.96125000000000005</v>
      </c>
      <c r="W25" s="410">
        <f t="shared" si="13"/>
        <v>0.96031250000000001</v>
      </c>
      <c r="X25" s="409">
        <f t="shared" si="13"/>
        <v>0.84499999999999997</v>
      </c>
      <c r="Y25" s="409">
        <f t="shared" si="13"/>
        <v>0.82521</v>
      </c>
      <c r="Z25" s="409">
        <f t="shared" ref="Z25:AB25" si="14">Z17/Z9</f>
        <v>0.81499999999999995</v>
      </c>
      <c r="AA25" s="409">
        <f t="shared" si="14"/>
        <v>0.875</v>
      </c>
      <c r="AB25" s="410">
        <f t="shared" si="14"/>
        <v>0.84005250000000009</v>
      </c>
      <c r="AC25" s="392"/>
      <c r="AD25" s="392"/>
      <c r="AE25" s="392"/>
    </row>
    <row r="26" spans="1:31" s="393" customFormat="1" ht="13.8">
      <c r="A26" s="394"/>
      <c r="B26" s="404" t="s">
        <v>349</v>
      </c>
      <c r="C26" s="413"/>
      <c r="D26" s="409">
        <f t="shared" ref="D26:N26" si="15">D18/D10</f>
        <v>0.93943255556666672</v>
      </c>
      <c r="E26" s="409">
        <f t="shared" si="15"/>
        <v>0.96542877780000003</v>
      </c>
      <c r="F26" s="409">
        <f t="shared" si="15"/>
        <v>0.9676863334000001</v>
      </c>
      <c r="G26" s="409">
        <f t="shared" si="15"/>
        <v>0.96000751673333329</v>
      </c>
      <c r="H26" s="410">
        <f t="shared" si="15"/>
        <v>0.95813879587500017</v>
      </c>
      <c r="I26" s="409">
        <f t="shared" si="15"/>
        <v>0.89007723404255334</v>
      </c>
      <c r="J26" s="409">
        <f t="shared" si="15"/>
        <v>0.90612117553191485</v>
      </c>
      <c r="K26" s="409">
        <f t="shared" si="15"/>
        <v>0.97170057981914892</v>
      </c>
      <c r="L26" s="409">
        <f t="shared" si="15"/>
        <v>0.92732188301063723</v>
      </c>
      <c r="M26" s="410">
        <f t="shared" si="15"/>
        <v>0.92380521810106342</v>
      </c>
      <c r="N26" s="409">
        <f t="shared" si="15"/>
        <v>0.84042553191489366</v>
      </c>
      <c r="O26" s="409">
        <f t="shared" si="10"/>
        <v>0.85106382978723405</v>
      </c>
      <c r="P26" s="409">
        <f t="shared" si="10"/>
        <v>0.89295574468085104</v>
      </c>
      <c r="Q26" s="409">
        <f t="shared" ref="Q26" si="16">Q18/Q10</f>
        <v>0.92553191489361697</v>
      </c>
      <c r="R26" s="410">
        <f t="shared" si="12"/>
        <v>0.87749425531914893</v>
      </c>
      <c r="S26" s="409">
        <f t="shared" si="12"/>
        <v>0.93617021276595747</v>
      </c>
      <c r="T26" s="409">
        <f t="shared" ref="T26:U26" si="17">T18/T10</f>
        <v>0.96808510638297873</v>
      </c>
      <c r="U26" s="409">
        <f t="shared" si="17"/>
        <v>0.98936170212765961</v>
      </c>
      <c r="V26" s="409">
        <f t="shared" si="13"/>
        <v>0.99326680851063831</v>
      </c>
      <c r="W26" s="410">
        <f t="shared" si="13"/>
        <v>0.97172095744680853</v>
      </c>
      <c r="X26" s="409">
        <f t="shared" si="13"/>
        <v>0.9397315957446809</v>
      </c>
      <c r="Y26" s="409">
        <f t="shared" si="13"/>
        <v>0.91349237765957447</v>
      </c>
      <c r="Z26" s="409">
        <f t="shared" ref="Z26:AB26" si="18">Z18/Z10</f>
        <v>0.99137152127659578</v>
      </c>
      <c r="AA26" s="409">
        <f t="shared" si="18"/>
        <v>0.98936170212765961</v>
      </c>
      <c r="AB26" s="410">
        <f t="shared" si="18"/>
        <v>0.95848929920212766</v>
      </c>
      <c r="AC26" s="392"/>
      <c r="AD26" s="392"/>
      <c r="AE26" s="392"/>
    </row>
    <row r="27" spans="1:31" s="393" customFormat="1" ht="13.8">
      <c r="A27" s="394"/>
      <c r="B27" s="404" t="s">
        <v>353</v>
      </c>
      <c r="C27" s="413"/>
      <c r="D27" s="409">
        <f t="shared" ref="D27:N27" si="19">D19/D11</f>
        <v>0.69673315586419748</v>
      </c>
      <c r="E27" s="409">
        <f t="shared" si="19"/>
        <v>0.69963000771604911</v>
      </c>
      <c r="F27" s="409">
        <f t="shared" si="19"/>
        <v>0.69956486111111105</v>
      </c>
      <c r="G27" s="409">
        <f t="shared" si="19"/>
        <v>0.6981037345679012</v>
      </c>
      <c r="H27" s="410">
        <f t="shared" si="19"/>
        <v>0.69850793981481474</v>
      </c>
      <c r="I27" s="409">
        <f t="shared" si="19"/>
        <v>0.6663552237654321</v>
      </c>
      <c r="J27" s="409">
        <f t="shared" si="19"/>
        <v>0.6716625077160493</v>
      </c>
      <c r="K27" s="409">
        <f t="shared" si="19"/>
        <v>0.71895216820987651</v>
      </c>
      <c r="L27" s="409">
        <f t="shared" si="19"/>
        <v>0.70082584104938284</v>
      </c>
      <c r="M27" s="410">
        <f t="shared" si="19"/>
        <v>0.68944893518518513</v>
      </c>
      <c r="N27" s="409">
        <f t="shared" si="19"/>
        <v>0.67477985658754613</v>
      </c>
      <c r="O27" s="409">
        <f>O19/O11</f>
        <v>0.68324266162970926</v>
      </c>
      <c r="P27" s="409">
        <f>P19/P11</f>
        <v>0.68701159999577011</v>
      </c>
      <c r="Q27" s="409">
        <f>Q19/Q11</f>
        <v>0.74104622022015654</v>
      </c>
      <c r="R27" s="410">
        <f t="shared" si="12"/>
        <v>0.69652905391849151</v>
      </c>
      <c r="S27" s="409">
        <f t="shared" si="12"/>
        <v>0.71788852583827667</v>
      </c>
      <c r="T27" s="409">
        <f t="shared" ref="T27:U27" si="20">T19/T11</f>
        <v>0.7669056456132558</v>
      </c>
      <c r="U27" s="409">
        <f t="shared" si="20"/>
        <v>0.77833010817498316</v>
      </c>
      <c r="V27" s="409">
        <f t="shared" si="13"/>
        <v>0.76412672228743017</v>
      </c>
      <c r="W27" s="410">
        <f t="shared" si="13"/>
        <v>0.7568127504784864</v>
      </c>
      <c r="X27" s="409">
        <f t="shared" si="13"/>
        <v>0.71140648454324351</v>
      </c>
      <c r="Y27" s="409">
        <f t="shared" si="13"/>
        <v>0.72340424514703539</v>
      </c>
      <c r="Z27" s="409">
        <f t="shared" ref="Z27:AB27" si="21">Z19/Z11</f>
        <v>0.69073535725237634</v>
      </c>
      <c r="AA27" s="409">
        <f t="shared" si="21"/>
        <v>0.7890210353287016</v>
      </c>
      <c r="AB27" s="410">
        <f t="shared" si="21"/>
        <v>0.72864178056783913</v>
      </c>
      <c r="AC27" s="392"/>
      <c r="AD27" s="392"/>
      <c r="AE27" s="392"/>
    </row>
    <row r="28" spans="1:31" s="393" customFormat="1" ht="13.8">
      <c r="A28" s="394"/>
      <c r="B28" s="404" t="s">
        <v>354</v>
      </c>
      <c r="C28" s="413"/>
      <c r="D28" s="411">
        <f t="shared" ref="D28:P29" si="22">D20/D12</f>
        <v>0.71275727272727274</v>
      </c>
      <c r="E28" s="411">
        <f t="shared" si="22"/>
        <v>0.71411805121818195</v>
      </c>
      <c r="F28" s="411">
        <f t="shared" si="22"/>
        <v>0.70467711794545462</v>
      </c>
      <c r="G28" s="411">
        <f t="shared" si="22"/>
        <v>0.66365268761818186</v>
      </c>
      <c r="H28" s="410">
        <f t="shared" si="22"/>
        <v>0.69880128237727279</v>
      </c>
      <c r="I28" s="411">
        <f t="shared" si="22"/>
        <v>0.62124531059999999</v>
      </c>
      <c r="J28" s="411">
        <f t="shared" si="22"/>
        <v>0.64176251309090915</v>
      </c>
      <c r="K28" s="411">
        <f t="shared" si="22"/>
        <v>0.63591783010909098</v>
      </c>
      <c r="L28" s="411">
        <f t="shared" si="22"/>
        <v>0.61531610143636362</v>
      </c>
      <c r="M28" s="410">
        <f t="shared" si="22"/>
        <v>0.62856043880909096</v>
      </c>
      <c r="N28" s="411">
        <f t="shared" si="22"/>
        <v>0.64108490673488372</v>
      </c>
      <c r="O28" s="411">
        <f t="shared" si="22"/>
        <v>0.60015507188837192</v>
      </c>
      <c r="P28" s="411">
        <f t="shared" si="22"/>
        <v>0.58259613912558139</v>
      </c>
      <c r="Q28" s="411">
        <f t="shared" ref="Q28" si="23">Q20/Q12</f>
        <v>0.57996224898604642</v>
      </c>
      <c r="R28" s="410">
        <f t="shared" si="12"/>
        <v>0.60094959168372097</v>
      </c>
      <c r="S28" s="411">
        <f t="shared" si="12"/>
        <v>0.58504711112558139</v>
      </c>
      <c r="T28" s="411">
        <f t="shared" ref="T28:U28" si="24">T20/T12</f>
        <v>0.62057426963720919</v>
      </c>
      <c r="U28" s="411">
        <f t="shared" si="24"/>
        <v>0.66397910133953497</v>
      </c>
      <c r="V28" s="411">
        <f t="shared" si="13"/>
        <v>0.65087559873488376</v>
      </c>
      <c r="W28" s="410">
        <f t="shared" si="13"/>
        <v>0.63011902020930233</v>
      </c>
      <c r="X28" s="411">
        <f t="shared" si="13"/>
        <v>0.61895495216744201</v>
      </c>
      <c r="Y28" s="411">
        <f t="shared" si="13"/>
        <v>0.62085211879069779</v>
      </c>
      <c r="Z28" s="411">
        <f t="shared" ref="Z28:AB28" si="25">Z20/Z12</f>
        <v>0.59647774716279078</v>
      </c>
      <c r="AA28" s="411">
        <f t="shared" si="25"/>
        <v>0.62678359732093014</v>
      </c>
      <c r="AB28" s="410">
        <f t="shared" si="25"/>
        <v>0.61576710386046529</v>
      </c>
      <c r="AC28" s="392"/>
      <c r="AD28" s="392"/>
      <c r="AE28" s="392"/>
    </row>
    <row r="29" spans="1:31" s="393" customFormat="1" ht="13.8">
      <c r="A29" s="394"/>
      <c r="B29" s="404" t="s">
        <v>352</v>
      </c>
      <c r="C29" s="413"/>
      <c r="D29" s="411">
        <f t="shared" ref="D29:N29" si="26">D21/D13</f>
        <v>0.75714193831973464</v>
      </c>
      <c r="E29" s="411">
        <f t="shared" si="26"/>
        <v>0.84227628996382242</v>
      </c>
      <c r="F29" s="411">
        <f t="shared" si="26"/>
        <v>0.80486742633284547</v>
      </c>
      <c r="G29" s="411">
        <f t="shared" si="26"/>
        <v>0.84912637451223227</v>
      </c>
      <c r="H29" s="410">
        <f t="shared" si="26"/>
        <v>0.81335300728215876</v>
      </c>
      <c r="I29" s="411">
        <f t="shared" si="26"/>
        <v>0.62883240374907456</v>
      </c>
      <c r="J29" s="411">
        <f t="shared" si="26"/>
        <v>0.56767352983926012</v>
      </c>
      <c r="K29" s="411">
        <f t="shared" si="26"/>
        <v>0.61048464917083622</v>
      </c>
      <c r="L29" s="411">
        <f t="shared" si="26"/>
        <v>0.59689447953503139</v>
      </c>
      <c r="M29" s="410">
        <f t="shared" si="26"/>
        <v>0.60097126557355052</v>
      </c>
      <c r="N29" s="411">
        <f t="shared" si="26"/>
        <v>0.55859680994542105</v>
      </c>
      <c r="O29" s="411">
        <f t="shared" si="22"/>
        <v>0.52419354838709709</v>
      </c>
      <c r="P29" s="411">
        <f t="shared" si="22"/>
        <v>0.52647849462365615</v>
      </c>
      <c r="Q29" s="411">
        <f t="shared" ref="Q29" si="27">Q21/Q13</f>
        <v>0.49731182795698947</v>
      </c>
      <c r="R29" s="410">
        <f t="shared" si="12"/>
        <v>0.52664517022829094</v>
      </c>
      <c r="S29" s="411">
        <f t="shared" si="12"/>
        <v>0.47043010752688197</v>
      </c>
      <c r="T29" s="411">
        <f t="shared" ref="T29:U29" si="28">T21/T13</f>
        <v>0.60483870967741971</v>
      </c>
      <c r="U29" s="411">
        <f t="shared" si="28"/>
        <v>0.60483870967741971</v>
      </c>
      <c r="V29" s="411">
        <f t="shared" si="13"/>
        <v>0.5776485215053766</v>
      </c>
      <c r="W29" s="410">
        <f t="shared" si="13"/>
        <v>0.5644390120967745</v>
      </c>
      <c r="X29" s="411">
        <f t="shared" si="13"/>
        <v>0.54251969579301107</v>
      </c>
      <c r="Y29" s="411">
        <f t="shared" si="13"/>
        <v>0.49720430107526914</v>
      </c>
      <c r="Z29" s="411">
        <f t="shared" ref="Z29:AB29" si="29">Z21/Z13</f>
        <v>0.61290322580645196</v>
      </c>
      <c r="AA29" s="411">
        <f t="shared" si="29"/>
        <v>0.61265799237903262</v>
      </c>
      <c r="AB29" s="410">
        <f t="shared" si="29"/>
        <v>0.56632130376344125</v>
      </c>
      <c r="AC29" s="392"/>
      <c r="AD29" s="392"/>
      <c r="AE29" s="392"/>
    </row>
    <row r="31" spans="1:31">
      <c r="B31" s="286" t="s">
        <v>518</v>
      </c>
    </row>
    <row r="35" spans="1:31" s="286" customFormat="1">
      <c r="A35" s="394"/>
      <c r="C35" s="413"/>
      <c r="AC35" s="392"/>
      <c r="AD35" s="392"/>
      <c r="AE35" s="392"/>
    </row>
    <row r="36" spans="1:31" s="286" customFormat="1">
      <c r="A36" s="394"/>
      <c r="C36" s="413"/>
      <c r="G36" s="412"/>
      <c r="AC36" s="392"/>
      <c r="AD36" s="392"/>
      <c r="AE36" s="392"/>
    </row>
    <row r="37" spans="1:31" s="286" customFormat="1">
      <c r="A37" s="394"/>
      <c r="C37" s="413"/>
      <c r="G37" s="412"/>
      <c r="AC37" s="392"/>
      <c r="AD37" s="392"/>
      <c r="AE37" s="392"/>
    </row>
    <row r="40" spans="1:31" s="286" customFormat="1">
      <c r="A40" s="394"/>
      <c r="C40" s="413"/>
      <c r="AC40" s="392"/>
      <c r="AD40" s="392"/>
      <c r="AE40" s="392"/>
    </row>
    <row r="41" spans="1:31" s="286" customFormat="1">
      <c r="A41" s="394"/>
      <c r="C41" s="413"/>
      <c r="AC41" s="392"/>
      <c r="AD41" s="392"/>
      <c r="AE41" s="392"/>
    </row>
    <row r="42" spans="1:31" s="286" customFormat="1">
      <c r="A42" s="394"/>
      <c r="C42" s="413"/>
      <c r="AC42" s="392"/>
      <c r="AD42" s="392"/>
      <c r="AE42" s="392"/>
    </row>
    <row r="43" spans="1:31" s="286" customFormat="1">
      <c r="A43" s="394"/>
      <c r="C43" s="413"/>
      <c r="AC43" s="392"/>
      <c r="AD43" s="392"/>
      <c r="AE43" s="392"/>
    </row>
  </sheetData>
  <phoneticPr fontId="72" type="noConversion"/>
  <pageMargins left="0.33" right="0.28999999999999998" top="0.984251969" bottom="0.984251969" header="0.49212598499999999" footer="0.49212598499999999"/>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M87"/>
  <sheetViews>
    <sheetView showGridLines="0" zoomScale="90" zoomScaleNormal="90" workbookViewId="0">
      <selection activeCell="B31" sqref="B31"/>
    </sheetView>
  </sheetViews>
  <sheetFormatPr defaultColWidth="8.77734375" defaultRowHeight="13.2"/>
  <cols>
    <col min="1" max="1" width="2.21875" style="18" customWidth="1"/>
    <col min="2" max="2" width="35.5546875" style="18" customWidth="1"/>
    <col min="3" max="3" width="9.5546875" style="18" customWidth="1"/>
    <col min="4" max="7" width="16.77734375" style="18" customWidth="1"/>
    <col min="8" max="8" width="19.5546875" style="18" bestFit="1" customWidth="1"/>
    <col min="9" max="9" width="34" style="18" customWidth="1"/>
    <col min="10" max="10" width="28.21875" style="18" customWidth="1"/>
    <col min="11" max="11" width="20.5546875" style="18" bestFit="1" customWidth="1"/>
    <col min="12" max="16384" width="8.77734375" style="18"/>
  </cols>
  <sheetData>
    <row r="3" spans="2:11" ht="15.6">
      <c r="B3" s="98" t="s">
        <v>42</v>
      </c>
      <c r="C3" s="98"/>
    </row>
    <row r="4" spans="2:11">
      <c r="B4" s="620" t="s">
        <v>469</v>
      </c>
      <c r="C4" s="620"/>
      <c r="D4" s="620"/>
      <c r="E4" s="620"/>
      <c r="F4" s="620"/>
      <c r="G4" s="620"/>
      <c r="H4" s="620"/>
      <c r="I4" s="620"/>
      <c r="J4" s="426"/>
    </row>
    <row r="5" spans="2:11">
      <c r="B5" s="620"/>
      <c r="C5" s="620"/>
      <c r="D5" s="620"/>
      <c r="E5" s="620"/>
      <c r="F5" s="620"/>
      <c r="G5" s="620"/>
      <c r="H5" s="620"/>
      <c r="I5" s="620"/>
      <c r="J5" s="426"/>
    </row>
    <row r="6" spans="2:11">
      <c r="B6" s="620"/>
      <c r="C6" s="620"/>
      <c r="D6" s="620"/>
      <c r="E6" s="620"/>
      <c r="F6" s="620"/>
      <c r="G6" s="620"/>
      <c r="H6" s="620"/>
      <c r="I6" s="620"/>
      <c r="J6" s="207"/>
    </row>
    <row r="7" spans="2:11">
      <c r="B7" s="620"/>
      <c r="C7" s="620"/>
      <c r="D7" s="620"/>
      <c r="E7" s="620"/>
      <c r="F7" s="620"/>
      <c r="G7" s="620"/>
      <c r="H7" s="620"/>
      <c r="I7" s="620"/>
      <c r="J7" s="207"/>
    </row>
    <row r="8" spans="2:11" ht="42" thickBot="1">
      <c r="B8" s="208" t="s">
        <v>377</v>
      </c>
      <c r="C8" s="209" t="s">
        <v>43</v>
      </c>
      <c r="D8" s="210" t="s">
        <v>44</v>
      </c>
      <c r="E8" s="210" t="s">
        <v>45</v>
      </c>
      <c r="F8" s="210" t="s">
        <v>500</v>
      </c>
      <c r="G8" s="210" t="s">
        <v>46</v>
      </c>
      <c r="H8" s="210" t="s">
        <v>47</v>
      </c>
      <c r="I8" s="210" t="s">
        <v>48</v>
      </c>
      <c r="J8" s="210" t="s">
        <v>49</v>
      </c>
      <c r="K8" s="210" t="s">
        <v>50</v>
      </c>
    </row>
    <row r="9" spans="2:11" ht="14.4" thickTop="1">
      <c r="B9" s="211" t="s">
        <v>51</v>
      </c>
      <c r="C9" s="212" t="s">
        <v>1</v>
      </c>
      <c r="D9" s="213">
        <v>1</v>
      </c>
      <c r="E9" s="214">
        <v>72</v>
      </c>
      <c r="F9" s="214">
        <f t="shared" ref="F9:F30" si="0">D9*E9</f>
        <v>72</v>
      </c>
      <c r="G9" s="214">
        <v>46.23</v>
      </c>
      <c r="H9" s="214" t="s">
        <v>52</v>
      </c>
      <c r="I9" s="214" t="s">
        <v>2</v>
      </c>
      <c r="J9" s="424" t="s">
        <v>3</v>
      </c>
      <c r="K9" s="477" t="s">
        <v>4</v>
      </c>
    </row>
    <row r="10" spans="2:11" ht="13.8">
      <c r="B10" s="216" t="s">
        <v>53</v>
      </c>
      <c r="C10" s="217" t="s">
        <v>1</v>
      </c>
      <c r="D10" s="218">
        <v>1</v>
      </c>
      <c r="E10" s="214">
        <v>40.4</v>
      </c>
      <c r="F10" s="214">
        <f t="shared" si="0"/>
        <v>40.4</v>
      </c>
      <c r="G10" s="214">
        <v>27.4</v>
      </c>
      <c r="H10" s="214" t="s">
        <v>52</v>
      </c>
      <c r="I10" s="214" t="s">
        <v>2</v>
      </c>
      <c r="J10" s="424" t="s">
        <v>3</v>
      </c>
      <c r="K10" s="215" t="s">
        <v>452</v>
      </c>
    </row>
    <row r="11" spans="2:11" ht="13.8">
      <c r="B11" s="211" t="s">
        <v>54</v>
      </c>
      <c r="C11" s="212" t="s">
        <v>1</v>
      </c>
      <c r="D11" s="218">
        <v>1</v>
      </c>
      <c r="E11" s="214">
        <v>36.4</v>
      </c>
      <c r="F11" s="214">
        <f t="shared" si="0"/>
        <v>36.4</v>
      </c>
      <c r="G11" s="214">
        <v>25.11</v>
      </c>
      <c r="H11" s="214" t="s">
        <v>52</v>
      </c>
      <c r="I11" s="214" t="s">
        <v>2</v>
      </c>
      <c r="J11" s="424" t="s">
        <v>3</v>
      </c>
      <c r="K11" s="215" t="s">
        <v>452</v>
      </c>
    </row>
    <row r="12" spans="2:11" ht="13.8">
      <c r="B12" s="216" t="s">
        <v>55</v>
      </c>
      <c r="C12" s="217" t="s">
        <v>1</v>
      </c>
      <c r="D12" s="218">
        <v>1</v>
      </c>
      <c r="E12" s="214">
        <v>29.5</v>
      </c>
      <c r="F12" s="214">
        <f t="shared" si="0"/>
        <v>29.5</v>
      </c>
      <c r="G12" s="214">
        <v>17.690000000000001</v>
      </c>
      <c r="H12" s="214" t="s">
        <v>52</v>
      </c>
      <c r="I12" s="214" t="s">
        <v>2</v>
      </c>
      <c r="J12" s="424" t="s">
        <v>3</v>
      </c>
      <c r="K12" s="215" t="s">
        <v>452</v>
      </c>
    </row>
    <row r="13" spans="2:11" ht="13.8">
      <c r="B13" s="211" t="s">
        <v>56</v>
      </c>
      <c r="C13" s="212" t="s">
        <v>1</v>
      </c>
      <c r="D13" s="218">
        <v>1</v>
      </c>
      <c r="E13" s="214">
        <v>28.4</v>
      </c>
      <c r="F13" s="214">
        <f t="shared" si="0"/>
        <v>28.4</v>
      </c>
      <c r="G13" s="214">
        <v>19.41</v>
      </c>
      <c r="H13" s="214" t="s">
        <v>52</v>
      </c>
      <c r="I13" s="214" t="s">
        <v>2</v>
      </c>
      <c r="J13" s="424" t="s">
        <v>3</v>
      </c>
      <c r="K13" s="215" t="s">
        <v>452</v>
      </c>
    </row>
    <row r="14" spans="2:11" ht="13.8">
      <c r="B14" s="216" t="s">
        <v>57</v>
      </c>
      <c r="C14" s="217" t="s">
        <v>1</v>
      </c>
      <c r="D14" s="218">
        <v>1</v>
      </c>
      <c r="E14" s="214">
        <v>24</v>
      </c>
      <c r="F14" s="214">
        <f t="shared" si="0"/>
        <v>24</v>
      </c>
      <c r="G14" s="214">
        <v>16.55</v>
      </c>
      <c r="H14" s="214" t="s">
        <v>52</v>
      </c>
      <c r="I14" s="214" t="s">
        <v>2</v>
      </c>
      <c r="J14" s="424" t="s">
        <v>3</v>
      </c>
      <c r="K14" s="215" t="s">
        <v>452</v>
      </c>
    </row>
    <row r="15" spans="2:11" ht="13.8">
      <c r="B15" s="211" t="s">
        <v>58</v>
      </c>
      <c r="C15" s="212" t="s">
        <v>1</v>
      </c>
      <c r="D15" s="218">
        <v>1</v>
      </c>
      <c r="E15" s="214">
        <v>36.869999999999997</v>
      </c>
      <c r="F15" s="214">
        <f t="shared" si="0"/>
        <v>36.869999999999997</v>
      </c>
      <c r="G15" s="214">
        <v>26.83</v>
      </c>
      <c r="H15" s="214" t="s">
        <v>52</v>
      </c>
      <c r="I15" s="214" t="s">
        <v>2</v>
      </c>
      <c r="J15" s="424" t="s">
        <v>3</v>
      </c>
      <c r="K15" s="215" t="s">
        <v>453</v>
      </c>
    </row>
    <row r="16" spans="2:11" ht="13.8">
      <c r="B16" s="216" t="s">
        <v>59</v>
      </c>
      <c r="C16" s="217" t="s">
        <v>1</v>
      </c>
      <c r="D16" s="218">
        <v>1</v>
      </c>
      <c r="E16" s="214">
        <v>55</v>
      </c>
      <c r="F16" s="214">
        <f t="shared" si="0"/>
        <v>55</v>
      </c>
      <c r="G16" s="214">
        <v>17.12</v>
      </c>
      <c r="H16" s="214" t="s">
        <v>52</v>
      </c>
      <c r="I16" s="214" t="s">
        <v>5</v>
      </c>
      <c r="J16" s="424" t="s">
        <v>3</v>
      </c>
      <c r="K16" s="574" t="s">
        <v>543</v>
      </c>
    </row>
    <row r="17" spans="2:11" ht="13.8">
      <c r="B17" s="211" t="s">
        <v>60</v>
      </c>
      <c r="C17" s="212" t="s">
        <v>1</v>
      </c>
      <c r="D17" s="218">
        <v>1</v>
      </c>
      <c r="E17" s="214">
        <v>4.4000000000000004</v>
      </c>
      <c r="F17" s="214">
        <f t="shared" si="0"/>
        <v>4.4000000000000004</v>
      </c>
      <c r="G17" s="214">
        <v>3.42</v>
      </c>
      <c r="H17" s="214" t="s">
        <v>52</v>
      </c>
      <c r="I17" s="214" t="s">
        <v>5</v>
      </c>
      <c r="J17" s="424" t="s">
        <v>3</v>
      </c>
      <c r="K17" s="215" t="s">
        <v>454</v>
      </c>
    </row>
    <row r="18" spans="2:11" ht="13.8">
      <c r="B18" s="216" t="s">
        <v>61</v>
      </c>
      <c r="C18" s="217" t="s">
        <v>1</v>
      </c>
      <c r="D18" s="218">
        <v>1</v>
      </c>
      <c r="E18" s="214">
        <v>2.2400000000000002</v>
      </c>
      <c r="F18" s="214">
        <f t="shared" si="0"/>
        <v>2.2400000000000002</v>
      </c>
      <c r="G18" s="214">
        <v>1.67</v>
      </c>
      <c r="H18" s="214" t="s">
        <v>52</v>
      </c>
      <c r="I18" s="214" t="s">
        <v>5</v>
      </c>
      <c r="J18" s="424" t="s">
        <v>3</v>
      </c>
      <c r="K18" s="215" t="s">
        <v>454</v>
      </c>
    </row>
    <row r="19" spans="2:11" ht="13.8">
      <c r="B19" s="211" t="s">
        <v>62</v>
      </c>
      <c r="C19" s="212" t="s">
        <v>1</v>
      </c>
      <c r="D19" s="218">
        <v>1</v>
      </c>
      <c r="E19" s="214">
        <v>3</v>
      </c>
      <c r="F19" s="214">
        <f t="shared" si="0"/>
        <v>3</v>
      </c>
      <c r="G19" s="214">
        <v>2.48</v>
      </c>
      <c r="H19" s="214" t="s">
        <v>52</v>
      </c>
      <c r="I19" s="214" t="s">
        <v>5</v>
      </c>
      <c r="J19" s="424" t="s">
        <v>3</v>
      </c>
      <c r="K19" s="215" t="s">
        <v>454</v>
      </c>
    </row>
    <row r="20" spans="2:11" ht="13.8">
      <c r="B20" s="216" t="s">
        <v>63</v>
      </c>
      <c r="C20" s="217" t="s">
        <v>6</v>
      </c>
      <c r="D20" s="218">
        <v>1</v>
      </c>
      <c r="E20" s="214">
        <v>60</v>
      </c>
      <c r="F20" s="214">
        <f t="shared" si="0"/>
        <v>60</v>
      </c>
      <c r="G20" s="214">
        <v>37.799999999999997</v>
      </c>
      <c r="H20" s="214" t="s">
        <v>64</v>
      </c>
      <c r="I20" s="214" t="s">
        <v>7</v>
      </c>
      <c r="J20" s="424" t="s">
        <v>3</v>
      </c>
      <c r="K20" s="215">
        <v>45679</v>
      </c>
    </row>
    <row r="21" spans="2:11" ht="13.8">
      <c r="B21" s="211" t="s">
        <v>65</v>
      </c>
      <c r="C21" s="212" t="s">
        <v>1</v>
      </c>
      <c r="D21" s="218">
        <v>1</v>
      </c>
      <c r="E21" s="214">
        <v>80</v>
      </c>
      <c r="F21" s="214">
        <f t="shared" si="0"/>
        <v>80</v>
      </c>
      <c r="G21" s="214">
        <v>40.4</v>
      </c>
      <c r="H21" s="214" t="s">
        <v>64</v>
      </c>
      <c r="I21" s="214" t="s">
        <v>8</v>
      </c>
      <c r="J21" s="424" t="s">
        <v>3</v>
      </c>
      <c r="K21" s="215">
        <v>50710</v>
      </c>
    </row>
    <row r="22" spans="2:11" ht="13.8">
      <c r="B22" s="216" t="s">
        <v>66</v>
      </c>
      <c r="C22" s="217" t="s">
        <v>1</v>
      </c>
      <c r="D22" s="218">
        <v>1</v>
      </c>
      <c r="E22" s="214">
        <v>44.1</v>
      </c>
      <c r="F22" s="214">
        <f t="shared" si="0"/>
        <v>44.1</v>
      </c>
      <c r="G22" s="214">
        <v>23.3</v>
      </c>
      <c r="H22" s="214" t="s">
        <v>64</v>
      </c>
      <c r="I22" s="214" t="s">
        <v>8</v>
      </c>
      <c r="J22" s="424" t="s">
        <v>3</v>
      </c>
      <c r="K22" s="215">
        <v>51448</v>
      </c>
    </row>
    <row r="23" spans="2:11" ht="13.8">
      <c r="B23" s="211" t="s">
        <v>67</v>
      </c>
      <c r="C23" s="212" t="s">
        <v>9</v>
      </c>
      <c r="D23" s="218">
        <v>1</v>
      </c>
      <c r="E23" s="214">
        <v>93</v>
      </c>
      <c r="F23" s="214">
        <f t="shared" si="0"/>
        <v>93</v>
      </c>
      <c r="G23" s="214">
        <v>57.8</v>
      </c>
      <c r="H23" s="214" t="s">
        <v>64</v>
      </c>
      <c r="I23" s="214" t="s">
        <v>10</v>
      </c>
      <c r="J23" s="424" t="s">
        <v>3</v>
      </c>
      <c r="K23" s="574" t="s">
        <v>545</v>
      </c>
    </row>
    <row r="24" spans="2:11" ht="13.8">
      <c r="B24" s="216" t="s">
        <v>68</v>
      </c>
      <c r="C24" s="217" t="s">
        <v>11</v>
      </c>
      <c r="D24" s="219">
        <v>0.6</v>
      </c>
      <c r="E24" s="214">
        <v>191.89</v>
      </c>
      <c r="F24" s="214">
        <f t="shared" si="0"/>
        <v>115.13399999999999</v>
      </c>
      <c r="G24" s="214">
        <v>68.459999999999994</v>
      </c>
      <c r="H24" s="214" t="s">
        <v>64</v>
      </c>
      <c r="I24" s="214" t="s">
        <v>12</v>
      </c>
      <c r="J24" s="424" t="s">
        <v>3</v>
      </c>
      <c r="K24" s="215">
        <v>51888</v>
      </c>
    </row>
    <row r="25" spans="2:11" ht="13.8">
      <c r="B25" s="216" t="s">
        <v>69</v>
      </c>
      <c r="C25" s="217" t="s">
        <v>379</v>
      </c>
      <c r="D25" s="219">
        <v>0.503</v>
      </c>
      <c r="E25" s="214">
        <v>82.5</v>
      </c>
      <c r="F25" s="214">
        <f t="shared" si="0"/>
        <v>41.497500000000002</v>
      </c>
      <c r="G25" s="214">
        <v>27.26</v>
      </c>
      <c r="H25" s="214" t="s">
        <v>64</v>
      </c>
      <c r="I25" s="214" t="s">
        <v>13</v>
      </c>
      <c r="J25" s="424" t="s">
        <v>3</v>
      </c>
      <c r="K25" s="215">
        <v>50250</v>
      </c>
    </row>
    <row r="26" spans="2:11" ht="13.8">
      <c r="B26" s="216" t="s">
        <v>70</v>
      </c>
      <c r="C26" s="217" t="s">
        <v>379</v>
      </c>
      <c r="D26" s="219">
        <v>0.503</v>
      </c>
      <c r="E26" s="214">
        <v>72</v>
      </c>
      <c r="F26" s="214">
        <f t="shared" si="0"/>
        <v>36.216000000000001</v>
      </c>
      <c r="G26" s="214">
        <v>22.94</v>
      </c>
      <c r="H26" s="214" t="s">
        <v>64</v>
      </c>
      <c r="I26" s="214" t="s">
        <v>13</v>
      </c>
      <c r="J26" s="424" t="s">
        <v>3</v>
      </c>
      <c r="K26" s="215">
        <v>50247</v>
      </c>
    </row>
    <row r="27" spans="2:11" ht="13.8">
      <c r="B27" s="216" t="s">
        <v>71</v>
      </c>
      <c r="C27" s="217" t="s">
        <v>11</v>
      </c>
      <c r="D27" s="219">
        <v>0.292296</v>
      </c>
      <c r="E27" s="214">
        <v>1140</v>
      </c>
      <c r="F27" s="214">
        <f t="shared" si="0"/>
        <v>333.21744000000001</v>
      </c>
      <c r="G27" s="214">
        <v>135.16999999999999</v>
      </c>
      <c r="H27" s="214" t="s">
        <v>64</v>
      </c>
      <c r="I27" s="214" t="s">
        <v>14</v>
      </c>
      <c r="J27" s="424" t="s">
        <v>3</v>
      </c>
      <c r="K27" s="574" t="s">
        <v>544</v>
      </c>
    </row>
    <row r="28" spans="2:11" ht="13.8">
      <c r="B28" s="216" t="s">
        <v>72</v>
      </c>
      <c r="C28" s="217" t="s">
        <v>11</v>
      </c>
      <c r="D28" s="219">
        <v>0.25438655999999998</v>
      </c>
      <c r="E28" s="214">
        <v>880</v>
      </c>
      <c r="F28" s="214">
        <f t="shared" si="0"/>
        <v>223.86017279999999</v>
      </c>
      <c r="G28" s="214">
        <v>90.292659999999998</v>
      </c>
      <c r="H28" s="214" t="s">
        <v>64</v>
      </c>
      <c r="I28" s="214" t="s">
        <v>15</v>
      </c>
      <c r="J28" s="214" t="s">
        <v>16</v>
      </c>
      <c r="K28" s="215">
        <v>50776</v>
      </c>
    </row>
    <row r="29" spans="2:11" ht="13.8">
      <c r="B29" s="216" t="s">
        <v>73</v>
      </c>
      <c r="C29" s="217" t="s">
        <v>17</v>
      </c>
      <c r="D29" s="219">
        <v>0.15</v>
      </c>
      <c r="E29" s="214">
        <v>690</v>
      </c>
      <c r="F29" s="214">
        <f t="shared" si="0"/>
        <v>103.5</v>
      </c>
      <c r="G29" s="214">
        <v>55.92</v>
      </c>
      <c r="H29" s="214" t="s">
        <v>64</v>
      </c>
      <c r="I29" s="214" t="s">
        <v>18</v>
      </c>
      <c r="J29" s="214" t="s">
        <v>16</v>
      </c>
      <c r="K29" s="215">
        <v>51566</v>
      </c>
    </row>
    <row r="30" spans="2:11" ht="13.8">
      <c r="B30" s="216" t="s">
        <v>539</v>
      </c>
      <c r="C30" s="217" t="s">
        <v>375</v>
      </c>
      <c r="D30" s="219">
        <v>0.98</v>
      </c>
      <c r="E30" s="214">
        <v>171.60000000000002</v>
      </c>
      <c r="F30" s="214">
        <f t="shared" si="0"/>
        <v>168.16800000000001</v>
      </c>
      <c r="G30" s="214">
        <v>74.400000000000006</v>
      </c>
      <c r="H30" s="214" t="s">
        <v>64</v>
      </c>
      <c r="I30" s="214" t="s">
        <v>376</v>
      </c>
      <c r="J30" s="424" t="s">
        <v>3</v>
      </c>
      <c r="K30" s="215">
        <v>11994</v>
      </c>
    </row>
    <row r="31" spans="2:11" ht="13.8">
      <c r="B31" s="216" t="s">
        <v>561</v>
      </c>
      <c r="C31" s="212" t="s">
        <v>540</v>
      </c>
      <c r="D31" s="571">
        <v>0.98</v>
      </c>
      <c r="E31" s="572">
        <v>184.5</v>
      </c>
      <c r="F31" s="572">
        <v>180.81</v>
      </c>
      <c r="G31" s="572">
        <v>96.2</v>
      </c>
      <c r="H31" s="572" t="s">
        <v>541</v>
      </c>
      <c r="I31" s="572" t="s">
        <v>542</v>
      </c>
      <c r="J31" s="573" t="s">
        <v>3</v>
      </c>
      <c r="K31" s="575" t="s">
        <v>546</v>
      </c>
    </row>
    <row r="32" spans="2:11" ht="14.4" thickBot="1">
      <c r="B32" s="208" t="s">
        <v>19</v>
      </c>
      <c r="C32" s="208"/>
      <c r="D32" s="208"/>
      <c r="E32" s="551">
        <f>SUM(E9:E30)</f>
        <v>3837.2999999999997</v>
      </c>
      <c r="F32" s="551">
        <f>SUM(F9:F30)</f>
        <v>1630.9031128000001</v>
      </c>
      <c r="G32" s="425">
        <f>SUM(G9:G30)</f>
        <v>837.65265999999986</v>
      </c>
      <c r="H32" s="208"/>
      <c r="I32" s="208"/>
      <c r="J32" s="208"/>
      <c r="K32" s="208"/>
    </row>
    <row r="33" spans="2:11" ht="12.75" customHeight="1" thickTop="1"/>
    <row r="34" spans="2:11" ht="12.75" customHeight="1">
      <c r="B34" s="621" t="s">
        <v>455</v>
      </c>
      <c r="C34" s="621"/>
      <c r="D34" s="621"/>
      <c r="E34" s="621"/>
      <c r="F34" s="621"/>
      <c r="G34" s="621"/>
      <c r="H34" s="621"/>
      <c r="I34" s="621"/>
      <c r="J34" s="621"/>
      <c r="K34" s="621"/>
    </row>
    <row r="35" spans="2:11" ht="12.75" customHeight="1">
      <c r="B35" s="621" t="s">
        <v>456</v>
      </c>
      <c r="C35" s="621"/>
      <c r="D35" s="621"/>
      <c r="E35" s="621"/>
      <c r="F35" s="621"/>
      <c r="G35" s="621"/>
      <c r="H35" s="621"/>
      <c r="I35" s="476"/>
      <c r="J35" s="476"/>
      <c r="K35" s="476"/>
    </row>
    <row r="36" spans="2:11">
      <c r="B36" s="621" t="s">
        <v>74</v>
      </c>
      <c r="C36" s="621"/>
      <c r="D36" s="621"/>
      <c r="E36" s="476"/>
      <c r="F36" s="220"/>
      <c r="G36" s="220"/>
      <c r="H36" s="220"/>
      <c r="I36" s="220"/>
      <c r="J36" s="220"/>
      <c r="K36" s="220"/>
    </row>
    <row r="37" spans="2:11" ht="12.75" customHeight="1">
      <c r="B37" s="621" t="s">
        <v>457</v>
      </c>
      <c r="C37" s="621"/>
      <c r="D37" s="621"/>
      <c r="E37" s="621"/>
      <c r="F37" s="621"/>
      <c r="G37" s="621"/>
      <c r="H37" s="621"/>
      <c r="I37" s="621"/>
      <c r="J37" s="220"/>
      <c r="K37" s="220"/>
    </row>
    <row r="38" spans="2:11" ht="12.75" customHeight="1">
      <c r="B38" s="476" t="s">
        <v>560</v>
      </c>
      <c r="C38" s="476"/>
      <c r="D38" s="476"/>
      <c r="E38" s="476"/>
      <c r="F38" s="476"/>
      <c r="G38" s="476"/>
      <c r="H38" s="476"/>
      <c r="I38" s="476"/>
      <c r="J38" s="220"/>
      <c r="K38" s="220"/>
    </row>
    <row r="39" spans="2:11" ht="17.100000000000001" customHeight="1">
      <c r="B39" s="621" t="s">
        <v>458</v>
      </c>
      <c r="C39" s="621"/>
      <c r="D39" s="621"/>
      <c r="E39" s="621"/>
      <c r="F39" s="621"/>
      <c r="G39" s="621"/>
      <c r="H39" s="621"/>
      <c r="I39" s="220"/>
      <c r="J39" s="220"/>
      <c r="K39" s="220"/>
    </row>
    <row r="40" spans="2:11" ht="12.75" customHeight="1"/>
    <row r="41" spans="2:11" ht="15.6">
      <c r="B41" s="98" t="s">
        <v>75</v>
      </c>
      <c r="C41" s="98"/>
    </row>
    <row r="42" spans="2:11">
      <c r="B42" s="619" t="s">
        <v>76</v>
      </c>
      <c r="C42" s="619"/>
      <c r="D42" s="619"/>
      <c r="E42" s="221">
        <f>SUM(E16:E19)</f>
        <v>64.64</v>
      </c>
      <c r="F42" s="221"/>
    </row>
    <row r="43" spans="2:11" ht="12.75" customHeight="1">
      <c r="B43" s="619" t="s">
        <v>552</v>
      </c>
      <c r="C43" s="619"/>
      <c r="D43" s="619"/>
      <c r="E43" s="221">
        <f>SUM(E9:E15)</f>
        <v>267.57</v>
      </c>
      <c r="F43" s="221"/>
    </row>
    <row r="44" spans="2:11" ht="12.75" customHeight="1">
      <c r="D44" s="222" t="s">
        <v>19</v>
      </c>
      <c r="E44" s="423">
        <f>SUM(E42:E43)</f>
        <v>332.21</v>
      </c>
      <c r="F44" s="423"/>
      <c r="G44" s="223"/>
    </row>
    <row r="45" spans="2:11" ht="12.75" customHeight="1">
      <c r="E45" s="576"/>
      <c r="F45" s="576"/>
    </row>
    <row r="46" spans="2:11" ht="12.75" customHeight="1"/>
    <row r="74" spans="2:13" s="126" customFormat="1" ht="13.8">
      <c r="B74" s="18"/>
      <c r="C74" s="18"/>
      <c r="D74" s="18"/>
      <c r="E74" s="18"/>
      <c r="F74" s="18"/>
      <c r="G74" s="18"/>
      <c r="H74" s="18"/>
      <c r="I74" s="18"/>
      <c r="J74" s="18"/>
      <c r="K74" s="18"/>
      <c r="L74" s="18"/>
      <c r="M74" s="18"/>
    </row>
    <row r="75" spans="2:13">
      <c r="B75" s="224"/>
    </row>
    <row r="76" spans="2:13" ht="13.8">
      <c r="B76" s="126"/>
      <c r="C76" s="126"/>
      <c r="D76" s="126"/>
      <c r="E76" s="126"/>
      <c r="F76" s="126"/>
      <c r="G76" s="126"/>
      <c r="H76" s="126"/>
      <c r="I76" s="126"/>
      <c r="J76" s="126"/>
      <c r="K76" s="126"/>
      <c r="L76" s="126"/>
      <c r="M76" s="126"/>
    </row>
    <row r="77" spans="2:13">
      <c r="C77" s="224"/>
    </row>
    <row r="78" spans="2:13">
      <c r="C78" s="224"/>
    </row>
    <row r="79" spans="2:13">
      <c r="C79" s="224"/>
    </row>
    <row r="80" spans="2:13">
      <c r="B80" s="224"/>
      <c r="C80" s="224"/>
      <c r="D80" s="224"/>
      <c r="E80" s="224"/>
      <c r="F80" s="224"/>
    </row>
    <row r="82" spans="2:9">
      <c r="B82" s="224" t="s">
        <v>547</v>
      </c>
    </row>
    <row r="83" spans="2:9">
      <c r="B83" s="224"/>
    </row>
    <row r="84" spans="2:9" ht="14.4" thickBot="1">
      <c r="B84" s="126" t="s">
        <v>548</v>
      </c>
    </row>
    <row r="85" spans="2:9">
      <c r="B85" s="577" t="s">
        <v>549</v>
      </c>
      <c r="C85" s="577"/>
      <c r="D85" s="577"/>
      <c r="E85" s="577"/>
      <c r="F85" s="577"/>
      <c r="G85" s="577"/>
      <c r="H85" s="577"/>
      <c r="I85" s="577"/>
    </row>
    <row r="86" spans="2:9">
      <c r="B86" s="224" t="s">
        <v>550</v>
      </c>
    </row>
    <row r="87" spans="2:9">
      <c r="B87" s="224" t="s">
        <v>551</v>
      </c>
    </row>
  </sheetData>
  <mergeCells count="8">
    <mergeCell ref="B42:D42"/>
    <mergeCell ref="B43:D43"/>
    <mergeCell ref="B4:I7"/>
    <mergeCell ref="B34:K34"/>
    <mergeCell ref="B35:H35"/>
    <mergeCell ref="B36:D36"/>
    <mergeCell ref="B39:H39"/>
    <mergeCell ref="B37:I37"/>
  </mergeCells>
  <pageMargins left="0.35433070866141736" right="0.31496062992125984" top="0.39370078740157483" bottom="0.23622047244094491" header="0.35433070866141736" footer="0.27559055118110237"/>
  <pageSetup paperSize="9" scale="7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3"/>
  <sheetViews>
    <sheetView showGridLines="0" zoomScale="80" zoomScaleNormal="80" workbookViewId="0">
      <selection activeCell="AE19" sqref="AE19"/>
    </sheetView>
  </sheetViews>
  <sheetFormatPr defaultRowHeight="13.2" outlineLevelCol="1"/>
  <cols>
    <col min="1" max="1" width="2.21875" customWidth="1"/>
    <col min="2" max="2" width="66.5546875" bestFit="1" customWidth="1"/>
    <col min="3" max="10" width="8.77734375" hidden="1" customWidth="1" outlineLevel="1"/>
    <col min="11" max="11" width="8.77734375" hidden="1" customWidth="1" outlineLevel="1" collapsed="1"/>
    <col min="12" max="17" width="8.77734375" hidden="1" customWidth="1" outlineLevel="1"/>
    <col min="18" max="18" width="8.77734375" style="293" hidden="1" customWidth="1" outlineLevel="1"/>
    <col min="19" max="19" width="9.21875" style="293" collapsed="1"/>
    <col min="20" max="22" width="9.21875" style="293"/>
    <col min="23" max="23" width="8.77734375" style="293"/>
    <col min="24" max="25" width="9.21875" style="293"/>
    <col min="26" max="26" width="8.77734375" style="293"/>
    <col min="27" max="29" width="9.21875" style="293" customWidth="1"/>
    <col min="30" max="30" width="9.6640625" style="293" bestFit="1" customWidth="1"/>
    <col min="32" max="36" width="0" hidden="1" customWidth="1" outlineLevel="1"/>
    <col min="37" max="37" width="8.77734375" collapsed="1"/>
  </cols>
  <sheetData>
    <row r="1" spans="2:39" s="40" customFormat="1">
      <c r="R1" s="286"/>
      <c r="S1" s="286"/>
      <c r="T1" s="286"/>
      <c r="U1" s="286"/>
      <c r="V1" s="286"/>
      <c r="W1" s="286"/>
      <c r="X1" s="286"/>
      <c r="Y1" s="286"/>
      <c r="Z1" s="286"/>
      <c r="AA1" s="286"/>
      <c r="AB1" s="286"/>
      <c r="AC1" s="286"/>
      <c r="AD1" s="286"/>
      <c r="AE1" s="18"/>
    </row>
    <row r="2" spans="2:39" s="40" customFormat="1" ht="13.5" customHeight="1">
      <c r="R2" s="286"/>
      <c r="S2" s="286"/>
      <c r="T2" s="286"/>
      <c r="U2" s="286"/>
      <c r="V2" s="286"/>
      <c r="W2" s="286"/>
      <c r="X2" s="286"/>
      <c r="Y2" s="286"/>
      <c r="Z2" s="286"/>
      <c r="AA2" s="286"/>
      <c r="AB2" s="286"/>
      <c r="AC2" s="286"/>
      <c r="AD2" s="286"/>
      <c r="AE2" s="18"/>
    </row>
    <row r="3" spans="2:39" s="40" customFormat="1">
      <c r="R3" s="286"/>
      <c r="S3" s="286"/>
      <c r="T3" s="286"/>
      <c r="U3" s="286"/>
      <c r="V3" s="286"/>
      <c r="W3" s="286"/>
      <c r="X3" s="286"/>
      <c r="Y3" s="286"/>
      <c r="Z3" s="286"/>
      <c r="AA3" s="286"/>
      <c r="AB3" s="286"/>
      <c r="AC3" s="286"/>
      <c r="AD3" s="286"/>
      <c r="AE3" s="18"/>
    </row>
    <row r="4" spans="2:39" s="40" customFormat="1" ht="20.25" customHeight="1">
      <c r="R4" s="286"/>
      <c r="S4" s="286"/>
      <c r="T4" s="286"/>
      <c r="U4" s="286"/>
      <c r="V4" s="286"/>
      <c r="W4" s="286"/>
      <c r="X4" s="286"/>
      <c r="Y4" s="286"/>
      <c r="Z4" s="286"/>
      <c r="AA4" s="286"/>
      <c r="AB4" s="286"/>
      <c r="AC4" s="286"/>
      <c r="AD4" s="286"/>
      <c r="AE4" s="18"/>
    </row>
    <row r="5" spans="2:39" s="40" customFormat="1">
      <c r="B5" s="57"/>
      <c r="R5" s="286"/>
      <c r="S5" s="286"/>
      <c r="T5" s="286"/>
      <c r="U5" s="286"/>
      <c r="V5" s="286"/>
      <c r="W5" s="286"/>
      <c r="X5" s="286"/>
      <c r="Y5" s="286"/>
      <c r="Z5" s="286"/>
      <c r="AA5" s="286"/>
      <c r="AB5" s="286"/>
      <c r="AC5" s="286"/>
      <c r="AD5" s="286"/>
      <c r="AE5" s="18"/>
    </row>
    <row r="6" spans="2:39" s="40" customFormat="1">
      <c r="B6" s="57"/>
      <c r="R6" s="286"/>
      <c r="S6" s="286"/>
      <c r="T6" s="286"/>
      <c r="U6" s="286"/>
      <c r="V6" s="286"/>
      <c r="W6" s="286"/>
      <c r="X6" s="286"/>
      <c r="Y6" s="286"/>
      <c r="Z6" s="286"/>
      <c r="AA6" s="286"/>
      <c r="AB6" s="286"/>
      <c r="AC6" s="286"/>
      <c r="AD6" s="286"/>
      <c r="AE6" s="18"/>
    </row>
    <row r="7" spans="2:39" s="40" customFormat="1" ht="14.4" thickBot="1">
      <c r="B7" s="541" t="s">
        <v>483</v>
      </c>
      <c r="C7" s="77" t="s">
        <v>79</v>
      </c>
      <c r="D7" s="77" t="s">
        <v>80</v>
      </c>
      <c r="E7" s="77" t="s">
        <v>81</v>
      </c>
      <c r="F7" s="77" t="s">
        <v>82</v>
      </c>
      <c r="G7" s="77" t="s">
        <v>83</v>
      </c>
      <c r="H7" s="77" t="s">
        <v>84</v>
      </c>
      <c r="I7" s="77" t="s">
        <v>85</v>
      </c>
      <c r="J7" s="77" t="s">
        <v>86</v>
      </c>
      <c r="K7" s="77" t="s">
        <v>87</v>
      </c>
      <c r="L7" s="77" t="s">
        <v>88</v>
      </c>
      <c r="M7" s="77" t="s">
        <v>89</v>
      </c>
      <c r="N7" s="77" t="s">
        <v>90</v>
      </c>
      <c r="O7" s="77" t="s">
        <v>91</v>
      </c>
      <c r="P7" s="77" t="s">
        <v>92</v>
      </c>
      <c r="Q7" s="77" t="s">
        <v>93</v>
      </c>
      <c r="R7" s="287" t="s">
        <v>331</v>
      </c>
      <c r="S7" s="287" t="s">
        <v>341</v>
      </c>
      <c r="T7" s="287" t="s">
        <v>374</v>
      </c>
      <c r="U7" s="287" t="s">
        <v>382</v>
      </c>
      <c r="V7" s="287" t="s">
        <v>384</v>
      </c>
      <c r="W7" s="287" t="s">
        <v>461</v>
      </c>
      <c r="X7" s="287" t="s">
        <v>465</v>
      </c>
      <c r="Y7" s="287" t="s">
        <v>466</v>
      </c>
      <c r="Z7" s="287" t="s">
        <v>467</v>
      </c>
      <c r="AA7" s="287" t="s">
        <v>513</v>
      </c>
      <c r="AB7" s="287" t="s">
        <v>519</v>
      </c>
      <c r="AC7" s="287" t="s">
        <v>528</v>
      </c>
      <c r="AD7" s="287" t="s">
        <v>514</v>
      </c>
      <c r="AE7" s="18"/>
      <c r="AF7" s="287">
        <v>2018</v>
      </c>
      <c r="AG7" s="287">
        <v>2019</v>
      </c>
      <c r="AH7" s="287">
        <v>2020</v>
      </c>
      <c r="AI7" s="287">
        <v>2021</v>
      </c>
      <c r="AJ7" s="287">
        <v>2022</v>
      </c>
      <c r="AK7" s="287">
        <v>2023</v>
      </c>
      <c r="AL7" s="287">
        <v>2024</v>
      </c>
      <c r="AM7" s="287">
        <v>2025</v>
      </c>
    </row>
    <row r="8" spans="2:39" s="40" customFormat="1" ht="14.4" thickTop="1">
      <c r="B8" s="376" t="s">
        <v>203</v>
      </c>
      <c r="C8" s="542">
        <v>0</v>
      </c>
      <c r="D8" s="542">
        <v>0</v>
      </c>
      <c r="E8" s="542">
        <v>0</v>
      </c>
      <c r="F8" s="542">
        <v>0</v>
      </c>
      <c r="G8" s="542">
        <v>0</v>
      </c>
      <c r="H8" s="542">
        <v>0</v>
      </c>
      <c r="I8" s="542">
        <v>0</v>
      </c>
      <c r="J8" s="542">
        <v>0</v>
      </c>
      <c r="K8" s="542">
        <f>SUM(K9:K11)</f>
        <v>185.25</v>
      </c>
      <c r="L8" s="542">
        <f t="shared" ref="L8:Z8" si="0">SUM(L9:L11)</f>
        <v>152.04500000000002</v>
      </c>
      <c r="M8" s="542">
        <f t="shared" si="0"/>
        <v>206.58599999999998</v>
      </c>
      <c r="N8" s="542">
        <f t="shared" si="0"/>
        <v>183.52500000000001</v>
      </c>
      <c r="O8" s="542">
        <f t="shared" si="0"/>
        <v>152.15699999999998</v>
      </c>
      <c r="P8" s="542">
        <f t="shared" si="0"/>
        <v>156.29299999999998</v>
      </c>
      <c r="Q8" s="542">
        <f t="shared" si="0"/>
        <v>166.64499999999998</v>
      </c>
      <c r="R8" s="542">
        <f t="shared" si="0"/>
        <v>159.33999999999997</v>
      </c>
      <c r="S8" s="542">
        <f t="shared" si="0"/>
        <v>136.23599999999999</v>
      </c>
      <c r="T8" s="542">
        <f t="shared" si="0"/>
        <v>153.08199999999999</v>
      </c>
      <c r="U8" s="542">
        <f t="shared" si="0"/>
        <v>139.62299999999999</v>
      </c>
      <c r="V8" s="542">
        <f t="shared" si="0"/>
        <v>109.48700000000004</v>
      </c>
      <c r="W8" s="542">
        <f t="shared" si="0"/>
        <v>71.621000000000009</v>
      </c>
      <c r="X8" s="542">
        <f t="shared" si="0"/>
        <v>62.226000000000006</v>
      </c>
      <c r="Y8" s="542">
        <f t="shared" si="0"/>
        <v>67.382000000000005</v>
      </c>
      <c r="Z8" s="542">
        <f t="shared" si="0"/>
        <v>109.718</v>
      </c>
      <c r="AA8" s="542">
        <v>93.050307549964685</v>
      </c>
      <c r="AB8" s="542">
        <f t="shared" ref="AB8:AD8" si="1">SUM(AB9:AB11)</f>
        <v>118.2643807188</v>
      </c>
      <c r="AC8" s="542">
        <f t="shared" si="1"/>
        <v>141</v>
      </c>
      <c r="AD8" s="542">
        <f t="shared" si="1"/>
        <v>135</v>
      </c>
      <c r="AE8" s="18"/>
      <c r="AF8" s="542"/>
      <c r="AG8" s="542"/>
      <c r="AH8" s="542"/>
      <c r="AI8" s="542">
        <f t="shared" ref="AI8:AI22" si="2">SUM(K8:N8)</f>
        <v>727.40599999999995</v>
      </c>
      <c r="AJ8" s="542">
        <f t="shared" ref="AJ8:AJ22" si="3">SUM(O8:R8)</f>
        <v>634.43499999999995</v>
      </c>
      <c r="AK8" s="542">
        <f t="shared" ref="AK8:AK22" si="4">SUM(S8:V8)</f>
        <v>538.428</v>
      </c>
      <c r="AL8" s="542">
        <f t="shared" ref="AL8:AL22" si="5">SUM(W8:Z8)</f>
        <v>310.947</v>
      </c>
      <c r="AM8" s="542">
        <f>SUM(AA8:AD8)</f>
        <v>487.31468826876471</v>
      </c>
    </row>
    <row r="9" spans="2:39" s="40" customFormat="1" ht="13.8">
      <c r="B9" s="372" t="s">
        <v>484</v>
      </c>
      <c r="C9" s="542">
        <v>0</v>
      </c>
      <c r="D9" s="542">
        <v>0</v>
      </c>
      <c r="E9" s="542">
        <v>0</v>
      </c>
      <c r="F9" s="542">
        <v>0</v>
      </c>
      <c r="G9" s="542">
        <v>0</v>
      </c>
      <c r="H9" s="542">
        <v>0</v>
      </c>
      <c r="I9" s="542">
        <v>0</v>
      </c>
      <c r="J9" s="542">
        <v>0</v>
      </c>
      <c r="K9" s="543">
        <v>98.033154453584331</v>
      </c>
      <c r="L9" s="543">
        <v>70.073289795721877</v>
      </c>
      <c r="M9" s="543">
        <v>171.09975079453625</v>
      </c>
      <c r="N9" s="543">
        <v>81.879793776157456</v>
      </c>
      <c r="O9" s="543">
        <v>97.715980406399922</v>
      </c>
      <c r="P9" s="543">
        <v>104.52454399474831</v>
      </c>
      <c r="Q9" s="543">
        <v>114.23303410195169</v>
      </c>
      <c r="R9" s="543">
        <v>92.412031388284532</v>
      </c>
      <c r="S9" s="543">
        <v>35.303735980824996</v>
      </c>
      <c r="T9" s="543">
        <v>35.612759513999997</v>
      </c>
      <c r="U9" s="543">
        <v>37.56191653095</v>
      </c>
      <c r="V9" s="543">
        <v>36.235428824875001</v>
      </c>
      <c r="W9" s="543">
        <v>27.286620096000004</v>
      </c>
      <c r="X9" s="543">
        <v>32.474431953800007</v>
      </c>
      <c r="Y9" s="543">
        <v>32.437248961399995</v>
      </c>
      <c r="Z9" s="543">
        <v>35.445326325425007</v>
      </c>
      <c r="AA9" s="543">
        <v>36.308835349964696</v>
      </c>
      <c r="AB9" s="543">
        <v>36.236980168800002</v>
      </c>
      <c r="AC9" s="543">
        <v>40</v>
      </c>
      <c r="AD9" s="543">
        <v>42</v>
      </c>
      <c r="AE9" s="18"/>
      <c r="AF9" s="543"/>
      <c r="AG9" s="543"/>
      <c r="AH9" s="543"/>
      <c r="AI9" s="543">
        <f t="shared" si="2"/>
        <v>421.0859888199999</v>
      </c>
      <c r="AJ9" s="543">
        <f t="shared" si="3"/>
        <v>408.88558989138448</v>
      </c>
      <c r="AK9" s="543">
        <f t="shared" si="4"/>
        <v>144.71384085065</v>
      </c>
      <c r="AL9" s="543">
        <f t="shared" si="5"/>
        <v>127.64362733662503</v>
      </c>
      <c r="AM9" s="543">
        <f t="shared" ref="AM9:AM22" si="6">SUM(AA9:AD9)</f>
        <v>154.5458155187647</v>
      </c>
    </row>
    <row r="10" spans="2:39" s="40" customFormat="1" ht="13.8">
      <c r="B10" s="372" t="s">
        <v>485</v>
      </c>
      <c r="C10" s="542">
        <v>0</v>
      </c>
      <c r="D10" s="542">
        <v>0</v>
      </c>
      <c r="E10" s="542">
        <v>0</v>
      </c>
      <c r="F10" s="542">
        <v>0</v>
      </c>
      <c r="G10" s="542">
        <v>0</v>
      </c>
      <c r="H10" s="542">
        <v>0</v>
      </c>
      <c r="I10" s="542">
        <v>0</v>
      </c>
      <c r="J10" s="542">
        <v>0</v>
      </c>
      <c r="K10" s="543">
        <v>20.499771599999999</v>
      </c>
      <c r="L10" s="543">
        <v>20.727546839999999</v>
      </c>
      <c r="M10" s="543">
        <v>20.955322079999998</v>
      </c>
      <c r="N10" s="543">
        <v>20.955322079999998</v>
      </c>
      <c r="O10" s="543">
        <v>33.635071799999999</v>
      </c>
      <c r="P10" s="543">
        <v>34.499230293330001</v>
      </c>
      <c r="Q10" s="543">
        <v>42.151879439999988</v>
      </c>
      <c r="R10" s="543">
        <v>42.237257039999982</v>
      </c>
      <c r="S10" s="543">
        <v>54.774652680000003</v>
      </c>
      <c r="T10" s="543">
        <v>46.519448976</v>
      </c>
      <c r="U10" s="543">
        <v>42.626658393000007</v>
      </c>
      <c r="V10" s="543">
        <v>43.3612812402</v>
      </c>
      <c r="W10" s="543">
        <v>18.628843464000006</v>
      </c>
      <c r="X10" s="543">
        <v>18.291297023999999</v>
      </c>
      <c r="Y10" s="543">
        <v>18.492300287999999</v>
      </c>
      <c r="Z10" s="543">
        <v>18.492300288000003</v>
      </c>
      <c r="AA10" s="543">
        <v>18.741472199999997</v>
      </c>
      <c r="AB10" s="543">
        <v>18.949710779999997</v>
      </c>
      <c r="AC10" s="543">
        <v>20</v>
      </c>
      <c r="AD10" s="543">
        <v>19</v>
      </c>
      <c r="AE10" s="18"/>
      <c r="AF10" s="543"/>
      <c r="AG10" s="543"/>
      <c r="AH10" s="543"/>
      <c r="AI10" s="543">
        <f t="shared" si="2"/>
        <v>83.137962599999994</v>
      </c>
      <c r="AJ10" s="543">
        <f t="shared" si="3"/>
        <v>152.52343857332997</v>
      </c>
      <c r="AK10" s="543">
        <f t="shared" si="4"/>
        <v>187.28204128920004</v>
      </c>
      <c r="AL10" s="543">
        <f t="shared" si="5"/>
        <v>73.904741064000007</v>
      </c>
      <c r="AM10" s="543">
        <f t="shared" si="6"/>
        <v>76.691182979999994</v>
      </c>
    </row>
    <row r="11" spans="2:39" s="40" customFormat="1" ht="13.8">
      <c r="B11" s="372" t="s">
        <v>516</v>
      </c>
      <c r="C11" s="542">
        <v>0</v>
      </c>
      <c r="D11" s="542">
        <v>0</v>
      </c>
      <c r="E11" s="542">
        <v>0</v>
      </c>
      <c r="F11" s="542">
        <v>0</v>
      </c>
      <c r="G11" s="542">
        <v>0</v>
      </c>
      <c r="H11" s="542">
        <v>0</v>
      </c>
      <c r="I11" s="542">
        <v>0</v>
      </c>
      <c r="J11" s="542">
        <v>0</v>
      </c>
      <c r="K11" s="543">
        <v>66.717073946415667</v>
      </c>
      <c r="L11" s="543">
        <v>61.244163364278123</v>
      </c>
      <c r="M11" s="543">
        <v>14.530927125463743</v>
      </c>
      <c r="N11" s="543">
        <v>80.689884143842548</v>
      </c>
      <c r="O11" s="543">
        <v>20.805947793600083</v>
      </c>
      <c r="P11" s="543">
        <v>17.269225711921688</v>
      </c>
      <c r="Q11" s="543">
        <v>10.260086458048317</v>
      </c>
      <c r="R11" s="543">
        <v>24.690711571715482</v>
      </c>
      <c r="S11" s="543">
        <v>46.157611339174998</v>
      </c>
      <c r="T11" s="543">
        <v>70.949791509999997</v>
      </c>
      <c r="U11" s="543">
        <v>59.434425076049983</v>
      </c>
      <c r="V11" s="543">
        <v>29.890289934925036</v>
      </c>
      <c r="W11" s="543">
        <v>25.705536439999996</v>
      </c>
      <c r="X11" s="543">
        <v>11.460271022199995</v>
      </c>
      <c r="Y11" s="543">
        <v>16.452450750600008</v>
      </c>
      <c r="Z11" s="543">
        <v>55.780373386574993</v>
      </c>
      <c r="AA11" s="543">
        <v>38</v>
      </c>
      <c r="AB11" s="543">
        <v>63.077689770000006</v>
      </c>
      <c r="AC11" s="543">
        <v>81</v>
      </c>
      <c r="AD11" s="543">
        <v>74</v>
      </c>
      <c r="AE11" s="18"/>
      <c r="AF11" s="543"/>
      <c r="AG11" s="543"/>
      <c r="AH11" s="543"/>
      <c r="AI11" s="543">
        <f t="shared" si="2"/>
        <v>223.18204858000007</v>
      </c>
      <c r="AJ11" s="543">
        <f t="shared" si="3"/>
        <v>73.025971535285578</v>
      </c>
      <c r="AK11" s="543">
        <f t="shared" si="4"/>
        <v>206.43211786015002</v>
      </c>
      <c r="AL11" s="543">
        <f t="shared" si="5"/>
        <v>109.39863159937499</v>
      </c>
      <c r="AM11" s="543">
        <f t="shared" si="6"/>
        <v>256.07768977000001</v>
      </c>
    </row>
    <row r="12" spans="2:39" s="40" customFormat="1" ht="13.8">
      <c r="B12" s="376" t="s">
        <v>502</v>
      </c>
      <c r="C12" s="542">
        <v>0</v>
      </c>
      <c r="D12" s="542">
        <v>0</v>
      </c>
      <c r="E12" s="542">
        <v>0</v>
      </c>
      <c r="F12" s="542">
        <v>0</v>
      </c>
      <c r="G12" s="542">
        <v>0</v>
      </c>
      <c r="H12" s="542">
        <v>0</v>
      </c>
      <c r="I12" s="542">
        <v>0</v>
      </c>
      <c r="J12" s="542">
        <v>0</v>
      </c>
      <c r="K12" s="542">
        <f>SUM(K13:K17)</f>
        <v>-20.552000000000021</v>
      </c>
      <c r="L12" s="542">
        <f t="shared" ref="L12:AB12" si="7">SUM(L13:L17)</f>
        <v>-149.53299999999999</v>
      </c>
      <c r="M12" s="542">
        <f t="shared" si="7"/>
        <v>-237.57399999999998</v>
      </c>
      <c r="N12" s="542">
        <f t="shared" si="7"/>
        <v>-71.834000000000003</v>
      </c>
      <c r="O12" s="542">
        <f t="shared" si="7"/>
        <v>-194.20399999999998</v>
      </c>
      <c r="P12" s="542">
        <f t="shared" si="7"/>
        <v>-152.35799999999998</v>
      </c>
      <c r="Q12" s="542">
        <f t="shared" si="7"/>
        <v>-171.08099999999999</v>
      </c>
      <c r="R12" s="542">
        <f t="shared" si="7"/>
        <v>-203.84999999999997</v>
      </c>
      <c r="S12" s="542">
        <f t="shared" si="7"/>
        <v>-219.05939776199997</v>
      </c>
      <c r="T12" s="542">
        <f t="shared" si="7"/>
        <v>-221.38207349961814</v>
      </c>
      <c r="U12" s="542">
        <f t="shared" si="7"/>
        <v>-217.90880875849996</v>
      </c>
      <c r="V12" s="542">
        <f t="shared" si="7"/>
        <v>-182.38779537369592</v>
      </c>
      <c r="W12" s="542">
        <f t="shared" si="7"/>
        <v>-113.83300000000001</v>
      </c>
      <c r="X12" s="542">
        <f t="shared" si="7"/>
        <v>-73.504976000000013</v>
      </c>
      <c r="Y12" s="542">
        <f>SUM(Y13:Y16)</f>
        <v>-34.999999999999993</v>
      </c>
      <c r="Z12" s="542">
        <f t="shared" si="7"/>
        <v>-334.53800000000001</v>
      </c>
      <c r="AA12" s="542">
        <f t="shared" si="7"/>
        <v>-149.15561709818556</v>
      </c>
      <c r="AB12" s="542">
        <f t="shared" si="7"/>
        <v>-173.4</v>
      </c>
      <c r="AC12" s="542">
        <f t="shared" ref="AC12:AD12" si="8">SUM(AC13:AC17)</f>
        <v>-155.83222691348902</v>
      </c>
      <c r="AD12" s="542">
        <f t="shared" si="8"/>
        <v>-133</v>
      </c>
      <c r="AE12" s="18"/>
      <c r="AF12" s="542"/>
      <c r="AG12" s="542"/>
      <c r="AH12" s="542"/>
      <c r="AI12" s="542">
        <f t="shared" si="2"/>
        <v>-479.49299999999999</v>
      </c>
      <c r="AJ12" s="542">
        <f t="shared" si="3"/>
        <v>-721.49299999999994</v>
      </c>
      <c r="AK12" s="542">
        <f t="shared" ref="AK12" si="9">SUM(AK13:AK17)</f>
        <v>-840.73807539381403</v>
      </c>
      <c r="AL12" s="542">
        <f t="shared" ref="AL12" si="10">SUM(AL13:AL17)</f>
        <v>-556.87597600000004</v>
      </c>
      <c r="AM12" s="542">
        <f t="shared" ref="AM12" si="11">SUM(AM13:AM17)</f>
        <v>-611.3878440116747</v>
      </c>
    </row>
    <row r="13" spans="2:39" s="40" customFormat="1" ht="13.8">
      <c r="B13" s="372" t="s">
        <v>486</v>
      </c>
      <c r="C13" s="542">
        <v>0</v>
      </c>
      <c r="D13" s="542">
        <v>0</v>
      </c>
      <c r="E13" s="542">
        <v>0</v>
      </c>
      <c r="F13" s="542">
        <v>0</v>
      </c>
      <c r="G13" s="542">
        <v>0</v>
      </c>
      <c r="H13" s="542">
        <v>0</v>
      </c>
      <c r="I13" s="542">
        <v>0</v>
      </c>
      <c r="J13" s="542">
        <v>0</v>
      </c>
      <c r="K13" s="543">
        <v>-37.445350026621128</v>
      </c>
      <c r="L13" s="543">
        <v>-17.308031567577903</v>
      </c>
      <c r="M13" s="543">
        <v>-118.85995959476028</v>
      </c>
      <c r="N13" s="543">
        <v>-23.478543055559559</v>
      </c>
      <c r="O13" s="543">
        <v>-31.349492739601203</v>
      </c>
      <c r="P13" s="543">
        <v>-38.220519399404957</v>
      </c>
      <c r="Q13" s="543">
        <v>-46.256359318871127</v>
      </c>
      <c r="R13" s="543">
        <v>-39.42928657427008</v>
      </c>
      <c r="S13" s="543">
        <v>-27.393523715325003</v>
      </c>
      <c r="T13" s="543">
        <v>-25.7062691255</v>
      </c>
      <c r="U13" s="543">
        <v>-28.855193045949999</v>
      </c>
      <c r="V13" s="543">
        <v>-27.661392619375</v>
      </c>
      <c r="W13" s="543">
        <v>-21.515300094499999</v>
      </c>
      <c r="X13" s="543">
        <v>-15.579674770800001</v>
      </c>
      <c r="Y13" s="543">
        <v>-18.294593090900001</v>
      </c>
      <c r="Z13" s="543">
        <v>-17.621963900925</v>
      </c>
      <c r="AA13" s="543">
        <v>-18.717997978185572</v>
      </c>
      <c r="AB13" s="543">
        <v>-23</v>
      </c>
      <c r="AC13" s="543">
        <v>-24.122919803489015</v>
      </c>
      <c r="AD13" s="543">
        <v>-25</v>
      </c>
      <c r="AE13" s="18"/>
      <c r="AF13" s="543"/>
      <c r="AG13" s="543"/>
      <c r="AH13" s="543"/>
      <c r="AI13" s="543">
        <f t="shared" si="2"/>
        <v>-197.09188424451887</v>
      </c>
      <c r="AJ13" s="543">
        <f t="shared" si="3"/>
        <v>-155.25565803214738</v>
      </c>
      <c r="AK13" s="543">
        <f t="shared" si="4"/>
        <v>-109.61637850615</v>
      </c>
      <c r="AL13" s="543">
        <f t="shared" si="5"/>
        <v>-73.011531857125007</v>
      </c>
      <c r="AM13" s="543">
        <f t="shared" si="6"/>
        <v>-90.840917781674591</v>
      </c>
    </row>
    <row r="14" spans="2:39" s="40" customFormat="1" ht="13.8">
      <c r="B14" s="372" t="s">
        <v>485</v>
      </c>
      <c r="C14" s="542">
        <v>0</v>
      </c>
      <c r="D14" s="542">
        <v>0</v>
      </c>
      <c r="E14" s="542">
        <v>0</v>
      </c>
      <c r="F14" s="542">
        <v>0</v>
      </c>
      <c r="G14" s="542">
        <v>0</v>
      </c>
      <c r="H14" s="542">
        <v>0</v>
      </c>
      <c r="I14" s="542">
        <v>0</v>
      </c>
      <c r="J14" s="542">
        <v>0</v>
      </c>
      <c r="K14" s="543">
        <v>-20.499771599999995</v>
      </c>
      <c r="L14" s="543">
        <v>-20.727546839999999</v>
      </c>
      <c r="M14" s="543">
        <v>-20.955322079999998</v>
      </c>
      <c r="N14" s="543">
        <v>-20.955322079999998</v>
      </c>
      <c r="O14" s="543">
        <v>-33.635071799999999</v>
      </c>
      <c r="P14" s="543">
        <v>-34.008794820000006</v>
      </c>
      <c r="Q14" s="543">
        <v>-63.321527192849686</v>
      </c>
      <c r="R14" s="543">
        <v>-73.392897428898948</v>
      </c>
      <c r="S14" s="543">
        <v>-76.959958799433039</v>
      </c>
      <c r="T14" s="543">
        <v>-80.880261212016052</v>
      </c>
      <c r="U14" s="543">
        <v>-82.989266376589157</v>
      </c>
      <c r="V14" s="543">
        <v>-82.489057843741776</v>
      </c>
      <c r="W14" s="543">
        <v>-18.317459159999999</v>
      </c>
      <c r="X14" s="543">
        <v>-18.317459159999995</v>
      </c>
      <c r="Y14" s="543">
        <v>-19.154784359999997</v>
      </c>
      <c r="Z14" s="543">
        <v>-17.882715479999995</v>
      </c>
      <c r="AA14" s="543">
        <v>-18.741472199999997</v>
      </c>
      <c r="AB14" s="543">
        <v>-19</v>
      </c>
      <c r="AC14" s="543">
        <v>-20</v>
      </c>
      <c r="AD14" s="543">
        <v>-19</v>
      </c>
      <c r="AE14" s="18"/>
      <c r="AF14" s="543"/>
      <c r="AG14" s="543"/>
      <c r="AH14" s="543"/>
      <c r="AI14" s="543">
        <f t="shared" si="2"/>
        <v>-83.137962599999994</v>
      </c>
      <c r="AJ14" s="543">
        <f t="shared" si="3"/>
        <v>-204.35829124174865</v>
      </c>
      <c r="AK14" s="543">
        <f t="shared" si="4"/>
        <v>-323.31854423178004</v>
      </c>
      <c r="AL14" s="543">
        <f t="shared" si="5"/>
        <v>-73.672418159999978</v>
      </c>
      <c r="AM14" s="543">
        <f t="shared" si="6"/>
        <v>-76.741472200000004</v>
      </c>
    </row>
    <row r="15" spans="2:39" s="40" customFormat="1" ht="13.8">
      <c r="B15" s="372" t="s">
        <v>526</v>
      </c>
      <c r="C15" s="542">
        <v>0</v>
      </c>
      <c r="D15" s="542">
        <v>0</v>
      </c>
      <c r="E15" s="542">
        <v>0</v>
      </c>
      <c r="F15" s="542">
        <v>0</v>
      </c>
      <c r="G15" s="542">
        <v>0</v>
      </c>
      <c r="H15" s="542">
        <v>0</v>
      </c>
      <c r="I15" s="542">
        <v>0</v>
      </c>
      <c r="J15" s="542">
        <v>0</v>
      </c>
      <c r="K15" s="289">
        <v>-97.165878373378888</v>
      </c>
      <c r="L15" s="289">
        <v>-111.49742159242209</v>
      </c>
      <c r="M15" s="289">
        <v>-97.758718325239698</v>
      </c>
      <c r="N15" s="289">
        <v>-67.888134864440445</v>
      </c>
      <c r="O15" s="289">
        <v>-129.21943546039878</v>
      </c>
      <c r="P15" s="289">
        <v>-80.128685780595021</v>
      </c>
      <c r="Q15" s="289">
        <v>-61.503113488279176</v>
      </c>
      <c r="R15" s="289">
        <v>-91.027815996830924</v>
      </c>
      <c r="S15" s="543">
        <v>-88.035213457241923</v>
      </c>
      <c r="T15" s="543">
        <v>-154.3078757621021</v>
      </c>
      <c r="U15" s="543">
        <v>-149.72286839895114</v>
      </c>
      <c r="V15" s="543">
        <v>-119.80719667057915</v>
      </c>
      <c r="W15" s="543">
        <v>-116.70710618550001</v>
      </c>
      <c r="X15" s="543">
        <v>-80.090949709200018</v>
      </c>
      <c r="Y15" s="543">
        <v>-35.061057449099991</v>
      </c>
      <c r="Z15" s="543">
        <v>-64.318028549075024</v>
      </c>
      <c r="AA15" s="543">
        <v>-92</v>
      </c>
      <c r="AB15" s="543">
        <v>-114.8</v>
      </c>
      <c r="AC15" s="543">
        <v>-99.709307109999997</v>
      </c>
      <c r="AD15" s="543">
        <v>-81</v>
      </c>
      <c r="AE15" s="18"/>
      <c r="AF15" s="289"/>
      <c r="AG15" s="289"/>
      <c r="AH15" s="289"/>
      <c r="AI15" s="289">
        <f t="shared" si="2"/>
        <v>-374.31015315548109</v>
      </c>
      <c r="AJ15" s="289">
        <f t="shared" si="3"/>
        <v>-361.87905072610386</v>
      </c>
      <c r="AK15" s="289">
        <f t="shared" si="4"/>
        <v>-511.87315428887428</v>
      </c>
      <c r="AL15" s="289">
        <f t="shared" si="5"/>
        <v>-296.17714189287506</v>
      </c>
      <c r="AM15" s="289">
        <f t="shared" si="6"/>
        <v>-387.50930711000001</v>
      </c>
    </row>
    <row r="16" spans="2:39" s="40" customFormat="1" ht="13.8">
      <c r="B16" s="372" t="s">
        <v>488</v>
      </c>
      <c r="C16" s="542">
        <v>0</v>
      </c>
      <c r="D16" s="542">
        <v>0</v>
      </c>
      <c r="E16" s="542">
        <v>0</v>
      </c>
      <c r="F16" s="542">
        <v>0</v>
      </c>
      <c r="G16" s="542">
        <v>0</v>
      </c>
      <c r="H16" s="542">
        <v>0</v>
      </c>
      <c r="I16" s="542">
        <v>0</v>
      </c>
      <c r="J16" s="542">
        <v>0</v>
      </c>
      <c r="K16" s="543">
        <v>0</v>
      </c>
      <c r="L16" s="543">
        <v>0</v>
      </c>
      <c r="M16" s="543">
        <v>0</v>
      </c>
      <c r="N16" s="543">
        <v>0</v>
      </c>
      <c r="O16" s="543">
        <v>0</v>
      </c>
      <c r="P16" s="543">
        <v>0</v>
      </c>
      <c r="Q16" s="543">
        <v>0</v>
      </c>
      <c r="R16" s="543">
        <v>0</v>
      </c>
      <c r="S16" s="543">
        <v>-26.670701789999999</v>
      </c>
      <c r="T16" s="543">
        <v>39.512332600000001</v>
      </c>
      <c r="U16" s="543">
        <v>43.658519062990308</v>
      </c>
      <c r="V16" s="543">
        <v>47.569851759999999</v>
      </c>
      <c r="W16" s="543">
        <v>42.706865439999987</v>
      </c>
      <c r="X16" s="543">
        <v>40.48310764</v>
      </c>
      <c r="Y16" s="543">
        <v>37.5104349</v>
      </c>
      <c r="Z16" s="543">
        <v>39.284707929999996</v>
      </c>
      <c r="AA16" s="543">
        <v>-41.696146919999997</v>
      </c>
      <c r="AB16" s="543">
        <v>-40</v>
      </c>
      <c r="AC16" s="543">
        <v>-35</v>
      </c>
      <c r="AD16" s="543">
        <v>-32</v>
      </c>
      <c r="AE16" s="18"/>
      <c r="AF16" s="543"/>
      <c r="AG16" s="543"/>
      <c r="AH16" s="543"/>
      <c r="AI16" s="543">
        <f t="shared" si="2"/>
        <v>0</v>
      </c>
      <c r="AJ16" s="543">
        <f t="shared" si="3"/>
        <v>0</v>
      </c>
      <c r="AK16" s="543">
        <f t="shared" si="4"/>
        <v>104.07000163299031</v>
      </c>
      <c r="AL16" s="543">
        <f t="shared" si="5"/>
        <v>159.98511590999999</v>
      </c>
      <c r="AM16" s="543">
        <f t="shared" si="6"/>
        <v>-148.69614691999999</v>
      </c>
    </row>
    <row r="17" spans="1:41" s="40" customFormat="1" ht="13.8">
      <c r="B17" s="372" t="s">
        <v>501</v>
      </c>
      <c r="C17" s="542">
        <v>0</v>
      </c>
      <c r="D17" s="542">
        <v>0</v>
      </c>
      <c r="E17" s="542">
        <v>0</v>
      </c>
      <c r="F17" s="542">
        <v>0</v>
      </c>
      <c r="G17" s="542">
        <v>0</v>
      </c>
      <c r="H17" s="542">
        <v>0</v>
      </c>
      <c r="I17" s="542">
        <v>0</v>
      </c>
      <c r="J17" s="542">
        <v>0</v>
      </c>
      <c r="K17" s="196">
        <f>141.559-7</f>
        <v>134.559</v>
      </c>
      <c r="L17" s="196">
        <v>0</v>
      </c>
      <c r="M17" s="196">
        <v>0</v>
      </c>
      <c r="N17" s="196">
        <f>-6+46.488</f>
        <v>40.488</v>
      </c>
      <c r="O17" s="196">
        <v>0</v>
      </c>
      <c r="P17" s="196">
        <v>0</v>
      </c>
      <c r="Q17" s="196">
        <v>0</v>
      </c>
      <c r="R17" s="196">
        <v>0</v>
      </c>
      <c r="S17" s="196">
        <v>0</v>
      </c>
      <c r="T17" s="196">
        <v>0</v>
      </c>
      <c r="U17" s="196">
        <v>0</v>
      </c>
      <c r="V17" s="196">
        <v>0</v>
      </c>
      <c r="W17" s="196">
        <v>0</v>
      </c>
      <c r="X17" s="196">
        <v>0</v>
      </c>
      <c r="Y17" s="543">
        <v>0</v>
      </c>
      <c r="Z17" s="543">
        <v>-274</v>
      </c>
      <c r="AA17" s="543">
        <v>22</v>
      </c>
      <c r="AB17" s="543">
        <v>23.4</v>
      </c>
      <c r="AC17" s="543">
        <v>23</v>
      </c>
      <c r="AD17" s="543">
        <v>24</v>
      </c>
      <c r="AE17" s="18"/>
      <c r="AF17" s="543"/>
      <c r="AG17" s="543"/>
      <c r="AH17" s="543"/>
      <c r="AI17" s="543">
        <f t="shared" si="2"/>
        <v>175.047</v>
      </c>
      <c r="AJ17" s="543">
        <f t="shared" si="3"/>
        <v>0</v>
      </c>
      <c r="AK17" s="543">
        <f t="shared" si="4"/>
        <v>0</v>
      </c>
      <c r="AL17" s="543">
        <f t="shared" si="5"/>
        <v>-274</v>
      </c>
      <c r="AM17" s="543">
        <f t="shared" si="6"/>
        <v>92.4</v>
      </c>
    </row>
    <row r="18" spans="1:41" s="40" customFormat="1" ht="13.8">
      <c r="B18" s="376" t="s">
        <v>204</v>
      </c>
      <c r="C18" s="542">
        <v>0</v>
      </c>
      <c r="D18" s="542">
        <v>0</v>
      </c>
      <c r="E18" s="542">
        <v>0</v>
      </c>
      <c r="F18" s="542">
        <v>0</v>
      </c>
      <c r="G18" s="542">
        <v>0</v>
      </c>
      <c r="H18" s="542">
        <v>0</v>
      </c>
      <c r="I18" s="542">
        <v>0</v>
      </c>
      <c r="J18" s="542">
        <v>0</v>
      </c>
      <c r="K18" s="542">
        <f>SUM(K8,K12)</f>
        <v>164.69799999999998</v>
      </c>
      <c r="L18" s="542">
        <f t="shared" ref="L18:Z18" si="12">SUM(L8,L12)</f>
        <v>2.5120000000000289</v>
      </c>
      <c r="M18" s="542">
        <f t="shared" si="12"/>
        <v>-30.988</v>
      </c>
      <c r="N18" s="542">
        <f t="shared" si="12"/>
        <v>111.691</v>
      </c>
      <c r="O18" s="542">
        <f t="shared" si="12"/>
        <v>-42.046999999999997</v>
      </c>
      <c r="P18" s="542">
        <f t="shared" si="12"/>
        <v>3.9350000000000023</v>
      </c>
      <c r="Q18" s="542">
        <f t="shared" si="12"/>
        <v>-4.436000000000007</v>
      </c>
      <c r="R18" s="542">
        <f t="shared" si="12"/>
        <v>-44.509999999999991</v>
      </c>
      <c r="S18" s="542">
        <f t="shared" si="12"/>
        <v>-82.823397761999985</v>
      </c>
      <c r="T18" s="542">
        <f t="shared" si="12"/>
        <v>-68.300073499618151</v>
      </c>
      <c r="U18" s="542">
        <f t="shared" si="12"/>
        <v>-78.285808758499968</v>
      </c>
      <c r="V18" s="542">
        <f t="shared" si="12"/>
        <v>-72.900795373695885</v>
      </c>
      <c r="W18" s="542">
        <f t="shared" si="12"/>
        <v>-42.212000000000003</v>
      </c>
      <c r="X18" s="542">
        <f t="shared" si="12"/>
        <v>-11.278976000000007</v>
      </c>
      <c r="Y18" s="542">
        <f t="shared" si="12"/>
        <v>32.382000000000012</v>
      </c>
      <c r="Z18" s="542">
        <f t="shared" si="12"/>
        <v>-224.82</v>
      </c>
      <c r="AA18" s="542">
        <v>-56.105309548220873</v>
      </c>
      <c r="AB18" s="542">
        <f>SUM(AB8,AB12)</f>
        <v>-55.135619281200007</v>
      </c>
      <c r="AC18" s="542">
        <f>SUM(AC8,AC12)</f>
        <v>-14.832226913489023</v>
      </c>
      <c r="AD18" s="542">
        <f>SUM(AD8,AD12)</f>
        <v>2</v>
      </c>
      <c r="AE18" s="18"/>
      <c r="AF18" s="542"/>
      <c r="AG18" s="542"/>
      <c r="AH18" s="542"/>
      <c r="AI18" s="542">
        <f t="shared" si="2"/>
        <v>247.91300000000001</v>
      </c>
      <c r="AJ18" s="542">
        <f t="shared" si="3"/>
        <v>-87.057999999999993</v>
      </c>
      <c r="AK18" s="542">
        <f>SUM(AK8,AK12)</f>
        <v>-302.31007539381403</v>
      </c>
      <c r="AL18" s="542">
        <f>SUM(AL8,AL12)</f>
        <v>-245.92897600000003</v>
      </c>
      <c r="AM18" s="542">
        <f>SUM(AM8,AM12)</f>
        <v>-124.07315574290999</v>
      </c>
    </row>
    <row r="19" spans="1:41" s="40" customFormat="1" ht="13.8">
      <c r="B19" s="376" t="s">
        <v>489</v>
      </c>
      <c r="C19" s="542">
        <v>0</v>
      </c>
      <c r="D19" s="542">
        <v>0</v>
      </c>
      <c r="E19" s="542">
        <v>0</v>
      </c>
      <c r="F19" s="542">
        <v>0</v>
      </c>
      <c r="G19" s="542">
        <v>0</v>
      </c>
      <c r="H19" s="542">
        <v>0</v>
      </c>
      <c r="I19" s="542">
        <v>0</v>
      </c>
      <c r="J19" s="542">
        <v>0</v>
      </c>
      <c r="K19" s="542">
        <v>-1.8080000000000001</v>
      </c>
      <c r="L19" s="542">
        <v>-5.64</v>
      </c>
      <c r="M19" s="542">
        <v>-16.971</v>
      </c>
      <c r="N19" s="542">
        <v>-12.143000000000001</v>
      </c>
      <c r="O19" s="542">
        <v>-8.202</v>
      </c>
      <c r="P19" s="542">
        <v>-5.9349999999999996</v>
      </c>
      <c r="Q19" s="542">
        <v>-6.5640000000000001</v>
      </c>
      <c r="R19" s="542">
        <v>-7.2409999999999997</v>
      </c>
      <c r="S19" s="542">
        <v>-0.17660223799999994</v>
      </c>
      <c r="T19" s="542">
        <v>-1.3898945204999982</v>
      </c>
      <c r="U19" s="542">
        <v>-3.5545032415000022</v>
      </c>
      <c r="V19" s="542">
        <v>-4.7089999999999996</v>
      </c>
      <c r="W19" s="542">
        <v>0.63400000000000001</v>
      </c>
      <c r="X19" s="542">
        <v>6.8000000000000005E-2</v>
      </c>
      <c r="Y19" s="542">
        <v>-1.2210000000000001</v>
      </c>
      <c r="Z19" s="542">
        <v>-16.370999999999999</v>
      </c>
      <c r="AA19" s="542">
        <v>193</v>
      </c>
      <c r="AB19" s="542">
        <f t="shared" ref="AB19:AD19" si="13">AB20</f>
        <v>-3.5509795586698729</v>
      </c>
      <c r="AC19" s="542">
        <f t="shared" si="13"/>
        <v>177.565</v>
      </c>
      <c r="AD19" s="542">
        <f t="shared" si="13"/>
        <v>-87</v>
      </c>
      <c r="AE19" s="18"/>
      <c r="AF19" s="542"/>
      <c r="AG19" s="542"/>
      <c r="AH19" s="542"/>
      <c r="AI19" s="542">
        <f t="shared" si="2"/>
        <v>-36.561999999999998</v>
      </c>
      <c r="AJ19" s="542">
        <f t="shared" si="3"/>
        <v>-27.942</v>
      </c>
      <c r="AK19" s="542">
        <f t="shared" ref="AK19" si="14">AK20</f>
        <v>-9.83</v>
      </c>
      <c r="AL19" s="542">
        <f t="shared" ref="AL19" si="15">AL20</f>
        <v>-16.89</v>
      </c>
      <c r="AM19" s="542">
        <f t="shared" ref="AM19" si="16">AM20</f>
        <v>281.0140204413301</v>
      </c>
    </row>
    <row r="20" spans="1:41" s="40" customFormat="1" ht="13.8">
      <c r="B20" s="372" t="s">
        <v>490</v>
      </c>
      <c r="C20" s="542">
        <v>0</v>
      </c>
      <c r="D20" s="542">
        <v>0</v>
      </c>
      <c r="E20" s="542">
        <v>0</v>
      </c>
      <c r="F20" s="542">
        <v>0</v>
      </c>
      <c r="G20" s="542">
        <v>0</v>
      </c>
      <c r="H20" s="542">
        <v>0</v>
      </c>
      <c r="I20" s="542">
        <v>0</v>
      </c>
      <c r="J20" s="542">
        <v>0</v>
      </c>
      <c r="K20" s="543">
        <v>-1.8080000000000001</v>
      </c>
      <c r="L20" s="543">
        <v>-5.64</v>
      </c>
      <c r="M20" s="543">
        <v>-16.971</v>
      </c>
      <c r="N20" s="543">
        <v>-12.143000000000001</v>
      </c>
      <c r="O20" s="543">
        <v>-8.202</v>
      </c>
      <c r="P20" s="543">
        <v>-5.9349999999999996</v>
      </c>
      <c r="Q20" s="543">
        <v>-6.5640000000000001</v>
      </c>
      <c r="R20" s="543">
        <v>-7.2409999999999997</v>
      </c>
      <c r="S20" s="543">
        <v>-0.17660223799999994</v>
      </c>
      <c r="T20" s="543">
        <v>-1.3898945204999982</v>
      </c>
      <c r="U20" s="543">
        <v>-3.5545032415000022</v>
      </c>
      <c r="V20" s="543">
        <v>-4.7089999999999996</v>
      </c>
      <c r="W20" s="543">
        <v>0.63400000000000001</v>
      </c>
      <c r="X20" s="543">
        <v>6.8000000000000005E-2</v>
      </c>
      <c r="Y20" s="543">
        <v>-1.2210000000000001</v>
      </c>
      <c r="Z20" s="543">
        <v>-16.370999999999999</v>
      </c>
      <c r="AA20" s="543">
        <v>194</v>
      </c>
      <c r="AB20" s="543">
        <v>-3.5509795586698729</v>
      </c>
      <c r="AC20" s="543">
        <v>177.565</v>
      </c>
      <c r="AD20" s="543">
        <v>-87</v>
      </c>
      <c r="AE20" s="18"/>
      <c r="AF20" s="543"/>
      <c r="AG20" s="543"/>
      <c r="AH20" s="543"/>
      <c r="AI20" s="543">
        <f t="shared" si="2"/>
        <v>-36.561999999999998</v>
      </c>
      <c r="AJ20" s="543">
        <f t="shared" si="3"/>
        <v>-27.942</v>
      </c>
      <c r="AK20" s="543">
        <f t="shared" si="4"/>
        <v>-9.83</v>
      </c>
      <c r="AL20" s="543">
        <f t="shared" si="5"/>
        <v>-16.89</v>
      </c>
      <c r="AM20" s="543">
        <f t="shared" si="6"/>
        <v>281.0140204413301</v>
      </c>
    </row>
    <row r="21" spans="1:41" s="40" customFormat="1" ht="13.8">
      <c r="B21" s="376" t="s">
        <v>482</v>
      </c>
      <c r="C21" s="542">
        <v>0</v>
      </c>
      <c r="D21" s="542">
        <v>0</v>
      </c>
      <c r="E21" s="542">
        <v>0</v>
      </c>
      <c r="F21" s="542">
        <v>0</v>
      </c>
      <c r="G21" s="542">
        <v>0</v>
      </c>
      <c r="H21" s="542">
        <v>0</v>
      </c>
      <c r="I21" s="542">
        <v>0</v>
      </c>
      <c r="J21" s="542">
        <v>0</v>
      </c>
      <c r="K21" s="542">
        <f t="shared" ref="K21:Z21" si="17">SUM(K18:K19)</f>
        <v>162.88999999999999</v>
      </c>
      <c r="L21" s="542">
        <f t="shared" si="17"/>
        <v>-3.1279999999999708</v>
      </c>
      <c r="M21" s="542">
        <f t="shared" si="17"/>
        <v>-47.959000000000003</v>
      </c>
      <c r="N21" s="542">
        <f t="shared" si="17"/>
        <v>99.548000000000002</v>
      </c>
      <c r="O21" s="542">
        <f t="shared" si="17"/>
        <v>-50.248999999999995</v>
      </c>
      <c r="P21" s="542">
        <f t="shared" si="17"/>
        <v>-1.9999999999999973</v>
      </c>
      <c r="Q21" s="542">
        <f t="shared" si="17"/>
        <v>-11.000000000000007</v>
      </c>
      <c r="R21" s="542">
        <f t="shared" si="17"/>
        <v>-51.750999999999991</v>
      </c>
      <c r="S21" s="542">
        <f t="shared" si="17"/>
        <v>-82.999999999999986</v>
      </c>
      <c r="T21" s="542">
        <f t="shared" si="17"/>
        <v>-69.689968020118144</v>
      </c>
      <c r="U21" s="542">
        <f t="shared" si="17"/>
        <v>-81.840311999999969</v>
      </c>
      <c r="V21" s="542">
        <f t="shared" si="17"/>
        <v>-77.609795373695889</v>
      </c>
      <c r="W21" s="542">
        <f t="shared" si="17"/>
        <v>-41.578000000000003</v>
      </c>
      <c r="X21" s="542">
        <f t="shared" si="17"/>
        <v>-11.210976000000008</v>
      </c>
      <c r="Y21" s="542">
        <f t="shared" si="17"/>
        <v>31.161000000000012</v>
      </c>
      <c r="Z21" s="542">
        <f t="shared" si="17"/>
        <v>-241.191</v>
      </c>
      <c r="AA21" s="542">
        <v>136.89469045177913</v>
      </c>
      <c r="AB21" s="542">
        <f>SUM(AB18:AB19)</f>
        <v>-58.68659883986988</v>
      </c>
      <c r="AC21" s="542">
        <f>SUM(AC18:AC19)</f>
        <v>162.73277308651097</v>
      </c>
      <c r="AD21" s="542">
        <f>SUM(AD18:AD19)</f>
        <v>-85</v>
      </c>
      <c r="AE21" s="18"/>
      <c r="AF21" s="542"/>
      <c r="AG21" s="542"/>
      <c r="AH21" s="542"/>
      <c r="AI21" s="542">
        <f t="shared" si="2"/>
        <v>211.35100000000003</v>
      </c>
      <c r="AJ21" s="542">
        <f t="shared" si="3"/>
        <v>-115</v>
      </c>
      <c r="AK21" s="542">
        <f>SUM(AK18:AK19)</f>
        <v>-312.14007539381402</v>
      </c>
      <c r="AL21" s="542">
        <f>SUM(AL18:AL19)</f>
        <v>-262.81897600000002</v>
      </c>
      <c r="AM21" s="542">
        <f>SUM(AM18:AM19)</f>
        <v>156.94086469842011</v>
      </c>
    </row>
    <row r="22" spans="1:41" s="40" customFormat="1" ht="13.8">
      <c r="B22" s="372" t="s">
        <v>491</v>
      </c>
      <c r="C22" s="542">
        <v>0</v>
      </c>
      <c r="D22" s="542">
        <v>0</v>
      </c>
      <c r="E22" s="542">
        <v>0</v>
      </c>
      <c r="F22" s="542">
        <v>0</v>
      </c>
      <c r="G22" s="542">
        <v>0</v>
      </c>
      <c r="H22" s="542">
        <v>0</v>
      </c>
      <c r="I22" s="542">
        <v>0</v>
      </c>
      <c r="J22" s="542">
        <v>0</v>
      </c>
      <c r="K22" s="543">
        <v>0</v>
      </c>
      <c r="L22" s="543">
        <v>0</v>
      </c>
      <c r="M22" s="543">
        <v>0</v>
      </c>
      <c r="N22" s="543">
        <v>0</v>
      </c>
      <c r="O22" s="543">
        <v>0</v>
      </c>
      <c r="P22" s="543">
        <v>0</v>
      </c>
      <c r="Q22" s="543">
        <v>0</v>
      </c>
      <c r="R22" s="543">
        <v>0</v>
      </c>
      <c r="S22" s="543">
        <v>0</v>
      </c>
      <c r="T22" s="543">
        <v>36.689968020118179</v>
      </c>
      <c r="U22" s="543">
        <v>50.877311999999989</v>
      </c>
      <c r="V22" s="543">
        <v>35.753795373695887</v>
      </c>
      <c r="W22" s="543">
        <v>0</v>
      </c>
      <c r="X22" s="543">
        <v>57.236976000000013</v>
      </c>
      <c r="Y22" s="543">
        <v>40.701849600000003</v>
      </c>
      <c r="Z22" s="543">
        <v>59.780841600000002</v>
      </c>
      <c r="AA22" s="543">
        <v>0</v>
      </c>
      <c r="AB22" s="543">
        <v>63.596640000000001</v>
      </c>
      <c r="AC22" s="543">
        <v>38.157983999999999</v>
      </c>
      <c r="AD22" s="543">
        <v>48</v>
      </c>
      <c r="AE22" s="18"/>
      <c r="AF22" s="543"/>
      <c r="AG22" s="543"/>
      <c r="AH22" s="543"/>
      <c r="AI22" s="543">
        <f t="shared" si="2"/>
        <v>0</v>
      </c>
      <c r="AJ22" s="543">
        <f t="shared" si="3"/>
        <v>0</v>
      </c>
      <c r="AK22" s="543">
        <f t="shared" si="4"/>
        <v>123.32107539381406</v>
      </c>
      <c r="AL22" s="543">
        <f t="shared" si="5"/>
        <v>157.7196672</v>
      </c>
      <c r="AM22" s="543">
        <f t="shared" si="6"/>
        <v>149.75462400000001</v>
      </c>
    </row>
    <row r="23" spans="1:41" s="40" customFormat="1" ht="16.2">
      <c r="B23" s="372" t="s">
        <v>538</v>
      </c>
      <c r="C23" s="542"/>
      <c r="D23" s="542"/>
      <c r="E23" s="542"/>
      <c r="F23" s="542"/>
      <c r="G23" s="542"/>
      <c r="H23" s="542"/>
      <c r="I23" s="542"/>
      <c r="J23" s="542"/>
      <c r="K23" s="543">
        <v>0</v>
      </c>
      <c r="L23" s="543">
        <v>0</v>
      </c>
      <c r="M23" s="543">
        <v>0</v>
      </c>
      <c r="N23" s="543">
        <v>0</v>
      </c>
      <c r="O23" s="543">
        <v>0</v>
      </c>
      <c r="P23" s="543">
        <v>0</v>
      </c>
      <c r="Q23" s="543">
        <v>0</v>
      </c>
      <c r="R23" s="543">
        <v>0</v>
      </c>
      <c r="S23" s="543">
        <v>0</v>
      </c>
      <c r="T23" s="543">
        <v>0</v>
      </c>
      <c r="U23" s="543">
        <v>0</v>
      </c>
      <c r="V23" s="543">
        <v>0</v>
      </c>
      <c r="W23" s="543">
        <v>0</v>
      </c>
      <c r="X23" s="543">
        <v>0</v>
      </c>
      <c r="Y23" s="543">
        <v>0</v>
      </c>
      <c r="Z23" s="543">
        <v>274</v>
      </c>
      <c r="AA23" s="543">
        <v>-214</v>
      </c>
      <c r="AB23" s="543">
        <f>-AB17</f>
        <v>-23.4</v>
      </c>
      <c r="AC23" s="543">
        <v>-207</v>
      </c>
      <c r="AD23" s="543">
        <v>58</v>
      </c>
      <c r="AE23" s="18"/>
      <c r="AF23" s="543"/>
      <c r="AG23" s="543"/>
      <c r="AH23" s="543"/>
      <c r="AI23" s="543"/>
      <c r="AJ23" s="543"/>
      <c r="AK23" s="543">
        <f t="shared" ref="AK23" si="18">SUM(S23:V23)</f>
        <v>0</v>
      </c>
      <c r="AL23" s="543">
        <f t="shared" ref="AL23" si="19">SUM(W23:Z23)</f>
        <v>274</v>
      </c>
      <c r="AM23" s="543">
        <f t="shared" ref="AM23" si="20">SUM(AA23:AD23)</f>
        <v>-386.4</v>
      </c>
    </row>
    <row r="24" spans="1:41" s="40" customFormat="1" ht="13.8">
      <c r="B24" s="376" t="s">
        <v>492</v>
      </c>
      <c r="C24" s="542">
        <v>0</v>
      </c>
      <c r="D24" s="542">
        <v>0</v>
      </c>
      <c r="E24" s="542">
        <v>0</v>
      </c>
      <c r="F24" s="542">
        <v>0</v>
      </c>
      <c r="G24" s="542">
        <v>0</v>
      </c>
      <c r="H24" s="542">
        <v>0</v>
      </c>
      <c r="I24" s="542">
        <v>0</v>
      </c>
      <c r="J24" s="542">
        <v>0</v>
      </c>
      <c r="K24" s="542">
        <f t="shared" ref="K24:Y24" si="21">SUM(K21:K22)-K23</f>
        <v>162.88999999999999</v>
      </c>
      <c r="L24" s="542">
        <f t="shared" si="21"/>
        <v>-3.1279999999999708</v>
      </c>
      <c r="M24" s="542">
        <f t="shared" si="21"/>
        <v>-47.959000000000003</v>
      </c>
      <c r="N24" s="542">
        <f t="shared" si="21"/>
        <v>99.548000000000002</v>
      </c>
      <c r="O24" s="542">
        <f t="shared" si="21"/>
        <v>-50.248999999999995</v>
      </c>
      <c r="P24" s="542">
        <f t="shared" si="21"/>
        <v>-1.9999999999999973</v>
      </c>
      <c r="Q24" s="542">
        <f t="shared" si="21"/>
        <v>-11.000000000000007</v>
      </c>
      <c r="R24" s="542">
        <f t="shared" si="21"/>
        <v>-51.750999999999991</v>
      </c>
      <c r="S24" s="542">
        <f t="shared" si="21"/>
        <v>-82.999999999999986</v>
      </c>
      <c r="T24" s="542">
        <f t="shared" si="21"/>
        <v>-32.999999999999964</v>
      </c>
      <c r="U24" s="542">
        <f t="shared" si="21"/>
        <v>-30.96299999999998</v>
      </c>
      <c r="V24" s="542">
        <f t="shared" si="21"/>
        <v>-41.856000000000002</v>
      </c>
      <c r="W24" s="542">
        <f t="shared" si="21"/>
        <v>-41.578000000000003</v>
      </c>
      <c r="X24" s="542">
        <f t="shared" si="21"/>
        <v>46.026000000000003</v>
      </c>
      <c r="Y24" s="542">
        <f t="shared" si="21"/>
        <v>71.862849600000018</v>
      </c>
      <c r="Z24" s="542">
        <f>SUM(Z21:Z23)</f>
        <v>92.5898416</v>
      </c>
      <c r="AA24" s="542">
        <v>-77.105309548220873</v>
      </c>
      <c r="AB24" s="542">
        <f>SUM(AB21:AB23)</f>
        <v>-18.489958839869878</v>
      </c>
      <c r="AC24" s="542">
        <f>SUM(AC21:AC23)</f>
        <v>-6.1092429134890267</v>
      </c>
      <c r="AD24" s="542">
        <f>SUM(AD21:AD23)</f>
        <v>21</v>
      </c>
      <c r="AE24" s="18"/>
      <c r="AF24" s="542"/>
      <c r="AG24" s="542"/>
      <c r="AH24" s="542"/>
      <c r="AI24" s="542">
        <f>SUM(K24:N24)</f>
        <v>211.35100000000003</v>
      </c>
      <c r="AJ24" s="542">
        <f>SUM(O24:R24)</f>
        <v>-115</v>
      </c>
      <c r="AK24" s="542">
        <f>SUM(AK21:AK23)</f>
        <v>-188.81899999999996</v>
      </c>
      <c r="AL24" s="542">
        <f>SUM(AL21:AL23)</f>
        <v>168.90069119999998</v>
      </c>
      <c r="AM24" s="542">
        <f>SUM(AM21:AM23)</f>
        <v>-79.704511301579828</v>
      </c>
    </row>
    <row r="25" spans="1:41" s="40" customFormat="1" ht="13.8">
      <c r="B25" s="420"/>
      <c r="K25" s="182"/>
      <c r="L25" s="182"/>
      <c r="M25" s="182"/>
      <c r="N25" s="182"/>
      <c r="O25" s="182"/>
      <c r="P25" s="182"/>
      <c r="Q25" s="182"/>
      <c r="R25" s="182"/>
      <c r="S25" s="182"/>
      <c r="T25" s="182"/>
      <c r="U25" s="182"/>
      <c r="V25" s="182"/>
      <c r="W25" s="182"/>
      <c r="X25" s="182"/>
      <c r="Y25" s="182"/>
      <c r="Z25" s="182"/>
      <c r="AA25" s="552"/>
      <c r="AB25" s="552"/>
      <c r="AC25" s="552"/>
      <c r="AD25" s="552"/>
      <c r="AE25" s="18"/>
    </row>
    <row r="26" spans="1:41" s="40" customFormat="1" ht="13.8">
      <c r="B26" s="57"/>
      <c r="R26" s="286"/>
      <c r="S26" s="286"/>
      <c r="T26" s="286"/>
      <c r="U26" s="286"/>
      <c r="V26" s="286"/>
      <c r="W26" s="286"/>
      <c r="X26" s="286"/>
      <c r="Y26" s="286"/>
      <c r="Z26" s="286"/>
      <c r="AA26" s="552"/>
      <c r="AB26" s="552"/>
      <c r="AC26" s="552"/>
      <c r="AD26" s="552"/>
      <c r="AE26" s="18"/>
    </row>
    <row r="27" spans="1:41" s="18" customFormat="1" ht="14.25" customHeight="1" thickBot="1">
      <c r="B27" s="58" t="s">
        <v>369</v>
      </c>
      <c r="C27" s="77" t="s">
        <v>79</v>
      </c>
      <c r="D27" s="77" t="s">
        <v>80</v>
      </c>
      <c r="E27" s="77" t="s">
        <v>81</v>
      </c>
      <c r="F27" s="77" t="s">
        <v>82</v>
      </c>
      <c r="G27" s="77" t="s">
        <v>83</v>
      </c>
      <c r="H27" s="77" t="s">
        <v>84</v>
      </c>
      <c r="I27" s="77" t="s">
        <v>85</v>
      </c>
      <c r="J27" s="77" t="s">
        <v>86</v>
      </c>
      <c r="K27" s="77" t="s">
        <v>87</v>
      </c>
      <c r="L27" s="77" t="s">
        <v>88</v>
      </c>
      <c r="M27" s="77" t="s">
        <v>89</v>
      </c>
      <c r="N27" s="77" t="s">
        <v>90</v>
      </c>
      <c r="O27" s="77" t="s">
        <v>91</v>
      </c>
      <c r="P27" s="77" t="s">
        <v>92</v>
      </c>
      <c r="Q27" s="77" t="s">
        <v>93</v>
      </c>
      <c r="R27" s="287" t="s">
        <v>331</v>
      </c>
      <c r="S27" s="287" t="s">
        <v>341</v>
      </c>
      <c r="T27" s="287" t="s">
        <v>374</v>
      </c>
      <c r="U27" s="287" t="s">
        <v>382</v>
      </c>
      <c r="V27" s="287" t="s">
        <v>384</v>
      </c>
      <c r="W27" s="287" t="s">
        <v>461</v>
      </c>
      <c r="X27" s="287" t="s">
        <v>465</v>
      </c>
      <c r="Y27" s="287" t="s">
        <v>466</v>
      </c>
      <c r="Z27" s="287" t="s">
        <v>467</v>
      </c>
      <c r="AA27" s="287" t="s">
        <v>513</v>
      </c>
      <c r="AB27" s="287" t="s">
        <v>519</v>
      </c>
      <c r="AC27" s="287" t="str">
        <f>AC7</f>
        <v>3Q25</v>
      </c>
      <c r="AD27" s="287" t="str">
        <f>AD7</f>
        <v>4Q25</v>
      </c>
      <c r="AF27" s="77">
        <v>2018</v>
      </c>
      <c r="AG27" s="77">
        <v>2019</v>
      </c>
      <c r="AH27" s="77">
        <v>2020</v>
      </c>
      <c r="AI27" s="77">
        <v>2021</v>
      </c>
      <c r="AJ27" s="287">
        <v>2022</v>
      </c>
      <c r="AK27" s="287">
        <v>2023</v>
      </c>
      <c r="AL27" s="287">
        <v>2024</v>
      </c>
      <c r="AM27" s="287">
        <f>AM7</f>
        <v>2025</v>
      </c>
    </row>
    <row r="28" spans="1:41" s="38" customFormat="1" ht="14.4" thickTop="1">
      <c r="A28" s="51"/>
      <c r="B28" s="46"/>
      <c r="C28" s="52"/>
      <c r="D28" s="52"/>
      <c r="E28" s="52"/>
      <c r="F28" s="52"/>
      <c r="G28" s="52"/>
      <c r="H28" s="52"/>
      <c r="I28" s="52"/>
      <c r="J28" s="52"/>
      <c r="K28" s="52"/>
      <c r="L28" s="52"/>
      <c r="M28" s="52"/>
      <c r="N28" s="52"/>
      <c r="O28" s="52"/>
      <c r="P28" s="52"/>
      <c r="Q28" s="52"/>
      <c r="R28" s="288"/>
      <c r="S28" s="288"/>
      <c r="T28" s="288"/>
      <c r="U28" s="288"/>
      <c r="V28" s="288"/>
      <c r="W28" s="288"/>
      <c r="X28" s="288"/>
      <c r="Y28" s="288"/>
      <c r="Z28" s="288"/>
      <c r="AA28" s="288"/>
      <c r="AB28" s="288"/>
      <c r="AC28" s="288"/>
      <c r="AD28" s="288"/>
      <c r="AE28" s="369"/>
      <c r="AF28" s="52"/>
      <c r="AG28" s="52"/>
      <c r="AH28" s="52"/>
      <c r="AI28" s="52"/>
      <c r="AJ28" s="288"/>
      <c r="AK28" s="288"/>
      <c r="AL28" s="288"/>
      <c r="AM28" s="288"/>
      <c r="AN28" s="52"/>
      <c r="AO28" s="52"/>
    </row>
    <row r="29" spans="1:41" s="40" customFormat="1" ht="14.25" customHeight="1">
      <c r="B29" s="74" t="s">
        <v>370</v>
      </c>
      <c r="C29" s="261">
        <v>662.82204176666664</v>
      </c>
      <c r="D29" s="261">
        <v>750.51905757142868</v>
      </c>
      <c r="E29" s="261">
        <v>712.93568519565224</v>
      </c>
      <c r="F29" s="261">
        <v>680.64828307608695</v>
      </c>
      <c r="G29" s="261">
        <v>802.46928982417569</v>
      </c>
      <c r="H29" s="261">
        <v>667.4227351648351</v>
      </c>
      <c r="I29" s="289">
        <v>627.93007177173911</v>
      </c>
      <c r="J29" s="261">
        <v>628.38889458695655</v>
      </c>
      <c r="K29" s="261">
        <v>706.0410344666667</v>
      </c>
      <c r="L29" s="261">
        <v>641</v>
      </c>
      <c r="M29" s="261">
        <v>542</v>
      </c>
      <c r="N29" s="261">
        <v>595</v>
      </c>
      <c r="O29" s="261">
        <v>674</v>
      </c>
      <c r="P29" s="372">
        <v>632</v>
      </c>
      <c r="Q29" s="372">
        <v>617</v>
      </c>
      <c r="R29" s="289">
        <v>691.67511064130429</v>
      </c>
      <c r="S29" s="289">
        <v>794</v>
      </c>
      <c r="T29" s="289">
        <v>739</v>
      </c>
      <c r="U29" s="289">
        <v>740</v>
      </c>
      <c r="V29" s="289">
        <v>753.49250172826089</v>
      </c>
      <c r="W29" s="289">
        <v>756</v>
      </c>
      <c r="X29" s="289">
        <v>714.13555268131859</v>
      </c>
      <c r="Y29" s="289">
        <v>694.11463743478248</v>
      </c>
      <c r="Z29" s="289">
        <v>699.18416965217386</v>
      </c>
      <c r="AA29" s="289">
        <v>693.91214625555563</v>
      </c>
      <c r="AB29" s="289">
        <v>694.7425898901098</v>
      </c>
      <c r="AC29" s="289">
        <v>697</v>
      </c>
      <c r="AD29" s="289">
        <v>678</v>
      </c>
      <c r="AE29" s="18"/>
      <c r="AF29" s="261">
        <v>653</v>
      </c>
      <c r="AG29" s="261">
        <v>702</v>
      </c>
      <c r="AH29" s="261">
        <v>679</v>
      </c>
      <c r="AI29" s="74">
        <v>620</v>
      </c>
      <c r="AJ29" s="289">
        <v>653.9930297835615</v>
      </c>
      <c r="AK29" s="289">
        <v>746.74625086413039</v>
      </c>
      <c r="AL29" s="289">
        <f>AVERAGE(W29:Z29)</f>
        <v>715.85858994206876</v>
      </c>
      <c r="AM29" s="289">
        <f>AVERAGE(AA29:AD29)</f>
        <v>690.91368403641638</v>
      </c>
    </row>
    <row r="30" spans="1:41" ht="13.8">
      <c r="B30" s="74" t="s">
        <v>371</v>
      </c>
      <c r="C30" s="261">
        <v>457.19448436666676</v>
      </c>
      <c r="D30" s="261">
        <v>447.02152794505497</v>
      </c>
      <c r="E30" s="261">
        <v>452.51884891304348</v>
      </c>
      <c r="F30" s="261">
        <v>465.41510322826088</v>
      </c>
      <c r="G30" s="261">
        <v>196.47009016483514</v>
      </c>
      <c r="H30" s="261">
        <v>198.02853434745666</v>
      </c>
      <c r="I30" s="289">
        <v>246.27657911956521</v>
      </c>
      <c r="J30" s="261">
        <v>296.68596006521739</v>
      </c>
      <c r="K30" s="261">
        <v>209</v>
      </c>
      <c r="L30" s="261">
        <v>257</v>
      </c>
      <c r="M30" s="261">
        <v>310</v>
      </c>
      <c r="N30" s="261">
        <v>258</v>
      </c>
      <c r="O30" s="261">
        <v>163</v>
      </c>
      <c r="P30" s="372">
        <v>172</v>
      </c>
      <c r="Q30" s="372">
        <v>184</v>
      </c>
      <c r="R30" s="289">
        <v>164.68862369565215</v>
      </c>
      <c r="S30" s="289">
        <v>164</v>
      </c>
      <c r="T30" s="289">
        <v>164</v>
      </c>
      <c r="U30" s="289">
        <v>172</v>
      </c>
      <c r="V30" s="289">
        <v>172.51206934782607</v>
      </c>
      <c r="W30" s="289">
        <v>104</v>
      </c>
      <c r="X30" s="289">
        <v>104</v>
      </c>
      <c r="Y30" s="289">
        <v>85.536304347826089</v>
      </c>
      <c r="Z30" s="289">
        <v>126.01347065217396</v>
      </c>
      <c r="AA30" s="289">
        <v>163.99433333333334</v>
      </c>
      <c r="AB30" s="289">
        <v>165.32308791208791</v>
      </c>
      <c r="AC30" s="289">
        <v>164</v>
      </c>
      <c r="AD30" s="289">
        <v>154</v>
      </c>
      <c r="AF30" s="261">
        <v>460</v>
      </c>
      <c r="AG30" s="261">
        <v>457</v>
      </c>
      <c r="AH30" s="261">
        <v>236</v>
      </c>
      <c r="AI30" s="74">
        <v>259</v>
      </c>
      <c r="AJ30" s="289">
        <v>165.93460824657535</v>
      </c>
      <c r="AK30" s="289">
        <v>168</v>
      </c>
      <c r="AL30" s="289">
        <f>AVERAGE(W30:Z30)</f>
        <v>104.88744375000002</v>
      </c>
      <c r="AM30" s="289">
        <f>AVERAGE(AA30:AD30)</f>
        <v>161.8293553113553</v>
      </c>
    </row>
    <row r="31" spans="1:41" ht="14.4" thickBot="1">
      <c r="B31" s="64" t="s">
        <v>372</v>
      </c>
      <c r="C31" s="263">
        <f>C29+C30</f>
        <v>1120.0165261333334</v>
      </c>
      <c r="D31" s="263">
        <f t="shared" ref="D31:J31" si="22">D29+D30</f>
        <v>1197.5405855164836</v>
      </c>
      <c r="E31" s="263">
        <f t="shared" si="22"/>
        <v>1165.4545341086957</v>
      </c>
      <c r="F31" s="263">
        <f t="shared" si="22"/>
        <v>1146.0633863043479</v>
      </c>
      <c r="G31" s="263">
        <f t="shared" si="22"/>
        <v>998.93937998901083</v>
      </c>
      <c r="H31" s="263">
        <f t="shared" si="22"/>
        <v>865.45126951229179</v>
      </c>
      <c r="I31" s="263">
        <f t="shared" si="22"/>
        <v>874.20665089130432</v>
      </c>
      <c r="J31" s="263">
        <f t="shared" si="22"/>
        <v>925.07485465217394</v>
      </c>
      <c r="K31" s="263">
        <f t="shared" ref="K31:P31" si="23">K29+K30</f>
        <v>915.0410344666667</v>
      </c>
      <c r="L31" s="263">
        <f t="shared" si="23"/>
        <v>898</v>
      </c>
      <c r="M31" s="263">
        <f t="shared" si="23"/>
        <v>852</v>
      </c>
      <c r="N31" s="263">
        <f t="shared" si="23"/>
        <v>853</v>
      </c>
      <c r="O31" s="263">
        <f t="shared" si="23"/>
        <v>837</v>
      </c>
      <c r="P31" s="263">
        <f t="shared" si="23"/>
        <v>804</v>
      </c>
      <c r="Q31" s="263">
        <f t="shared" ref="Q31:V31" si="24">SUM(Q29:Q30)</f>
        <v>801</v>
      </c>
      <c r="R31" s="290">
        <f t="shared" si="24"/>
        <v>856.36373433695644</v>
      </c>
      <c r="S31" s="290">
        <f t="shared" si="24"/>
        <v>958</v>
      </c>
      <c r="T31" s="290">
        <f t="shared" si="24"/>
        <v>903</v>
      </c>
      <c r="U31" s="290">
        <f t="shared" si="24"/>
        <v>912</v>
      </c>
      <c r="V31" s="290">
        <f t="shared" si="24"/>
        <v>926.0045710760869</v>
      </c>
      <c r="W31" s="481">
        <v>860</v>
      </c>
      <c r="X31" s="290">
        <v>818.13555268131859</v>
      </c>
      <c r="Y31" s="290">
        <v>779.65094178260858</v>
      </c>
      <c r="Z31" s="544">
        <f>SUM(Z29:Z30)</f>
        <v>825.19764030434783</v>
      </c>
      <c r="AA31" s="544">
        <f>SUM(AA29:AA30)</f>
        <v>857.90647958888894</v>
      </c>
      <c r="AB31" s="544">
        <f>SUM(AB29:AB30)</f>
        <v>860.06567780219768</v>
      </c>
      <c r="AC31" s="544">
        <f>SUM(AC29:AC30)</f>
        <v>861</v>
      </c>
      <c r="AD31" s="544">
        <f>SUM(AD29:AD30)</f>
        <v>832</v>
      </c>
      <c r="AF31" s="377">
        <v>1113</v>
      </c>
      <c r="AG31" s="377">
        <v>1159</v>
      </c>
      <c r="AH31" s="377">
        <v>915</v>
      </c>
      <c r="AI31" s="377">
        <v>879</v>
      </c>
      <c r="AJ31" s="378">
        <v>819.9276380301369</v>
      </c>
      <c r="AK31" s="544">
        <f>SUM(AK29:AK30)</f>
        <v>914.74625086413039</v>
      </c>
      <c r="AL31" s="544">
        <f>SUM(AL29:AL30)</f>
        <v>820.74603369206875</v>
      </c>
      <c r="AM31" s="544">
        <f>SUM(AM29:AM30)</f>
        <v>852.74303934777163</v>
      </c>
    </row>
    <row r="32" spans="1:41" ht="13.8">
      <c r="B32" s="74" t="s">
        <v>368</v>
      </c>
      <c r="C32" s="261">
        <v>659.23111111111109</v>
      </c>
      <c r="D32" s="261">
        <v>652.18901098901097</v>
      </c>
      <c r="E32" s="261">
        <v>628.92826086956529</v>
      </c>
      <c r="F32" s="261">
        <v>576.6945652173913</v>
      </c>
      <c r="G32" s="261">
        <v>577.29692276895969</v>
      </c>
      <c r="H32" s="261">
        <v>574.51471159384869</v>
      </c>
      <c r="I32" s="289">
        <v>649.44155434782613</v>
      </c>
      <c r="J32" s="261">
        <v>673.40265217391311</v>
      </c>
      <c r="K32" s="261">
        <v>687</v>
      </c>
      <c r="L32" s="261">
        <v>690</v>
      </c>
      <c r="M32" s="261">
        <v>687.36283164037138</v>
      </c>
      <c r="N32" s="261">
        <v>688</v>
      </c>
      <c r="O32" s="261">
        <v>690</v>
      </c>
      <c r="P32" s="372">
        <v>709</v>
      </c>
      <c r="Q32" s="372">
        <v>726</v>
      </c>
      <c r="R32" s="289">
        <v>717.8987282608698</v>
      </c>
      <c r="S32" s="289">
        <v>705</v>
      </c>
      <c r="T32" s="289">
        <v>686</v>
      </c>
      <c r="U32" s="289">
        <v>696</v>
      </c>
      <c r="V32" s="289">
        <v>715.40398913043498</v>
      </c>
      <c r="W32" s="289">
        <v>725</v>
      </c>
      <c r="X32" s="289">
        <v>741.88618681318678</v>
      </c>
      <c r="Y32" s="289">
        <v>747.42227173913034</v>
      </c>
      <c r="Z32" s="289">
        <v>744.80422826086954</v>
      </c>
      <c r="AA32" s="289">
        <v>731.37312222222215</v>
      </c>
      <c r="AB32" s="289">
        <v>708.27601098901107</v>
      </c>
      <c r="AC32" s="289">
        <v>740</v>
      </c>
      <c r="AD32" s="289">
        <v>743</v>
      </c>
      <c r="AF32" s="261">
        <v>692</v>
      </c>
      <c r="AG32" s="261">
        <v>641</v>
      </c>
      <c r="AH32" s="261">
        <v>619</v>
      </c>
      <c r="AI32" s="74">
        <v>688</v>
      </c>
      <c r="AJ32" s="289">
        <v>711.38699819780709</v>
      </c>
      <c r="AK32" s="289">
        <v>700.5</v>
      </c>
      <c r="AL32" s="289">
        <f>AVERAGE(W32:Z32)</f>
        <v>739.77817170329661</v>
      </c>
      <c r="AM32" s="289">
        <f>AVERAGE(AA32:AD32)</f>
        <v>730.66228330280831</v>
      </c>
    </row>
    <row r="33" spans="2:39" ht="13.8">
      <c r="B33" s="73"/>
      <c r="C33" s="264"/>
      <c r="D33" s="264"/>
      <c r="E33" s="264"/>
      <c r="F33" s="264"/>
      <c r="G33" s="264"/>
      <c r="H33" s="264"/>
      <c r="I33" s="264"/>
      <c r="J33" s="264"/>
      <c r="K33" s="264"/>
      <c r="L33" s="264"/>
      <c r="M33" s="264"/>
      <c r="N33" s="264"/>
      <c r="O33" s="264"/>
      <c r="P33" s="264"/>
      <c r="Q33" s="264"/>
      <c r="R33" s="291"/>
      <c r="S33" s="291"/>
      <c r="T33" s="291"/>
      <c r="U33" s="291"/>
      <c r="V33" s="291"/>
      <c r="W33" s="482"/>
      <c r="X33" s="291"/>
      <c r="Y33" s="291"/>
      <c r="Z33" s="482"/>
      <c r="AA33" s="482"/>
      <c r="AB33" s="482"/>
      <c r="AC33" s="482"/>
      <c r="AD33" s="482"/>
      <c r="AF33" s="264"/>
      <c r="AG33" s="264"/>
      <c r="AH33" s="264"/>
      <c r="AI33" s="264"/>
      <c r="AJ33" s="291"/>
      <c r="AK33" s="291"/>
      <c r="AL33" s="291"/>
      <c r="AM33" s="291"/>
    </row>
    <row r="34" spans="2:39" ht="13.8">
      <c r="B34" s="373" t="s">
        <v>365</v>
      </c>
      <c r="C34" s="264">
        <f>C31-C32</f>
        <v>460.78541502222231</v>
      </c>
      <c r="D34" s="264">
        <f>D31-D32</f>
        <v>545.35157452747262</v>
      </c>
      <c r="E34" s="264">
        <f t="shared" ref="E34:J34" si="25">E31-E32</f>
        <v>536.52627323913043</v>
      </c>
      <c r="F34" s="264">
        <f t="shared" si="25"/>
        <v>569.36882108695659</v>
      </c>
      <c r="G34" s="264">
        <f t="shared" si="25"/>
        <v>421.64245722005114</v>
      </c>
      <c r="H34" s="264">
        <f t="shared" si="25"/>
        <v>290.9365579184431</v>
      </c>
      <c r="I34" s="264">
        <f t="shared" si="25"/>
        <v>224.76509654347819</v>
      </c>
      <c r="J34" s="264">
        <f t="shared" si="25"/>
        <v>251.67220247826083</v>
      </c>
      <c r="K34" s="264">
        <f t="shared" ref="K34:V34" si="26">K31-K32</f>
        <v>228.0410344666667</v>
      </c>
      <c r="L34" s="264">
        <f t="shared" si="26"/>
        <v>208</v>
      </c>
      <c r="M34" s="264">
        <f t="shared" si="26"/>
        <v>164.63716835962862</v>
      </c>
      <c r="N34" s="264">
        <f t="shared" si="26"/>
        <v>165</v>
      </c>
      <c r="O34" s="264">
        <f t="shared" si="26"/>
        <v>147</v>
      </c>
      <c r="P34" s="264">
        <f t="shared" si="26"/>
        <v>95</v>
      </c>
      <c r="Q34" s="264">
        <f t="shared" si="26"/>
        <v>75</v>
      </c>
      <c r="R34" s="264">
        <f t="shared" si="26"/>
        <v>138.46500607608664</v>
      </c>
      <c r="S34" s="264">
        <f t="shared" si="26"/>
        <v>253</v>
      </c>
      <c r="T34" s="264">
        <f t="shared" si="26"/>
        <v>217</v>
      </c>
      <c r="U34" s="264">
        <f t="shared" si="26"/>
        <v>216</v>
      </c>
      <c r="V34" s="264">
        <f t="shared" si="26"/>
        <v>210.60058194565192</v>
      </c>
      <c r="W34" s="483">
        <v>135</v>
      </c>
      <c r="X34" s="264">
        <v>77</v>
      </c>
      <c r="Y34" s="264">
        <f t="shared" ref="Y34:AD34" si="27">Y31-Y32</f>
        <v>32.228670043478246</v>
      </c>
      <c r="Z34" s="264">
        <f t="shared" si="27"/>
        <v>80.393412043478293</v>
      </c>
      <c r="AA34" s="264">
        <f t="shared" si="27"/>
        <v>126.53335736666679</v>
      </c>
      <c r="AB34" s="264">
        <f t="shared" si="27"/>
        <v>151.78966681318661</v>
      </c>
      <c r="AC34" s="264">
        <f t="shared" si="27"/>
        <v>121</v>
      </c>
      <c r="AD34" s="264">
        <f t="shared" si="27"/>
        <v>89</v>
      </c>
      <c r="AE34" s="370"/>
      <c r="AF34" s="264">
        <f t="shared" ref="AF34:AJ34" si="28">AF31-AF32</f>
        <v>421</v>
      </c>
      <c r="AG34" s="264">
        <f t="shared" si="28"/>
        <v>518</v>
      </c>
      <c r="AH34" s="264">
        <f t="shared" si="28"/>
        <v>296</v>
      </c>
      <c r="AI34" s="264">
        <f t="shared" si="28"/>
        <v>191</v>
      </c>
      <c r="AJ34" s="264">
        <f t="shared" si="28"/>
        <v>108.54063983232982</v>
      </c>
      <c r="AK34" s="264">
        <v>214.24625086413039</v>
      </c>
      <c r="AL34" s="264">
        <f t="shared" ref="AL34:AM34" si="29">AL31-AL32</f>
        <v>80.967861988772142</v>
      </c>
      <c r="AM34" s="264">
        <f t="shared" si="29"/>
        <v>122.08075604496332</v>
      </c>
    </row>
    <row r="35" spans="2:39" ht="13.8">
      <c r="B35" s="373" t="s">
        <v>366</v>
      </c>
      <c r="C35" s="264">
        <v>0</v>
      </c>
      <c r="D35" s="264">
        <v>0</v>
      </c>
      <c r="E35" s="264">
        <v>0</v>
      </c>
      <c r="F35" s="264">
        <v>0</v>
      </c>
      <c r="G35" s="264">
        <v>0</v>
      </c>
      <c r="H35" s="264">
        <v>0</v>
      </c>
      <c r="I35" s="264">
        <v>0</v>
      </c>
      <c r="J35" s="264">
        <v>0</v>
      </c>
      <c r="K35" s="264">
        <v>50</v>
      </c>
      <c r="L35" s="264">
        <v>50</v>
      </c>
      <c r="M35" s="264">
        <v>50</v>
      </c>
      <c r="N35" s="264">
        <v>50</v>
      </c>
      <c r="O35" s="264">
        <v>100</v>
      </c>
      <c r="P35" s="264">
        <v>100</v>
      </c>
      <c r="Q35" s="264">
        <v>100</v>
      </c>
      <c r="R35" s="264">
        <v>100</v>
      </c>
      <c r="S35" s="264">
        <v>180</v>
      </c>
      <c r="T35" s="264">
        <v>180</v>
      </c>
      <c r="U35" s="264">
        <v>180</v>
      </c>
      <c r="V35" s="264">
        <v>180</v>
      </c>
      <c r="W35" s="483">
        <v>120</v>
      </c>
      <c r="X35" s="264">
        <v>120</v>
      </c>
      <c r="Y35" s="264">
        <v>120</v>
      </c>
      <c r="Z35" s="264">
        <v>120</v>
      </c>
      <c r="AA35" s="264">
        <v>100</v>
      </c>
      <c r="AB35" s="264">
        <v>100</v>
      </c>
      <c r="AC35" s="264">
        <v>100</v>
      </c>
      <c r="AD35" s="264">
        <v>100</v>
      </c>
      <c r="AE35" s="368"/>
      <c r="AF35" s="328" t="s">
        <v>342</v>
      </c>
      <c r="AG35" s="328" t="s">
        <v>342</v>
      </c>
      <c r="AH35" s="328" t="s">
        <v>342</v>
      </c>
      <c r="AI35" s="264">
        <v>50</v>
      </c>
      <c r="AJ35" s="264">
        <v>100</v>
      </c>
      <c r="AK35" s="264">
        <v>180</v>
      </c>
      <c r="AL35" s="289">
        <f>AVERAGE(W35:Z35)</f>
        <v>120</v>
      </c>
      <c r="AM35" s="289">
        <f>AVERAGE(AA35:AD35)</f>
        <v>100</v>
      </c>
    </row>
    <row r="36" spans="2:39" ht="13.8">
      <c r="B36" s="374" t="s">
        <v>367</v>
      </c>
      <c r="C36" s="375">
        <f>SUM(C34:C35)</f>
        <v>460.78541502222231</v>
      </c>
      <c r="D36" s="375">
        <f t="shared" ref="D36:J36" si="30">SUM(D34:D35)</f>
        <v>545.35157452747262</v>
      </c>
      <c r="E36" s="375">
        <f t="shared" si="30"/>
        <v>536.52627323913043</v>
      </c>
      <c r="F36" s="375">
        <f t="shared" si="30"/>
        <v>569.36882108695659</v>
      </c>
      <c r="G36" s="375">
        <f t="shared" si="30"/>
        <v>421.64245722005114</v>
      </c>
      <c r="H36" s="375">
        <f t="shared" si="30"/>
        <v>290.9365579184431</v>
      </c>
      <c r="I36" s="375">
        <f t="shared" si="30"/>
        <v>224.76509654347819</v>
      </c>
      <c r="J36" s="375">
        <f t="shared" si="30"/>
        <v>251.67220247826083</v>
      </c>
      <c r="K36" s="375">
        <f t="shared" ref="K36:V36" si="31">SUM(K34:K35)</f>
        <v>278.0410344666667</v>
      </c>
      <c r="L36" s="375">
        <f t="shared" si="31"/>
        <v>258</v>
      </c>
      <c r="M36" s="375">
        <f t="shared" si="31"/>
        <v>214.63716835962862</v>
      </c>
      <c r="N36" s="375">
        <f t="shared" si="31"/>
        <v>215</v>
      </c>
      <c r="O36" s="375">
        <f t="shared" si="31"/>
        <v>247</v>
      </c>
      <c r="P36" s="375">
        <f t="shared" si="31"/>
        <v>195</v>
      </c>
      <c r="Q36" s="375">
        <f t="shared" si="31"/>
        <v>175</v>
      </c>
      <c r="R36" s="375">
        <f t="shared" si="31"/>
        <v>238.46500607608664</v>
      </c>
      <c r="S36" s="375">
        <f t="shared" si="31"/>
        <v>433</v>
      </c>
      <c r="T36" s="375">
        <f t="shared" si="31"/>
        <v>397</v>
      </c>
      <c r="U36" s="375">
        <f t="shared" si="31"/>
        <v>396</v>
      </c>
      <c r="V36" s="375">
        <f t="shared" si="31"/>
        <v>390.60058194565192</v>
      </c>
      <c r="W36" s="484">
        <v>255</v>
      </c>
      <c r="X36" s="375">
        <f t="shared" ref="X36:AA36" si="32">SUM(X34:X35)</f>
        <v>197</v>
      </c>
      <c r="Y36" s="375">
        <f t="shared" si="32"/>
        <v>152.22867004347825</v>
      </c>
      <c r="Z36" s="375">
        <f t="shared" si="32"/>
        <v>200.39341204347829</v>
      </c>
      <c r="AA36" s="375">
        <f t="shared" si="32"/>
        <v>226.53335736666679</v>
      </c>
      <c r="AB36" s="375">
        <f>SUM(AB34:AB35)</f>
        <v>251.78966681318661</v>
      </c>
      <c r="AC36" s="375">
        <f>SUM(AC34:AC35)</f>
        <v>221</v>
      </c>
      <c r="AD36" s="375">
        <f>SUM(AD34:AD35)</f>
        <v>189</v>
      </c>
      <c r="AE36" s="371"/>
      <c r="AF36" s="375">
        <f t="shared" ref="AF36:AJ36" si="33">SUM(AF34:AF35)</f>
        <v>421</v>
      </c>
      <c r="AG36" s="375">
        <f t="shared" si="33"/>
        <v>518</v>
      </c>
      <c r="AH36" s="375">
        <f t="shared" si="33"/>
        <v>296</v>
      </c>
      <c r="AI36" s="375">
        <f t="shared" si="33"/>
        <v>241</v>
      </c>
      <c r="AJ36" s="375">
        <f t="shared" si="33"/>
        <v>208.54063983232982</v>
      </c>
      <c r="AK36" s="375">
        <f>SUM(AK34:AK35)</f>
        <v>394.24625086413039</v>
      </c>
      <c r="AL36" s="375">
        <f>SUM(AL34:AL35)</f>
        <v>200.96786198877214</v>
      </c>
      <c r="AM36" s="375">
        <f>SUM(AM34:AM35)</f>
        <v>222.08075604496332</v>
      </c>
    </row>
    <row r="37" spans="2:39" ht="13.8">
      <c r="B37" s="71"/>
      <c r="C37" s="265"/>
      <c r="D37" s="265"/>
      <c r="E37" s="265"/>
      <c r="F37" s="265"/>
      <c r="G37" s="265"/>
      <c r="H37" s="265"/>
      <c r="I37" s="265"/>
      <c r="J37" s="265"/>
      <c r="K37" s="265"/>
      <c r="L37" s="265"/>
      <c r="M37" s="265"/>
      <c r="N37" s="265"/>
      <c r="O37" s="265"/>
      <c r="P37" s="265"/>
      <c r="Q37" s="265"/>
      <c r="R37" s="368"/>
      <c r="S37" s="368"/>
      <c r="T37" s="368"/>
      <c r="U37" s="368"/>
      <c r="V37" s="368"/>
      <c r="W37" s="368"/>
      <c r="X37" s="368"/>
      <c r="Y37" s="368"/>
      <c r="Z37" s="368"/>
      <c r="AA37" s="553"/>
      <c r="AB37" s="553"/>
      <c r="AC37" s="553"/>
      <c r="AD37" s="553"/>
      <c r="AF37" s="265"/>
      <c r="AG37" s="265"/>
      <c r="AH37" s="265"/>
      <c r="AI37" s="265"/>
      <c r="AJ37" s="368"/>
      <c r="AK37" s="368"/>
      <c r="AL37" s="368"/>
      <c r="AM37" s="368"/>
    </row>
    <row r="38" spans="2:39" ht="14.4" thickBot="1">
      <c r="B38" s="365" t="s">
        <v>313</v>
      </c>
      <c r="C38" s="366"/>
      <c r="D38" s="366"/>
      <c r="E38" s="366"/>
      <c r="F38" s="366"/>
      <c r="G38" s="366"/>
      <c r="H38" s="366"/>
      <c r="I38" s="366"/>
      <c r="J38" s="366"/>
      <c r="K38" s="366"/>
      <c r="L38" s="366"/>
      <c r="M38" s="366"/>
      <c r="N38" s="366"/>
      <c r="O38" s="366"/>
      <c r="P38" s="366"/>
      <c r="Q38" s="366"/>
      <c r="R38" s="367"/>
      <c r="S38" s="367"/>
      <c r="T38" s="367"/>
      <c r="U38" s="367"/>
      <c r="V38" s="367"/>
      <c r="W38" s="485"/>
      <c r="X38" s="367"/>
      <c r="Y38" s="367"/>
      <c r="Z38" s="367"/>
      <c r="AA38" s="554"/>
      <c r="AB38" s="554"/>
      <c r="AC38" s="554"/>
      <c r="AD38" s="554"/>
      <c r="AF38" s="379"/>
      <c r="AG38" s="379"/>
      <c r="AH38" s="379"/>
      <c r="AI38" s="379"/>
      <c r="AJ38" s="380"/>
      <c r="AK38" s="380"/>
      <c r="AL38" s="380"/>
      <c r="AM38" s="380"/>
    </row>
    <row r="39" spans="2:39" ht="13.8">
      <c r="B39" s="74" t="s">
        <v>78</v>
      </c>
      <c r="C39" s="261">
        <v>58.283851627831808</v>
      </c>
      <c r="D39" s="261">
        <v>60.446615663063568</v>
      </c>
      <c r="E39" s="261">
        <v>60.795416866660446</v>
      </c>
      <c r="F39" s="261">
        <v>80.936501502989898</v>
      </c>
      <c r="G39" s="261">
        <v>57.768251049856225</v>
      </c>
      <c r="H39" s="261">
        <v>69.166129196780545</v>
      </c>
      <c r="I39" s="262">
        <v>81.803726723234774</v>
      </c>
      <c r="J39" s="261">
        <v>81.709248529798685</v>
      </c>
      <c r="K39" s="261">
        <v>70</v>
      </c>
      <c r="L39" s="261">
        <v>80</v>
      </c>
      <c r="M39" s="261">
        <v>106.96150161362078</v>
      </c>
      <c r="N39" s="261">
        <v>103</v>
      </c>
      <c r="O39" s="261">
        <v>74</v>
      </c>
      <c r="P39" s="372">
        <v>83</v>
      </c>
      <c r="Q39" s="372">
        <v>106</v>
      </c>
      <c r="R39" s="289">
        <v>98</v>
      </c>
      <c r="S39" s="289">
        <v>81</v>
      </c>
      <c r="T39" s="289">
        <v>96</v>
      </c>
      <c r="U39" s="289">
        <v>110</v>
      </c>
      <c r="V39" s="289">
        <v>103.03334077459581</v>
      </c>
      <c r="W39" s="289">
        <v>85</v>
      </c>
      <c r="X39" s="289">
        <v>99.318655876559518</v>
      </c>
      <c r="Y39" s="289">
        <v>106.72314743836652</v>
      </c>
      <c r="Z39" s="289">
        <v>108</v>
      </c>
      <c r="AA39" s="289">
        <v>97</v>
      </c>
      <c r="AB39" s="289">
        <v>99</v>
      </c>
      <c r="AC39" s="289">
        <v>107.31262806794997</v>
      </c>
      <c r="AD39" s="289">
        <v>127</v>
      </c>
      <c r="AF39" s="261">
        <v>62</v>
      </c>
      <c r="AG39" s="261">
        <v>65</v>
      </c>
      <c r="AH39" s="261">
        <v>72</v>
      </c>
      <c r="AI39" s="372">
        <v>88</v>
      </c>
      <c r="AJ39" s="289">
        <v>91</v>
      </c>
      <c r="AK39" s="289">
        <f>AVERAGE(S39:V39)</f>
        <v>97.508335193648946</v>
      </c>
      <c r="AL39" s="289">
        <f>AVERAGE(W39:Z39)</f>
        <v>99.760450828731507</v>
      </c>
      <c r="AM39" s="289">
        <f>AVERAGE(AA39:AD39)</f>
        <v>107.57815701698749</v>
      </c>
    </row>
    <row r="40" spans="2:39" s="40" customFormat="1" ht="14.25" customHeight="1">
      <c r="B40" s="74" t="s">
        <v>77</v>
      </c>
      <c r="C40" s="261">
        <v>265.28521467631174</v>
      </c>
      <c r="D40" s="261">
        <v>282.06297448815906</v>
      </c>
      <c r="E40" s="261">
        <v>286.29612353510703</v>
      </c>
      <c r="F40" s="261">
        <v>293.47906506528227</v>
      </c>
      <c r="G40" s="261">
        <v>231.31690998975981</v>
      </c>
      <c r="H40" s="261">
        <v>222.89718231928629</v>
      </c>
      <c r="I40" s="262">
        <v>206.15020854433149</v>
      </c>
      <c r="J40" s="261">
        <v>188.41205244112209</v>
      </c>
      <c r="K40" s="261">
        <v>245</v>
      </c>
      <c r="L40" s="261">
        <v>271</v>
      </c>
      <c r="M40" s="261">
        <v>338.60966116799625</v>
      </c>
      <c r="N40" s="261">
        <v>309</v>
      </c>
      <c r="O40" s="261">
        <v>328</v>
      </c>
      <c r="P40" s="372">
        <v>322</v>
      </c>
      <c r="Q40" s="372">
        <v>330</v>
      </c>
      <c r="R40" s="289">
        <v>351</v>
      </c>
      <c r="S40" s="289">
        <v>260</v>
      </c>
      <c r="T40" s="289">
        <v>238</v>
      </c>
      <c r="U40" s="289">
        <v>201</v>
      </c>
      <c r="V40" s="289">
        <v>199.5381646749656</v>
      </c>
      <c r="W40" s="289">
        <v>217</v>
      </c>
      <c r="X40" s="289">
        <v>227.49583458944741</v>
      </c>
      <c r="Y40" s="289">
        <v>254.32663650539376</v>
      </c>
      <c r="Z40" s="289">
        <v>270</v>
      </c>
      <c r="AA40" s="289">
        <v>417</v>
      </c>
      <c r="AB40" s="289">
        <v>417</v>
      </c>
      <c r="AC40" s="289">
        <v>399.42452113690774</v>
      </c>
      <c r="AD40" s="289">
        <v>404</v>
      </c>
      <c r="AE40" s="18"/>
      <c r="AF40" s="261">
        <v>209</v>
      </c>
      <c r="AG40" s="261">
        <v>220</v>
      </c>
      <c r="AH40" s="261">
        <v>205</v>
      </c>
      <c r="AI40" s="372">
        <v>288</v>
      </c>
      <c r="AJ40" s="289">
        <v>322</v>
      </c>
      <c r="AK40" s="289">
        <f>AVERAGE(S40:V40)</f>
        <v>224.63454116874141</v>
      </c>
      <c r="AL40" s="289">
        <f>AVERAGE(W40:Z40)</f>
        <v>242.20561777371029</v>
      </c>
      <c r="AM40" s="289">
        <f>AVERAGE(AA40:AD40)</f>
        <v>409.35613028422694</v>
      </c>
    </row>
    <row r="41" spans="2:39" s="40" customFormat="1" ht="14.25" customHeight="1">
      <c r="B41" s="71" t="s">
        <v>493</v>
      </c>
      <c r="C41" s="261"/>
      <c r="D41" s="261"/>
      <c r="E41" s="261"/>
      <c r="F41" s="261"/>
      <c r="G41" s="261"/>
      <c r="H41" s="261"/>
      <c r="I41" s="262"/>
      <c r="J41" s="261"/>
      <c r="K41" s="261">
        <f t="shared" ref="K41:AB41" si="34">K11/(K34*K44)*1000000</f>
        <v>133.95883268452349</v>
      </c>
      <c r="L41" s="261">
        <f t="shared" si="34"/>
        <v>134.81826607027975</v>
      </c>
      <c r="M41" s="261">
        <f t="shared" si="34"/>
        <v>39.972965408591278</v>
      </c>
      <c r="N41" s="261">
        <f t="shared" si="34"/>
        <v>221.48079749627402</v>
      </c>
      <c r="O41" s="261">
        <f t="shared" si="34"/>
        <v>65.526416583522561</v>
      </c>
      <c r="P41" s="261">
        <f t="shared" si="34"/>
        <v>83.23320663158708</v>
      </c>
      <c r="Q41" s="261">
        <f t="shared" si="34"/>
        <v>61.957043828794184</v>
      </c>
      <c r="R41" s="261">
        <f t="shared" si="34"/>
        <v>80.759664871897328</v>
      </c>
      <c r="S41" s="261">
        <f t="shared" si="34"/>
        <v>84.463496082519029</v>
      </c>
      <c r="T41" s="261">
        <f t="shared" si="34"/>
        <v>149.70584457976739</v>
      </c>
      <c r="U41" s="261">
        <f t="shared" si="34"/>
        <v>124.61928231525509</v>
      </c>
      <c r="V41" s="261">
        <f t="shared" si="34"/>
        <v>64.27935225630209</v>
      </c>
      <c r="W41" s="261">
        <f t="shared" si="34"/>
        <v>87.1846982770316</v>
      </c>
      <c r="X41" s="261">
        <f t="shared" si="34"/>
        <v>68.147751190476171</v>
      </c>
      <c r="Y41" s="261">
        <f t="shared" si="34"/>
        <v>231.20070082826933</v>
      </c>
      <c r="Z41" s="261">
        <f t="shared" si="34"/>
        <v>314.2403043174275</v>
      </c>
      <c r="AA41" s="261">
        <f t="shared" si="34"/>
        <v>139.03521536706717</v>
      </c>
      <c r="AB41" s="261">
        <f t="shared" si="34"/>
        <v>190.27465236293514</v>
      </c>
      <c r="AC41" s="261">
        <f t="shared" ref="AC41:AD41" si="35">AC11/(AC34*AC44)*1000000</f>
        <v>303.18002155946817</v>
      </c>
      <c r="AD41" s="261">
        <f t="shared" si="35"/>
        <v>376.56733431037293</v>
      </c>
      <c r="AE41"/>
      <c r="AF41" s="261"/>
      <c r="AG41" s="261"/>
      <c r="AH41" s="261"/>
      <c r="AI41" s="261">
        <f t="shared" ref="AI41:AL41" si="36">AI11/(AI34*AI44)*1000000</f>
        <v>133.02509118196821</v>
      </c>
      <c r="AJ41" s="261">
        <f t="shared" si="36"/>
        <v>76.803473181511023</v>
      </c>
      <c r="AK41" s="261">
        <f t="shared" si="36"/>
        <v>109.99170423268001</v>
      </c>
      <c r="AL41" s="261">
        <f t="shared" si="36"/>
        <v>153.81790466190557</v>
      </c>
      <c r="AM41" s="261">
        <f t="shared" ref="AM41" si="37">AM11/(AM34*AM44)*1000000</f>
        <v>239.45307953922168</v>
      </c>
    </row>
    <row r="42" spans="2:39" ht="13.8">
      <c r="B42" s="372" t="s">
        <v>487</v>
      </c>
      <c r="C42" s="261"/>
      <c r="D42" s="261"/>
      <c r="E42" s="261"/>
      <c r="F42" s="261"/>
      <c r="G42" s="261"/>
      <c r="H42" s="261"/>
      <c r="I42" s="262"/>
      <c r="J42" s="261"/>
      <c r="K42" s="261">
        <f t="shared" ref="K42:AB42" si="38">K15/(K34*K44)*1000000</f>
        <v>-195.09590085018272</v>
      </c>
      <c r="L42" s="261">
        <f t="shared" si="38"/>
        <v>-245.44198540174625</v>
      </c>
      <c r="M42" s="261">
        <f t="shared" si="38"/>
        <v>-268.9233682244012</v>
      </c>
      <c r="N42" s="261">
        <f t="shared" si="38"/>
        <v>-186.34204782729591</v>
      </c>
      <c r="O42" s="261">
        <f t="shared" si="38"/>
        <v>-406.96471233433732</v>
      </c>
      <c r="P42" s="261">
        <f t="shared" si="38"/>
        <v>-386.19956516577514</v>
      </c>
      <c r="Q42" s="261">
        <f t="shared" si="38"/>
        <v>-371.39561285192741</v>
      </c>
      <c r="R42" s="261">
        <f t="shared" si="38"/>
        <v>-297.73851970901438</v>
      </c>
      <c r="S42" s="261">
        <f t="shared" si="38"/>
        <v>-161.0950326768444</v>
      </c>
      <c r="T42" s="261">
        <f t="shared" si="38"/>
        <v>-325.59349893254267</v>
      </c>
      <c r="U42" s="261">
        <f t="shared" si="38"/>
        <v>-313.93180605657693</v>
      </c>
      <c r="V42" s="261">
        <f t="shared" si="38"/>
        <v>-257.64651378071466</v>
      </c>
      <c r="W42" s="261">
        <f t="shared" si="38"/>
        <v>-395.83199764448517</v>
      </c>
      <c r="X42" s="261">
        <f t="shared" si="38"/>
        <v>-476.25558791922373</v>
      </c>
      <c r="Y42" s="261">
        <f t="shared" si="38"/>
        <v>-492.70112865808193</v>
      </c>
      <c r="Z42" s="261">
        <f t="shared" si="38"/>
        <v>-362.33742510627775</v>
      </c>
      <c r="AA42" s="261">
        <f t="shared" si="38"/>
        <v>-336.61157404658366</v>
      </c>
      <c r="AB42" s="261">
        <f t="shared" si="38"/>
        <v>-346.29565811482559</v>
      </c>
      <c r="AC42" s="261">
        <f t="shared" ref="AC42:AD42" si="39">AC15/(AC34*AC44)*1000000</f>
        <v>-373.20827011468441</v>
      </c>
      <c r="AD42" s="261">
        <f t="shared" si="39"/>
        <v>-412.18856863702979</v>
      </c>
      <c r="AE42" s="18"/>
      <c r="AF42" s="261"/>
      <c r="AG42" s="261"/>
      <c r="AH42" s="261"/>
      <c r="AI42" s="261">
        <f>AI15/(AI34*AI44)*1000000</f>
        <v>-223.10325839668096</v>
      </c>
      <c r="AJ42" s="261">
        <f t="shared" ref="AJ42:AL42" si="40">AJ15/(AJ34*AJ44)*1000000</f>
        <v>-380.59840058359714</v>
      </c>
      <c r="AK42" s="261">
        <f t="shared" si="40"/>
        <v>-272.73760098384105</v>
      </c>
      <c r="AL42" s="261">
        <f t="shared" si="40"/>
        <v>-416.43434390978445</v>
      </c>
      <c r="AM42" s="261">
        <f t="shared" ref="AM42" si="41">AM15/(AM34*AM44)*1000000</f>
        <v>-362.35213235850614</v>
      </c>
    </row>
    <row r="43" spans="2:39" ht="13.8">
      <c r="AA43" s="292"/>
      <c r="AB43" s="292"/>
      <c r="AC43" s="292"/>
      <c r="AD43" s="292"/>
    </row>
    <row r="44" spans="2:39" ht="13.8">
      <c r="B44" s="265" t="s">
        <v>494</v>
      </c>
      <c r="C44" s="265"/>
      <c r="D44" s="265"/>
      <c r="E44" s="265"/>
      <c r="F44" s="265"/>
      <c r="G44" s="265"/>
      <c r="H44" s="265"/>
      <c r="I44" s="265"/>
      <c r="J44" s="265"/>
      <c r="K44" s="265">
        <f>91*24</f>
        <v>2184</v>
      </c>
      <c r="L44" s="265">
        <f>91*24</f>
        <v>2184</v>
      </c>
      <c r="M44" s="265">
        <f>92*24</f>
        <v>2208</v>
      </c>
      <c r="N44" s="265">
        <f>92*24</f>
        <v>2208</v>
      </c>
      <c r="O44" s="265">
        <f>90*24</f>
        <v>2160</v>
      </c>
      <c r="P44" s="265">
        <f>91*24</f>
        <v>2184</v>
      </c>
      <c r="Q44" s="265">
        <f>92*24</f>
        <v>2208</v>
      </c>
      <c r="R44" s="265">
        <f>92*24</f>
        <v>2208</v>
      </c>
      <c r="S44" s="265">
        <f>90*24</f>
        <v>2160</v>
      </c>
      <c r="T44" s="265">
        <f>91*24</f>
        <v>2184</v>
      </c>
      <c r="U44" s="265">
        <f>92*24</f>
        <v>2208</v>
      </c>
      <c r="V44" s="265">
        <f>92*24</f>
        <v>2208</v>
      </c>
      <c r="W44" s="265">
        <f>91*24</f>
        <v>2184</v>
      </c>
      <c r="X44" s="265">
        <f>91*24</f>
        <v>2184</v>
      </c>
      <c r="Y44" s="265">
        <f>92*24</f>
        <v>2208</v>
      </c>
      <c r="Z44" s="265">
        <f>92*24</f>
        <v>2208</v>
      </c>
      <c r="AA44" s="265">
        <v>2160</v>
      </c>
      <c r="AB44" s="265">
        <v>2184</v>
      </c>
      <c r="AC44" s="265">
        <v>2208</v>
      </c>
      <c r="AD44" s="265">
        <v>2208</v>
      </c>
      <c r="AE44" s="293"/>
      <c r="AF44" s="293"/>
      <c r="AG44" s="293"/>
      <c r="AH44" s="293"/>
      <c r="AI44" s="265">
        <f t="shared" ref="AI44" si="42">SUM(K44:N44)</f>
        <v>8784</v>
      </c>
      <c r="AJ44" s="265">
        <f t="shared" ref="AJ44" si="43">SUM(O44:R44)</f>
        <v>8760</v>
      </c>
      <c r="AK44" s="265">
        <f t="shared" ref="AK44" si="44">SUM(S44:V44)</f>
        <v>8760</v>
      </c>
      <c r="AL44" s="265">
        <f t="shared" ref="AL44" si="45">SUM(W44:Z44)</f>
        <v>8784</v>
      </c>
      <c r="AM44" s="265">
        <f>SUM(AA44:AD44)</f>
        <v>8760</v>
      </c>
    </row>
    <row r="45" spans="2:39" ht="13.8">
      <c r="AA45" s="265"/>
      <c r="AB45" s="265"/>
      <c r="AC45" s="265"/>
      <c r="AD45" s="265"/>
    </row>
    <row r="58" spans="27:30">
      <c r="AA58" s="555"/>
      <c r="AB58" s="555"/>
      <c r="AC58" s="555"/>
      <c r="AD58" s="555"/>
    </row>
    <row r="59" spans="27:30">
      <c r="AA59" s="555"/>
      <c r="AB59" s="555"/>
      <c r="AC59" s="555"/>
      <c r="AD59" s="555"/>
    </row>
    <row r="60" spans="27:30">
      <c r="AA60" s="555"/>
      <c r="AB60" s="555"/>
      <c r="AC60" s="555"/>
      <c r="AD60" s="555"/>
    </row>
    <row r="61" spans="27:30">
      <c r="AA61" s="555"/>
      <c r="AB61" s="555"/>
      <c r="AC61" s="555"/>
      <c r="AD61" s="555"/>
    </row>
    <row r="63" spans="27:30">
      <c r="AA63" s="556"/>
      <c r="AB63" s="556"/>
      <c r="AC63" s="556"/>
      <c r="AD63" s="556"/>
    </row>
  </sheetData>
  <phoneticPr fontId="72" type="noConversion"/>
  <pageMargins left="0.511811024" right="0.511811024" top="0.78740157499999996" bottom="0.78740157499999996" header="0.31496062000000002" footer="0.31496062000000002"/>
  <pageSetup paperSize="9" orientation="portrait" r:id="rId1"/>
  <ignoredErrors>
    <ignoredError sqref="AI24:AJ24 AI9:AL11 AI22:AL22 AI21:AJ21 AI20:AL20 AI19:AJ19 AI18:AJ18 AI13:AL17 AI12:AJ12"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30"/>
  <sheetViews>
    <sheetView showGridLines="0" zoomScale="80" zoomScaleNormal="80" zoomScaleSheetLayoutView="90" workbookViewId="0">
      <pane xSplit="2" ySplit="7" topLeftCell="W8" activePane="bottomRight" state="frozen"/>
      <selection activeCell="S25" sqref="S25"/>
      <selection pane="topRight" activeCell="S25" sqref="S25"/>
      <selection pane="bottomLeft" activeCell="S25" sqref="S25"/>
      <selection pane="bottomRight" activeCell="AH34" sqref="AH34"/>
    </sheetView>
  </sheetViews>
  <sheetFormatPr defaultColWidth="9.21875" defaultRowHeight="13.2" outlineLevelCol="1"/>
  <cols>
    <col min="1" max="1" width="2.21875" style="40" customWidth="1"/>
    <col min="2" max="2" width="41.44140625" style="40" customWidth="1"/>
    <col min="3" max="3" width="11.21875" style="40" hidden="1" customWidth="1" outlineLevel="1"/>
    <col min="4" max="14" width="9.21875" style="40" hidden="1" customWidth="1" outlineLevel="1"/>
    <col min="15" max="15" width="10.44140625" style="40" hidden="1" customWidth="1" outlineLevel="1"/>
    <col min="16" max="16" width="9.77734375" style="40" hidden="1" customWidth="1" outlineLevel="1"/>
    <col min="17" max="21" width="0" style="40" hidden="1" customWidth="1" outlineLevel="1"/>
    <col min="22" max="22" width="0" style="294" hidden="1" customWidth="1" outlineLevel="1"/>
    <col min="23" max="23" width="9.21875" style="294" collapsed="1"/>
    <col min="24" max="34" width="9.21875" style="294"/>
    <col min="35" max="36" width="9.21875" style="40"/>
    <col min="37" max="40" width="0" style="40" hidden="1" customWidth="1" outlineLevel="1"/>
    <col min="41" max="41" width="0" style="294" hidden="1" customWidth="1" outlineLevel="1"/>
    <col min="42" max="42" width="9.21875" style="294" collapsed="1"/>
    <col min="43" max="44" width="9.21875" style="294"/>
    <col min="45" max="45" width="9.21875" style="40"/>
    <col min="46" max="49" width="0" style="40" hidden="1" customWidth="1" outlineLevel="1"/>
    <col min="50" max="50" width="9.21875" style="40" collapsed="1"/>
    <col min="51" max="16384" width="9.21875" style="40"/>
  </cols>
  <sheetData>
    <row r="1" spans="1:61">
      <c r="A1" s="18"/>
      <c r="B1" s="39"/>
    </row>
    <row r="2" spans="1:61">
      <c r="A2" s="18"/>
      <c r="B2" s="39"/>
    </row>
    <row r="3" spans="1:61">
      <c r="A3" s="18"/>
      <c r="B3" s="39"/>
    </row>
    <row r="4" spans="1:61" ht="21" customHeight="1">
      <c r="A4" s="18"/>
      <c r="B4" s="41"/>
    </row>
    <row r="5" spans="1:61">
      <c r="B5" s="68"/>
    </row>
    <row r="6" spans="1:61" ht="12" customHeight="1">
      <c r="B6" s="42"/>
      <c r="C6" s="622"/>
      <c r="D6" s="622"/>
      <c r="E6" s="622"/>
      <c r="F6" s="622"/>
      <c r="G6" s="622"/>
      <c r="H6" s="622"/>
      <c r="I6" s="622"/>
      <c r="J6" s="622"/>
      <c r="K6" s="622"/>
      <c r="L6" s="622"/>
      <c r="M6" s="622"/>
      <c r="N6" s="622"/>
      <c r="O6" s="622"/>
      <c r="P6" s="622"/>
      <c r="Q6" s="183"/>
      <c r="R6" s="183"/>
    </row>
    <row r="7" spans="1:61" s="33" customFormat="1" ht="14.25" customHeight="1" thickBot="1">
      <c r="B7" s="58" t="s">
        <v>112</v>
      </c>
      <c r="C7" s="59" t="s">
        <v>94</v>
      </c>
      <c r="D7" s="59" t="s">
        <v>95</v>
      </c>
      <c r="E7" s="59" t="s">
        <v>96</v>
      </c>
      <c r="F7" s="59" t="s">
        <v>97</v>
      </c>
      <c r="G7" s="59" t="s">
        <v>79</v>
      </c>
      <c r="H7" s="59" t="s">
        <v>80</v>
      </c>
      <c r="I7" s="59" t="s">
        <v>81</v>
      </c>
      <c r="J7" s="59" t="s">
        <v>82</v>
      </c>
      <c r="K7" s="59" t="s">
        <v>83</v>
      </c>
      <c r="L7" s="59" t="s">
        <v>84</v>
      </c>
      <c r="M7" s="59" t="s">
        <v>85</v>
      </c>
      <c r="N7" s="59" t="s">
        <v>86</v>
      </c>
      <c r="O7" s="59" t="s">
        <v>87</v>
      </c>
      <c r="P7" s="59" t="s">
        <v>88</v>
      </c>
      <c r="Q7" s="59" t="s">
        <v>89</v>
      </c>
      <c r="R7" s="59" t="s">
        <v>90</v>
      </c>
      <c r="S7" s="59" t="s">
        <v>91</v>
      </c>
      <c r="T7" s="59" t="s">
        <v>92</v>
      </c>
      <c r="U7" s="59" t="s">
        <v>93</v>
      </c>
      <c r="V7" s="295" t="s">
        <v>331</v>
      </c>
      <c r="W7" s="295" t="s">
        <v>341</v>
      </c>
      <c r="X7" s="295" t="s">
        <v>374</v>
      </c>
      <c r="Y7" s="295" t="s">
        <v>382</v>
      </c>
      <c r="Z7" s="295" t="s">
        <v>384</v>
      </c>
      <c r="AA7" s="295" t="s">
        <v>461</v>
      </c>
      <c r="AB7" s="295" t="s">
        <v>465</v>
      </c>
      <c r="AC7" s="295" t="s">
        <v>466</v>
      </c>
      <c r="AD7" s="295" t="s">
        <v>467</v>
      </c>
      <c r="AE7" s="295" t="s">
        <v>513</v>
      </c>
      <c r="AF7" s="295" t="s">
        <v>519</v>
      </c>
      <c r="AG7" s="295" t="s">
        <v>528</v>
      </c>
      <c r="AH7" s="295" t="s">
        <v>514</v>
      </c>
      <c r="AI7" s="266"/>
      <c r="AK7" s="59">
        <v>2018</v>
      </c>
      <c r="AL7" s="59">
        <v>2019</v>
      </c>
      <c r="AM7" s="59">
        <v>2020</v>
      </c>
      <c r="AN7" s="59">
        <v>2021</v>
      </c>
      <c r="AO7" s="295">
        <v>2022</v>
      </c>
      <c r="AP7" s="295">
        <v>2023</v>
      </c>
      <c r="AQ7" s="295">
        <v>2024</v>
      </c>
      <c r="AR7" s="295">
        <v>2025</v>
      </c>
      <c r="AT7" s="59" t="s">
        <v>91</v>
      </c>
      <c r="AU7" s="59" t="s">
        <v>92</v>
      </c>
      <c r="AV7" s="59" t="s">
        <v>93</v>
      </c>
      <c r="AW7" s="295" t="s">
        <v>331</v>
      </c>
      <c r="AX7" s="295" t="s">
        <v>341</v>
      </c>
      <c r="AY7" s="295" t="s">
        <v>374</v>
      </c>
      <c r="AZ7" s="295" t="s">
        <v>382</v>
      </c>
      <c r="BA7" s="295" t="s">
        <v>384</v>
      </c>
      <c r="BB7" s="295" t="s">
        <v>461</v>
      </c>
      <c r="BC7" s="295" t="s">
        <v>465</v>
      </c>
      <c r="BD7" s="295" t="s">
        <v>466</v>
      </c>
      <c r="BE7" s="295" t="s">
        <v>514</v>
      </c>
      <c r="BF7" s="295" t="s">
        <v>513</v>
      </c>
      <c r="BG7" s="295" t="s">
        <v>519</v>
      </c>
      <c r="BH7" s="295" t="str">
        <f>AG7</f>
        <v>3Q25</v>
      </c>
      <c r="BI7" s="295" t="str">
        <f>AH7</f>
        <v>4Q25</v>
      </c>
    </row>
    <row r="8" spans="1:61" ht="14.25" customHeight="1" thickTop="1">
      <c r="B8" s="43"/>
      <c r="L8" s="101"/>
      <c r="AI8" s="18"/>
      <c r="AK8" s="225"/>
      <c r="AL8" s="225"/>
      <c r="AM8" s="225"/>
      <c r="AN8" s="225"/>
      <c r="AO8" s="301"/>
      <c r="AP8" s="301"/>
      <c r="AQ8" s="301"/>
      <c r="AR8" s="301"/>
      <c r="AT8" s="225"/>
      <c r="AU8" s="225"/>
      <c r="AV8" s="225"/>
      <c r="AW8" s="294"/>
      <c r="AX8" s="294"/>
      <c r="AY8" s="294"/>
      <c r="AZ8" s="294"/>
      <c r="BA8" s="294"/>
      <c r="BB8" s="294"/>
    </row>
    <row r="9" spans="1:61" s="33" customFormat="1" ht="14.4" thickBot="1">
      <c r="B9" s="64" t="s">
        <v>19</v>
      </c>
      <c r="C9" s="65">
        <v>112.89437155300001</v>
      </c>
      <c r="D9" s="65">
        <v>108.97964737</v>
      </c>
      <c r="E9" s="65">
        <v>113.08253432399999</v>
      </c>
      <c r="F9" s="65">
        <v>107.871675829</v>
      </c>
      <c r="G9" s="65">
        <v>103.44017012099999</v>
      </c>
      <c r="H9" s="65">
        <v>100.370531649</v>
      </c>
      <c r="I9" s="65">
        <v>101.44061324500002</v>
      </c>
      <c r="J9" s="65">
        <v>93.765105867000003</v>
      </c>
      <c r="K9" s="65">
        <v>106.24764933500001</v>
      </c>
      <c r="L9" s="65">
        <v>93.516977307999994</v>
      </c>
      <c r="M9" s="65">
        <v>123.194917874</v>
      </c>
      <c r="N9" s="65">
        <v>118.13206369500001</v>
      </c>
      <c r="O9" s="65">
        <v>119.73352715</v>
      </c>
      <c r="P9" s="65">
        <v>119.32094736799999</v>
      </c>
      <c r="Q9" s="65">
        <v>123.513382165</v>
      </c>
      <c r="R9" s="65">
        <v>122.179759633</v>
      </c>
      <c r="S9" s="65">
        <v>109</v>
      </c>
      <c r="T9" s="65">
        <v>112</v>
      </c>
      <c r="U9" s="296">
        <f t="shared" ref="U9:AC9" si="0">SUM(U10,U13,U17)</f>
        <v>129</v>
      </c>
      <c r="V9" s="296">
        <f t="shared" si="0"/>
        <v>122.46210662099998</v>
      </c>
      <c r="W9" s="296">
        <f t="shared" si="0"/>
        <v>106</v>
      </c>
      <c r="X9" s="296">
        <f t="shared" si="0"/>
        <v>105</v>
      </c>
      <c r="Y9" s="296">
        <f t="shared" si="0"/>
        <v>119</v>
      </c>
      <c r="Z9" s="296">
        <f t="shared" si="0"/>
        <v>128.00780246599999</v>
      </c>
      <c r="AA9" s="296">
        <f t="shared" si="0"/>
        <v>119.74037091399998</v>
      </c>
      <c r="AB9" s="296">
        <f t="shared" si="0"/>
        <v>128.45955910900003</v>
      </c>
      <c r="AC9" s="296">
        <f t="shared" si="0"/>
        <v>128.76663717800002</v>
      </c>
      <c r="AD9" s="296">
        <v>124.57268817400001</v>
      </c>
      <c r="AE9" s="296">
        <f>SUM(AE10,AE13,AE17)</f>
        <v>120.359143461</v>
      </c>
      <c r="AF9" s="296">
        <f>SUM(AF10,AF13,AF17)</f>
        <v>119</v>
      </c>
      <c r="AG9" s="487">
        <f>SUM(AG10,AG13,AG17)</f>
        <v>132</v>
      </c>
      <c r="AH9" s="487">
        <v>128</v>
      </c>
      <c r="AI9" s="267"/>
      <c r="AK9" s="302">
        <v>1</v>
      </c>
      <c r="AL9" s="302">
        <v>1</v>
      </c>
      <c r="AM9" s="302">
        <v>1</v>
      </c>
      <c r="AN9" s="302">
        <v>1</v>
      </c>
      <c r="AO9" s="302">
        <v>1</v>
      </c>
      <c r="AP9" s="302">
        <f>SUM(AP10,AP13,AP17)</f>
        <v>1</v>
      </c>
      <c r="AQ9" s="302">
        <f>SUM(AQ10,AQ13,AQ17)</f>
        <v>1</v>
      </c>
      <c r="AR9" s="302">
        <f>SUM(AR10,AR13,AR17)</f>
        <v>0.99999999999999989</v>
      </c>
      <c r="AT9" s="226">
        <v>1</v>
      </c>
      <c r="AU9" s="226">
        <v>1</v>
      </c>
      <c r="AV9" s="226">
        <v>1</v>
      </c>
      <c r="AW9" s="302">
        <v>1</v>
      </c>
      <c r="AX9" s="302">
        <v>1</v>
      </c>
      <c r="AY9" s="302">
        <v>1</v>
      </c>
      <c r="AZ9" s="302">
        <v>1</v>
      </c>
      <c r="BA9" s="302">
        <v>1</v>
      </c>
      <c r="BB9" s="494">
        <f>SUM(BB10,BB13,BB17)</f>
        <v>1</v>
      </c>
      <c r="BC9" s="494">
        <f>SUM(BC10,BC13,BC17)</f>
        <v>1</v>
      </c>
      <c r="BD9" s="494">
        <f>SUM(BD10,BD13,BD17)</f>
        <v>1</v>
      </c>
      <c r="BE9" s="494">
        <f t="shared" ref="BE9:BF9" si="1">SUM(BE10,BE13,BE17)</f>
        <v>1</v>
      </c>
      <c r="BF9" s="494">
        <f t="shared" si="1"/>
        <v>1</v>
      </c>
      <c r="BG9" s="494">
        <f t="shared" ref="BG9:BH9" si="2">SUM(BG10,BG13,BG17)</f>
        <v>1</v>
      </c>
      <c r="BH9" s="494">
        <f t="shared" si="2"/>
        <v>1</v>
      </c>
      <c r="BI9" s="494">
        <f t="shared" ref="BI9" si="3">SUM(BI10,BI13,BI17)</f>
        <v>1</v>
      </c>
    </row>
    <row r="10" spans="1:61" ht="14.25" customHeight="1" thickBot="1">
      <c r="B10" s="86" t="s">
        <v>98</v>
      </c>
      <c r="C10" s="87">
        <v>67.302429000000004</v>
      </c>
      <c r="D10" s="87">
        <v>62.631048899999996</v>
      </c>
      <c r="E10" s="87">
        <v>61.544618</v>
      </c>
      <c r="F10" s="87">
        <v>59.126366991000005</v>
      </c>
      <c r="G10" s="87">
        <v>54.335425426999997</v>
      </c>
      <c r="H10" s="87">
        <v>54.805229999999995</v>
      </c>
      <c r="I10" s="87">
        <v>60.521159593</v>
      </c>
      <c r="J10" s="87">
        <v>51.064089999999993</v>
      </c>
      <c r="K10" s="87">
        <v>58.648728999999996</v>
      </c>
      <c r="L10" s="87">
        <v>53.227482999999999</v>
      </c>
      <c r="M10" s="87">
        <v>65.377861999999993</v>
      </c>
      <c r="N10" s="87">
        <v>63.190384999999992</v>
      </c>
      <c r="O10" s="87">
        <v>61.475999999999999</v>
      </c>
      <c r="P10" s="87">
        <v>61.634</v>
      </c>
      <c r="Q10" s="87">
        <v>62.716999999999999</v>
      </c>
      <c r="R10" s="87">
        <v>65.878</v>
      </c>
      <c r="S10" s="87">
        <v>52</v>
      </c>
      <c r="T10" s="87">
        <v>55</v>
      </c>
      <c r="U10" s="87">
        <v>65</v>
      </c>
      <c r="V10" s="297">
        <v>62.288383859999996</v>
      </c>
      <c r="W10" s="297">
        <v>53</v>
      </c>
      <c r="X10" s="297">
        <v>53</v>
      </c>
      <c r="Y10" s="297">
        <v>67</v>
      </c>
      <c r="Z10" s="297">
        <v>76.961147202999996</v>
      </c>
      <c r="AA10" s="488">
        <v>66.084968289999992</v>
      </c>
      <c r="AB10" s="297">
        <v>71.690663190000024</v>
      </c>
      <c r="AC10" s="297">
        <v>66.853626202000044</v>
      </c>
      <c r="AD10" s="297">
        <v>65.880043763000003</v>
      </c>
      <c r="AE10" s="297">
        <f>SUM(AE11:AE12)</f>
        <v>61.327143461000006</v>
      </c>
      <c r="AF10" s="297">
        <f>SUM(AF11:AF12)</f>
        <v>61</v>
      </c>
      <c r="AG10" s="488">
        <f>SUM(AG11:AG12)</f>
        <v>72</v>
      </c>
      <c r="AH10" s="488">
        <v>71</v>
      </c>
      <c r="AI10" s="267"/>
      <c r="AK10" s="303">
        <f>SUM(C10:F10)/SUM(C9:F9)</f>
        <v>0.56591799356131445</v>
      </c>
      <c r="AL10" s="303">
        <f>SUM(G10:J10)/SUM($G$9:$J$9)</f>
        <v>0.55317499097430534</v>
      </c>
      <c r="AM10" s="303">
        <f>SUM(K10:N10)/SUM($K$9:$N$9)</f>
        <v>0.5451122953226446</v>
      </c>
      <c r="AN10" s="303">
        <f>SUM(O10:R10)/SUM($O$9:$R$9)</f>
        <v>0.51924958788434172</v>
      </c>
      <c r="AO10" s="303">
        <f t="shared" ref="AO10:AO19" si="4">SUM(S10:V10)/SUM($S$9:$V$9)</f>
        <v>0.49588820050692795</v>
      </c>
      <c r="AP10" s="303">
        <f t="shared" ref="AP10:AP11" si="5">SUM(W10:Z10)/SUM($W$9:$Z$9)</f>
        <v>0.54575739945294</v>
      </c>
      <c r="AQ10" s="303">
        <f t="shared" ref="AQ10:AQ19" si="6">SUM(AA10:AD10)/SUM($AA$9:$AD$9)</f>
        <v>0.53935818292576265</v>
      </c>
      <c r="AR10" s="303">
        <f t="shared" ref="AR10:AR19" si="7">SUM(AE10:AH10)/SUM($AE$9:$AH$9)</f>
        <v>0.53133530633293002</v>
      </c>
      <c r="AT10" s="227">
        <v>0.47706422018348627</v>
      </c>
      <c r="AU10" s="227">
        <v>0.49107142857142855</v>
      </c>
      <c r="AV10" s="227">
        <v>0.50387596899224807</v>
      </c>
      <c r="AW10" s="227">
        <v>0.50863394056066891</v>
      </c>
      <c r="AX10" s="303">
        <f t="shared" ref="AX10:AX19" si="8">W10/W$9</f>
        <v>0.5</v>
      </c>
      <c r="AY10" s="303">
        <f t="shared" ref="AY10:AY19" si="9">X10/X$9</f>
        <v>0.50476190476190474</v>
      </c>
      <c r="AZ10" s="303">
        <f t="shared" ref="AZ10:AZ19" si="10">Y10/Y$9</f>
        <v>0.56302521008403361</v>
      </c>
      <c r="BA10" s="303">
        <v>0.6012223139557572</v>
      </c>
      <c r="BB10" s="495">
        <f t="shared" ref="BB10:BB19" si="11">AA10/AA$9</f>
        <v>0.55190215117559294</v>
      </c>
      <c r="BC10" s="495">
        <f t="shared" ref="BC10:BC19" si="12">AB10/AB$9</f>
        <v>0.55807962978581716</v>
      </c>
      <c r="BD10" s="495">
        <f t="shared" ref="BD10:BD19" si="13">AC10/AC$9</f>
        <v>0.51918437622615876</v>
      </c>
      <c r="BE10" s="495">
        <f t="shared" ref="BE10:BE19" si="14">AD10/AD$9</f>
        <v>0.52884821487500067</v>
      </c>
      <c r="BF10" s="495">
        <f t="shared" ref="BF10:BF19" si="15">AE10/AE$9</f>
        <v>0.50953456212383108</v>
      </c>
      <c r="BG10" s="495">
        <f t="shared" ref="BG10:BG19" si="16">AF10/AF$9</f>
        <v>0.51260504201680668</v>
      </c>
      <c r="BH10" s="495">
        <f t="shared" ref="BH10:BH19" si="17">AG10/AG$9</f>
        <v>0.54545454545454541</v>
      </c>
      <c r="BI10" s="495">
        <f t="shared" ref="BI10:BI19" si="18">AH10/AH$9</f>
        <v>0.5546875</v>
      </c>
    </row>
    <row r="11" spans="1:61" ht="13.8">
      <c r="B11" s="85" t="s">
        <v>99</v>
      </c>
      <c r="C11" s="63">
        <v>28.820508000000004</v>
      </c>
      <c r="D11" s="63">
        <v>19.130030999999999</v>
      </c>
      <c r="E11" s="63">
        <v>19.785311999999998</v>
      </c>
      <c r="F11" s="63">
        <v>15.902756990999999</v>
      </c>
      <c r="G11" s="63">
        <v>16.527532426999997</v>
      </c>
      <c r="H11" s="63">
        <v>12.984525999999997</v>
      </c>
      <c r="I11" s="63">
        <v>21.018723593000004</v>
      </c>
      <c r="J11" s="63">
        <v>16.730824999999996</v>
      </c>
      <c r="K11" s="63">
        <v>15.699796999999997</v>
      </c>
      <c r="L11" s="63">
        <v>38.591225999999999</v>
      </c>
      <c r="M11" s="63">
        <v>31.359652999999994</v>
      </c>
      <c r="N11" s="63">
        <v>23.252006999999995</v>
      </c>
      <c r="O11" s="63">
        <v>13.062580222000014</v>
      </c>
      <c r="P11" s="63">
        <v>9.706273999999997</v>
      </c>
      <c r="Q11" s="63">
        <v>9.2005250000000007</v>
      </c>
      <c r="R11" s="63">
        <v>15.667989</v>
      </c>
      <c r="S11" s="63">
        <v>14</v>
      </c>
      <c r="T11" s="63">
        <v>21</v>
      </c>
      <c r="U11" s="63">
        <v>30</v>
      </c>
      <c r="V11" s="298">
        <v>20.128543860000001</v>
      </c>
      <c r="W11" s="298">
        <v>7</v>
      </c>
      <c r="X11" s="298">
        <v>10</v>
      </c>
      <c r="Y11" s="298">
        <v>21</v>
      </c>
      <c r="Z11" s="298">
        <v>27.490092099999998</v>
      </c>
      <c r="AA11" s="489">
        <v>13.544537999999996</v>
      </c>
      <c r="AB11" s="298">
        <v>17.620719000000005</v>
      </c>
      <c r="AC11" s="298">
        <v>18.103810725000002</v>
      </c>
      <c r="AD11" s="298">
        <v>15.4128206</v>
      </c>
      <c r="AE11" s="298">
        <v>15.347</v>
      </c>
      <c r="AF11" s="298">
        <v>15</v>
      </c>
      <c r="AG11" s="298">
        <v>23</v>
      </c>
      <c r="AH11" s="298">
        <v>22</v>
      </c>
      <c r="AI11" s="63"/>
      <c r="AK11" s="304">
        <f>SUM(C11:F11)/SUM(C9:F9)</f>
        <v>0.18887370429278935</v>
      </c>
      <c r="AL11" s="304">
        <f>SUM(G11:J11)/SUM($G$9:$J$9)</f>
        <v>0.16856851873745585</v>
      </c>
      <c r="AM11" s="304">
        <f t="shared" ref="AM11:AM19" si="19">SUM(K11:N11)/SUM($K$9:$N$9)</f>
        <v>0.24689357261056427</v>
      </c>
      <c r="AN11" s="304">
        <f t="shared" ref="AN11:AN19" si="20">SUM(O11:R11)/SUM($O$9:$R$9)</f>
        <v>9.8272516704746182E-2</v>
      </c>
      <c r="AO11" s="304">
        <f t="shared" si="4"/>
        <v>0.18018068045463059</v>
      </c>
      <c r="AP11" s="304">
        <f t="shared" si="5"/>
        <v>0.14298903151297651</v>
      </c>
      <c r="AQ11" s="304">
        <f t="shared" si="6"/>
        <v>0.12896675112028363</v>
      </c>
      <c r="AR11" s="304">
        <f t="shared" si="7"/>
        <v>0.15088739434663945</v>
      </c>
      <c r="AT11" s="228">
        <v>0.12844036697247707</v>
      </c>
      <c r="AU11" s="228">
        <v>0.1875</v>
      </c>
      <c r="AV11" s="228">
        <v>0.23255813953488372</v>
      </c>
      <c r="AW11" s="228">
        <v>0.1643654875405216</v>
      </c>
      <c r="AX11" s="304">
        <f t="shared" si="8"/>
        <v>6.6037735849056603E-2</v>
      </c>
      <c r="AY11" s="304">
        <f t="shared" si="9"/>
        <v>9.5238095238095233E-2</v>
      </c>
      <c r="AZ11" s="304">
        <f t="shared" si="10"/>
        <v>0.17647058823529413</v>
      </c>
      <c r="BA11" s="304">
        <v>0.21475325386748681</v>
      </c>
      <c r="BB11" s="496">
        <f>AA11/AA$9</f>
        <v>0.11311588478148246</v>
      </c>
      <c r="BC11" s="496">
        <f t="shared" si="12"/>
        <v>0.13716938717692886</v>
      </c>
      <c r="BD11" s="496">
        <f t="shared" si="13"/>
        <v>0.14059395447265019</v>
      </c>
      <c r="BE11" s="496">
        <f t="shared" si="14"/>
        <v>0.12372551982238481</v>
      </c>
      <c r="BF11" s="496">
        <f t="shared" si="15"/>
        <v>0.1275100466710524</v>
      </c>
      <c r="BG11" s="496">
        <f t="shared" si="16"/>
        <v>0.12605042016806722</v>
      </c>
      <c r="BH11" s="496">
        <f t="shared" si="17"/>
        <v>0.17424242424242425</v>
      </c>
      <c r="BI11" s="496">
        <f t="shared" si="18"/>
        <v>0.171875</v>
      </c>
    </row>
    <row r="12" spans="1:61" ht="13.8">
      <c r="B12" s="83" t="s">
        <v>20</v>
      </c>
      <c r="C12" s="66">
        <v>38.481921</v>
      </c>
      <c r="D12" s="66">
        <v>43.501017899999994</v>
      </c>
      <c r="E12" s="66">
        <v>41.759306000000002</v>
      </c>
      <c r="F12" s="66">
        <v>43.223610000000008</v>
      </c>
      <c r="G12" s="66">
        <v>37.807893</v>
      </c>
      <c r="H12" s="66">
        <v>41.820703999999999</v>
      </c>
      <c r="I12" s="66">
        <v>39.502435999999996</v>
      </c>
      <c r="J12" s="66">
        <v>34.333264999999997</v>
      </c>
      <c r="K12" s="66">
        <v>42.948931999999999</v>
      </c>
      <c r="L12" s="66">
        <v>14.636256999999999</v>
      </c>
      <c r="M12" s="66">
        <v>34.018208999999999</v>
      </c>
      <c r="N12" s="66">
        <v>39.938378</v>
      </c>
      <c r="O12" s="66">
        <v>48.413419777999984</v>
      </c>
      <c r="P12" s="66">
        <v>51.927726000000007</v>
      </c>
      <c r="Q12" s="66">
        <v>53.516475</v>
      </c>
      <c r="R12" s="66">
        <v>50.210011000000002</v>
      </c>
      <c r="S12" s="66">
        <v>38</v>
      </c>
      <c r="T12" s="66">
        <v>34</v>
      </c>
      <c r="U12" s="66">
        <v>35</v>
      </c>
      <c r="V12" s="299">
        <v>42.159839999999996</v>
      </c>
      <c r="W12" s="299">
        <v>46</v>
      </c>
      <c r="X12" s="299">
        <v>43</v>
      </c>
      <c r="Y12" s="299">
        <v>46</v>
      </c>
      <c r="Z12" s="299">
        <v>49.471055103000005</v>
      </c>
      <c r="AA12" s="490">
        <v>52.540430289999996</v>
      </c>
      <c r="AB12" s="299">
        <v>54.069944190000015</v>
      </c>
      <c r="AC12" s="299">
        <v>48.749815477000034</v>
      </c>
      <c r="AD12" s="299">
        <v>50.467223163</v>
      </c>
      <c r="AE12" s="299">
        <v>45.980143461000004</v>
      </c>
      <c r="AF12" s="299">
        <v>46</v>
      </c>
      <c r="AG12" s="490">
        <v>49</v>
      </c>
      <c r="AH12" s="490">
        <v>49</v>
      </c>
      <c r="AI12" s="63"/>
      <c r="AK12" s="305">
        <f>SUM(C12:F12)/SUM(C9:F9)</f>
        <v>0.37704428926852507</v>
      </c>
      <c r="AL12" s="305">
        <f>SUM(G12:J12)/SUM($G$9:$J$9)</f>
        <v>0.38460647223684952</v>
      </c>
      <c r="AM12" s="305">
        <f t="shared" si="19"/>
        <v>0.29821872271208033</v>
      </c>
      <c r="AN12" s="305">
        <f t="shared" si="20"/>
        <v>0.4209770711795956</v>
      </c>
      <c r="AO12" s="305">
        <f t="shared" si="4"/>
        <v>0.31570752005229735</v>
      </c>
      <c r="AP12" s="305">
        <f>SUM(W12:Z12)/SUM($W$9:$Z$9)</f>
        <v>0.40276836793996351</v>
      </c>
      <c r="AQ12" s="305">
        <f t="shared" si="6"/>
        <v>0.41039143180547899</v>
      </c>
      <c r="AR12" s="305">
        <f t="shared" si="7"/>
        <v>0.38044791198629063</v>
      </c>
      <c r="AT12" s="229">
        <v>0.34862385321100919</v>
      </c>
      <c r="AU12" s="229">
        <v>0.30357142857142855</v>
      </c>
      <c r="AV12" s="229">
        <v>0.27131782945736432</v>
      </c>
      <c r="AW12" s="229">
        <v>0.34426845302014725</v>
      </c>
      <c r="AX12" s="305">
        <f t="shared" si="8"/>
        <v>0.43396226415094341</v>
      </c>
      <c r="AY12" s="305">
        <f t="shared" si="9"/>
        <v>0.40952380952380951</v>
      </c>
      <c r="AZ12" s="305">
        <f t="shared" si="10"/>
        <v>0.38655462184873951</v>
      </c>
      <c r="BA12" s="305">
        <v>0.38646906008827048</v>
      </c>
      <c r="BB12" s="497">
        <f t="shared" si="11"/>
        <v>0.4387862663941105</v>
      </c>
      <c r="BC12" s="497">
        <f t="shared" si="12"/>
        <v>0.42091024260888821</v>
      </c>
      <c r="BD12" s="497">
        <f t="shared" si="13"/>
        <v>0.37859042175350849</v>
      </c>
      <c r="BE12" s="497">
        <f t="shared" si="14"/>
        <v>0.40512269505261578</v>
      </c>
      <c r="BF12" s="497">
        <f t="shared" si="15"/>
        <v>0.38202451545277871</v>
      </c>
      <c r="BG12" s="497">
        <f t="shared" si="16"/>
        <v>0.38655462184873951</v>
      </c>
      <c r="BH12" s="497">
        <f t="shared" si="17"/>
        <v>0.37121212121212122</v>
      </c>
      <c r="BI12" s="497">
        <f t="shared" si="18"/>
        <v>0.3828125</v>
      </c>
    </row>
    <row r="13" spans="1:61" ht="14.4" thickBot="1">
      <c r="B13" s="64" t="s">
        <v>100</v>
      </c>
      <c r="C13" s="65">
        <v>21.849239433000001</v>
      </c>
      <c r="D13" s="65">
        <v>21.156238260000002</v>
      </c>
      <c r="E13" s="65">
        <v>26.802773402</v>
      </c>
      <c r="F13" s="65">
        <v>26.801142587999998</v>
      </c>
      <c r="G13" s="65">
        <v>26.811185641999998</v>
      </c>
      <c r="H13" s="65">
        <v>24.009905988999996</v>
      </c>
      <c r="I13" s="65">
        <v>18.902411745999999</v>
      </c>
      <c r="J13" s="65">
        <v>18.027284611000006</v>
      </c>
      <c r="K13" s="65">
        <v>24.745711639000007</v>
      </c>
      <c r="L13" s="65">
        <v>26.021858814000005</v>
      </c>
      <c r="M13" s="65">
        <v>34.798597752999996</v>
      </c>
      <c r="N13" s="65">
        <v>34.455406182000004</v>
      </c>
      <c r="O13" s="65">
        <v>37.768581999999995</v>
      </c>
      <c r="P13" s="65">
        <v>35.350337367999998</v>
      </c>
      <c r="Q13" s="65">
        <v>38.164663165</v>
      </c>
      <c r="R13" s="65">
        <v>35.327348633</v>
      </c>
      <c r="S13" s="65">
        <v>33</v>
      </c>
      <c r="T13" s="65">
        <v>32</v>
      </c>
      <c r="U13" s="65">
        <v>34</v>
      </c>
      <c r="V13" s="296">
        <v>32.920320684999993</v>
      </c>
      <c r="W13" s="296">
        <v>33</v>
      </c>
      <c r="X13" s="296">
        <v>30</v>
      </c>
      <c r="Y13" s="296">
        <v>32</v>
      </c>
      <c r="Z13" s="296">
        <v>31.866948262999991</v>
      </c>
      <c r="AA13" s="487">
        <v>32.104370624000005</v>
      </c>
      <c r="AB13" s="296">
        <v>33.247879355999999</v>
      </c>
      <c r="AC13" s="296">
        <v>32.910507560999989</v>
      </c>
      <c r="AD13" s="296">
        <v>34.517418245000002</v>
      </c>
      <c r="AE13" s="296">
        <f>SUM(AE14:AE16)</f>
        <v>32.870999999999995</v>
      </c>
      <c r="AF13" s="296">
        <f>SUM(AF14:AF16)</f>
        <v>34</v>
      </c>
      <c r="AG13" s="487">
        <f>SUM(AG14:AG16)</f>
        <v>34</v>
      </c>
      <c r="AH13" s="487">
        <v>32</v>
      </c>
      <c r="AI13" s="247"/>
      <c r="AK13" s="302">
        <f>SUM(C13:F13)/SUM(C9:F9)</f>
        <v>0.21816448758152571</v>
      </c>
      <c r="AL13" s="302">
        <f>SUM(G13:J13)/SUM($G$9:$J$9)</f>
        <v>0.21991773620251653</v>
      </c>
      <c r="AM13" s="302">
        <f t="shared" si="19"/>
        <v>0.27210124190418639</v>
      </c>
      <c r="AN13" s="302">
        <f t="shared" si="20"/>
        <v>0.30244796721274941</v>
      </c>
      <c r="AO13" s="302">
        <f t="shared" si="4"/>
        <v>0.27921883858259117</v>
      </c>
      <c r="AP13" s="302">
        <f t="shared" ref="AP13:AP19" si="21">SUM(W13:Z13)/SUM($W$9:$Z$9)</f>
        <v>0.27699735152965632</v>
      </c>
      <c r="AQ13" s="302">
        <f t="shared" si="6"/>
        <v>0.26474533022688423</v>
      </c>
      <c r="AR13" s="302">
        <f t="shared" si="7"/>
        <v>0.26608304211491263</v>
      </c>
      <c r="AT13" s="226">
        <v>0.30275229357798167</v>
      </c>
      <c r="AU13" s="226">
        <v>0.2857142857142857</v>
      </c>
      <c r="AV13" s="226">
        <v>0.26356589147286824</v>
      </c>
      <c r="AW13" s="226">
        <v>0.26882046694560757</v>
      </c>
      <c r="AX13" s="302">
        <f t="shared" si="8"/>
        <v>0.31132075471698112</v>
      </c>
      <c r="AY13" s="302">
        <f t="shared" si="9"/>
        <v>0.2857142857142857</v>
      </c>
      <c r="AZ13" s="302">
        <f t="shared" si="10"/>
        <v>0.26890756302521007</v>
      </c>
      <c r="BA13" s="302">
        <v>0.24894535840082199</v>
      </c>
      <c r="BB13" s="494">
        <f t="shared" si="11"/>
        <v>0.26811651224179045</v>
      </c>
      <c r="BC13" s="494">
        <f t="shared" si="12"/>
        <v>0.25881981525243003</v>
      </c>
      <c r="BD13" s="494">
        <f t="shared" si="13"/>
        <v>0.25558256612313551</v>
      </c>
      <c r="BE13" s="494">
        <f t="shared" si="14"/>
        <v>0.27708656488801892</v>
      </c>
      <c r="BF13" s="494">
        <f t="shared" si="15"/>
        <v>0.2731076265148995</v>
      </c>
      <c r="BG13" s="494">
        <f t="shared" si="16"/>
        <v>0.2857142857142857</v>
      </c>
      <c r="BH13" s="494">
        <f t="shared" si="17"/>
        <v>0.25757575757575757</v>
      </c>
      <c r="BI13" s="494">
        <f t="shared" si="18"/>
        <v>0.25</v>
      </c>
    </row>
    <row r="14" spans="1:61" ht="13.8">
      <c r="B14" s="85" t="s">
        <v>383</v>
      </c>
      <c r="C14" s="63">
        <v>7.7414242700000013</v>
      </c>
      <c r="D14" s="63">
        <v>7.7920490820000001</v>
      </c>
      <c r="E14" s="63">
        <v>12.240301650999999</v>
      </c>
      <c r="F14" s="63">
        <v>11.628609453000001</v>
      </c>
      <c r="G14" s="63">
        <v>13.063120272999999</v>
      </c>
      <c r="H14" s="63">
        <v>9.2690898119999989</v>
      </c>
      <c r="I14" s="63">
        <v>6.9609749380000006</v>
      </c>
      <c r="J14" s="63">
        <v>6.7663581129999999</v>
      </c>
      <c r="K14" s="63">
        <v>8.313239982999999</v>
      </c>
      <c r="L14" s="63">
        <v>7.2726355590000002</v>
      </c>
      <c r="M14" s="63">
        <v>11.189902652000001</v>
      </c>
      <c r="N14" s="63">
        <v>12.549597534</v>
      </c>
      <c r="O14" s="63">
        <v>14.864000000000001</v>
      </c>
      <c r="P14" s="63">
        <v>13.696301757999999</v>
      </c>
      <c r="Q14" s="63">
        <v>15.148364015</v>
      </c>
      <c r="R14" s="63">
        <v>14.172973257999999</v>
      </c>
      <c r="S14" s="63">
        <v>13</v>
      </c>
      <c r="T14" s="63">
        <v>12</v>
      </c>
      <c r="U14" s="63">
        <v>11</v>
      </c>
      <c r="V14" s="298">
        <v>10.521738605999998</v>
      </c>
      <c r="W14" s="298">
        <v>11</v>
      </c>
      <c r="X14" s="298">
        <v>11</v>
      </c>
      <c r="Y14" s="298">
        <v>11</v>
      </c>
      <c r="Z14" s="298">
        <v>10.461696932999992</v>
      </c>
      <c r="AA14" s="489">
        <v>11.675292282000003</v>
      </c>
      <c r="AB14" s="298">
        <v>11.416684611999997</v>
      </c>
      <c r="AC14" s="298">
        <v>11.573134056999992</v>
      </c>
      <c r="AD14" s="298">
        <v>11.455805352999999</v>
      </c>
      <c r="AE14" s="298">
        <v>11.384</v>
      </c>
      <c r="AF14" s="298">
        <v>13</v>
      </c>
      <c r="AG14" s="298">
        <v>12</v>
      </c>
      <c r="AH14" s="298">
        <v>11</v>
      </c>
      <c r="AI14" s="63"/>
      <c r="AK14" s="306">
        <f>SUM(C14:F14)/SUM(C9:F9)</f>
        <v>8.8978935552994312E-2</v>
      </c>
      <c r="AL14" s="306">
        <f t="shared" ref="AL14:AL19" si="22">SUM(G14:J14)/SUM($G$9:$J$9)</f>
        <v>9.0371075597071207E-2</v>
      </c>
      <c r="AM14" s="306">
        <f t="shared" si="19"/>
        <v>8.9154667637882629E-2</v>
      </c>
      <c r="AN14" s="306">
        <f t="shared" si="20"/>
        <v>0.11940572182879552</v>
      </c>
      <c r="AO14" s="306">
        <f t="shared" si="4"/>
        <v>9.8466602832380887E-2</v>
      </c>
      <c r="AP14" s="306">
        <f t="shared" si="21"/>
        <v>9.4892918197013357E-2</v>
      </c>
      <c r="AQ14" s="306">
        <f t="shared" si="6"/>
        <v>9.1958736648670616E-2</v>
      </c>
      <c r="AR14" s="306">
        <f t="shared" si="7"/>
        <v>9.4889621268546359E-2</v>
      </c>
      <c r="AT14" s="231">
        <v>0.11926605504587157</v>
      </c>
      <c r="AU14" s="231">
        <v>0.10714285714285714</v>
      </c>
      <c r="AV14" s="231">
        <v>8.5271317829457363E-2</v>
      </c>
      <c r="AW14" s="231">
        <v>8.5918321155155727E-2</v>
      </c>
      <c r="AX14" s="306">
        <f t="shared" si="8"/>
        <v>0.10377358490566038</v>
      </c>
      <c r="AY14" s="306">
        <f t="shared" si="9"/>
        <v>0.10476190476190476</v>
      </c>
      <c r="AZ14" s="306">
        <f t="shared" si="10"/>
        <v>9.2436974789915971E-2</v>
      </c>
      <c r="BA14" s="306">
        <v>8.1727025473925408E-2</v>
      </c>
      <c r="BB14" s="498">
        <f t="shared" si="11"/>
        <v>9.7505061934253068E-2</v>
      </c>
      <c r="BC14" s="498">
        <f t="shared" si="12"/>
        <v>8.8873764562065444E-2</v>
      </c>
      <c r="BD14" s="498">
        <f t="shared" si="13"/>
        <v>8.9876805907433285E-2</v>
      </c>
      <c r="BE14" s="498">
        <f t="shared" si="14"/>
        <v>9.1960810358357334E-2</v>
      </c>
      <c r="BF14" s="498">
        <f t="shared" si="15"/>
        <v>9.4583591014742979E-2</v>
      </c>
      <c r="BG14" s="498">
        <f t="shared" si="16"/>
        <v>0.1092436974789916</v>
      </c>
      <c r="BH14" s="498">
        <f t="shared" si="17"/>
        <v>9.0909090909090912E-2</v>
      </c>
      <c r="BI14" s="498">
        <f t="shared" si="18"/>
        <v>8.59375E-2</v>
      </c>
    </row>
    <row r="15" spans="1:61" ht="13.8">
      <c r="B15" s="83" t="s">
        <v>101</v>
      </c>
      <c r="C15" s="66">
        <v>3.4224137699999999</v>
      </c>
      <c r="D15" s="66">
        <v>3.3780349230000026</v>
      </c>
      <c r="E15" s="66">
        <v>4.0994903209999993</v>
      </c>
      <c r="F15" s="66">
        <v>3.8977554830000001</v>
      </c>
      <c r="G15" s="66">
        <v>3.667836599000001</v>
      </c>
      <c r="H15" s="66">
        <v>3.8347721639999994</v>
      </c>
      <c r="I15" s="66">
        <v>4.3248990430000012</v>
      </c>
      <c r="J15" s="66">
        <v>4.261538748000004</v>
      </c>
      <c r="K15" s="66">
        <v>4.1067749030000025</v>
      </c>
      <c r="L15" s="66">
        <v>3.2280229950000017</v>
      </c>
      <c r="M15" s="66">
        <v>4.5709807050000002</v>
      </c>
      <c r="N15" s="66">
        <v>4.3858410380000006</v>
      </c>
      <c r="O15" s="66">
        <v>5.1710000000000003</v>
      </c>
      <c r="P15" s="66">
        <v>5.7569999999999997</v>
      </c>
      <c r="Q15" s="66">
        <v>5.5229999999999997</v>
      </c>
      <c r="R15" s="66">
        <v>4.5609999999999999</v>
      </c>
      <c r="S15" s="66">
        <v>4</v>
      </c>
      <c r="T15" s="66">
        <v>4</v>
      </c>
      <c r="U15" s="66">
        <v>5</v>
      </c>
      <c r="V15" s="299">
        <v>4.4799350909999989</v>
      </c>
      <c r="W15" s="299">
        <v>5</v>
      </c>
      <c r="X15" s="299">
        <v>4</v>
      </c>
      <c r="Y15" s="299">
        <v>5</v>
      </c>
      <c r="Z15" s="299">
        <v>6.7504497280000004</v>
      </c>
      <c r="AA15" s="490">
        <v>5.0248760230000027</v>
      </c>
      <c r="AB15" s="299">
        <v>5.091320847000004</v>
      </c>
      <c r="AC15" s="299">
        <v>4.8267214040000015</v>
      </c>
      <c r="AD15" s="299">
        <v>5.0616128920000012</v>
      </c>
      <c r="AE15" s="299">
        <v>4.3309999999999995</v>
      </c>
      <c r="AF15" s="299">
        <v>4</v>
      </c>
      <c r="AG15" s="490">
        <v>5</v>
      </c>
      <c r="AH15" s="490">
        <v>4</v>
      </c>
      <c r="AI15" s="63"/>
      <c r="AK15" s="307">
        <f>SUM(C15:F15)/SUM($C$9:$F$9)</f>
        <v>3.3416330589124126E-2</v>
      </c>
      <c r="AL15" s="307">
        <f t="shared" si="22"/>
        <v>4.0321765501370121E-2</v>
      </c>
      <c r="AM15" s="307">
        <f t="shared" si="19"/>
        <v>3.6934775764697461E-2</v>
      </c>
      <c r="AN15" s="307">
        <f t="shared" si="20"/>
        <v>4.3346267815998048E-2</v>
      </c>
      <c r="AO15" s="307">
        <f t="shared" si="4"/>
        <v>3.6997538735994477E-2</v>
      </c>
      <c r="AP15" s="307">
        <f t="shared" si="21"/>
        <v>4.530588696584574E-2</v>
      </c>
      <c r="AQ15" s="307">
        <f t="shared" si="6"/>
        <v>3.9886272014824947E-2</v>
      </c>
      <c r="AR15" s="307">
        <f t="shared" si="7"/>
        <v>3.4706483754119048E-2</v>
      </c>
      <c r="AT15" s="230">
        <v>3.669724770642202E-2</v>
      </c>
      <c r="AU15" s="230">
        <v>3.5714285714285712E-2</v>
      </c>
      <c r="AV15" s="230">
        <v>3.875968992248062E-2</v>
      </c>
      <c r="AW15" s="230">
        <v>3.6582214814127434E-2</v>
      </c>
      <c r="AX15" s="307">
        <f t="shared" si="8"/>
        <v>4.716981132075472E-2</v>
      </c>
      <c r="AY15" s="307">
        <f t="shared" si="9"/>
        <v>3.8095238095238099E-2</v>
      </c>
      <c r="AZ15" s="307">
        <f t="shared" si="10"/>
        <v>4.2016806722689079E-2</v>
      </c>
      <c r="BA15" s="307">
        <v>5.2734673964838823E-2</v>
      </c>
      <c r="BB15" s="499">
        <f t="shared" si="11"/>
        <v>4.1964760795746764E-2</v>
      </c>
      <c r="BC15" s="499">
        <f t="shared" si="12"/>
        <v>3.9633647214061631E-2</v>
      </c>
      <c r="BD15" s="499">
        <f t="shared" si="13"/>
        <v>3.7484254538136329E-2</v>
      </c>
      <c r="BE15" s="499">
        <f t="shared" si="14"/>
        <v>4.0631802734561427E-2</v>
      </c>
      <c r="BF15" s="499">
        <f t="shared" si="15"/>
        <v>3.5983971599161259E-2</v>
      </c>
      <c r="BG15" s="499">
        <f t="shared" si="16"/>
        <v>3.3613445378151259E-2</v>
      </c>
      <c r="BH15" s="499">
        <f t="shared" si="17"/>
        <v>3.787878787878788E-2</v>
      </c>
      <c r="BI15" s="499">
        <f t="shared" si="18"/>
        <v>3.125E-2</v>
      </c>
    </row>
    <row r="16" spans="1:61" ht="13.8">
      <c r="B16" s="83" t="s">
        <v>102</v>
      </c>
      <c r="C16" s="66">
        <v>10.685401392999999</v>
      </c>
      <c r="D16" s="66">
        <v>9.9861542549999989</v>
      </c>
      <c r="E16" s="66">
        <v>10.462981430000001</v>
      </c>
      <c r="F16" s="66">
        <v>11.274777651999999</v>
      </c>
      <c r="G16" s="66">
        <v>10.080228769999998</v>
      </c>
      <c r="H16" s="66">
        <v>10.906044012999997</v>
      </c>
      <c r="I16" s="66">
        <v>7.6165377649999986</v>
      </c>
      <c r="J16" s="66">
        <v>6.9993877500000004</v>
      </c>
      <c r="K16" s="66">
        <v>12.325696753000004</v>
      </c>
      <c r="L16" s="66">
        <v>15.521200260000002</v>
      </c>
      <c r="M16" s="66">
        <v>19.037714395999998</v>
      </c>
      <c r="N16" s="66">
        <v>17.519967609999998</v>
      </c>
      <c r="O16" s="66">
        <v>17.733581999999995</v>
      </c>
      <c r="P16" s="66">
        <v>15.89703561</v>
      </c>
      <c r="Q16" s="66">
        <v>17.493299149999999</v>
      </c>
      <c r="R16" s="66">
        <v>16.593375375000004</v>
      </c>
      <c r="S16" s="66">
        <v>16</v>
      </c>
      <c r="T16" s="66">
        <v>16</v>
      </c>
      <c r="U16" s="66">
        <v>18</v>
      </c>
      <c r="V16" s="299">
        <v>17.918646987999999</v>
      </c>
      <c r="W16" s="299">
        <v>17</v>
      </c>
      <c r="X16" s="299">
        <v>15</v>
      </c>
      <c r="Y16" s="299">
        <v>16</v>
      </c>
      <c r="Z16" s="299">
        <v>14.654801601999997</v>
      </c>
      <c r="AA16" s="490">
        <v>15.404202318999998</v>
      </c>
      <c r="AB16" s="299">
        <v>16.739873896999999</v>
      </c>
      <c r="AC16" s="299">
        <v>16.510652099999994</v>
      </c>
      <c r="AD16" s="299">
        <v>18</v>
      </c>
      <c r="AE16" s="299">
        <v>17.155999999999999</v>
      </c>
      <c r="AF16" s="299">
        <v>17</v>
      </c>
      <c r="AG16" s="490">
        <v>17</v>
      </c>
      <c r="AH16" s="490">
        <v>17</v>
      </c>
      <c r="AI16" s="63"/>
      <c r="AK16" s="304">
        <f>SUM(C16:F16)/SUM($C$9:$F$9)</f>
        <v>9.5769221439407248E-2</v>
      </c>
      <c r="AL16" s="304">
        <f t="shared" si="22"/>
        <v>8.9224895104075247E-2</v>
      </c>
      <c r="AM16" s="304">
        <f t="shared" si="19"/>
        <v>0.14601179850160625</v>
      </c>
      <c r="AN16" s="304">
        <f t="shared" si="20"/>
        <v>0.13969597756795582</v>
      </c>
      <c r="AO16" s="304">
        <f t="shared" si="4"/>
        <v>0.14375469701421587</v>
      </c>
      <c r="AP16" s="304">
        <f t="shared" si="21"/>
        <v>0.13679854636679722</v>
      </c>
      <c r="AQ16" s="304">
        <f t="shared" si="6"/>
        <v>0.13290032156338863</v>
      </c>
      <c r="AR16" s="304">
        <f t="shared" si="7"/>
        <v>0.1364869370922473</v>
      </c>
      <c r="AT16" s="228">
        <v>0.14678899082568808</v>
      </c>
      <c r="AU16" s="228">
        <v>0.14285714285714285</v>
      </c>
      <c r="AV16" s="228">
        <v>0.13953488372093023</v>
      </c>
      <c r="AW16" s="228">
        <v>0.14631993097632442</v>
      </c>
      <c r="AX16" s="304">
        <f t="shared" si="8"/>
        <v>0.16037735849056603</v>
      </c>
      <c r="AY16" s="304">
        <f t="shared" si="9"/>
        <v>0.14285714285714285</v>
      </c>
      <c r="AZ16" s="304">
        <f t="shared" si="10"/>
        <v>0.13445378151260504</v>
      </c>
      <c r="BA16" s="304">
        <v>0.11448365896205775</v>
      </c>
      <c r="BB16" s="496">
        <f t="shared" si="11"/>
        <v>0.12864668951179059</v>
      </c>
      <c r="BC16" s="496">
        <f t="shared" si="12"/>
        <v>0.13031240347630293</v>
      </c>
      <c r="BD16" s="496">
        <f t="shared" si="13"/>
        <v>0.12822150567756588</v>
      </c>
      <c r="BE16" s="496">
        <f t="shared" si="14"/>
        <v>0.14449395179510016</v>
      </c>
      <c r="BF16" s="496">
        <f t="shared" si="15"/>
        <v>0.14254006390099527</v>
      </c>
      <c r="BG16" s="496">
        <f t="shared" si="16"/>
        <v>0.14285714285714285</v>
      </c>
      <c r="BH16" s="496">
        <f t="shared" si="17"/>
        <v>0.12878787878787878</v>
      </c>
      <c r="BI16" s="496">
        <f t="shared" si="18"/>
        <v>0.1328125</v>
      </c>
    </row>
    <row r="17" spans="2:61" ht="14.4" thickBot="1">
      <c r="B17" s="64" t="s">
        <v>103</v>
      </c>
      <c r="C17" s="65">
        <v>23.742703120000009</v>
      </c>
      <c r="D17" s="65">
        <v>25.192360209999986</v>
      </c>
      <c r="E17" s="65">
        <v>24.735142921999994</v>
      </c>
      <c r="F17" s="65">
        <v>21.944166249999988</v>
      </c>
      <c r="G17" s="65">
        <v>22.293559052000013</v>
      </c>
      <c r="H17" s="65">
        <v>21.555395659999999</v>
      </c>
      <c r="I17" s="65">
        <v>22.017041906000017</v>
      </c>
      <c r="J17" s="65">
        <v>24.673731256000014</v>
      </c>
      <c r="K17" s="65">
        <v>22.853208695999999</v>
      </c>
      <c r="L17" s="65">
        <v>14.267635493999993</v>
      </c>
      <c r="M17" s="65">
        <v>23.018458121000002</v>
      </c>
      <c r="N17" s="65">
        <v>20.486272513000014</v>
      </c>
      <c r="O17" s="65">
        <v>20.488945150000003</v>
      </c>
      <c r="P17" s="65">
        <v>22.336609999999993</v>
      </c>
      <c r="Q17" s="65">
        <v>22.631718999999997</v>
      </c>
      <c r="R17" s="65">
        <v>20.974410999999996</v>
      </c>
      <c r="S17" s="65">
        <v>24</v>
      </c>
      <c r="T17" s="65">
        <v>25</v>
      </c>
      <c r="U17" s="65">
        <v>30</v>
      </c>
      <c r="V17" s="296">
        <v>27.253402075999993</v>
      </c>
      <c r="W17" s="296">
        <v>20</v>
      </c>
      <c r="X17" s="296">
        <v>22</v>
      </c>
      <c r="Y17" s="296">
        <v>20</v>
      </c>
      <c r="Z17" s="296">
        <v>19.179707000000001</v>
      </c>
      <c r="AA17" s="487">
        <v>21.551031999999999</v>
      </c>
      <c r="AB17" s="296">
        <v>23.521016563000003</v>
      </c>
      <c r="AC17" s="296">
        <v>29.002503415</v>
      </c>
      <c r="AD17" s="296">
        <v>24.175226165999995</v>
      </c>
      <c r="AE17" s="296">
        <f>SUM(AE18:AE19)</f>
        <v>26.160999999999998</v>
      </c>
      <c r="AF17" s="296">
        <f>SUM(AF18:AF19)</f>
        <v>24</v>
      </c>
      <c r="AG17" s="487">
        <f>SUM(AG18:AG19)</f>
        <v>26</v>
      </c>
      <c r="AH17" s="487">
        <v>25</v>
      </c>
      <c r="AI17" s="247"/>
      <c r="AK17" s="302">
        <f>SUM(C17:F17)/SUM(C9:F9)</f>
        <v>0.21591751885715998</v>
      </c>
      <c r="AL17" s="302">
        <f t="shared" si="22"/>
        <v>0.22690727282317813</v>
      </c>
      <c r="AM17" s="302">
        <f t="shared" si="19"/>
        <v>0.18278646277316907</v>
      </c>
      <c r="AN17" s="302">
        <f t="shared" si="20"/>
        <v>0.17830244490290886</v>
      </c>
      <c r="AO17" s="302">
        <f t="shared" si="4"/>
        <v>0.22489296091048086</v>
      </c>
      <c r="AP17" s="302">
        <f t="shared" si="21"/>
        <v>0.17724524901740368</v>
      </c>
      <c r="AQ17" s="302">
        <f t="shared" si="6"/>
        <v>0.1958964868473532</v>
      </c>
      <c r="AR17" s="302">
        <f t="shared" si="7"/>
        <v>0.20258165155215724</v>
      </c>
      <c r="AT17" s="226">
        <v>0.22018348623853212</v>
      </c>
      <c r="AU17" s="226">
        <v>0.22321428571428573</v>
      </c>
      <c r="AV17" s="226">
        <v>0.23255813953488372</v>
      </c>
      <c r="AW17" s="226">
        <v>0.2225455924937236</v>
      </c>
      <c r="AX17" s="302">
        <f t="shared" si="8"/>
        <v>0.18867924528301888</v>
      </c>
      <c r="AY17" s="302">
        <f t="shared" si="9"/>
        <v>0.20952380952380953</v>
      </c>
      <c r="AZ17" s="302">
        <f t="shared" si="10"/>
        <v>0.16806722689075632</v>
      </c>
      <c r="BA17" s="302">
        <v>0.1498323276434208</v>
      </c>
      <c r="BB17" s="494">
        <f t="shared" si="11"/>
        <v>0.17998133658261672</v>
      </c>
      <c r="BC17" s="494">
        <f t="shared" si="12"/>
        <v>0.1831005549617529</v>
      </c>
      <c r="BD17" s="494">
        <f t="shared" si="13"/>
        <v>0.22523305765070584</v>
      </c>
      <c r="BE17" s="494">
        <f t="shared" si="14"/>
        <v>0.19406522023698039</v>
      </c>
      <c r="BF17" s="494">
        <f t="shared" si="15"/>
        <v>0.21735781136126939</v>
      </c>
      <c r="BG17" s="494">
        <f t="shared" si="16"/>
        <v>0.20168067226890757</v>
      </c>
      <c r="BH17" s="494">
        <f t="shared" si="17"/>
        <v>0.19696969696969696</v>
      </c>
      <c r="BI17" s="494">
        <f t="shared" si="18"/>
        <v>0.1953125</v>
      </c>
    </row>
    <row r="18" spans="2:61" ht="13.8">
      <c r="B18" s="84" t="s">
        <v>104</v>
      </c>
      <c r="C18" s="67">
        <v>15.903005120000008</v>
      </c>
      <c r="D18" s="67">
        <v>16.219191209999991</v>
      </c>
      <c r="E18" s="67">
        <v>16.462892921999998</v>
      </c>
      <c r="F18" s="67">
        <v>15.104305249999987</v>
      </c>
      <c r="G18" s="67">
        <v>14.932924052000013</v>
      </c>
      <c r="H18" s="67">
        <v>15.019213660000002</v>
      </c>
      <c r="I18" s="67">
        <v>14.892277906000015</v>
      </c>
      <c r="J18" s="67">
        <v>18.095719256000017</v>
      </c>
      <c r="K18" s="67">
        <v>16.037484696000007</v>
      </c>
      <c r="L18" s="67">
        <v>10.820729493999995</v>
      </c>
      <c r="M18" s="67">
        <v>17.034508120999998</v>
      </c>
      <c r="N18" s="67">
        <v>13.905561513000022</v>
      </c>
      <c r="O18" s="67">
        <v>14.542796150000003</v>
      </c>
      <c r="P18" s="67">
        <v>16.138854999999996</v>
      </c>
      <c r="Q18" s="67">
        <v>15.847426999999998</v>
      </c>
      <c r="R18" s="67">
        <v>14.653885999999995</v>
      </c>
      <c r="S18" s="67">
        <v>14</v>
      </c>
      <c r="T18" s="67">
        <v>14</v>
      </c>
      <c r="U18" s="67">
        <v>16</v>
      </c>
      <c r="V18" s="300">
        <v>13.424488075999996</v>
      </c>
      <c r="W18" s="300">
        <v>9</v>
      </c>
      <c r="X18" s="300">
        <v>12</v>
      </c>
      <c r="Y18" s="300">
        <v>10</v>
      </c>
      <c r="Z18" s="300">
        <v>9.0980250000000016</v>
      </c>
      <c r="AA18" s="491">
        <v>8.5653979999999983</v>
      </c>
      <c r="AB18" s="300">
        <v>11.157155063000005</v>
      </c>
      <c r="AC18" s="300">
        <v>15.996385914999998</v>
      </c>
      <c r="AD18" s="300">
        <v>14.175226165999996</v>
      </c>
      <c r="AE18" s="300">
        <v>14.280999999999999</v>
      </c>
      <c r="AF18" s="300">
        <v>12</v>
      </c>
      <c r="AG18" s="491">
        <v>14</v>
      </c>
      <c r="AH18" s="300">
        <v>17</v>
      </c>
      <c r="AI18" s="63"/>
      <c r="AK18" s="307">
        <f>SUM(C18:F18)/SUM($C$9:$F$9)</f>
        <v>0.14382415194011799</v>
      </c>
      <c r="AL18" s="307">
        <f t="shared" si="22"/>
        <v>0.15773820720178622</v>
      </c>
      <c r="AM18" s="307">
        <f t="shared" si="19"/>
        <v>0.13103464846744642</v>
      </c>
      <c r="AN18" s="307">
        <f t="shared" si="20"/>
        <v>0.12621612173151089</v>
      </c>
      <c r="AO18" s="307">
        <f t="shared" si="4"/>
        <v>0.12154305556205128</v>
      </c>
      <c r="AP18" s="307">
        <f t="shared" si="21"/>
        <v>8.7548781448928831E-2</v>
      </c>
      <c r="AQ18" s="307">
        <f t="shared" si="6"/>
        <v>9.9482073654821312E-2</v>
      </c>
      <c r="AR18" s="307">
        <f t="shared" si="7"/>
        <v>0.11470902405629757</v>
      </c>
      <c r="AT18" s="230">
        <v>0.12844036697247707</v>
      </c>
      <c r="AU18" s="230">
        <v>0.125</v>
      </c>
      <c r="AV18" s="230">
        <v>0.12403100775193798</v>
      </c>
      <c r="AW18" s="230">
        <v>0.10962156740898286</v>
      </c>
      <c r="AX18" s="307">
        <f t="shared" si="8"/>
        <v>8.4905660377358486E-2</v>
      </c>
      <c r="AY18" s="307">
        <f t="shared" si="9"/>
        <v>0.11428571428571428</v>
      </c>
      <c r="AZ18" s="307">
        <f t="shared" si="10"/>
        <v>8.4033613445378158E-2</v>
      </c>
      <c r="BA18" s="307">
        <v>7.1073987872079261E-2</v>
      </c>
      <c r="BB18" s="499">
        <f t="shared" si="11"/>
        <v>7.1533083909952513E-2</v>
      </c>
      <c r="BC18" s="499">
        <f t="shared" si="12"/>
        <v>8.6853443530294047E-2</v>
      </c>
      <c r="BD18" s="499">
        <f t="shared" si="13"/>
        <v>0.12422772129155986</v>
      </c>
      <c r="BE18" s="499">
        <f t="shared" si="14"/>
        <v>0.11379080257303588</v>
      </c>
      <c r="BF18" s="499">
        <f t="shared" si="15"/>
        <v>0.11865322059746523</v>
      </c>
      <c r="BG18" s="499">
        <f t="shared" si="16"/>
        <v>0.10084033613445378</v>
      </c>
      <c r="BH18" s="499">
        <f t="shared" si="17"/>
        <v>0.10606060606060606</v>
      </c>
      <c r="BI18" s="499">
        <f t="shared" si="18"/>
        <v>0.1328125</v>
      </c>
    </row>
    <row r="19" spans="2:61" ht="13.8">
      <c r="B19" s="84" t="s">
        <v>105</v>
      </c>
      <c r="C19" s="67">
        <v>7.8396980000000021</v>
      </c>
      <c r="D19" s="67">
        <v>8.9731689999999951</v>
      </c>
      <c r="E19" s="67">
        <v>8.2722499999999979</v>
      </c>
      <c r="F19" s="67">
        <v>6.8398609999999991</v>
      </c>
      <c r="G19" s="67">
        <v>7.360635000000002</v>
      </c>
      <c r="H19" s="67">
        <v>6.5361819999999957</v>
      </c>
      <c r="I19" s="67">
        <v>7.1247640000000008</v>
      </c>
      <c r="J19" s="67">
        <v>6.5780119999999975</v>
      </c>
      <c r="K19" s="67">
        <v>6.8157239999999932</v>
      </c>
      <c r="L19" s="67">
        <v>3.4469059999999985</v>
      </c>
      <c r="M19" s="67">
        <v>5.9839500000000019</v>
      </c>
      <c r="N19" s="67">
        <v>6.5807109999999929</v>
      </c>
      <c r="O19" s="67">
        <v>5.946149000000001</v>
      </c>
      <c r="P19" s="67">
        <v>6.197754999999999</v>
      </c>
      <c r="Q19" s="67">
        <v>6.784291999999998</v>
      </c>
      <c r="R19" s="67">
        <v>6.3205250000000026</v>
      </c>
      <c r="S19" s="67">
        <v>10</v>
      </c>
      <c r="T19" s="67">
        <v>11</v>
      </c>
      <c r="U19" s="67">
        <v>14</v>
      </c>
      <c r="V19" s="300">
        <v>13.828913999999999</v>
      </c>
      <c r="W19" s="300">
        <v>11</v>
      </c>
      <c r="X19" s="300">
        <v>10</v>
      </c>
      <c r="Y19" s="300">
        <v>10</v>
      </c>
      <c r="Z19" s="300">
        <v>10.081682000000001</v>
      </c>
      <c r="AA19" s="491">
        <v>12.985634000000001</v>
      </c>
      <c r="AB19" s="300">
        <v>12.363861499999999</v>
      </c>
      <c r="AC19" s="300">
        <v>13.006117500000002</v>
      </c>
      <c r="AD19" s="300">
        <v>10</v>
      </c>
      <c r="AE19" s="300">
        <v>11.879999999999999</v>
      </c>
      <c r="AF19" s="300">
        <v>12</v>
      </c>
      <c r="AG19" s="491">
        <v>12</v>
      </c>
      <c r="AH19" s="300">
        <v>8</v>
      </c>
      <c r="AI19" s="63"/>
      <c r="AK19" s="304">
        <f>SUM(C19:F19)/SUM($C$9:$F$9)</f>
        <v>7.2093366917042004E-2</v>
      </c>
      <c r="AL19" s="304">
        <f t="shared" si="22"/>
        <v>6.9169065621391926E-2</v>
      </c>
      <c r="AM19" s="304">
        <f t="shared" si="19"/>
        <v>5.1751814305722642E-2</v>
      </c>
      <c r="AN19" s="304">
        <f t="shared" si="20"/>
        <v>5.2086323171397962E-2</v>
      </c>
      <c r="AO19" s="304">
        <f t="shared" si="4"/>
        <v>0.1033499053484296</v>
      </c>
      <c r="AP19" s="304">
        <f t="shared" si="21"/>
        <v>8.9696467568474839E-2</v>
      </c>
      <c r="AQ19" s="304">
        <f t="shared" si="6"/>
        <v>9.6414413192531856E-2</v>
      </c>
      <c r="AR19" s="304">
        <f t="shared" si="7"/>
        <v>8.7872627495859654E-2</v>
      </c>
      <c r="AT19" s="228">
        <v>9.1743119266055051E-2</v>
      </c>
      <c r="AU19" s="228">
        <v>9.8214285714285712E-2</v>
      </c>
      <c r="AV19" s="228">
        <v>0.10852713178294573</v>
      </c>
      <c r="AW19" s="228">
        <v>0.11292402508474077</v>
      </c>
      <c r="AX19" s="304">
        <f t="shared" si="8"/>
        <v>0.10377358490566038</v>
      </c>
      <c r="AY19" s="304">
        <f t="shared" si="9"/>
        <v>9.5238095238095233E-2</v>
      </c>
      <c r="AZ19" s="304">
        <f t="shared" si="10"/>
        <v>8.4033613445378158E-2</v>
      </c>
      <c r="BA19" s="304">
        <v>7.8758339771341557E-2</v>
      </c>
      <c r="BB19" s="496">
        <f t="shared" si="11"/>
        <v>0.1084482526726642</v>
      </c>
      <c r="BC19" s="496">
        <f t="shared" si="12"/>
        <v>9.6247111431458837E-2</v>
      </c>
      <c r="BD19" s="496">
        <f t="shared" si="13"/>
        <v>0.10100533635914596</v>
      </c>
      <c r="BE19" s="496">
        <f t="shared" si="14"/>
        <v>8.0274417663944525E-2</v>
      </c>
      <c r="BF19" s="496">
        <f t="shared" si="15"/>
        <v>9.870459076380414E-2</v>
      </c>
      <c r="BG19" s="496">
        <f t="shared" si="16"/>
        <v>0.10084033613445378</v>
      </c>
      <c r="BH19" s="496">
        <f t="shared" si="17"/>
        <v>9.0909090909090912E-2</v>
      </c>
      <c r="BI19" s="496">
        <f t="shared" si="18"/>
        <v>6.25E-2</v>
      </c>
    </row>
    <row r="20" spans="2:61" ht="13.8">
      <c r="B20" s="85"/>
      <c r="C20" s="63"/>
      <c r="D20" s="63"/>
      <c r="E20" s="63"/>
      <c r="F20" s="63"/>
      <c r="G20" s="63"/>
      <c r="H20" s="63"/>
      <c r="I20" s="63"/>
      <c r="J20" s="63"/>
      <c r="K20" s="63"/>
      <c r="L20" s="63"/>
      <c r="M20" s="63"/>
      <c r="N20" s="63"/>
      <c r="O20" s="63"/>
      <c r="P20" s="63"/>
      <c r="Q20" s="63"/>
      <c r="R20" s="63"/>
      <c r="S20" s="63"/>
      <c r="T20" s="63"/>
      <c r="U20" s="63"/>
      <c r="V20" s="298"/>
      <c r="W20" s="298"/>
      <c r="X20" s="298"/>
      <c r="Y20" s="298"/>
      <c r="Z20" s="298"/>
      <c r="AA20" s="489"/>
      <c r="AB20" s="298"/>
      <c r="AC20" s="298"/>
      <c r="AD20" s="298"/>
      <c r="AE20" s="298"/>
      <c r="AF20" s="298"/>
      <c r="AG20" s="298"/>
      <c r="AH20" s="298"/>
      <c r="AI20" s="63"/>
      <c r="AK20" s="247"/>
      <c r="AL20" s="247"/>
      <c r="AM20" s="247"/>
      <c r="AN20" s="247"/>
      <c r="AO20" s="308"/>
      <c r="AP20" s="308"/>
      <c r="AQ20" s="308"/>
      <c r="AR20" s="308"/>
      <c r="AT20" s="247"/>
      <c r="AU20" s="247"/>
      <c r="AV20" s="247"/>
      <c r="AW20" s="247"/>
      <c r="AX20" s="308"/>
      <c r="AY20" s="308"/>
      <c r="AZ20" s="308"/>
      <c r="BA20" s="308"/>
      <c r="BB20" s="500"/>
      <c r="BC20" s="500"/>
      <c r="BD20" s="500"/>
      <c r="BE20" s="500"/>
      <c r="BF20" s="500"/>
      <c r="BG20" s="500"/>
      <c r="BH20" s="500"/>
      <c r="BI20" s="500"/>
    </row>
    <row r="21" spans="2:61" ht="13.8">
      <c r="B21" s="381" t="s">
        <v>343</v>
      </c>
      <c r="C21" s="382">
        <v>6.0861586946115681E-2</v>
      </c>
      <c r="D21" s="382">
        <v>7.7829844440613305E-2</v>
      </c>
      <c r="E21" s="382">
        <v>0.11231588923900179</v>
      </c>
      <c r="F21" s="382">
        <v>0.14977171791241073</v>
      </c>
      <c r="G21" s="382">
        <v>0.13194738213437165</v>
      </c>
      <c r="H21" s="382">
        <v>0.11079044277544974</v>
      </c>
      <c r="I21" s="382">
        <v>5.8856747145052228E-2</v>
      </c>
      <c r="J21" s="382">
        <v>6.8369280701214272E-2</v>
      </c>
      <c r="K21" s="382">
        <v>7.202524719273129E-2</v>
      </c>
      <c r="L21" s="382">
        <v>0.33233711056164889</v>
      </c>
      <c r="M21" s="382">
        <v>0.10522496110804135</v>
      </c>
      <c r="N21" s="382">
        <v>9.4000213097690924E-2</v>
      </c>
      <c r="O21" s="382">
        <v>0.12155816952394868</v>
      </c>
      <c r="P21" s="382">
        <v>0.12221225035220255</v>
      </c>
      <c r="Q21" s="382">
        <v>0.14276756499504939</v>
      </c>
      <c r="R21" s="382">
        <v>0.20737940803868204</v>
      </c>
      <c r="S21" s="382">
        <v>0.11998273510994163</v>
      </c>
      <c r="T21" s="382">
        <v>0.10222918749999996</v>
      </c>
      <c r="U21" s="382">
        <v>6.7339448162790749E-2</v>
      </c>
      <c r="V21" s="382">
        <v>5.9157542172785849E-2</v>
      </c>
      <c r="W21" s="382">
        <v>7.0000000000000007E-2</v>
      </c>
      <c r="X21" s="382">
        <v>0.05</v>
      </c>
      <c r="Y21" s="382">
        <v>7.8539744316575621E-2</v>
      </c>
      <c r="Z21" s="382">
        <v>7.0000000000000007E-2</v>
      </c>
      <c r="AA21" s="492">
        <v>0.1</v>
      </c>
      <c r="AB21" s="382">
        <v>0.13</v>
      </c>
      <c r="AC21" s="382">
        <v>0.11</v>
      </c>
      <c r="AD21" s="382">
        <v>6.7598228525493242E-2</v>
      </c>
      <c r="AE21" s="382">
        <v>6.4816376343022064E-2</v>
      </c>
      <c r="AF21" s="563">
        <v>9.4760798258966855E-2</v>
      </c>
      <c r="AG21" s="563">
        <v>0.12</v>
      </c>
      <c r="AH21" s="563">
        <v>0.12</v>
      </c>
      <c r="AK21" s="247"/>
      <c r="AL21" s="247"/>
      <c r="AM21" s="247"/>
      <c r="AN21" s="247"/>
      <c r="AO21" s="308"/>
      <c r="AP21" s="308"/>
      <c r="AQ21" s="308"/>
      <c r="AR21" s="308"/>
      <c r="AT21" s="247"/>
      <c r="AU21" s="247"/>
      <c r="AV21" s="247"/>
      <c r="AW21" s="247"/>
      <c r="AX21" s="308"/>
      <c r="AY21" s="308"/>
      <c r="AZ21" s="308"/>
      <c r="BA21" s="308"/>
      <c r="BB21" s="501"/>
      <c r="BC21" s="501"/>
      <c r="BD21" s="501"/>
      <c r="BE21" s="501"/>
      <c r="BF21" s="501"/>
      <c r="BG21" s="501"/>
      <c r="BH21" s="501"/>
      <c r="BI21" s="501"/>
    </row>
    <row r="22" spans="2:61" ht="13.8">
      <c r="B22" s="381" t="s">
        <v>344</v>
      </c>
      <c r="C22" s="382">
        <v>0.93913841305388446</v>
      </c>
      <c r="D22" s="382">
        <v>0.92217015555938642</v>
      </c>
      <c r="E22" s="382">
        <v>0.88768411076099829</v>
      </c>
      <c r="F22" s="382">
        <v>0.85022828208758916</v>
      </c>
      <c r="G22" s="382">
        <v>0.8680526178656286</v>
      </c>
      <c r="H22" s="382">
        <v>0.8892095572245502</v>
      </c>
      <c r="I22" s="382">
        <v>0.9411432528549476</v>
      </c>
      <c r="J22" s="382">
        <v>0.93163071929878571</v>
      </c>
      <c r="K22" s="382">
        <v>0.92797475280726882</v>
      </c>
      <c r="L22" s="382">
        <v>0.66766288943835117</v>
      </c>
      <c r="M22" s="382">
        <v>0.89477503889195853</v>
      </c>
      <c r="N22" s="382">
        <v>0.9059997869023092</v>
      </c>
      <c r="O22" s="382">
        <v>0.88284939931296424</v>
      </c>
      <c r="P22" s="382">
        <v>0.87393806229505377</v>
      </c>
      <c r="Q22" s="382">
        <v>0.85764292747233595</v>
      </c>
      <c r="R22" s="382">
        <v>0.79069237288716321</v>
      </c>
      <c r="S22" s="382">
        <v>0.8827215844819527</v>
      </c>
      <c r="T22" s="382">
        <v>0.90336519126785697</v>
      </c>
      <c r="U22" s="382">
        <v>0.93239285138759698</v>
      </c>
      <c r="V22" s="382">
        <v>0.9408424578272141</v>
      </c>
      <c r="W22" s="382">
        <v>0.93</v>
      </c>
      <c r="X22" s="382">
        <v>0.95</v>
      </c>
      <c r="Y22" s="382">
        <v>0.92146025568342449</v>
      </c>
      <c r="Z22" s="382">
        <v>0.93</v>
      </c>
      <c r="AA22" s="492">
        <v>0.9</v>
      </c>
      <c r="AB22" s="382">
        <v>0.87</v>
      </c>
      <c r="AC22" s="382">
        <v>0.89</v>
      </c>
      <c r="AD22" s="382">
        <v>0.93240177147450676</v>
      </c>
      <c r="AE22" s="382">
        <v>0.9351836236569786</v>
      </c>
      <c r="AF22" s="563">
        <v>0.90523920174103889</v>
      </c>
      <c r="AG22" s="563">
        <v>0.88</v>
      </c>
      <c r="AH22" s="563">
        <v>0.88</v>
      </c>
      <c r="AK22" s="247"/>
      <c r="AL22" s="247"/>
      <c r="AM22" s="247"/>
      <c r="AN22" s="247"/>
      <c r="AO22" s="308"/>
      <c r="AP22" s="308"/>
      <c r="AQ22" s="308"/>
      <c r="AR22" s="308"/>
      <c r="AT22" s="247"/>
      <c r="AU22" s="247"/>
      <c r="AV22" s="247"/>
      <c r="AW22" s="247"/>
      <c r="AX22" s="308"/>
      <c r="AY22" s="308"/>
      <c r="AZ22" s="308"/>
      <c r="BA22" s="308"/>
      <c r="BB22" s="501"/>
      <c r="BC22" s="501"/>
      <c r="BD22" s="501"/>
      <c r="BE22" s="501"/>
      <c r="BF22" s="501"/>
      <c r="BG22" s="501"/>
      <c r="BH22" s="501"/>
      <c r="BI22" s="501"/>
    </row>
    <row r="23" spans="2:61" ht="13.8">
      <c r="B23" s="85"/>
      <c r="C23" s="63"/>
      <c r="D23" s="63"/>
      <c r="E23" s="63"/>
      <c r="F23" s="63"/>
      <c r="G23" s="63"/>
      <c r="H23" s="63"/>
      <c r="I23" s="63"/>
      <c r="J23" s="63"/>
      <c r="K23" s="63"/>
      <c r="L23" s="63"/>
      <c r="M23" s="63"/>
      <c r="N23" s="63"/>
      <c r="O23" s="63"/>
      <c r="P23" s="63"/>
      <c r="Q23" s="63"/>
      <c r="R23" s="63"/>
      <c r="S23" s="63"/>
      <c r="T23" s="63"/>
      <c r="U23" s="63"/>
      <c r="V23" s="298"/>
      <c r="W23" s="298"/>
      <c r="X23" s="228"/>
      <c r="Y23" s="228"/>
      <c r="Z23" s="228"/>
      <c r="AA23" s="493"/>
      <c r="AB23" s="228"/>
      <c r="AC23" s="228"/>
      <c r="AD23" s="228"/>
      <c r="AE23" s="228"/>
      <c r="AF23" s="564"/>
      <c r="AG23" s="567"/>
      <c r="AH23" s="567"/>
      <c r="AI23" s="63"/>
      <c r="AK23" s="247"/>
      <c r="AL23" s="247"/>
      <c r="AM23" s="247"/>
      <c r="AN23" s="247"/>
      <c r="AO23" s="308"/>
      <c r="AP23" s="308"/>
      <c r="AQ23" s="308"/>
      <c r="AR23" s="308"/>
      <c r="AT23" s="247"/>
      <c r="AU23" s="247"/>
      <c r="AV23" s="247"/>
      <c r="AW23" s="247"/>
      <c r="AX23" s="308"/>
      <c r="AY23" s="308"/>
      <c r="AZ23" s="308"/>
      <c r="BA23" s="308"/>
      <c r="BB23" s="500"/>
      <c r="BC23" s="500"/>
      <c r="BD23" s="500"/>
      <c r="BE23" s="500"/>
      <c r="BF23" s="500"/>
      <c r="BG23" s="500"/>
      <c r="BH23" s="500"/>
      <c r="BI23" s="500"/>
    </row>
    <row r="24" spans="2:61" ht="14.4" thickBot="1">
      <c r="B24" s="64" t="s">
        <v>106</v>
      </c>
      <c r="C24" s="65">
        <v>77.641544307000004</v>
      </c>
      <c r="D24" s="65">
        <v>109.94406289199999</v>
      </c>
      <c r="E24" s="65">
        <v>76.657510399000003</v>
      </c>
      <c r="F24" s="65">
        <v>83.634122278999996</v>
      </c>
      <c r="G24" s="65">
        <v>69.343831260000002</v>
      </c>
      <c r="H24" s="65">
        <v>76.864452054000012</v>
      </c>
      <c r="I24" s="65">
        <v>80.795289935999989</v>
      </c>
      <c r="J24" s="65">
        <v>90.699982214000016</v>
      </c>
      <c r="K24" s="65">
        <v>71.340493295000002</v>
      </c>
      <c r="L24" s="65">
        <v>83.083679769999989</v>
      </c>
      <c r="M24" s="65">
        <v>98.629878641999994</v>
      </c>
      <c r="N24" s="65">
        <v>49.110717475000001</v>
      </c>
      <c r="O24" s="65">
        <v>99.317999999999984</v>
      </c>
      <c r="P24" s="65">
        <v>76.420332000000002</v>
      </c>
      <c r="Q24" s="65">
        <v>150.30603400000001</v>
      </c>
      <c r="R24" s="65">
        <v>88.364221999999998</v>
      </c>
      <c r="S24" s="65">
        <v>77</v>
      </c>
      <c r="T24" s="65">
        <v>121</v>
      </c>
      <c r="U24" s="65">
        <v>95</v>
      </c>
      <c r="V24" s="296">
        <v>63.918865140000001</v>
      </c>
      <c r="W24" s="296">
        <v>70</v>
      </c>
      <c r="X24" s="296">
        <v>76</v>
      </c>
      <c r="Y24" s="296">
        <v>99</v>
      </c>
      <c r="Z24" s="296">
        <v>102.76431966999999</v>
      </c>
      <c r="AA24" s="487">
        <v>76.044326000000012</v>
      </c>
      <c r="AB24" s="296">
        <v>104.05676200000002</v>
      </c>
      <c r="AC24" s="296">
        <v>65.781452000000002</v>
      </c>
      <c r="AD24" s="296">
        <v>74.954833999999991</v>
      </c>
      <c r="AE24" s="296">
        <f>SUM(AE25:AE27)</f>
        <v>52.316000000000003</v>
      </c>
      <c r="AF24" s="296">
        <f>SUM(AF25:AF27)</f>
        <v>19.403000000000002</v>
      </c>
      <c r="AG24" s="487">
        <f>SUM(AG25:AG27)</f>
        <v>24</v>
      </c>
      <c r="AH24" s="487">
        <f>SUM(AH25:AH27)</f>
        <v>25</v>
      </c>
      <c r="AI24" s="267"/>
      <c r="AK24" s="309">
        <f>SUM(C24:F24)/SUM($C$24:$F$24)</f>
        <v>1</v>
      </c>
      <c r="AL24" s="309">
        <f>SUM(G24:J24)/SUM($G$24:$J$24)</f>
        <v>1</v>
      </c>
      <c r="AM24" s="309">
        <f>SUM(K24:N24)/SUM($K$24:$N$24)</f>
        <v>1</v>
      </c>
      <c r="AN24" s="309">
        <f>SUM(O24:R24)/SUM($O$24:$R$24)</f>
        <v>1</v>
      </c>
      <c r="AO24" s="309">
        <f>SUM(S24:V24)/SUM($S$24:$V$24)</f>
        <v>1</v>
      </c>
      <c r="AP24" s="309">
        <f>SUM(AP25:AP27)</f>
        <v>1</v>
      </c>
      <c r="AQ24" s="309">
        <f>SUM(AQ25:AQ27)</f>
        <v>1</v>
      </c>
      <c r="AR24" s="309">
        <f>SUM(AR25:AR27)</f>
        <v>1</v>
      </c>
      <c r="AS24" s="249"/>
      <c r="AT24" s="248">
        <v>1</v>
      </c>
      <c r="AU24" s="248">
        <v>1</v>
      </c>
      <c r="AV24" s="248">
        <v>1</v>
      </c>
      <c r="AW24" s="248">
        <v>1</v>
      </c>
      <c r="AX24" s="309">
        <f>W24/W$24</f>
        <v>1</v>
      </c>
      <c r="AY24" s="309">
        <f>X24/X$24</f>
        <v>1</v>
      </c>
      <c r="AZ24" s="309">
        <f>Y24/Y$24</f>
        <v>1</v>
      </c>
      <c r="BA24" s="309">
        <v>1</v>
      </c>
      <c r="BB24" s="309">
        <f>SUM(BB25:BB27)</f>
        <v>1</v>
      </c>
      <c r="BC24" s="309">
        <f>SUM(BC25:BC27)</f>
        <v>1</v>
      </c>
      <c r="BD24" s="309">
        <f>SUM(BD25:BD27)</f>
        <v>1</v>
      </c>
      <c r="BE24" s="309">
        <f t="shared" ref="BE24:BF24" si="23">SUM(BE25:BE27)</f>
        <v>1</v>
      </c>
      <c r="BF24" s="309">
        <f t="shared" si="23"/>
        <v>1</v>
      </c>
      <c r="BG24" s="309">
        <f t="shared" ref="BG24:BH24" si="24">SUM(BG25:BG27)</f>
        <v>1</v>
      </c>
      <c r="BH24" s="309">
        <f t="shared" si="24"/>
        <v>1</v>
      </c>
      <c r="BI24" s="309">
        <f t="shared" ref="BI24" si="25">SUM(BI25:BI27)</f>
        <v>1</v>
      </c>
    </row>
    <row r="25" spans="2:61" ht="13.8">
      <c r="B25" s="84" t="s">
        <v>107</v>
      </c>
      <c r="C25" s="67">
        <v>10.12533206</v>
      </c>
      <c r="D25" s="67">
        <v>15.675384237999999</v>
      </c>
      <c r="E25" s="67">
        <v>12.922318450000001</v>
      </c>
      <c r="F25" s="67">
        <v>18.657504320000001</v>
      </c>
      <c r="G25" s="67">
        <v>9.1780918760000016</v>
      </c>
      <c r="H25" s="67">
        <v>11.389824150999999</v>
      </c>
      <c r="I25" s="67">
        <v>12.235593348999998</v>
      </c>
      <c r="J25" s="67">
        <v>9.4482463729999999</v>
      </c>
      <c r="K25" s="67">
        <v>9.6393049370000004</v>
      </c>
      <c r="L25" s="67">
        <v>6.3630703510000002</v>
      </c>
      <c r="M25" s="67">
        <v>6.7301339999999996</v>
      </c>
      <c r="N25" s="67">
        <v>19.468394647</v>
      </c>
      <c r="O25" s="67">
        <v>16.277999999999999</v>
      </c>
      <c r="P25" s="67">
        <v>17.087</v>
      </c>
      <c r="Q25" s="67">
        <v>26.210999999999999</v>
      </c>
      <c r="R25" s="67">
        <v>27.231999999999999</v>
      </c>
      <c r="S25" s="67">
        <v>14</v>
      </c>
      <c r="T25" s="67">
        <v>1</v>
      </c>
      <c r="U25" s="67">
        <v>0</v>
      </c>
      <c r="V25" s="300">
        <v>1.3419400000000001</v>
      </c>
      <c r="W25" s="300">
        <v>7</v>
      </c>
      <c r="X25" s="300">
        <v>4</v>
      </c>
      <c r="Y25" s="300">
        <v>4</v>
      </c>
      <c r="Z25" s="300">
        <v>0.38559400000000005</v>
      </c>
      <c r="AA25" s="491">
        <v>0</v>
      </c>
      <c r="AB25" s="300">
        <v>0</v>
      </c>
      <c r="AC25" s="300">
        <v>0</v>
      </c>
      <c r="AD25" s="300">
        <v>0</v>
      </c>
      <c r="AE25" s="300">
        <v>0</v>
      </c>
      <c r="AF25" s="300">
        <v>0</v>
      </c>
      <c r="AG25" s="300">
        <v>0</v>
      </c>
      <c r="AH25" s="300">
        <v>0</v>
      </c>
      <c r="AI25" s="63"/>
      <c r="AK25" s="310">
        <f>SUM(C25:F25)/SUM($C$24:$F$24)</f>
        <v>0.164944792272953</v>
      </c>
      <c r="AL25" s="310">
        <f t="shared" ref="AL25:AL27" si="26">SUM(G25:J25)/SUM($G$24:$J$24)</f>
        <v>0.13299113284172129</v>
      </c>
      <c r="AM25" s="310">
        <f t="shared" ref="AM25:AM27" si="27">SUM(K25:N25)/SUM($K$24:$N$24)</f>
        <v>0.13966189390392345</v>
      </c>
      <c r="AN25" s="310">
        <f t="shared" ref="AN25:AN27" si="28">SUM(O25:R25)/SUM($O$24:$R$24)</f>
        <v>0.20947442334375563</v>
      </c>
      <c r="AO25" s="310">
        <f>SUM(S25:V25)/SUM($S$24:$V$24)</f>
        <v>4.5786148046811539E-2</v>
      </c>
      <c r="AP25" s="310">
        <f>SUM(W25:Z25)/SUM($W$24:$Z$24)</f>
        <v>4.4241439186744849E-2</v>
      </c>
      <c r="AQ25" s="310">
        <f>SUM(AA25:AB25)/SUM($AA$24:$AB$24)</f>
        <v>0</v>
      </c>
      <c r="AR25" s="310">
        <f>SUM(AE25:AH25)/SUM($AE$24:$AH$24)</f>
        <v>0</v>
      </c>
      <c r="AS25" s="250"/>
      <c r="AT25" s="251">
        <v>0.18181818181818182</v>
      </c>
      <c r="AU25" s="251">
        <v>8.2644628099173556E-3</v>
      </c>
      <c r="AV25" s="251">
        <v>0</v>
      </c>
      <c r="AW25" s="251">
        <v>2.0994427811895287E-2</v>
      </c>
      <c r="AX25" s="310">
        <f t="shared" ref="AX25:AZ27" si="29">W25/W$24</f>
        <v>0.1</v>
      </c>
      <c r="AY25" s="310">
        <f t="shared" si="29"/>
        <v>5.2631578947368418E-2</v>
      </c>
      <c r="AZ25" s="310">
        <f t="shared" si="29"/>
        <v>4.0404040404040407E-2</v>
      </c>
      <c r="BA25" s="310">
        <v>3.7522167347405363E-3</v>
      </c>
      <c r="BB25" s="310">
        <f t="shared" ref="BB25:BB27" si="30">AA25/AA$24</f>
        <v>0</v>
      </c>
      <c r="BC25" s="310">
        <f t="shared" ref="BC25:BD27" si="31">AB25/AB$24</f>
        <v>0</v>
      </c>
      <c r="BD25" s="310">
        <f t="shared" si="31"/>
        <v>0</v>
      </c>
      <c r="BE25" s="310">
        <f t="shared" ref="BE25:BE27" si="32">AD25/AD$24</f>
        <v>0</v>
      </c>
      <c r="BF25" s="310">
        <f t="shared" ref="BF25:BF27" si="33">AE25/AE$24</f>
        <v>0</v>
      </c>
      <c r="BG25" s="310">
        <f t="shared" ref="BG25:BI27" si="34">AF25/AF$24</f>
        <v>0</v>
      </c>
      <c r="BH25" s="310">
        <f t="shared" si="34"/>
        <v>0</v>
      </c>
      <c r="BI25" s="310">
        <f t="shared" si="34"/>
        <v>0</v>
      </c>
    </row>
    <row r="26" spans="2:61" ht="13.8">
      <c r="B26" s="84" t="s">
        <v>21</v>
      </c>
      <c r="C26" s="67">
        <v>0</v>
      </c>
      <c r="D26" s="67">
        <v>62.987079999999999</v>
      </c>
      <c r="E26" s="67">
        <v>31.15597</v>
      </c>
      <c r="F26" s="67">
        <v>26.251439999999999</v>
      </c>
      <c r="G26" s="67">
        <v>26.250810000000001</v>
      </c>
      <c r="H26" s="67">
        <v>30.80414</v>
      </c>
      <c r="I26" s="67">
        <v>36.75047</v>
      </c>
      <c r="J26" s="67">
        <v>47.501480000000001</v>
      </c>
      <c r="K26" s="67">
        <v>31.500299999999999</v>
      </c>
      <c r="L26" s="67">
        <v>54.975319999999996</v>
      </c>
      <c r="M26" s="67">
        <v>63.004020000000004</v>
      </c>
      <c r="N26" s="67">
        <v>0</v>
      </c>
      <c r="O26" s="67">
        <v>52.5</v>
      </c>
      <c r="P26" s="67">
        <v>30.102</v>
      </c>
      <c r="Q26" s="67">
        <v>94.506</v>
      </c>
      <c r="R26" s="67">
        <v>31.501999999999999</v>
      </c>
      <c r="S26" s="67">
        <v>36</v>
      </c>
      <c r="T26" s="67">
        <v>93</v>
      </c>
      <c r="U26" s="67">
        <v>63</v>
      </c>
      <c r="V26" s="300">
        <v>30.40211</v>
      </c>
      <c r="W26" s="300">
        <v>33</v>
      </c>
      <c r="X26" s="300">
        <v>34</v>
      </c>
      <c r="Y26" s="300">
        <v>64</v>
      </c>
      <c r="Z26" s="300">
        <v>65.366830000000007</v>
      </c>
      <c r="AA26" s="491">
        <v>36.050940000000004</v>
      </c>
      <c r="AB26" s="300">
        <v>67.320310000000006</v>
      </c>
      <c r="AC26" s="300">
        <v>33.6</v>
      </c>
      <c r="AD26" s="300">
        <v>30.939</v>
      </c>
      <c r="AE26" s="300">
        <v>30.280999999999999</v>
      </c>
      <c r="AF26" s="300">
        <v>0</v>
      </c>
      <c r="AG26" s="491">
        <v>0</v>
      </c>
      <c r="AH26" s="300">
        <v>0</v>
      </c>
      <c r="AI26" s="63"/>
      <c r="AK26" s="545">
        <f>SUM(C26:F26)/SUM(C24:F24)</f>
        <v>0.34608326213743751</v>
      </c>
      <c r="AL26" s="310">
        <f t="shared" si="26"/>
        <v>0.44477594779707119</v>
      </c>
      <c r="AM26" s="310">
        <f t="shared" si="27"/>
        <v>0.49469579264538732</v>
      </c>
      <c r="AN26" s="310">
        <f t="shared" si="28"/>
        <v>0.50339207738619562</v>
      </c>
      <c r="AO26" s="310">
        <f>SUM(S26:V26)/SUM($S$24:$V$24)</f>
        <v>0.62311671284946979</v>
      </c>
      <c r="AP26" s="310">
        <f t="shared" ref="AP26:AP27" si="35">SUM(W26:Z26)/SUM($W$24:$Z$24)</f>
        <v>0.5646549082043153</v>
      </c>
      <c r="AQ26" s="310">
        <f t="shared" ref="AQ26:AQ27" si="36">SUM(AA26:AB26)/SUM($AA$24:$AB$24)</f>
        <v>0.57396238494683605</v>
      </c>
      <c r="AR26" s="310">
        <f>SUM(AE26:AH26)/SUM($AE$24:$AH$24)</f>
        <v>0.25083872464152285</v>
      </c>
      <c r="AS26" s="250"/>
      <c r="AT26" s="251">
        <v>0.46753246753246752</v>
      </c>
      <c r="AU26" s="251">
        <v>0.76859504132231404</v>
      </c>
      <c r="AV26" s="251">
        <v>0.66315789473684206</v>
      </c>
      <c r="AW26" s="251">
        <v>0.47563594775049539</v>
      </c>
      <c r="AX26" s="310">
        <f t="shared" si="29"/>
        <v>0.47142857142857142</v>
      </c>
      <c r="AY26" s="310">
        <f t="shared" si="29"/>
        <v>0.44736842105263158</v>
      </c>
      <c r="AZ26" s="310">
        <f t="shared" si="29"/>
        <v>0.64646464646464652</v>
      </c>
      <c r="BA26" s="310">
        <v>0.63608488052962375</v>
      </c>
      <c r="BB26" s="310">
        <f t="shared" si="30"/>
        <v>0.47407797394377588</v>
      </c>
      <c r="BC26" s="310">
        <f t="shared" si="31"/>
        <v>0.64695757109951191</v>
      </c>
      <c r="BD26" s="310">
        <f t="shared" si="31"/>
        <v>0.51078227947902399</v>
      </c>
      <c r="BE26" s="310">
        <f t="shared" si="32"/>
        <v>0.41276857473928907</v>
      </c>
      <c r="BF26" s="310">
        <f t="shared" si="33"/>
        <v>0.57880954201391543</v>
      </c>
      <c r="BG26" s="310">
        <f t="shared" si="34"/>
        <v>0</v>
      </c>
      <c r="BH26" s="310">
        <f t="shared" si="34"/>
        <v>0</v>
      </c>
      <c r="BI26" s="310">
        <f t="shared" si="34"/>
        <v>0</v>
      </c>
    </row>
    <row r="27" spans="2:61" ht="13.8">
      <c r="B27" s="84" t="s">
        <v>108</v>
      </c>
      <c r="C27" s="67">
        <v>67.516212246999999</v>
      </c>
      <c r="D27" s="67">
        <v>31.281598653999996</v>
      </c>
      <c r="E27" s="67">
        <v>32.579221949000001</v>
      </c>
      <c r="F27" s="67">
        <v>38.725177959</v>
      </c>
      <c r="G27" s="67">
        <v>33.914929383999997</v>
      </c>
      <c r="H27" s="67">
        <v>34.670487903000009</v>
      </c>
      <c r="I27" s="67">
        <v>31.809226586999998</v>
      </c>
      <c r="J27" s="67">
        <v>33.750255841000005</v>
      </c>
      <c r="K27" s="67">
        <v>30.200888357999997</v>
      </c>
      <c r="L27" s="67">
        <v>21.745289418999995</v>
      </c>
      <c r="M27" s="67">
        <v>28.895724641999998</v>
      </c>
      <c r="N27" s="67">
        <v>29.642322828000001</v>
      </c>
      <c r="O27" s="67">
        <v>30.54</v>
      </c>
      <c r="P27" s="67">
        <v>29.231331999999998</v>
      </c>
      <c r="Q27" s="67">
        <v>29.589033999999998</v>
      </c>
      <c r="R27" s="67">
        <v>29.630222</v>
      </c>
      <c r="S27" s="67">
        <v>27</v>
      </c>
      <c r="T27" s="67">
        <v>27</v>
      </c>
      <c r="U27" s="67">
        <v>32</v>
      </c>
      <c r="V27" s="300">
        <v>32.17481514</v>
      </c>
      <c r="W27" s="300">
        <v>30</v>
      </c>
      <c r="X27" s="300">
        <v>38</v>
      </c>
      <c r="Y27" s="300">
        <v>31</v>
      </c>
      <c r="Z27" s="300">
        <v>37.011895669999987</v>
      </c>
      <c r="AA27" s="491">
        <v>39.993386000000001</v>
      </c>
      <c r="AB27" s="300">
        <v>36.736452000000014</v>
      </c>
      <c r="AC27" s="300">
        <v>32.181452000000007</v>
      </c>
      <c r="AD27" s="300">
        <v>44.015833999999991</v>
      </c>
      <c r="AE27" s="300">
        <v>22.035</v>
      </c>
      <c r="AF27" s="300">
        <v>19.403000000000002</v>
      </c>
      <c r="AG27" s="491">
        <v>24</v>
      </c>
      <c r="AH27" s="300">
        <v>25</v>
      </c>
      <c r="AI27" s="63"/>
      <c r="AK27" s="546">
        <f>SUM(C27:F27)/SUM($C$24:$F$24)</f>
        <v>0.48897194558960955</v>
      </c>
      <c r="AL27" s="310">
        <f t="shared" si="26"/>
        <v>0.42223291936120738</v>
      </c>
      <c r="AM27" s="310">
        <f t="shared" si="27"/>
        <v>0.36564231345068915</v>
      </c>
      <c r="AN27" s="310">
        <f t="shared" si="28"/>
        <v>0.28713349927004894</v>
      </c>
      <c r="AO27" s="310">
        <f>SUM(S27:V27)/SUM($S$24:$V$24)</f>
        <v>0.33109713910371869</v>
      </c>
      <c r="AP27" s="310">
        <f t="shared" si="35"/>
        <v>0.39110365260893992</v>
      </c>
      <c r="AQ27" s="310">
        <f t="shared" si="36"/>
        <v>0.42603761505316395</v>
      </c>
      <c r="AR27" s="310">
        <f>SUM(AE27:AH27)/SUM($AE$24:$AH$24)</f>
        <v>0.7491612753584771</v>
      </c>
      <c r="AS27" s="250"/>
      <c r="AT27" s="251">
        <v>0.35064935064935066</v>
      </c>
      <c r="AU27" s="251">
        <v>0.2231404958677686</v>
      </c>
      <c r="AV27" s="251">
        <v>0.33684210526315789</v>
      </c>
      <c r="AW27" s="251">
        <v>0.50336962443760935</v>
      </c>
      <c r="AX27" s="310">
        <f t="shared" si="29"/>
        <v>0.42857142857142855</v>
      </c>
      <c r="AY27" s="310">
        <f t="shared" si="29"/>
        <v>0.5</v>
      </c>
      <c r="AZ27" s="310">
        <f t="shared" si="29"/>
        <v>0.31313131313131315</v>
      </c>
      <c r="BA27" s="310">
        <v>0.36016290273563573</v>
      </c>
      <c r="BB27" s="310">
        <f t="shared" si="30"/>
        <v>0.52592202605622407</v>
      </c>
      <c r="BC27" s="310">
        <f t="shared" si="31"/>
        <v>0.35304242890048804</v>
      </c>
      <c r="BD27" s="310">
        <f t="shared" si="31"/>
        <v>0.48921772052097612</v>
      </c>
      <c r="BE27" s="310">
        <f t="shared" si="32"/>
        <v>0.58723142526071093</v>
      </c>
      <c r="BF27" s="310">
        <f t="shared" si="33"/>
        <v>0.42119045798608457</v>
      </c>
      <c r="BG27" s="310">
        <f t="shared" si="34"/>
        <v>1</v>
      </c>
      <c r="BH27" s="310">
        <f t="shared" si="34"/>
        <v>1</v>
      </c>
      <c r="BI27" s="310">
        <f t="shared" si="34"/>
        <v>1</v>
      </c>
    </row>
    <row r="28" spans="2:61">
      <c r="B28" s="192" t="s">
        <v>109</v>
      </c>
      <c r="AK28" s="250"/>
      <c r="AL28" s="250"/>
      <c r="AM28" s="250"/>
      <c r="AN28" s="250"/>
      <c r="AO28" s="311"/>
      <c r="AP28" s="311"/>
      <c r="AQ28" s="311"/>
      <c r="AR28" s="311"/>
      <c r="AS28" s="250"/>
      <c r="AT28" s="250"/>
      <c r="AU28" s="250"/>
    </row>
    <row r="29" spans="2:61">
      <c r="B29" s="192" t="s">
        <v>110</v>
      </c>
      <c r="C29" s="182"/>
      <c r="D29" s="182"/>
      <c r="E29" s="182"/>
      <c r="F29" s="182"/>
      <c r="G29" s="182"/>
      <c r="H29" s="182"/>
      <c r="I29" s="182"/>
      <c r="J29" s="182"/>
      <c r="K29" s="182"/>
      <c r="L29" s="182"/>
      <c r="M29" s="182"/>
      <c r="N29" s="182"/>
      <c r="O29" s="182"/>
      <c r="P29" s="182"/>
      <c r="Q29" s="182"/>
      <c r="R29" s="182"/>
      <c r="AK29" s="250"/>
      <c r="AL29" s="250"/>
      <c r="AM29" s="250"/>
      <c r="AN29" s="250"/>
      <c r="AO29" s="311"/>
      <c r="AP29" s="311"/>
      <c r="AQ29" s="311"/>
      <c r="AR29" s="311"/>
      <c r="AS29" s="250"/>
      <c r="AT29" s="250"/>
      <c r="AU29" s="250"/>
    </row>
    <row r="30" spans="2:61">
      <c r="B30" s="192" t="s">
        <v>111</v>
      </c>
      <c r="C30" s="182"/>
      <c r="D30" s="182"/>
      <c r="E30" s="182"/>
      <c r="F30" s="182"/>
      <c r="G30" s="182"/>
      <c r="H30" s="182"/>
      <c r="I30" s="182"/>
      <c r="J30" s="182"/>
      <c r="K30" s="182"/>
      <c r="L30" s="182"/>
      <c r="M30" s="182"/>
      <c r="N30" s="182"/>
      <c r="O30" s="182"/>
      <c r="P30" s="182"/>
      <c r="Q30" s="182"/>
      <c r="R30" s="182"/>
      <c r="AK30" s="250"/>
      <c r="AL30" s="250"/>
      <c r="AM30" s="250"/>
      <c r="AN30" s="250"/>
      <c r="AO30" s="311"/>
      <c r="AP30" s="311"/>
      <c r="AQ30" s="311"/>
      <c r="AR30" s="311"/>
      <c r="AS30" s="250"/>
      <c r="AT30" s="250"/>
      <c r="AU30" s="250"/>
    </row>
  </sheetData>
  <mergeCells count="1">
    <mergeCell ref="C6:P6"/>
  </mergeCells>
  <phoneticPr fontId="83" type="noConversion"/>
  <pageMargins left="0.33" right="0.28999999999999998" top="0.984251969" bottom="0.984251969" header="0.49212598499999999" footer="0.49212598499999999"/>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AS44"/>
  <sheetViews>
    <sheetView showGridLines="0" zoomScale="80" zoomScaleNormal="80" workbookViewId="0">
      <pane xSplit="2" ySplit="6" topLeftCell="C9" activePane="bottomRight" state="frozen"/>
      <selection activeCell="S25" sqref="S25"/>
      <selection pane="topRight" activeCell="S25" sqref="S25"/>
      <selection pane="bottomLeft" activeCell="S25" sqref="S25"/>
      <selection pane="bottomRight" activeCell="AH17" activeCellId="1" sqref="AH14 AH17"/>
    </sheetView>
  </sheetViews>
  <sheetFormatPr defaultColWidth="9.21875" defaultRowHeight="13.2" outlineLevelCol="1"/>
  <cols>
    <col min="1" max="1" width="2.21875" style="44" customWidth="1"/>
    <col min="2" max="2" width="47.77734375" style="44" customWidth="1"/>
    <col min="3" max="17" width="8.21875" style="44" hidden="1" customWidth="1" outlineLevel="1"/>
    <col min="18" max="18" width="8.77734375" style="44" hidden="1" customWidth="1" outlineLevel="1"/>
    <col min="19" max="22" width="0" style="44" hidden="1" customWidth="1" outlineLevel="1"/>
    <col min="23" max="23" width="9.21875" style="44" collapsed="1"/>
    <col min="24" max="16384" width="9.21875" style="44"/>
  </cols>
  <sheetData>
    <row r="5" spans="2:45" ht="18" customHeight="1">
      <c r="B5" s="45"/>
    </row>
    <row r="6" spans="2:45" ht="14.4" thickBot="1">
      <c r="B6" s="58" t="s">
        <v>125</v>
      </c>
      <c r="C6" s="59" t="s">
        <v>94</v>
      </c>
      <c r="D6" s="59" t="s">
        <v>95</v>
      </c>
      <c r="E6" s="59" t="s">
        <v>96</v>
      </c>
      <c r="F6" s="59" t="s">
        <v>97</v>
      </c>
      <c r="G6" s="59" t="s">
        <v>79</v>
      </c>
      <c r="H6" s="59" t="s">
        <v>80</v>
      </c>
      <c r="I6" s="59" t="s">
        <v>81</v>
      </c>
      <c r="J6" s="59" t="s">
        <v>82</v>
      </c>
      <c r="K6" s="59" t="s">
        <v>83</v>
      </c>
      <c r="L6" s="59" t="s">
        <v>84</v>
      </c>
      <c r="M6" s="59" t="s">
        <v>85</v>
      </c>
      <c r="N6" s="59" t="s">
        <v>86</v>
      </c>
      <c r="O6" s="59" t="s">
        <v>87</v>
      </c>
      <c r="P6" s="59" t="s">
        <v>88</v>
      </c>
      <c r="Q6" s="59" t="s">
        <v>89</v>
      </c>
      <c r="R6" s="59" t="s">
        <v>90</v>
      </c>
      <c r="S6" s="59" t="s">
        <v>91</v>
      </c>
      <c r="T6" s="59" t="s">
        <v>92</v>
      </c>
      <c r="U6" s="59" t="s">
        <v>93</v>
      </c>
      <c r="V6" s="59" t="s">
        <v>331</v>
      </c>
      <c r="W6" s="59" t="s">
        <v>341</v>
      </c>
      <c r="X6" s="59" t="s">
        <v>374</v>
      </c>
      <c r="Y6" s="59" t="s">
        <v>382</v>
      </c>
      <c r="Z6" s="59" t="s">
        <v>384</v>
      </c>
      <c r="AA6" s="59" t="s">
        <v>461</v>
      </c>
      <c r="AB6" s="59" t="s">
        <v>465</v>
      </c>
      <c r="AC6" s="59" t="s">
        <v>466</v>
      </c>
      <c r="AD6" s="59" t="s">
        <v>467</v>
      </c>
      <c r="AE6" s="59" t="s">
        <v>513</v>
      </c>
      <c r="AF6" s="59" t="s">
        <v>519</v>
      </c>
      <c r="AG6" s="59" t="s">
        <v>528</v>
      </c>
      <c r="AH6" s="59" t="s">
        <v>514</v>
      </c>
    </row>
    <row r="7" spans="2:45" ht="14.4" thickTop="1">
      <c r="B7" s="60"/>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row>
    <row r="8" spans="2:45" s="47" customFormat="1" ht="14.25" customHeight="1" thickBot="1">
      <c r="B8" s="103" t="s">
        <v>113</v>
      </c>
      <c r="C8" s="153">
        <v>238.93799999999999</v>
      </c>
      <c r="D8" s="153">
        <v>193.37700000000001</v>
      </c>
      <c r="E8" s="153">
        <v>163.18899999999999</v>
      </c>
      <c r="F8" s="153">
        <v>118.095</v>
      </c>
      <c r="G8" s="153">
        <v>135.06100000000001</v>
      </c>
      <c r="H8" s="153">
        <v>124.26902001798319</v>
      </c>
      <c r="I8" s="153">
        <v>144.9937248166915</v>
      </c>
      <c r="J8" s="153">
        <v>126.56036483350766</v>
      </c>
      <c r="K8" s="153">
        <v>158.99118751278539</v>
      </c>
      <c r="L8" s="153">
        <v>127.53195661799795</v>
      </c>
      <c r="M8" s="153">
        <v>161.8117794433341</v>
      </c>
      <c r="N8" s="153">
        <v>63.838999999999999</v>
      </c>
      <c r="O8" s="153">
        <v>89.61</v>
      </c>
      <c r="P8" s="153">
        <v>60</v>
      </c>
      <c r="Q8" s="153">
        <v>87</v>
      </c>
      <c r="R8" s="153">
        <v>69.382999999999996</v>
      </c>
      <c r="S8" s="153">
        <v>92.506</v>
      </c>
      <c r="T8" s="153">
        <v>68</v>
      </c>
      <c r="U8" s="153">
        <v>126</v>
      </c>
      <c r="V8" s="312">
        <v>108</v>
      </c>
      <c r="W8" s="312">
        <v>124.751</v>
      </c>
      <c r="X8" s="312">
        <v>115</v>
      </c>
      <c r="Y8" s="312">
        <v>108</v>
      </c>
      <c r="Z8" s="312">
        <v>103.107</v>
      </c>
      <c r="AA8" s="502">
        <v>274.98</v>
      </c>
      <c r="AB8" s="312">
        <v>277.38099999999997</v>
      </c>
      <c r="AC8" s="312">
        <v>272</v>
      </c>
      <c r="AD8" s="312">
        <v>117</v>
      </c>
      <c r="AE8" s="312">
        <v>95</v>
      </c>
      <c r="AF8" s="312">
        <v>105</v>
      </c>
      <c r="AG8" s="312">
        <v>121</v>
      </c>
      <c r="AH8" s="312">
        <f>ROUND(_xlfn.XLOOKUP([1]BP!$B51,[1]BP!$B:$B,[1]BP!O:O,,)/10^3,0)</f>
        <v>136</v>
      </c>
      <c r="AN8" s="48"/>
      <c r="AO8" s="48"/>
      <c r="AP8" s="48"/>
      <c r="AQ8" s="48"/>
      <c r="AR8" s="48"/>
      <c r="AS8" s="48"/>
    </row>
    <row r="9" spans="2:45" s="49" customFormat="1" ht="14.25" customHeight="1">
      <c r="B9" s="104"/>
      <c r="C9" s="151"/>
      <c r="D9" s="151"/>
      <c r="E9" s="151"/>
      <c r="F9" s="151"/>
      <c r="G9" s="151"/>
      <c r="H9" s="151"/>
      <c r="I9" s="151"/>
      <c r="J9" s="151"/>
      <c r="K9" s="151"/>
      <c r="L9" s="151"/>
      <c r="M9" s="151"/>
      <c r="N9" s="151"/>
      <c r="O9" s="151"/>
      <c r="P9" s="151"/>
      <c r="Q9" s="151"/>
      <c r="R9" s="151"/>
      <c r="S9" s="151"/>
      <c r="T9" s="151"/>
      <c r="U9" s="151"/>
      <c r="V9" s="313"/>
      <c r="W9" s="313"/>
      <c r="X9" s="313"/>
      <c r="Y9" s="313"/>
      <c r="Z9" s="313"/>
      <c r="AA9" s="503"/>
      <c r="AB9" s="313"/>
      <c r="AC9" s="313"/>
      <c r="AD9" s="313"/>
      <c r="AE9" s="313"/>
      <c r="AF9" s="313"/>
      <c r="AG9" s="313"/>
      <c r="AH9" s="313"/>
      <c r="AN9" s="48"/>
      <c r="AO9" s="48"/>
      <c r="AP9" s="48"/>
      <c r="AQ9" s="48"/>
      <c r="AR9" s="48"/>
      <c r="AS9" s="48"/>
    </row>
    <row r="10" spans="2:45" s="47" customFormat="1" ht="14.25" customHeight="1" thickBot="1">
      <c r="B10" s="103" t="s">
        <v>114</v>
      </c>
      <c r="C10" s="153">
        <v>2571.6379999999999</v>
      </c>
      <c r="D10" s="153">
        <v>1969.777</v>
      </c>
      <c r="E10" s="153">
        <v>1992.5550000000001</v>
      </c>
      <c r="F10" s="153">
        <v>1940.7719999999999</v>
      </c>
      <c r="G10" s="153">
        <v>1930.1010000000001</v>
      </c>
      <c r="H10" s="153">
        <v>1953.2140004</v>
      </c>
      <c r="I10" s="153">
        <v>2130.1550003999996</v>
      </c>
      <c r="J10" s="153">
        <v>2053.9435004000002</v>
      </c>
      <c r="K10" s="153">
        <v>2822.2581347951018</v>
      </c>
      <c r="L10" s="153">
        <v>2982.8553897949596</v>
      </c>
      <c r="M10" s="153">
        <v>3230.6062217404219</v>
      </c>
      <c r="N10" s="153">
        <v>2882.6660000000002</v>
      </c>
      <c r="O10" s="153">
        <v>3116.6350000000002</v>
      </c>
      <c r="P10" s="153">
        <v>2752</v>
      </c>
      <c r="Q10" s="153">
        <v>2946</v>
      </c>
      <c r="R10" s="153">
        <v>3036.6819999999998</v>
      </c>
      <c r="S10" s="153">
        <v>2637.21</v>
      </c>
      <c r="T10" s="153">
        <v>2809.8389999999999</v>
      </c>
      <c r="U10" s="153">
        <v>2917</v>
      </c>
      <c r="V10" s="312">
        <v>2861</v>
      </c>
      <c r="W10" s="312">
        <v>3510.4549999999999</v>
      </c>
      <c r="X10" s="312">
        <v>3849</v>
      </c>
      <c r="Y10" s="312">
        <v>4328</v>
      </c>
      <c r="Z10" s="312">
        <v>4241.3850000000002</v>
      </c>
      <c r="AA10" s="502">
        <v>4214.2120000000004</v>
      </c>
      <c r="AB10" s="312">
        <v>5055.1220000000003</v>
      </c>
      <c r="AC10" s="312">
        <v>4512</v>
      </c>
      <c r="AD10" s="312">
        <v>4512</v>
      </c>
      <c r="AE10" s="312">
        <v>3767</v>
      </c>
      <c r="AF10" s="312">
        <v>3646</v>
      </c>
      <c r="AG10" s="312">
        <v>4068</v>
      </c>
      <c r="AH10" s="312">
        <f>ROUND(_xlfn.XLOOKUP([1]BP!$B69,[1]BP!$B:$B,[1]BP!O:O,,)/10^3,0)</f>
        <v>4139</v>
      </c>
      <c r="AN10" s="48"/>
      <c r="AO10" s="48"/>
      <c r="AP10" s="48"/>
      <c r="AQ10" s="48"/>
      <c r="AR10" s="48"/>
      <c r="AS10" s="48"/>
    </row>
    <row r="11" spans="2:45" ht="14.25" customHeight="1">
      <c r="B11" s="105"/>
      <c r="C11" s="151"/>
      <c r="D11" s="151"/>
      <c r="E11" s="151"/>
      <c r="F11" s="151"/>
      <c r="G11" s="151"/>
      <c r="H11" s="151"/>
      <c r="I11" s="151"/>
      <c r="J11" s="151"/>
      <c r="K11" s="151"/>
      <c r="L11" s="151"/>
      <c r="M11" s="151"/>
      <c r="N11" s="151"/>
      <c r="O11" s="151"/>
      <c r="P11" s="151"/>
      <c r="Q11" s="151"/>
      <c r="R11" s="151"/>
      <c r="S11" s="151"/>
      <c r="T11" s="151"/>
      <c r="U11" s="151"/>
      <c r="V11" s="313"/>
      <c r="W11" s="313"/>
      <c r="X11" s="313"/>
      <c r="Y11" s="313"/>
      <c r="Z11" s="313"/>
      <c r="AA11" s="503"/>
      <c r="AB11" s="313"/>
      <c r="AC11" s="313"/>
      <c r="AD11" s="313"/>
      <c r="AE11" s="313"/>
      <c r="AF11" s="313"/>
      <c r="AG11" s="313"/>
      <c r="AH11" s="313"/>
      <c r="AN11" s="48"/>
      <c r="AO11" s="48"/>
      <c r="AP11" s="48"/>
      <c r="AQ11" s="48"/>
      <c r="AR11" s="48"/>
      <c r="AS11" s="48"/>
    </row>
    <row r="12" spans="2:45" ht="14.25" customHeight="1" thickBot="1">
      <c r="B12" s="103" t="s">
        <v>115</v>
      </c>
      <c r="C12" s="153">
        <v>2810.576</v>
      </c>
      <c r="D12" s="153">
        <v>2163.154</v>
      </c>
      <c r="E12" s="153">
        <v>2155.7440000000001</v>
      </c>
      <c r="F12" s="153">
        <v>2058.8669999999997</v>
      </c>
      <c r="G12" s="153">
        <v>2065.1620000000003</v>
      </c>
      <c r="H12" s="153">
        <v>2077.4830204179834</v>
      </c>
      <c r="I12" s="153">
        <v>2275.1487252166912</v>
      </c>
      <c r="J12" s="153">
        <v>2180.5038652335079</v>
      </c>
      <c r="K12" s="153">
        <v>2981.2493223078873</v>
      </c>
      <c r="L12" s="153">
        <v>3110.3873464129574</v>
      </c>
      <c r="M12" s="153">
        <v>3392.4180011837561</v>
      </c>
      <c r="N12" s="153">
        <v>2946.5050000000001</v>
      </c>
      <c r="O12" s="153">
        <v>3206.2450000000003</v>
      </c>
      <c r="P12" s="153">
        <v>2812</v>
      </c>
      <c r="Q12" s="153">
        <v>3033</v>
      </c>
      <c r="R12" s="153">
        <v>3106.0649999999996</v>
      </c>
      <c r="S12" s="153">
        <v>2729.7159999999999</v>
      </c>
      <c r="T12" s="153">
        <v>2877.8389999999999</v>
      </c>
      <c r="U12" s="153">
        <v>3043</v>
      </c>
      <c r="V12" s="312">
        <v>2969</v>
      </c>
      <c r="W12" s="312">
        <v>3635.2060000000001</v>
      </c>
      <c r="X12" s="312">
        <v>3964</v>
      </c>
      <c r="Y12" s="312">
        <v>4436</v>
      </c>
      <c r="Z12" s="312">
        <v>4344.4920000000002</v>
      </c>
      <c r="AA12" s="502">
        <v>4489.1920000000009</v>
      </c>
      <c r="AB12" s="312">
        <f t="shared" ref="AB12:AD12" si="0">AB8+AB10</f>
        <v>5332.5030000000006</v>
      </c>
      <c r="AC12" s="312">
        <f t="shared" si="0"/>
        <v>4784</v>
      </c>
      <c r="AD12" s="312">
        <f t="shared" si="0"/>
        <v>4629</v>
      </c>
      <c r="AE12" s="312">
        <f t="shared" ref="AE12:AH12" si="1">AE8+AE10</f>
        <v>3862</v>
      </c>
      <c r="AF12" s="312">
        <f t="shared" si="1"/>
        <v>3751</v>
      </c>
      <c r="AG12" s="312">
        <f t="shared" si="1"/>
        <v>4189</v>
      </c>
      <c r="AH12" s="312">
        <f t="shared" si="1"/>
        <v>4275</v>
      </c>
      <c r="AJ12" s="49"/>
      <c r="AN12" s="48"/>
      <c r="AO12" s="48"/>
      <c r="AP12" s="48"/>
      <c r="AQ12" s="48"/>
      <c r="AR12" s="48"/>
      <c r="AS12" s="48"/>
    </row>
    <row r="13" spans="2:45" ht="14.25" customHeight="1">
      <c r="B13" s="105"/>
      <c r="C13" s="151"/>
      <c r="D13" s="151"/>
      <c r="E13" s="151"/>
      <c r="F13" s="151"/>
      <c r="G13" s="151"/>
      <c r="H13" s="151"/>
      <c r="I13" s="151"/>
      <c r="J13" s="151"/>
      <c r="K13" s="151"/>
      <c r="L13" s="151"/>
      <c r="M13" s="151"/>
      <c r="N13" s="151"/>
      <c r="O13" s="151"/>
      <c r="P13" s="151"/>
      <c r="Q13" s="151"/>
      <c r="R13" s="151"/>
      <c r="S13" s="151"/>
      <c r="T13" s="151"/>
      <c r="U13" s="151"/>
      <c r="V13" s="313"/>
      <c r="W13" s="313"/>
      <c r="X13" s="313"/>
      <c r="Y13" s="313"/>
      <c r="Z13" s="313"/>
      <c r="AA13" s="503"/>
      <c r="AB13" s="313"/>
      <c r="AC13" s="313"/>
      <c r="AD13" s="313"/>
      <c r="AE13" s="313"/>
      <c r="AF13" s="313"/>
      <c r="AG13" s="313"/>
      <c r="AH13" s="313"/>
      <c r="AN13" s="48"/>
      <c r="AO13" s="48"/>
      <c r="AP13" s="48"/>
      <c r="AQ13" s="48"/>
      <c r="AR13" s="48"/>
      <c r="AS13" s="48"/>
    </row>
    <row r="14" spans="2:45" ht="14.25" customHeight="1" thickBot="1">
      <c r="B14" s="106" t="s">
        <v>116</v>
      </c>
      <c r="C14" s="152">
        <v>-46.537999999999997</v>
      </c>
      <c r="D14" s="152">
        <v>-48.152999999999999</v>
      </c>
      <c r="E14" s="152">
        <v>-32.043999999999997</v>
      </c>
      <c r="F14" s="152">
        <v>-116.81100000000001</v>
      </c>
      <c r="G14" s="152">
        <v>-76.706000000000003</v>
      </c>
      <c r="H14" s="152">
        <v>-59.725000000000001</v>
      </c>
      <c r="I14" s="152">
        <v>-87.718000000000004</v>
      </c>
      <c r="J14" s="152">
        <v>-190.321</v>
      </c>
      <c r="K14" s="152">
        <v>-193.85400000000001</v>
      </c>
      <c r="L14" s="152">
        <v>-172.03899999999999</v>
      </c>
      <c r="M14" s="152">
        <v>-458</v>
      </c>
      <c r="N14" s="152">
        <v>-632.43799999999999</v>
      </c>
      <c r="O14" s="152">
        <v>-514.62400000000002</v>
      </c>
      <c r="P14" s="152">
        <v>-296</v>
      </c>
      <c r="Q14" s="152">
        <v>-686</v>
      </c>
      <c r="R14" s="152">
        <v>-1449.345</v>
      </c>
      <c r="S14" s="152">
        <v>-1263.009</v>
      </c>
      <c r="T14" s="152">
        <v>-1126</v>
      </c>
      <c r="U14" s="152">
        <v>-1177</v>
      </c>
      <c r="V14" s="314">
        <v>-849</v>
      </c>
      <c r="W14" s="314">
        <v>-886.06299999999999</v>
      </c>
      <c r="X14" s="314">
        <v>-1028</v>
      </c>
      <c r="Y14" s="314">
        <v>-937</v>
      </c>
      <c r="Z14" s="314">
        <v>-1350.229</v>
      </c>
      <c r="AA14" s="504">
        <v>-1072.8920000000001</v>
      </c>
      <c r="AB14" s="314">
        <v>-1580.2940000000001</v>
      </c>
      <c r="AC14" s="314">
        <v>-1284</v>
      </c>
      <c r="AD14" s="314">
        <v>-1142</v>
      </c>
      <c r="AE14" s="314">
        <v>-653</v>
      </c>
      <c r="AF14" s="314">
        <v>-580</v>
      </c>
      <c r="AG14" s="314">
        <v>-1100</v>
      </c>
      <c r="AH14" s="314">
        <v>-1268</v>
      </c>
      <c r="AI14" s="199"/>
      <c r="AN14" s="48"/>
      <c r="AO14" s="48"/>
      <c r="AP14" s="48"/>
      <c r="AQ14" s="48"/>
      <c r="AR14" s="48"/>
      <c r="AS14" s="48"/>
    </row>
    <row r="15" spans="2:45" ht="14.25" customHeight="1" thickBot="1">
      <c r="B15" s="106" t="s">
        <v>117</v>
      </c>
      <c r="C15" s="152">
        <v>-21.651</v>
      </c>
      <c r="D15" s="152">
        <v>153.012</v>
      </c>
      <c r="E15" s="152">
        <v>101.964</v>
      </c>
      <c r="F15" s="152">
        <v>-110.52600000000001</v>
      </c>
      <c r="G15" s="152">
        <v>-79.686000000000007</v>
      </c>
      <c r="H15" s="152">
        <v>-78.290512183516725</v>
      </c>
      <c r="I15" s="152">
        <v>-28.971102527477704</v>
      </c>
      <c r="J15" s="152">
        <v>-23.435157180000001</v>
      </c>
      <c r="K15" s="152">
        <v>110.42942256464863</v>
      </c>
      <c r="L15" s="152">
        <v>236.49829787719776</v>
      </c>
      <c r="M15" s="152">
        <v>430.98965287222745</v>
      </c>
      <c r="N15" s="152">
        <v>324.12699999999995</v>
      </c>
      <c r="O15" s="152">
        <v>667.84299999999996</v>
      </c>
      <c r="P15" s="152">
        <v>365</v>
      </c>
      <c r="Q15" s="152">
        <v>591</v>
      </c>
      <c r="R15" s="152">
        <v>301.15500000000003</v>
      </c>
      <c r="S15" s="152">
        <v>-33.256</v>
      </c>
      <c r="T15" s="152">
        <v>-78.242999999999995</v>
      </c>
      <c r="U15" s="152">
        <v>-94</v>
      </c>
      <c r="V15" s="314">
        <v>-104</v>
      </c>
      <c r="W15" s="314">
        <v>-146</v>
      </c>
      <c r="X15" s="314">
        <v>-321</v>
      </c>
      <c r="Y15" s="314">
        <v>-160</v>
      </c>
      <c r="Z15" s="314">
        <v>-303</v>
      </c>
      <c r="AA15" s="504">
        <v>-183.453</v>
      </c>
      <c r="AB15" s="314">
        <v>172</v>
      </c>
      <c r="AC15" s="314">
        <v>216</v>
      </c>
      <c r="AD15" s="314">
        <v>627</v>
      </c>
      <c r="AE15" s="314">
        <v>389</v>
      </c>
      <c r="AF15" s="314">
        <v>219</v>
      </c>
      <c r="AG15" s="314">
        <v>113</v>
      </c>
      <c r="AH15" s="314">
        <v>181</v>
      </c>
      <c r="AI15" s="199"/>
      <c r="AN15" s="48"/>
      <c r="AO15" s="48"/>
      <c r="AP15" s="48"/>
      <c r="AQ15" s="48"/>
      <c r="AR15" s="48"/>
      <c r="AS15" s="48"/>
    </row>
    <row r="16" spans="2:45" ht="14.25" customHeight="1" thickBot="1">
      <c r="B16" s="106" t="s">
        <v>118</v>
      </c>
      <c r="C16" s="152">
        <v>0</v>
      </c>
      <c r="D16" s="152">
        <v>0</v>
      </c>
      <c r="E16" s="152">
        <v>0</v>
      </c>
      <c r="F16" s="152">
        <v>0</v>
      </c>
      <c r="G16" s="152">
        <v>25.639000000000003</v>
      </c>
      <c r="H16" s="152">
        <v>20.811999999999998</v>
      </c>
      <c r="I16" s="152">
        <v>15.691000000000001</v>
      </c>
      <c r="J16" s="152">
        <v>15.782999999999999</v>
      </c>
      <c r="K16" s="152">
        <v>13.385999999999999</v>
      </c>
      <c r="L16" s="152">
        <v>10.949000000000002</v>
      </c>
      <c r="M16" s="152">
        <v>12.685</v>
      </c>
      <c r="N16" s="152">
        <v>15.914999999999999</v>
      </c>
      <c r="O16" s="152">
        <v>20.756</v>
      </c>
      <c r="P16" s="152">
        <v>44</v>
      </c>
      <c r="Q16" s="152">
        <v>47</v>
      </c>
      <c r="R16" s="152">
        <v>44.689</v>
      </c>
      <c r="S16" s="152">
        <v>41.478999999999999</v>
      </c>
      <c r="T16" s="152">
        <v>41.111000000000004</v>
      </c>
      <c r="U16" s="152">
        <v>31</v>
      </c>
      <c r="V16" s="314">
        <v>31</v>
      </c>
      <c r="W16" s="314">
        <v>24.746000000000002</v>
      </c>
      <c r="X16" s="314">
        <v>25</v>
      </c>
      <c r="Y16" s="314">
        <v>34</v>
      </c>
      <c r="Z16" s="314">
        <v>48.472999999999999</v>
      </c>
      <c r="AA16" s="504">
        <v>41.201999999999998</v>
      </c>
      <c r="AB16" s="314">
        <v>40.137</v>
      </c>
      <c r="AC16" s="314">
        <v>59</v>
      </c>
      <c r="AD16" s="314">
        <v>184</v>
      </c>
      <c r="AE16" s="314">
        <v>181</v>
      </c>
      <c r="AF16" s="314">
        <v>178</v>
      </c>
      <c r="AG16" s="314">
        <v>185</v>
      </c>
      <c r="AH16" s="314">
        <v>219</v>
      </c>
      <c r="AI16" s="199"/>
      <c r="AN16" s="48"/>
      <c r="AO16" s="48"/>
      <c r="AP16" s="48"/>
      <c r="AQ16" s="48"/>
      <c r="AR16" s="48"/>
      <c r="AS16" s="48"/>
    </row>
    <row r="17" spans="2:45" ht="14.25" customHeight="1" thickBot="1">
      <c r="B17" s="106" t="s">
        <v>119</v>
      </c>
      <c r="C17" s="152">
        <v>-913.71999999999991</v>
      </c>
      <c r="D17" s="152">
        <v>-780.226</v>
      </c>
      <c r="E17" s="152">
        <v>-553.904</v>
      </c>
      <c r="F17" s="152">
        <v>-455.55200000000002</v>
      </c>
      <c r="G17" s="152">
        <v>-502.06</v>
      </c>
      <c r="H17" s="152">
        <v>-583.07800000000009</v>
      </c>
      <c r="I17" s="152">
        <v>-633.846</v>
      </c>
      <c r="J17" s="152">
        <v>-418.43900000000002</v>
      </c>
      <c r="K17" s="152">
        <v>-411.29300000000001</v>
      </c>
      <c r="L17" s="152">
        <v>-374.26800000000003</v>
      </c>
      <c r="M17" s="152">
        <v>-548.58799999999997</v>
      </c>
      <c r="N17" s="152">
        <v>-617</v>
      </c>
      <c r="O17" s="152">
        <v>-339.04</v>
      </c>
      <c r="P17" s="152">
        <v>-424</v>
      </c>
      <c r="Q17" s="152">
        <v>-693.06399999999996</v>
      </c>
      <c r="R17" s="152">
        <v>-337.41400000000004</v>
      </c>
      <c r="S17" s="152">
        <v>-321.87600000000003</v>
      </c>
      <c r="T17" s="152">
        <v>-356</v>
      </c>
      <c r="U17" s="152">
        <v>-457</v>
      </c>
      <c r="V17" s="314">
        <v>-340</v>
      </c>
      <c r="W17" s="314">
        <v>-410.37099999999998</v>
      </c>
      <c r="X17" s="314">
        <v>-344</v>
      </c>
      <c r="Y17" s="314">
        <v>-390</v>
      </c>
      <c r="Z17" s="314">
        <v>-379.04199999999997</v>
      </c>
      <c r="AA17" s="504">
        <v>-365.952</v>
      </c>
      <c r="AB17" s="314">
        <v>-383.52800000000002</v>
      </c>
      <c r="AC17" s="314">
        <v>-380</v>
      </c>
      <c r="AD17" s="314">
        <v>-385</v>
      </c>
      <c r="AE17" s="314">
        <v>-205</v>
      </c>
      <c r="AF17" s="314">
        <v>-93</v>
      </c>
      <c r="AG17" s="314">
        <v>-109</v>
      </c>
      <c r="AH17" s="314">
        <v>-109</v>
      </c>
      <c r="AI17" s="199"/>
      <c r="AN17" s="48"/>
      <c r="AO17" s="48"/>
      <c r="AP17" s="48"/>
      <c r="AQ17" s="48"/>
      <c r="AR17" s="48"/>
      <c r="AS17" s="48"/>
    </row>
    <row r="18" spans="2:45" ht="14.25" customHeight="1">
      <c r="B18" s="105"/>
      <c r="C18" s="151"/>
      <c r="D18" s="151"/>
      <c r="E18" s="151"/>
      <c r="F18" s="151"/>
      <c r="G18" s="151"/>
      <c r="H18" s="151"/>
      <c r="I18" s="151"/>
      <c r="J18" s="151"/>
      <c r="K18" s="151"/>
      <c r="L18" s="151"/>
      <c r="M18" s="151"/>
      <c r="N18" s="151"/>
      <c r="O18" s="151"/>
      <c r="P18" s="151"/>
      <c r="Q18" s="151"/>
      <c r="R18" s="151"/>
      <c r="S18" s="151"/>
      <c r="T18" s="151"/>
      <c r="U18" s="151"/>
      <c r="V18" s="313"/>
      <c r="W18" s="313"/>
      <c r="X18" s="313"/>
      <c r="Y18" s="313"/>
      <c r="Z18" s="313"/>
      <c r="AA18" s="503"/>
      <c r="AB18" s="313"/>
      <c r="AC18" s="313"/>
      <c r="AD18" s="313"/>
      <c r="AE18" s="313"/>
      <c r="AF18" s="313"/>
      <c r="AG18" s="313"/>
      <c r="AH18" s="313"/>
      <c r="AN18" s="48"/>
      <c r="AO18" s="48"/>
      <c r="AP18" s="48"/>
      <c r="AQ18" s="48"/>
      <c r="AR18" s="48"/>
      <c r="AS18" s="48"/>
    </row>
    <row r="19" spans="2:45" ht="14.25" customHeight="1" thickBot="1">
      <c r="B19" s="103" t="s">
        <v>120</v>
      </c>
      <c r="C19" s="153">
        <v>1828.6670000000004</v>
      </c>
      <c r="D19" s="153">
        <v>1487.7870000000003</v>
      </c>
      <c r="E19" s="153">
        <v>1671.7600000000002</v>
      </c>
      <c r="F19" s="153">
        <v>1375.9779999999996</v>
      </c>
      <c r="G19" s="153">
        <v>1432.3490000000004</v>
      </c>
      <c r="H19" s="153">
        <v>1377.2015082344665</v>
      </c>
      <c r="I19" s="153">
        <v>1540.3046226892134</v>
      </c>
      <c r="J19" s="153">
        <v>1564.0917080535078</v>
      </c>
      <c r="K19" s="312">
        <f t="shared" ref="K19:AC19" si="2">SUM(K12:K17)</f>
        <v>2499.9177448725359</v>
      </c>
      <c r="L19" s="312">
        <f t="shared" si="2"/>
        <v>2811.5276442901554</v>
      </c>
      <c r="M19" s="312">
        <f t="shared" si="2"/>
        <v>2829.5046540559833</v>
      </c>
      <c r="N19" s="312">
        <f t="shared" si="2"/>
        <v>2037.1089999999999</v>
      </c>
      <c r="O19" s="312">
        <f t="shared" si="2"/>
        <v>3041.18</v>
      </c>
      <c r="P19" s="312">
        <f t="shared" si="2"/>
        <v>2501</v>
      </c>
      <c r="Q19" s="312">
        <f t="shared" si="2"/>
        <v>2291.9360000000001</v>
      </c>
      <c r="R19" s="312">
        <f t="shared" si="2"/>
        <v>1665.1499999999996</v>
      </c>
      <c r="S19" s="312">
        <f t="shared" si="2"/>
        <v>1153.0539999999999</v>
      </c>
      <c r="T19" s="312">
        <f t="shared" si="2"/>
        <v>1358.7070000000001</v>
      </c>
      <c r="U19" s="312">
        <f t="shared" si="2"/>
        <v>1346</v>
      </c>
      <c r="V19" s="312">
        <f t="shared" si="2"/>
        <v>1707</v>
      </c>
      <c r="W19" s="312">
        <f t="shared" si="2"/>
        <v>2217.518</v>
      </c>
      <c r="X19" s="312">
        <f t="shared" si="2"/>
        <v>2296</v>
      </c>
      <c r="Y19" s="312">
        <f t="shared" si="2"/>
        <v>2983</v>
      </c>
      <c r="Z19" s="312">
        <f t="shared" si="2"/>
        <v>2360.694</v>
      </c>
      <c r="AA19" s="312">
        <f t="shared" si="2"/>
        <v>2908.0970000000007</v>
      </c>
      <c r="AB19" s="312">
        <f t="shared" si="2"/>
        <v>3580.8180000000011</v>
      </c>
      <c r="AC19" s="312">
        <f t="shared" si="2"/>
        <v>3395</v>
      </c>
      <c r="AD19" s="312">
        <f>SUM(AD12:AD17)</f>
        <v>3913</v>
      </c>
      <c r="AE19" s="312">
        <f>SUM(AE12:AE17)</f>
        <v>3574</v>
      </c>
      <c r="AF19" s="312">
        <f>SUM(AF12:AF17)</f>
        <v>3475</v>
      </c>
      <c r="AG19" s="312">
        <f>SUM(AG12:AG17)</f>
        <v>3278</v>
      </c>
      <c r="AH19" s="312">
        <f>SUM(AH12:AH17)</f>
        <v>3298</v>
      </c>
      <c r="AN19" s="48"/>
      <c r="AO19" s="48"/>
      <c r="AP19" s="48"/>
      <c r="AQ19" s="48"/>
      <c r="AR19" s="48"/>
      <c r="AS19" s="48"/>
    </row>
    <row r="20" spans="2:45" ht="14.25" customHeight="1" thickBot="1">
      <c r="B20" s="107"/>
      <c r="C20" s="154"/>
      <c r="D20" s="154"/>
      <c r="E20" s="154"/>
      <c r="F20" s="154"/>
      <c r="G20" s="154"/>
      <c r="H20" s="154"/>
      <c r="I20" s="154"/>
      <c r="J20" s="154"/>
      <c r="K20" s="154"/>
      <c r="L20" s="154"/>
      <c r="M20" s="154"/>
      <c r="N20" s="154"/>
      <c r="O20" s="154"/>
      <c r="P20" s="154"/>
      <c r="Q20" s="154"/>
      <c r="R20" s="154"/>
      <c r="S20" s="154"/>
      <c r="T20" s="154"/>
      <c r="U20" s="154"/>
      <c r="V20" s="315"/>
      <c r="W20" s="315"/>
      <c r="X20" s="315"/>
      <c r="Y20" s="315"/>
      <c r="Z20" s="315"/>
      <c r="AA20" s="505"/>
      <c r="AB20" s="315"/>
      <c r="AC20" s="315"/>
      <c r="AD20" s="315"/>
      <c r="AE20" s="315"/>
      <c r="AF20" s="315"/>
      <c r="AG20" s="315"/>
      <c r="AH20" s="315"/>
      <c r="AN20" s="48"/>
      <c r="AO20" s="48"/>
      <c r="AP20" s="48"/>
      <c r="AQ20" s="48"/>
      <c r="AR20" s="48"/>
      <c r="AS20" s="48"/>
    </row>
    <row r="21" spans="2:45" ht="14.4" thickBot="1">
      <c r="B21" s="108" t="s">
        <v>121</v>
      </c>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N21" s="48"/>
      <c r="AO21" s="48"/>
      <c r="AP21" s="48"/>
      <c r="AQ21" s="48"/>
      <c r="AR21" s="48"/>
      <c r="AS21" s="48"/>
    </row>
    <row r="22" spans="2:45" ht="13.8">
      <c r="B22" s="109" t="s">
        <v>122</v>
      </c>
      <c r="C22" s="156">
        <v>633.30700000000002</v>
      </c>
      <c r="D22" s="156">
        <v>614.63499999999999</v>
      </c>
      <c r="E22" s="156">
        <v>533.12400000000002</v>
      </c>
      <c r="F22" s="156">
        <v>514.22900000000004</v>
      </c>
      <c r="G22" s="156">
        <v>492.87799999999999</v>
      </c>
      <c r="H22" s="156">
        <v>474.45499999999993</v>
      </c>
      <c r="I22" s="156">
        <v>510.20900000000006</v>
      </c>
      <c r="J22" s="156">
        <v>491.90600000000001</v>
      </c>
      <c r="K22" s="156">
        <v>472.46100000000001</v>
      </c>
      <c r="L22" s="156">
        <v>495.80500000000006</v>
      </c>
      <c r="M22" s="156">
        <v>404.88100000000009</v>
      </c>
      <c r="N22" s="156">
        <v>219.61799999999999</v>
      </c>
      <c r="O22" s="156">
        <v>213.91900000000001</v>
      </c>
      <c r="P22" s="156">
        <v>209</v>
      </c>
      <c r="Q22" s="156">
        <v>175</v>
      </c>
      <c r="R22" s="156">
        <v>480</v>
      </c>
      <c r="S22" s="156">
        <v>482</v>
      </c>
      <c r="T22" s="156">
        <v>470.113</v>
      </c>
      <c r="U22" s="156">
        <v>441</v>
      </c>
      <c r="V22" s="316">
        <v>465</v>
      </c>
      <c r="W22" s="316">
        <v>493.56900000000002</v>
      </c>
      <c r="X22" s="316">
        <v>986</v>
      </c>
      <c r="Y22" s="316">
        <v>998</v>
      </c>
      <c r="Z22" s="316">
        <v>999.23316000000011</v>
      </c>
      <c r="AA22" s="506">
        <v>897.83840000000021</v>
      </c>
      <c r="AB22" s="316">
        <f>AB12*17%</f>
        <v>906.52551000000017</v>
      </c>
      <c r="AC22" s="316">
        <v>908.96</v>
      </c>
      <c r="AD22" s="316">
        <f>1403+28</f>
        <v>1431</v>
      </c>
      <c r="AE22" s="316">
        <v>1435.694</v>
      </c>
      <c r="AF22" s="316">
        <v>1399.2421076926075</v>
      </c>
      <c r="AG22" s="316">
        <v>1739</v>
      </c>
      <c r="AH22" s="316">
        <v>2540</v>
      </c>
      <c r="AN22" s="48"/>
      <c r="AO22" s="48"/>
      <c r="AP22" s="48"/>
      <c r="AQ22" s="48"/>
      <c r="AR22" s="48"/>
      <c r="AS22" s="48"/>
    </row>
    <row r="23" spans="2:45" ht="14.25" customHeight="1" thickBot="1">
      <c r="B23" s="110" t="s">
        <v>123</v>
      </c>
      <c r="C23" s="157">
        <v>2177.2689999999998</v>
      </c>
      <c r="D23" s="157">
        <v>1548.519</v>
      </c>
      <c r="E23" s="157">
        <v>1622.62</v>
      </c>
      <c r="F23" s="157">
        <v>1544.6379999999999</v>
      </c>
      <c r="G23" s="157">
        <v>1572.2840000000001</v>
      </c>
      <c r="H23" s="157">
        <v>1603.0280204179835</v>
      </c>
      <c r="I23" s="157">
        <v>1764.761</v>
      </c>
      <c r="J23" s="157">
        <v>1688.598</v>
      </c>
      <c r="K23" s="157">
        <v>2508.7883223078875</v>
      </c>
      <c r="L23" s="157">
        <v>2614.5823464129571</v>
      </c>
      <c r="M23" s="158">
        <v>2987.5370011837563</v>
      </c>
      <c r="N23" s="317">
        <f t="shared" ref="N23" si="3">N12-N22</f>
        <v>2726.8870000000002</v>
      </c>
      <c r="O23" s="317">
        <f t="shared" ref="O23:P23" si="4">O12-O22</f>
        <v>2992.3260000000005</v>
      </c>
      <c r="P23" s="317">
        <f t="shared" si="4"/>
        <v>2603</v>
      </c>
      <c r="Q23" s="317">
        <f t="shared" ref="Q23" si="5">Q12-Q22</f>
        <v>2858</v>
      </c>
      <c r="R23" s="317">
        <f t="shared" ref="R23:S23" si="6">R12-R22</f>
        <v>2626.0649999999996</v>
      </c>
      <c r="S23" s="317">
        <f t="shared" si="6"/>
        <v>2247.7159999999999</v>
      </c>
      <c r="T23" s="317">
        <f t="shared" ref="T23" si="7">T12-T22</f>
        <v>2407.7260000000001</v>
      </c>
      <c r="U23" s="317">
        <f t="shared" ref="U23:V23" si="8">U12-U22</f>
        <v>2602</v>
      </c>
      <c r="V23" s="317">
        <f t="shared" si="8"/>
        <v>2504</v>
      </c>
      <c r="W23" s="317">
        <f t="shared" ref="W23" si="9">W12-W22</f>
        <v>3141.6370000000002</v>
      </c>
      <c r="X23" s="317">
        <f t="shared" ref="X23:Y23" si="10">X12-X22</f>
        <v>2978</v>
      </c>
      <c r="Y23" s="317">
        <f t="shared" si="10"/>
        <v>3438</v>
      </c>
      <c r="Z23" s="317">
        <v>3345.25884</v>
      </c>
      <c r="AA23" s="317">
        <v>3591.3536000000008</v>
      </c>
      <c r="AB23" s="317">
        <f>AB12-AB22</f>
        <v>4425.9774900000002</v>
      </c>
      <c r="AC23" s="317">
        <f t="shared" ref="AC23:AD23" si="11">AC12-AC22</f>
        <v>3875.04</v>
      </c>
      <c r="AD23" s="317">
        <f t="shared" si="11"/>
        <v>3198</v>
      </c>
      <c r="AE23" s="317">
        <v>2426.0311999999999</v>
      </c>
      <c r="AF23" s="317">
        <v>2351.7578923073925</v>
      </c>
      <c r="AG23" s="568">
        <f>AG12-AG22</f>
        <v>2450</v>
      </c>
      <c r="AH23" s="317">
        <f>AH12-AH22</f>
        <v>1735</v>
      </c>
      <c r="AN23" s="48"/>
      <c r="AO23" s="48"/>
      <c r="AP23" s="48"/>
      <c r="AQ23" s="48"/>
      <c r="AR23" s="48"/>
      <c r="AS23" s="48"/>
    </row>
    <row r="24" spans="2:45" ht="13.8">
      <c r="B24" s="62"/>
      <c r="C24" s="159"/>
      <c r="D24" s="159"/>
      <c r="E24" s="159"/>
      <c r="F24" s="159"/>
      <c r="G24" s="104"/>
      <c r="H24" s="160"/>
      <c r="I24" s="160"/>
      <c r="J24" s="159"/>
      <c r="K24" s="159"/>
      <c r="L24" s="159"/>
      <c r="M24" s="159"/>
      <c r="N24" s="159"/>
      <c r="O24" s="159"/>
      <c r="P24" s="185"/>
      <c r="Q24" s="159"/>
      <c r="R24" s="159"/>
      <c r="S24" s="159"/>
      <c r="T24" s="159"/>
      <c r="U24" s="159"/>
      <c r="V24" s="159"/>
      <c r="W24" s="159"/>
      <c r="X24" s="159"/>
      <c r="Y24" s="159"/>
      <c r="Z24" s="159"/>
      <c r="AA24" s="159"/>
      <c r="AB24" s="159"/>
      <c r="AC24" s="159"/>
      <c r="AD24" s="185"/>
      <c r="AE24" s="185"/>
      <c r="AF24" s="185"/>
      <c r="AG24" s="185">
        <v>0</v>
      </c>
      <c r="AH24" s="185"/>
    </row>
    <row r="25" spans="2:45" ht="14.4" thickBot="1">
      <c r="B25" s="111" t="s">
        <v>124</v>
      </c>
      <c r="C25" s="103"/>
      <c r="D25" s="103"/>
      <c r="E25" s="103"/>
      <c r="F25" s="103"/>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row>
    <row r="26" spans="2:45" ht="14.25" customHeight="1">
      <c r="B26" s="112">
        <v>2018</v>
      </c>
      <c r="C26" s="162">
        <v>214.917</v>
      </c>
      <c r="D26" s="162">
        <v>143.67599999999999</v>
      </c>
      <c r="E26" s="162">
        <v>52.478999999999999</v>
      </c>
      <c r="F26" s="162">
        <v>0</v>
      </c>
      <c r="G26" s="162">
        <v>0</v>
      </c>
      <c r="H26" s="162">
        <v>0</v>
      </c>
      <c r="I26" s="162">
        <v>0</v>
      </c>
      <c r="J26" s="162">
        <v>0</v>
      </c>
      <c r="K26" s="162">
        <v>0</v>
      </c>
      <c r="L26" s="162">
        <v>0</v>
      </c>
      <c r="M26" s="162">
        <v>0</v>
      </c>
      <c r="N26" s="162">
        <v>0</v>
      </c>
      <c r="O26" s="162">
        <v>0</v>
      </c>
      <c r="P26" s="162">
        <v>0</v>
      </c>
      <c r="Q26" s="162">
        <v>0</v>
      </c>
      <c r="R26" s="162">
        <v>0</v>
      </c>
      <c r="S26" s="162">
        <v>0</v>
      </c>
      <c r="T26" s="162">
        <v>0</v>
      </c>
      <c r="U26" s="162">
        <v>0</v>
      </c>
      <c r="V26" s="318">
        <v>0</v>
      </c>
      <c r="W26" s="318">
        <v>0</v>
      </c>
      <c r="X26" s="318">
        <v>0</v>
      </c>
      <c r="Y26" s="318">
        <v>0</v>
      </c>
      <c r="Z26" s="318">
        <v>0</v>
      </c>
      <c r="AA26" s="507">
        <v>0</v>
      </c>
      <c r="AB26" s="318">
        <v>0</v>
      </c>
      <c r="AC26" s="318">
        <v>0</v>
      </c>
      <c r="AD26" s="318">
        <v>0</v>
      </c>
      <c r="AE26" s="318">
        <v>0</v>
      </c>
      <c r="AF26" s="318">
        <v>0</v>
      </c>
      <c r="AG26" s="318">
        <v>0</v>
      </c>
      <c r="AH26" s="318">
        <v>0</v>
      </c>
    </row>
    <row r="27" spans="2:45" ht="14.25" customHeight="1">
      <c r="B27" s="112">
        <v>2019</v>
      </c>
      <c r="C27" s="162">
        <v>125.113</v>
      </c>
      <c r="D27" s="162">
        <v>128.36699999999999</v>
      </c>
      <c r="E27" s="162">
        <v>136.99199999999999</v>
      </c>
      <c r="F27" s="162">
        <v>118.095</v>
      </c>
      <c r="G27" s="162">
        <v>114.61779442034361</v>
      </c>
      <c r="H27" s="162">
        <v>86.747</v>
      </c>
      <c r="I27" s="162">
        <v>61.167051490514908</v>
      </c>
      <c r="J27" s="162">
        <v>0</v>
      </c>
      <c r="K27" s="162">
        <v>0</v>
      </c>
      <c r="L27" s="162">
        <v>0</v>
      </c>
      <c r="M27" s="162">
        <v>0</v>
      </c>
      <c r="N27" s="162">
        <v>0</v>
      </c>
      <c r="O27" s="162">
        <v>0</v>
      </c>
      <c r="P27" s="162">
        <v>0</v>
      </c>
      <c r="Q27" s="162">
        <v>0</v>
      </c>
      <c r="R27" s="162">
        <v>0</v>
      </c>
      <c r="S27" s="162">
        <v>0</v>
      </c>
      <c r="T27" s="162">
        <v>0</v>
      </c>
      <c r="U27" s="162">
        <v>0</v>
      </c>
      <c r="V27" s="318">
        <v>0</v>
      </c>
      <c r="W27" s="318">
        <v>0</v>
      </c>
      <c r="X27" s="318">
        <v>0</v>
      </c>
      <c r="Y27" s="318">
        <v>0</v>
      </c>
      <c r="Z27" s="318">
        <v>0</v>
      </c>
      <c r="AA27" s="507">
        <v>0</v>
      </c>
      <c r="AB27" s="318">
        <v>0</v>
      </c>
      <c r="AC27" s="318">
        <v>0</v>
      </c>
      <c r="AD27" s="318">
        <v>0</v>
      </c>
      <c r="AE27" s="318">
        <v>0</v>
      </c>
      <c r="AF27" s="318">
        <v>0</v>
      </c>
      <c r="AG27" s="318">
        <v>0</v>
      </c>
      <c r="AH27" s="318">
        <v>0</v>
      </c>
    </row>
    <row r="28" spans="2:45" ht="14.25" customHeight="1">
      <c r="B28" s="112">
        <v>2020</v>
      </c>
      <c r="C28" s="162">
        <v>106.904</v>
      </c>
      <c r="D28" s="162">
        <v>109.70399999999999</v>
      </c>
      <c r="E28" s="162">
        <v>117.858</v>
      </c>
      <c r="F28" s="162">
        <v>112.489</v>
      </c>
      <c r="G28" s="162">
        <v>112.79650540505985</v>
      </c>
      <c r="H28" s="162">
        <v>112.901</v>
      </c>
      <c r="I28" s="162">
        <v>113.215</v>
      </c>
      <c r="J28" s="162">
        <v>126.48399999999999</v>
      </c>
      <c r="K28" s="162">
        <v>135.39058413639734</v>
      </c>
      <c r="L28" s="162">
        <v>66.585091650508829</v>
      </c>
      <c r="M28" s="162">
        <v>50.231518297236747</v>
      </c>
      <c r="N28" s="162">
        <v>0</v>
      </c>
      <c r="O28" s="162">
        <v>0</v>
      </c>
      <c r="P28" s="162">
        <v>0</v>
      </c>
      <c r="Q28" s="162">
        <v>0</v>
      </c>
      <c r="R28" s="162">
        <v>0</v>
      </c>
      <c r="S28" s="162">
        <v>0</v>
      </c>
      <c r="T28" s="162">
        <v>0</v>
      </c>
      <c r="U28" s="162">
        <v>0</v>
      </c>
      <c r="V28" s="318">
        <v>0</v>
      </c>
      <c r="W28" s="318">
        <v>0</v>
      </c>
      <c r="X28" s="318">
        <v>0</v>
      </c>
      <c r="Y28" s="318">
        <v>0</v>
      </c>
      <c r="Z28" s="318">
        <v>0</v>
      </c>
      <c r="AA28" s="507">
        <v>0</v>
      </c>
      <c r="AB28" s="318">
        <v>0</v>
      </c>
      <c r="AC28" s="318">
        <v>0</v>
      </c>
      <c r="AD28" s="318">
        <v>0</v>
      </c>
      <c r="AE28" s="318">
        <v>0</v>
      </c>
      <c r="AF28" s="318">
        <v>0</v>
      </c>
      <c r="AG28" s="318">
        <v>0</v>
      </c>
      <c r="AH28" s="318">
        <v>0</v>
      </c>
    </row>
    <row r="29" spans="2:45" ht="14.25" customHeight="1">
      <c r="B29" s="280">
        <v>2021</v>
      </c>
      <c r="C29" s="151">
        <v>893.37300000000005</v>
      </c>
      <c r="D29" s="151">
        <v>98.006</v>
      </c>
      <c r="E29" s="151">
        <v>105.518</v>
      </c>
      <c r="F29" s="151">
        <v>109.76</v>
      </c>
      <c r="G29" s="151">
        <v>110.05271779526474</v>
      </c>
      <c r="H29" s="151">
        <v>110.14</v>
      </c>
      <c r="I29" s="151">
        <v>116.337</v>
      </c>
      <c r="J29" s="151">
        <v>117.325</v>
      </c>
      <c r="K29" s="151">
        <v>118.68951890289104</v>
      </c>
      <c r="L29" s="151">
        <v>139.43615139158186</v>
      </c>
      <c r="M29" s="151">
        <v>113.85479014189693</v>
      </c>
      <c r="N29" s="151">
        <v>63.84</v>
      </c>
      <c r="O29" s="151">
        <v>86.688999999999993</v>
      </c>
      <c r="P29" s="151">
        <v>55</v>
      </c>
      <c r="Q29" s="151">
        <v>47</v>
      </c>
      <c r="R29" s="151">
        <v>0</v>
      </c>
      <c r="S29" s="151">
        <v>0</v>
      </c>
      <c r="T29" s="151">
        <v>0</v>
      </c>
      <c r="U29" s="151">
        <v>0</v>
      </c>
      <c r="V29" s="313">
        <v>0</v>
      </c>
      <c r="W29" s="313">
        <v>0</v>
      </c>
      <c r="X29" s="313">
        <v>0</v>
      </c>
      <c r="Y29" s="313">
        <v>0</v>
      </c>
      <c r="Z29" s="313">
        <v>0</v>
      </c>
      <c r="AA29" s="503">
        <v>0</v>
      </c>
      <c r="AB29" s="313">
        <v>0</v>
      </c>
      <c r="AC29" s="313">
        <v>0</v>
      </c>
      <c r="AD29" s="313">
        <v>0</v>
      </c>
      <c r="AE29" s="313">
        <v>0</v>
      </c>
      <c r="AF29" s="313">
        <v>0</v>
      </c>
      <c r="AG29" s="313">
        <v>0</v>
      </c>
      <c r="AH29" s="313">
        <v>0</v>
      </c>
    </row>
    <row r="30" spans="2:45" ht="14.25" customHeight="1">
      <c r="B30" s="112">
        <v>2022</v>
      </c>
      <c r="C30" s="162">
        <v>66.046999999999997</v>
      </c>
      <c r="D30" s="162">
        <v>66.283000000000001</v>
      </c>
      <c r="E30" s="162">
        <v>66.453000000000003</v>
      </c>
      <c r="F30" s="162">
        <v>70.388000000000005</v>
      </c>
      <c r="G30" s="162">
        <v>70.48438918115987</v>
      </c>
      <c r="H30" s="162">
        <v>70.361999999999995</v>
      </c>
      <c r="I30" s="162">
        <v>76.915999999999997</v>
      </c>
      <c r="J30" s="162">
        <v>76.816000000000003</v>
      </c>
      <c r="K30" s="162">
        <v>76.401518902891027</v>
      </c>
      <c r="L30" s="162">
        <v>83.625151391581866</v>
      </c>
      <c r="M30" s="162">
        <v>72.250790141896928</v>
      </c>
      <c r="N30" s="162">
        <v>42.707000000000001</v>
      </c>
      <c r="O30" s="162">
        <v>42.728000000000002</v>
      </c>
      <c r="P30" s="162">
        <v>42</v>
      </c>
      <c r="Q30" s="162">
        <v>43</v>
      </c>
      <c r="R30" s="162">
        <v>69</v>
      </c>
      <c r="S30" s="162">
        <v>88</v>
      </c>
      <c r="T30" s="162">
        <v>59.398000000000003</v>
      </c>
      <c r="U30" s="162">
        <v>47</v>
      </c>
      <c r="V30" s="318">
        <v>0</v>
      </c>
      <c r="W30" s="318">
        <v>0</v>
      </c>
      <c r="X30" s="318">
        <v>0</v>
      </c>
      <c r="Y30" s="318">
        <v>0</v>
      </c>
      <c r="Z30" s="318">
        <v>0</v>
      </c>
      <c r="AA30" s="507">
        <v>0</v>
      </c>
      <c r="AB30" s="318">
        <v>0</v>
      </c>
      <c r="AC30" s="318">
        <v>0</v>
      </c>
      <c r="AD30" s="318">
        <v>0</v>
      </c>
      <c r="AE30" s="318">
        <v>0</v>
      </c>
      <c r="AF30" s="318">
        <v>0</v>
      </c>
      <c r="AG30" s="318">
        <v>0</v>
      </c>
      <c r="AH30" s="318">
        <v>0</v>
      </c>
    </row>
    <row r="31" spans="2:45" ht="14.25" customHeight="1">
      <c r="B31" s="113">
        <v>2023</v>
      </c>
      <c r="C31" s="151">
        <v>23.108000000000001</v>
      </c>
      <c r="D31" s="151">
        <v>23.132999999999999</v>
      </c>
      <c r="E31" s="151">
        <v>23.157</v>
      </c>
      <c r="F31" s="151">
        <v>27.06</v>
      </c>
      <c r="G31" s="151">
        <v>27.127402451275177</v>
      </c>
      <c r="H31" s="151">
        <v>26.995000000000001</v>
      </c>
      <c r="I31" s="151">
        <v>33.548000000000002</v>
      </c>
      <c r="J31" s="151">
        <v>33.548000000000002</v>
      </c>
      <c r="K31" s="151">
        <v>98.008573758339509</v>
      </c>
      <c r="L31" s="151">
        <v>105.60658181248876</v>
      </c>
      <c r="M31" s="151">
        <v>99.94528304705004</v>
      </c>
      <c r="N31" s="151">
        <v>78.501000000000005</v>
      </c>
      <c r="O31" s="151">
        <v>88.165999999999997</v>
      </c>
      <c r="P31" s="151">
        <v>69</v>
      </c>
      <c r="Q31" s="151">
        <v>74</v>
      </c>
      <c r="R31" s="151">
        <v>82</v>
      </c>
      <c r="S31" s="151">
        <v>72</v>
      </c>
      <c r="T31" s="151">
        <v>78.141000000000005</v>
      </c>
      <c r="U31" s="151">
        <v>84</v>
      </c>
      <c r="V31" s="313">
        <v>108</v>
      </c>
      <c r="W31" s="313">
        <v>119.77200000000001</v>
      </c>
      <c r="X31" s="313">
        <v>100</v>
      </c>
      <c r="Y31" s="313">
        <v>65</v>
      </c>
      <c r="Z31" s="313">
        <v>0</v>
      </c>
      <c r="AA31" s="503">
        <v>0</v>
      </c>
      <c r="AB31" s="313">
        <v>0</v>
      </c>
      <c r="AC31" s="313">
        <v>0</v>
      </c>
      <c r="AD31" s="313">
        <v>0</v>
      </c>
      <c r="AE31" s="313">
        <v>0</v>
      </c>
      <c r="AF31" s="313">
        <v>0</v>
      </c>
      <c r="AG31" s="313">
        <v>0</v>
      </c>
      <c r="AH31" s="313">
        <v>0</v>
      </c>
    </row>
    <row r="32" spans="2:45" ht="13.8">
      <c r="B32" s="112">
        <v>2024</v>
      </c>
      <c r="C32" s="162">
        <v>1350.5450000000001</v>
      </c>
      <c r="D32" s="162">
        <v>1563.3720000000001</v>
      </c>
      <c r="E32" s="162">
        <v>1622.6320000000001</v>
      </c>
      <c r="F32" s="162">
        <v>1574.896</v>
      </c>
      <c r="G32" s="162">
        <v>1583.7245524304415</v>
      </c>
      <c r="H32" s="162">
        <v>575.98500000000001</v>
      </c>
      <c r="I32" s="162">
        <v>630.34900000000005</v>
      </c>
      <c r="J32" s="162">
        <v>611.10599999999999</v>
      </c>
      <c r="K32" s="162">
        <v>778.69251890289104</v>
      </c>
      <c r="L32" s="162">
        <v>822.57915139158183</v>
      </c>
      <c r="M32" s="162">
        <v>1102.468790141897</v>
      </c>
      <c r="N32" s="162">
        <v>1000.747</v>
      </c>
      <c r="O32" s="162">
        <v>1070.9949999999999</v>
      </c>
      <c r="P32" s="162">
        <v>942</v>
      </c>
      <c r="Q32" s="162">
        <v>1023</v>
      </c>
      <c r="R32" s="162">
        <v>776</v>
      </c>
      <c r="S32" s="162">
        <v>662</v>
      </c>
      <c r="T32" s="162">
        <v>671.92399999999998</v>
      </c>
      <c r="U32" s="162">
        <v>269</v>
      </c>
      <c r="V32" s="318">
        <v>260</v>
      </c>
      <c r="W32" s="318">
        <v>256.56799999999998</v>
      </c>
      <c r="X32" s="318">
        <v>250</v>
      </c>
      <c r="Y32" s="318">
        <v>53</v>
      </c>
      <c r="Z32" s="318">
        <v>103</v>
      </c>
      <c r="AA32" s="507">
        <v>265</v>
      </c>
      <c r="AB32" s="318">
        <v>246</v>
      </c>
      <c r="AC32" s="318">
        <v>215</v>
      </c>
      <c r="AD32" s="318">
        <v>0</v>
      </c>
      <c r="AE32" s="318">
        <v>0</v>
      </c>
      <c r="AF32" s="318">
        <v>0</v>
      </c>
      <c r="AG32" s="318">
        <v>0</v>
      </c>
      <c r="AH32" s="318">
        <v>0</v>
      </c>
    </row>
    <row r="33" spans="2:34" ht="14.25" customHeight="1">
      <c r="B33" s="113">
        <v>2025</v>
      </c>
      <c r="C33" s="151">
        <v>17.468</v>
      </c>
      <c r="D33" s="151">
        <v>17.492999999999999</v>
      </c>
      <c r="E33" s="151">
        <v>17.516999999999999</v>
      </c>
      <c r="F33" s="151">
        <v>21.42</v>
      </c>
      <c r="G33" s="151">
        <v>21.487583494617226</v>
      </c>
      <c r="H33" s="151">
        <v>420.40600000000001</v>
      </c>
      <c r="I33" s="151">
        <v>481.68980397470642</v>
      </c>
      <c r="J33" s="151">
        <v>460.959</v>
      </c>
      <c r="K33" s="151">
        <v>590.42031504818385</v>
      </c>
      <c r="L33" s="151">
        <v>625.80744744505387</v>
      </c>
      <c r="M33" s="151">
        <v>645.52986855862582</v>
      </c>
      <c r="N33" s="151">
        <v>583.21900000000005</v>
      </c>
      <c r="O33" s="151">
        <v>638.28499999999997</v>
      </c>
      <c r="P33" s="151">
        <v>562</v>
      </c>
      <c r="Q33" s="151">
        <v>610</v>
      </c>
      <c r="R33" s="151">
        <v>631</v>
      </c>
      <c r="S33" s="151">
        <v>538</v>
      </c>
      <c r="T33" s="151">
        <v>593.68600000000004</v>
      </c>
      <c r="U33" s="151">
        <v>612</v>
      </c>
      <c r="V33" s="313">
        <v>592</v>
      </c>
      <c r="W33" s="313">
        <v>581.81200000000001</v>
      </c>
      <c r="X33" s="313">
        <v>553</v>
      </c>
      <c r="Y33" s="313">
        <v>43</v>
      </c>
      <c r="Z33" s="313">
        <v>44</v>
      </c>
      <c r="AA33" s="503">
        <v>41</v>
      </c>
      <c r="AB33" s="313">
        <v>55</v>
      </c>
      <c r="AC33" s="313">
        <v>70</v>
      </c>
      <c r="AD33" s="313">
        <v>117</v>
      </c>
      <c r="AE33" s="318">
        <v>81.638000000000005</v>
      </c>
      <c r="AF33" s="318">
        <v>78.485932721488638</v>
      </c>
      <c r="AG33" s="318">
        <v>51</v>
      </c>
      <c r="AH33" s="318">
        <v>0</v>
      </c>
    </row>
    <row r="34" spans="2:34" ht="13.8">
      <c r="B34" s="112">
        <v>2026</v>
      </c>
      <c r="C34" s="162">
        <v>13.101000000000001</v>
      </c>
      <c r="D34" s="162">
        <v>13.12</v>
      </c>
      <c r="E34" s="162">
        <v>13.138</v>
      </c>
      <c r="F34" s="162">
        <v>17.030999999999999</v>
      </c>
      <c r="G34" s="162">
        <v>17.087569077212919</v>
      </c>
      <c r="H34" s="162">
        <v>450.00400000000002</v>
      </c>
      <c r="I34" s="162">
        <v>477.2868039747064</v>
      </c>
      <c r="J34" s="162">
        <v>456.55599999999998</v>
      </c>
      <c r="K34" s="162">
        <v>586.01731504818383</v>
      </c>
      <c r="L34" s="162">
        <v>620.99144744505384</v>
      </c>
      <c r="M34" s="162">
        <v>641.1268685586258</v>
      </c>
      <c r="N34" s="162">
        <v>583.21900000000005</v>
      </c>
      <c r="O34" s="162">
        <v>638.28499999999997</v>
      </c>
      <c r="P34" s="162">
        <v>562</v>
      </c>
      <c r="Q34" s="162">
        <v>610</v>
      </c>
      <c r="R34" s="162">
        <v>631</v>
      </c>
      <c r="S34" s="162">
        <v>538</v>
      </c>
      <c r="T34" s="162">
        <v>593.68600000000004</v>
      </c>
      <c r="U34" s="162">
        <v>612</v>
      </c>
      <c r="V34" s="318">
        <v>596</v>
      </c>
      <c r="W34" s="318">
        <v>590.58199999999999</v>
      </c>
      <c r="X34" s="318">
        <v>562</v>
      </c>
      <c r="Y34" s="318">
        <v>52</v>
      </c>
      <c r="Z34" s="318">
        <v>56</v>
      </c>
      <c r="AA34" s="507">
        <v>50</v>
      </c>
      <c r="AB34" s="318">
        <v>54</v>
      </c>
      <c r="AC34" s="318">
        <v>54</v>
      </c>
      <c r="AD34" s="318">
        <v>60</v>
      </c>
      <c r="AE34" s="313">
        <v>54.323999999999998</v>
      </c>
      <c r="AF34" s="313">
        <v>52.612972771615276</v>
      </c>
      <c r="AG34" s="313">
        <v>79</v>
      </c>
      <c r="AH34" s="318">
        <v>136</v>
      </c>
    </row>
    <row r="35" spans="2:34" ht="13.8">
      <c r="B35" s="112">
        <v>2027</v>
      </c>
      <c r="C35" s="163">
        <v>0</v>
      </c>
      <c r="D35" s="163">
        <v>0</v>
      </c>
      <c r="E35" s="163">
        <v>0</v>
      </c>
      <c r="F35" s="162">
        <v>7.7279999999996107</v>
      </c>
      <c r="G35" s="162">
        <v>7.7750516500000009</v>
      </c>
      <c r="H35" s="162">
        <v>224</v>
      </c>
      <c r="I35" s="162">
        <v>284.46134056007224</v>
      </c>
      <c r="J35" s="162">
        <v>297.7098652335078</v>
      </c>
      <c r="K35" s="162">
        <v>598</v>
      </c>
      <c r="L35" s="162">
        <v>645.75632388510928</v>
      </c>
      <c r="M35" s="162">
        <v>666.61409111277078</v>
      </c>
      <c r="N35" s="162">
        <v>594.27199999999993</v>
      </c>
      <c r="O35" s="162">
        <v>641.09700000000066</v>
      </c>
      <c r="P35" s="162">
        <v>580</v>
      </c>
      <c r="Q35" s="162">
        <v>626</v>
      </c>
      <c r="R35" s="162">
        <v>917</v>
      </c>
      <c r="S35" s="162">
        <v>832</v>
      </c>
      <c r="T35" s="162">
        <v>880.89400000000001</v>
      </c>
      <c r="U35" s="162">
        <v>1419</v>
      </c>
      <c r="V35" s="318">
        <v>1413</v>
      </c>
      <c r="W35" s="318">
        <v>2086</v>
      </c>
      <c r="X35" s="318">
        <v>2499</v>
      </c>
      <c r="Y35" s="318">
        <v>4223</v>
      </c>
      <c r="Z35" s="318">
        <v>4141</v>
      </c>
      <c r="AA35" s="507">
        <v>4133</v>
      </c>
      <c r="AB35" s="318">
        <v>4977</v>
      </c>
      <c r="AC35" s="318">
        <v>4445</v>
      </c>
      <c r="AD35" s="318">
        <v>4335</v>
      </c>
      <c r="AE35" s="318">
        <v>3725.7620000000002</v>
      </c>
      <c r="AF35" s="318">
        <v>3620.120610459669</v>
      </c>
      <c r="AG35" s="318">
        <v>4059</v>
      </c>
      <c r="AH35" s="318">
        <v>220</v>
      </c>
    </row>
    <row r="36" spans="2:34" ht="13.8">
      <c r="B36" s="114">
        <v>2028</v>
      </c>
      <c r="C36" s="578"/>
      <c r="D36" s="578"/>
      <c r="E36" s="578"/>
      <c r="F36" s="165"/>
      <c r="G36" s="165"/>
      <c r="H36" s="165"/>
      <c r="I36" s="165"/>
      <c r="J36" s="165"/>
      <c r="K36" s="165"/>
      <c r="L36" s="165"/>
      <c r="M36" s="165"/>
      <c r="N36" s="165"/>
      <c r="O36" s="165"/>
      <c r="P36" s="165"/>
      <c r="Q36" s="165"/>
      <c r="R36" s="165"/>
      <c r="S36" s="165"/>
      <c r="T36" s="165"/>
      <c r="U36" s="165"/>
      <c r="V36" s="319"/>
      <c r="W36" s="318">
        <v>0</v>
      </c>
      <c r="X36" s="318">
        <v>0</v>
      </c>
      <c r="Y36" s="318">
        <v>0</v>
      </c>
      <c r="Z36" s="318">
        <v>0</v>
      </c>
      <c r="AA36" s="318">
        <v>0</v>
      </c>
      <c r="AB36" s="318">
        <v>0</v>
      </c>
      <c r="AC36" s="318">
        <v>0</v>
      </c>
      <c r="AD36" s="318">
        <v>0</v>
      </c>
      <c r="AE36" s="318">
        <v>0</v>
      </c>
      <c r="AF36" s="318">
        <v>0</v>
      </c>
      <c r="AG36" s="318">
        <v>0</v>
      </c>
      <c r="AH36" s="319">
        <v>314</v>
      </c>
    </row>
    <row r="37" spans="2:34" ht="13.8">
      <c r="B37" s="114" t="s">
        <v>553</v>
      </c>
      <c r="C37" s="164"/>
      <c r="D37" s="164"/>
      <c r="E37" s="164"/>
      <c r="F37" s="165"/>
      <c r="G37" s="164"/>
      <c r="H37" s="164"/>
      <c r="I37" s="164"/>
      <c r="J37" s="165"/>
      <c r="K37" s="164"/>
      <c r="L37" s="164"/>
      <c r="M37" s="164"/>
      <c r="N37" s="165"/>
      <c r="O37" s="165"/>
      <c r="P37" s="165"/>
      <c r="Q37" s="165"/>
      <c r="R37" s="165"/>
      <c r="S37" s="165"/>
      <c r="T37" s="165"/>
      <c r="U37" s="165"/>
      <c r="V37" s="319"/>
      <c r="W37" s="318">
        <v>0</v>
      </c>
      <c r="X37" s="318">
        <v>0</v>
      </c>
      <c r="Y37" s="318">
        <v>0</v>
      </c>
      <c r="Z37" s="318">
        <v>0</v>
      </c>
      <c r="AA37" s="318">
        <v>0</v>
      </c>
      <c r="AB37" s="318">
        <v>0</v>
      </c>
      <c r="AC37" s="318">
        <v>0</v>
      </c>
      <c r="AD37" s="318">
        <v>0</v>
      </c>
      <c r="AE37" s="318">
        <v>0</v>
      </c>
      <c r="AF37" s="318">
        <v>0</v>
      </c>
      <c r="AG37" s="318">
        <v>0</v>
      </c>
      <c r="AH37" s="319">
        <v>3605</v>
      </c>
    </row>
    <row r="38" spans="2:34" ht="28.2" thickBot="1">
      <c r="B38" s="115" t="s">
        <v>302</v>
      </c>
      <c r="C38" s="166">
        <v>2.91</v>
      </c>
      <c r="D38" s="166">
        <v>2.2799999999999998</v>
      </c>
      <c r="E38" s="166">
        <v>2.2799999999999998</v>
      </c>
      <c r="F38" s="166">
        <v>1.405580940181155</v>
      </c>
      <c r="G38" s="166">
        <v>1.4783538948539607</v>
      </c>
      <c r="H38" s="166">
        <v>1.3100197646442173</v>
      </c>
      <c r="I38" s="166">
        <v>1.6184753643100227</v>
      </c>
      <c r="J38" s="166">
        <v>1.5827587649270576</v>
      </c>
      <c r="K38" s="166">
        <v>2.7144281433271038</v>
      </c>
      <c r="L38" s="166">
        <v>3.7590635047392693</v>
      </c>
      <c r="M38" s="166">
        <v>3.637699663750833</v>
      </c>
      <c r="N38" s="166">
        <v>3.0779106380921304</v>
      </c>
      <c r="O38" s="166">
        <v>3.5345095491508451</v>
      </c>
      <c r="P38" s="166">
        <v>2.3783882519036612</v>
      </c>
      <c r="Q38" s="166">
        <v>1.9009226333591633</v>
      </c>
      <c r="R38" s="166">
        <v>1.0830920174527963</v>
      </c>
      <c r="S38" s="166">
        <v>0.67</v>
      </c>
      <c r="T38" s="166">
        <v>0.67666409854035114</v>
      </c>
      <c r="U38" s="166">
        <v>0.67</v>
      </c>
      <c r="V38" s="320">
        <v>1.0492024954669781</v>
      </c>
      <c r="W38" s="320">
        <v>1.9129874768542676</v>
      </c>
      <c r="X38" s="320">
        <v>3.877127023188164</v>
      </c>
      <c r="Y38" s="320">
        <v>9.7203802125253809</v>
      </c>
      <c r="Z38" s="320">
        <v>7.7</v>
      </c>
      <c r="AA38" s="508">
        <v>7.89</v>
      </c>
      <c r="AB38" s="320">
        <v>5.66</v>
      </c>
      <c r="AC38" s="320">
        <f>AC19/SUM('9 - Financial Statements'!Z35:AC35)</f>
        <v>3.4052361398363478</v>
      </c>
      <c r="AD38" s="320">
        <f>AD19/SUM('9 - Financial Statements'!AA35:AD35)</f>
        <v>2.8336899886666882</v>
      </c>
      <c r="AE38" s="320">
        <f>AE19/SUM('9 - Financial Statements'!AB35:AE35)</f>
        <v>2.146952726792156</v>
      </c>
      <c r="AF38" s="320">
        <f>AF19/SUM('9 - Financial Statements'!AC35:AF35)</f>
        <v>2.2939670975804094</v>
      </c>
      <c r="AG38" s="320">
        <f>AG19/SUM('9 - Financial Statements'!AD35:AG35)</f>
        <v>2.4474101726551565</v>
      </c>
      <c r="AH38" s="320">
        <f>AH19/SUM('9 - Financial Statements'!AE35:AI35)</f>
        <v>2.971171171171171</v>
      </c>
    </row>
    <row r="40" spans="2:34">
      <c r="O40" s="239"/>
      <c r="P40" s="239"/>
      <c r="Q40" s="239"/>
      <c r="R40" s="239"/>
      <c r="S40" s="239"/>
      <c r="T40" s="239"/>
      <c r="U40" s="239"/>
      <c r="V40" s="239"/>
      <c r="W40" s="239"/>
      <c r="X40" s="239"/>
      <c r="Y40" s="239"/>
      <c r="Z40" s="239"/>
      <c r="AA40" s="239"/>
      <c r="AB40" s="239"/>
      <c r="AC40" s="239"/>
      <c r="AD40" s="239"/>
      <c r="AE40" s="239"/>
      <c r="AF40" s="239"/>
      <c r="AG40" s="239"/>
      <c r="AH40" s="239"/>
    </row>
    <row r="41" spans="2:34">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row>
    <row r="42" spans="2:34">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row>
    <row r="43" spans="2:34">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row>
    <row r="44" spans="2:34">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row>
  </sheetData>
  <phoneticPr fontId="87" type="noConversion"/>
  <pageMargins left="0.19" right="0.18" top="0.57999999999999996" bottom="0.98425196850393704" header="0.51181102362204722" footer="0.51181102362204722"/>
  <pageSetup paperSize="9" fitToHeight="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D8802D61BBECF4995C6758F40F56FC7" ma:contentTypeVersion="16" ma:contentTypeDescription="Crie um novo documento." ma:contentTypeScope="" ma:versionID="e2bc45790230ca9cc87d871904bcf169">
  <xsd:schema xmlns:xsd="http://www.w3.org/2001/XMLSchema" xmlns:xs="http://www.w3.org/2001/XMLSchema" xmlns:p="http://schemas.microsoft.com/office/2006/metadata/properties" xmlns:ns2="94b803e3-f83d-4918-a1c7-8e980dad5177" xmlns:ns3="76f07393-c221-4977-b1e0-abf988eb7d1a" targetNamespace="http://schemas.microsoft.com/office/2006/metadata/properties" ma:root="true" ma:fieldsID="fe8df1b34fbfeb73d25744191fa04c53" ns2:_="" ns3:_="">
    <xsd:import namespace="94b803e3-f83d-4918-a1c7-8e980dad5177"/>
    <xsd:import namespace="76f07393-c221-4977-b1e0-abf988eb7d1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ata_x002f_Hora"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b803e3-f83d-4918-a1c7-8e980dad5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3a177a3f-a282-46a4-a36e-c8c89ca2b67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Data_x002f_Hora" ma:index="22" nillable="true" ma:displayName="Data/Hora" ma:format="DateOnly" ma:internalName="Data_x002f_Hora">
      <xsd:simpleType>
        <xsd:restriction base="dms:DateTim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f07393-c221-4977-b1e0-abf988eb7d1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79877da-7f12-4c65-bf90-96bb298df4ae}" ma:internalName="TaxCatchAll" ma:showField="CatchAllData" ma:web="76f07393-c221-4977-b1e0-abf988eb7d1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a_x002f_Hora xmlns="94b803e3-f83d-4918-a1c7-8e980dad5177" xsi:nil="true"/>
    <TaxCatchAll xmlns="76f07393-c221-4977-b1e0-abf988eb7d1a" xsi:nil="true"/>
    <lcf76f155ced4ddcb4097134ff3c332f xmlns="94b803e3-f83d-4918-a1c7-8e980dad517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75C51F-D0F8-43CF-9E23-046C026D3FB4}">
  <ds:schemaRefs>
    <ds:schemaRef ds:uri="http://schemas.microsoft.com/sharepoint/v3/contenttype/forms"/>
  </ds:schemaRefs>
</ds:datastoreItem>
</file>

<file path=customXml/itemProps2.xml><?xml version="1.0" encoding="utf-8"?>
<ds:datastoreItem xmlns:ds="http://schemas.openxmlformats.org/officeDocument/2006/customXml" ds:itemID="{5E6013F6-DE61-4090-ABF3-64B533E54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b803e3-f83d-4918-a1c7-8e980dad5177"/>
    <ds:schemaRef ds:uri="76f07393-c221-4977-b1e0-abf988eb7d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FA92D2-0A72-41B8-8E6D-A8EA6B0FFADF}">
  <ds:schemaRefs>
    <ds:schemaRef ds:uri="http://www.w3.org/XML/1998/namespace"/>
    <ds:schemaRef ds:uri="http://purl.org/dc/dcmitype/"/>
    <ds:schemaRef ds:uri="76f07393-c221-4977-b1e0-abf988eb7d1a"/>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94b803e3-f83d-4918-a1c7-8e980dad5177"/>
  </ds:schemaRefs>
</ds:datastoreItem>
</file>

<file path=docMetadata/LabelInfo.xml><?xml version="1.0" encoding="utf-8"?>
<clbl:labelList xmlns:clbl="http://schemas.microsoft.com/office/2020/mipLabelMetadata">
  <clbl:label id="{93d9a9d5-f325-4808-83f1-8973a17e74d1}" enabled="1" method="Privileged" siteId="{49158df8-04df-4db2-a1ae-ee3949ca398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11</vt:i4>
      </vt:variant>
    </vt:vector>
  </HeadingPairs>
  <TitlesOfParts>
    <vt:vector size="27" baseType="lpstr">
      <vt:lpstr>Cover</vt:lpstr>
      <vt:lpstr>1 - Assumptions</vt:lpstr>
      <vt:lpstr>2 - Value Chain</vt:lpstr>
      <vt:lpstr>3 - ESG</vt:lpstr>
      <vt:lpstr>4 - Capacity and Utilization</vt:lpstr>
      <vt:lpstr>5 - Energy</vt:lpstr>
      <vt:lpstr>6 - Power Balance &amp; Result</vt:lpstr>
      <vt:lpstr>7 - Sales Volume</vt:lpstr>
      <vt:lpstr>8 - Debt</vt:lpstr>
      <vt:lpstr>9 - Financial Statements</vt:lpstr>
      <vt:lpstr>10 - Results by Business</vt:lpstr>
      <vt:lpstr>11 - Cost Breakdown</vt:lpstr>
      <vt:lpstr>12 - CAPEX</vt:lpstr>
      <vt:lpstr>13 - Financial Cycle</vt:lpstr>
      <vt:lpstr>14 - FCF</vt:lpstr>
      <vt:lpstr>15 - Cash Flow</vt:lpstr>
      <vt:lpstr>'1 - Assumptions'!Area_de_impressao</vt:lpstr>
      <vt:lpstr>'10 - Results by Business'!Area_de_impressao</vt:lpstr>
      <vt:lpstr>'11 - Cost Breakdown'!Area_de_impressao</vt:lpstr>
      <vt:lpstr>'12 - CAPEX'!Area_de_impressao</vt:lpstr>
      <vt:lpstr>'2 - Value Chain'!Area_de_impressao</vt:lpstr>
      <vt:lpstr>'4 - Capacity and Utilization'!Area_de_impressao</vt:lpstr>
      <vt:lpstr>'5 - Energy'!Area_de_impressao</vt:lpstr>
      <vt:lpstr>'7 - Sales Volume'!Area_de_impressao</vt:lpstr>
      <vt:lpstr>'8 - Debt'!Area_de_impressao</vt:lpstr>
      <vt:lpstr>'9 - Financial Statements'!Area_de_impressao</vt:lpstr>
      <vt:lpstr>Cover!Area_de_impressao</vt:lpstr>
    </vt:vector>
  </TitlesOfParts>
  <Manager/>
  <Company>GERDAU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dc:creator>
  <cp:keywords/>
  <dc:description/>
  <cp:lastModifiedBy>Admin</cp:lastModifiedBy>
  <cp:revision/>
  <dcterms:created xsi:type="dcterms:W3CDTF">2011-05-20T17:14:49Z</dcterms:created>
  <dcterms:modified xsi:type="dcterms:W3CDTF">2026-03-04T22:34:21Z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0x010100ED8802D61BBECF4995C6758F40F56FC7</vt:lpwstr>
  </property>
  <property fmtid="{D5CDD505-2E9C-101B-9397-08002B2CF9AE}" pid="3" name="MediaServiceImageTags">
    <vt:lpwstr/>
  </property>
  <property fmtid="{D5CDD505-2E9C-101B-9397-08002B2CF9AE}" pid="4" name="{A44787D4-0540-4523-9961-78E4036D8C6D}">
    <vt:lpwstr>{8C0CB321-9A32-48FF-A07F-A1EAE3549B13}</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