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EstaPasta_de_trabalho"/>
  <mc:AlternateContent xmlns:mc="http://schemas.openxmlformats.org/markup-compatibility/2006">
    <mc:Choice Requires="x15">
      <x15ac:absPath xmlns:x15ac="http://schemas.microsoft.com/office/spreadsheetml/2010/11/ac" url="https://votorantimindustrial.sharepoint.com/teams/RIIM/Documentos Compartilhados/Divulgação de Resultados/2024/4T24/Planilha de Resultados/"/>
    </mc:Choice>
  </mc:AlternateContent>
  <xr:revisionPtr revIDLastSave="874" documentId="8_{110585B7-0458-48AE-AECC-896FB538ED58}" xr6:coauthVersionLast="47" xr6:coauthVersionMax="47" xr10:uidLastSave="{E43A0027-B0CE-496D-B2F0-2DE0CD59C0E3}"/>
  <bookViews>
    <workbookView xWindow="-110" yWindow="-110" windowWidth="19420" windowHeight="1030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DRE e Balanço Energia"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definedNames>
    <definedName name="_xlnm._FilterDatabase" localSheetId="3" hidden="1">'3 - ESG'!$B$4:$E$29</definedName>
    <definedName name="_xlnm.Print_Area" localSheetId="1">'1 - Premissas'!$A$1:$Q$27</definedName>
    <definedName name="_xlnm.Print_Area" localSheetId="10">'10 - Resultados por negócio'!$A$1:$B$47</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Energia'!$B$1:$M$13</definedName>
    <definedName name="_xlnm.Print_Area" localSheetId="7">'7 - Volume de Vendas Final'!$A$1:$B$8</definedName>
    <definedName name="_xlnm.Print_Area" localSheetId="8">'8 - Dívida '!$A$1:$D$37</definedName>
    <definedName name="_xlnm.Print_Area" localSheetId="9">'9 - Demonstrativos Financeiros'!$A$1:$B$106</definedName>
    <definedName name="_xlnm.Print_Area" localSheetId="0">Capa!$A$1:$M$31</definedName>
    <definedName name="CIQWBGuid" hidden="1">"7985db34-c804-47cf-a549-769d29aaa53a"</definedName>
    <definedName name="CIQWBInfo" hidden="1">"{ ""CIQVersion"":""9.49.2423.4439"" }"</definedName>
    <definedName name="Dados_BPC">OFFSET(#REF!,0,0,COUNTA(#REF!))</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11">#REF!</definedName>
    <definedName name="Listaun" localSheetId="12">#REF!</definedName>
    <definedName name="Listaun" localSheetId="6">#REF!</definedName>
    <definedName name="Listaun" localSheetId="7">#REF!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12" i="47" l="1"/>
  <c r="Z23" i="47"/>
  <c r="F32" i="53"/>
  <c r="F11" i="53"/>
  <c r="F12" i="53"/>
  <c r="F13" i="53"/>
  <c r="F14" i="53"/>
  <c r="F15" i="53"/>
  <c r="F16" i="53"/>
  <c r="F17" i="53"/>
  <c r="F18" i="53"/>
  <c r="F19" i="53"/>
  <c r="F20" i="53"/>
  <c r="F21" i="53"/>
  <c r="F22" i="53"/>
  <c r="F23" i="53"/>
  <c r="F24" i="53"/>
  <c r="F25" i="53"/>
  <c r="F26" i="53"/>
  <c r="F27" i="53"/>
  <c r="F28" i="53"/>
  <c r="F29" i="53"/>
  <c r="F30" i="53"/>
  <c r="F31" i="53"/>
  <c r="F10" i="53"/>
  <c r="C40" i="52" l="1"/>
  <c r="D40" i="52"/>
  <c r="D66" i="52" s="1"/>
  <c r="D69" i="52" s="1"/>
  <c r="E40" i="52"/>
  <c r="F40" i="52"/>
  <c r="G40" i="52"/>
  <c r="G66" i="52" s="1"/>
  <c r="G69" i="52" s="1"/>
  <c r="H40" i="52"/>
  <c r="H66" i="52" s="1"/>
  <c r="H69" i="52" s="1"/>
  <c r="I40" i="52"/>
  <c r="I66" i="52" s="1"/>
  <c r="I69" i="52" s="1"/>
  <c r="J40" i="52"/>
  <c r="J66" i="52" s="1"/>
  <c r="J69" i="52" s="1"/>
  <c r="K40" i="52"/>
  <c r="L40" i="52"/>
  <c r="M40" i="52"/>
  <c r="N40" i="52"/>
  <c r="O40" i="52"/>
  <c r="P40" i="52"/>
  <c r="Q40" i="52"/>
  <c r="Q66" i="52" s="1"/>
  <c r="Q69" i="52" s="1"/>
  <c r="R40" i="52"/>
  <c r="R66" i="52" s="1"/>
  <c r="R69" i="52" s="1"/>
  <c r="S40" i="52"/>
  <c r="S66" i="52" s="1"/>
  <c r="S69" i="52" s="1"/>
  <c r="T40" i="52"/>
  <c r="T66" i="52" s="1"/>
  <c r="T69" i="52" s="1"/>
  <c r="U40" i="52"/>
  <c r="U66" i="52" s="1"/>
  <c r="U69" i="52" s="1"/>
  <c r="V40" i="52"/>
  <c r="V66" i="52" s="1"/>
  <c r="V69" i="52" s="1"/>
  <c r="W40" i="52"/>
  <c r="X40" i="52"/>
  <c r="X66" i="52" s="1"/>
  <c r="X69" i="52" s="1"/>
  <c r="Y40" i="52"/>
  <c r="Z40" i="52"/>
  <c r="Z66" i="52" s="1"/>
  <c r="Z69" i="52" s="1"/>
  <c r="AA40" i="52"/>
  <c r="AA66" i="52" s="1"/>
  <c r="AA69" i="52" s="1"/>
  <c r="AB40" i="52"/>
  <c r="AB66" i="52" s="1"/>
  <c r="AB69" i="52" s="1"/>
  <c r="AC40" i="52"/>
  <c r="AC66" i="52" s="1"/>
  <c r="AC69" i="52" s="1"/>
  <c r="C92" i="52"/>
  <c r="D92" i="52"/>
  <c r="E92" i="52"/>
  <c r="F92" i="52"/>
  <c r="G92" i="52"/>
  <c r="H92" i="52"/>
  <c r="I92" i="52"/>
  <c r="J92" i="52"/>
  <c r="K92" i="52"/>
  <c r="L92" i="52"/>
  <c r="M92" i="52"/>
  <c r="N92" i="52"/>
  <c r="O92" i="52"/>
  <c r="P92" i="52"/>
  <c r="Q92" i="52"/>
  <c r="R92" i="52"/>
  <c r="S92" i="52"/>
  <c r="T92" i="52"/>
  <c r="U92" i="52"/>
  <c r="V92" i="52"/>
  <c r="W92" i="52"/>
  <c r="X92" i="52"/>
  <c r="Y92" i="52"/>
  <c r="Z92" i="52"/>
  <c r="AA92" i="52"/>
  <c r="AB92" i="52"/>
  <c r="AC92" i="52"/>
  <c r="W66" i="52"/>
  <c r="W69" i="52" s="1"/>
  <c r="L66" i="52"/>
  <c r="L69" i="52" s="1"/>
  <c r="K66" i="52"/>
  <c r="K69" i="52" s="1"/>
  <c r="F66" i="52"/>
  <c r="F69" i="52" s="1"/>
  <c r="E66" i="52"/>
  <c r="E69" i="52" s="1"/>
  <c r="M69" i="52"/>
  <c r="C66" i="52"/>
  <c r="C69" i="52" s="1"/>
  <c r="M66" i="52"/>
  <c r="N66" i="52"/>
  <c r="N69" i="52" s="1"/>
  <c r="O66" i="52"/>
  <c r="O69" i="52" s="1"/>
  <c r="P66" i="52"/>
  <c r="P69" i="52" s="1"/>
  <c r="Y66" i="52"/>
  <c r="Y69" i="52" s="1"/>
  <c r="K16" i="51" l="1"/>
  <c r="L16" i="51"/>
  <c r="M16" i="51"/>
  <c r="N16" i="51"/>
  <c r="O16" i="51"/>
  <c r="P16" i="51"/>
  <c r="Q16" i="51"/>
  <c r="R16" i="51"/>
  <c r="AL7" i="49"/>
  <c r="AM10" i="49"/>
  <c r="AM9" i="49"/>
  <c r="AM8" i="49"/>
  <c r="AM7" i="49"/>
  <c r="C23" i="30"/>
  <c r="D23" i="30"/>
  <c r="E23" i="30"/>
  <c r="F23" i="30"/>
  <c r="G23" i="30"/>
  <c r="H23" i="30"/>
  <c r="I23" i="30"/>
  <c r="J23" i="30"/>
  <c r="K23" i="30"/>
  <c r="L23" i="30"/>
  <c r="M23" i="30"/>
  <c r="N23" i="30"/>
  <c r="O23" i="30"/>
  <c r="P23" i="30"/>
  <c r="Q23" i="30"/>
  <c r="R23" i="30"/>
  <c r="S23" i="30"/>
  <c r="T23" i="30"/>
  <c r="U23" i="30"/>
  <c r="V23" i="30"/>
  <c r="Y23" i="30"/>
  <c r="Z23" i="30"/>
  <c r="AA23" i="30"/>
  <c r="AB23" i="30"/>
  <c r="AC23" i="30"/>
  <c r="AD23" i="30"/>
  <c r="L9" i="46"/>
  <c r="M9" i="46"/>
  <c r="N9" i="46"/>
  <c r="O9" i="46"/>
  <c r="P9" i="46"/>
  <c r="Q9" i="46"/>
  <c r="R9" i="46"/>
  <c r="S9" i="46"/>
  <c r="T9" i="46"/>
  <c r="U9" i="46"/>
  <c r="V9" i="46"/>
  <c r="W9" i="46"/>
  <c r="X9" i="46"/>
  <c r="Y9" i="46"/>
  <c r="Z9" i="46"/>
  <c r="AA9" i="46"/>
  <c r="AB9" i="46"/>
  <c r="AC9" i="46"/>
  <c r="R10" i="55" l="1"/>
  <c r="M10" i="55"/>
  <c r="H10" i="55"/>
  <c r="W18" i="55" l="1"/>
  <c r="W26" i="55" s="1"/>
  <c r="W19" i="55"/>
  <c r="W20" i="55"/>
  <c r="W28" i="55" s="1"/>
  <c r="W21" i="55"/>
  <c r="W29" i="55" s="1"/>
  <c r="W17" i="55"/>
  <c r="R18" i="55"/>
  <c r="R26" i="55" s="1"/>
  <c r="R19" i="55"/>
  <c r="R20" i="55"/>
  <c r="R21" i="55"/>
  <c r="R11" i="55"/>
  <c r="R12" i="55"/>
  <c r="R13" i="55"/>
  <c r="W10" i="55"/>
  <c r="W11" i="55"/>
  <c r="W27" i="55" s="1"/>
  <c r="W12" i="55"/>
  <c r="W13" i="55"/>
  <c r="W9" i="55"/>
  <c r="W25" i="55" s="1"/>
  <c r="V29" i="55"/>
  <c r="U29" i="55"/>
  <c r="T29" i="55"/>
  <c r="S29" i="55"/>
  <c r="V28" i="55"/>
  <c r="U28" i="55"/>
  <c r="T28" i="55"/>
  <c r="S28" i="55"/>
  <c r="V27" i="55"/>
  <c r="U27" i="55"/>
  <c r="T27" i="55"/>
  <c r="S27" i="55"/>
  <c r="V26" i="55"/>
  <c r="U26" i="55"/>
  <c r="T26" i="55"/>
  <c r="S26" i="55"/>
  <c r="V25" i="55"/>
  <c r="U25" i="55"/>
  <c r="T25" i="55"/>
  <c r="S25" i="55"/>
  <c r="R29" i="55"/>
  <c r="Q29" i="55"/>
  <c r="P29" i="55"/>
  <c r="O29" i="55"/>
  <c r="N29" i="55"/>
  <c r="R28" i="55"/>
  <c r="Q28" i="55"/>
  <c r="P28" i="55"/>
  <c r="O28" i="55"/>
  <c r="N28" i="55"/>
  <c r="R27" i="55"/>
  <c r="Q27" i="55"/>
  <c r="P27" i="55"/>
  <c r="O27" i="55"/>
  <c r="N27" i="55"/>
  <c r="Q26" i="55"/>
  <c r="P26" i="55"/>
  <c r="O26" i="55"/>
  <c r="N26" i="55"/>
  <c r="R25" i="55"/>
  <c r="Q25" i="55"/>
  <c r="P25" i="55"/>
  <c r="O25" i="55"/>
  <c r="N25" i="55"/>
  <c r="AD104" i="31" l="1"/>
  <c r="AD97" i="31"/>
  <c r="AD87" i="31"/>
  <c r="AD70" i="31"/>
  <c r="AD67" i="31"/>
  <c r="AD51" i="31"/>
  <c r="AD41" i="31"/>
  <c r="AD9" i="32"/>
  <c r="AD19" i="32"/>
  <c r="AD10" i="52"/>
  <c r="AD40" i="52" s="1"/>
  <c r="AD66" i="52" s="1"/>
  <c r="AD69" i="52" s="1"/>
  <c r="AD92" i="52"/>
  <c r="AD108" i="52"/>
  <c r="AH40" i="47" l="1"/>
  <c r="AH39" i="47"/>
  <c r="AG40" i="47"/>
  <c r="AG39" i="47"/>
  <c r="AH35" i="47"/>
  <c r="AG35" i="47"/>
  <c r="AH32" i="47"/>
  <c r="AG32" i="47"/>
  <c r="AH30" i="47"/>
  <c r="AG30" i="47"/>
  <c r="AH29" i="47"/>
  <c r="AG29" i="47"/>
  <c r="Z44" i="47"/>
  <c r="N17" i="47"/>
  <c r="K17" i="47"/>
  <c r="AH31" i="47" l="1"/>
  <c r="AH34" i="47" s="1"/>
  <c r="AH36" i="47" s="1"/>
  <c r="AD10" i="49"/>
  <c r="AH17" i="47"/>
  <c r="AG17" i="47"/>
  <c r="AF17" i="47"/>
  <c r="AE17" i="47"/>
  <c r="L12" i="47"/>
  <c r="M12" i="47"/>
  <c r="N12" i="47"/>
  <c r="O12" i="47"/>
  <c r="P12" i="47"/>
  <c r="Q12" i="47"/>
  <c r="R12" i="47"/>
  <c r="S12" i="47"/>
  <c r="T12" i="47"/>
  <c r="U12" i="47"/>
  <c r="V12" i="47"/>
  <c r="W12" i="47"/>
  <c r="X12" i="47"/>
  <c r="Y12" i="47"/>
  <c r="Z12" i="47"/>
  <c r="Z31" i="47" l="1"/>
  <c r="Z34" i="47" s="1"/>
  <c r="Z8" i="47"/>
  <c r="Z18" i="47" l="1"/>
  <c r="Z21" i="47"/>
  <c r="Z24" i="47" s="1"/>
  <c r="Z42" i="47"/>
  <c r="Z41" i="47"/>
  <c r="Z36" i="47"/>
  <c r="Y44" i="47" l="1"/>
  <c r="X44" i="47"/>
  <c r="W44" i="47"/>
  <c r="V44" i="47"/>
  <c r="U44" i="47"/>
  <c r="T44" i="47"/>
  <c r="S44" i="47"/>
  <c r="AG44" i="47" s="1"/>
  <c r="R44" i="47"/>
  <c r="Q44" i="47"/>
  <c r="P44" i="47"/>
  <c r="O44" i="47"/>
  <c r="N44" i="47"/>
  <c r="M44" i="47"/>
  <c r="L44" i="47"/>
  <c r="K44" i="47"/>
  <c r="AF31" i="47"/>
  <c r="AF34" i="47" s="1"/>
  <c r="AF36" i="47" s="1"/>
  <c r="AE31" i="47"/>
  <c r="AE34" i="47" s="1"/>
  <c r="AE36" i="47" s="1"/>
  <c r="AD31" i="47"/>
  <c r="AD34" i="47" s="1"/>
  <c r="AD36" i="47" s="1"/>
  <c r="AC31" i="47"/>
  <c r="AC34" i="47" s="1"/>
  <c r="AC36" i="47" s="1"/>
  <c r="AB31" i="47"/>
  <c r="AB34" i="47" s="1"/>
  <c r="AB36" i="47" s="1"/>
  <c r="Y31" i="47"/>
  <c r="Y34" i="47" s="1"/>
  <c r="X31" i="47"/>
  <c r="X34" i="47" s="1"/>
  <c r="W31" i="47"/>
  <c r="W34" i="47" s="1"/>
  <c r="V31" i="47"/>
  <c r="V34" i="47" s="1"/>
  <c r="U31" i="47"/>
  <c r="U34" i="47" s="1"/>
  <c r="T31" i="47"/>
  <c r="T34" i="47" s="1"/>
  <c r="T36" i="47" s="1"/>
  <c r="S31" i="47"/>
  <c r="S34" i="47" s="1"/>
  <c r="R31" i="47"/>
  <c r="R34" i="47" s="1"/>
  <c r="Q31" i="47"/>
  <c r="Q34" i="47" s="1"/>
  <c r="P31" i="47"/>
  <c r="P34" i="47" s="1"/>
  <c r="O31" i="47"/>
  <c r="O34" i="47" s="1"/>
  <c r="N31" i="47"/>
  <c r="N34" i="47" s="1"/>
  <c r="M31" i="47"/>
  <c r="M34" i="47" s="1"/>
  <c r="L31" i="47"/>
  <c r="L34" i="47" s="1"/>
  <c r="K31" i="47"/>
  <c r="K34" i="47" s="1"/>
  <c r="J31" i="47"/>
  <c r="J34" i="47" s="1"/>
  <c r="J36" i="47" s="1"/>
  <c r="I31" i="47"/>
  <c r="I34" i="47" s="1"/>
  <c r="I36" i="47" s="1"/>
  <c r="H31" i="47"/>
  <c r="H34" i="47" s="1"/>
  <c r="H36" i="47" s="1"/>
  <c r="G31" i="47"/>
  <c r="G34" i="47" s="1"/>
  <c r="G36" i="47" s="1"/>
  <c r="F31" i="47"/>
  <c r="F34" i="47" s="1"/>
  <c r="F36" i="47" s="1"/>
  <c r="E31" i="47"/>
  <c r="E34" i="47" s="1"/>
  <c r="E36" i="47" s="1"/>
  <c r="D31" i="47"/>
  <c r="D34" i="47" s="1"/>
  <c r="D36" i="47" s="1"/>
  <c r="C31" i="47"/>
  <c r="C34" i="47" s="1"/>
  <c r="C36" i="47" s="1"/>
  <c r="AG31" i="47"/>
  <c r="AH22" i="47"/>
  <c r="AG22" i="47"/>
  <c r="AF22" i="47"/>
  <c r="AE22" i="47"/>
  <c r="AH20" i="47"/>
  <c r="AG20" i="47"/>
  <c r="AF20" i="47"/>
  <c r="AE20" i="47"/>
  <c r="AH19" i="47"/>
  <c r="AG19" i="47"/>
  <c r="AF19" i="47"/>
  <c r="AE19" i="47"/>
  <c r="AH16" i="47"/>
  <c r="AG16" i="47"/>
  <c r="AF16" i="47"/>
  <c r="AE16" i="47"/>
  <c r="AH15" i="47"/>
  <c r="AG15" i="47"/>
  <c r="AF15" i="47"/>
  <c r="AH14" i="47"/>
  <c r="AG14" i="47"/>
  <c r="AF14" i="47"/>
  <c r="AE14" i="47"/>
  <c r="AH13" i="47"/>
  <c r="AG13" i="47"/>
  <c r="AF13" i="47"/>
  <c r="AE13" i="47"/>
  <c r="AH11" i="47"/>
  <c r="AG11" i="47"/>
  <c r="AF11" i="47"/>
  <c r="AE11" i="47"/>
  <c r="AH10" i="47"/>
  <c r="AG10" i="47"/>
  <c r="AF10" i="47"/>
  <c r="AE10" i="47"/>
  <c r="AH9" i="47"/>
  <c r="AG9" i="47"/>
  <c r="AF9" i="47"/>
  <c r="AE9" i="47"/>
  <c r="Y8" i="47"/>
  <c r="X8" i="47"/>
  <c r="W8" i="47"/>
  <c r="V8" i="47"/>
  <c r="U8" i="47"/>
  <c r="T8" i="47"/>
  <c r="S8" i="47"/>
  <c r="R8" i="47"/>
  <c r="Q8" i="47"/>
  <c r="P8" i="47"/>
  <c r="O8" i="47"/>
  <c r="N8" i="47"/>
  <c r="M8" i="47"/>
  <c r="L8" i="47"/>
  <c r="K8" i="47"/>
  <c r="K42" i="47" l="1"/>
  <c r="AF44" i="47"/>
  <c r="K18" i="47"/>
  <c r="S42" i="47"/>
  <c r="R41" i="47"/>
  <c r="AF42" i="47"/>
  <c r="AF41" i="47"/>
  <c r="AG34" i="47"/>
  <c r="AG42" i="47" s="1"/>
  <c r="T41" i="47"/>
  <c r="AE44" i="47"/>
  <c r="AE41" i="47" s="1"/>
  <c r="AH44" i="47"/>
  <c r="AH41" i="47" s="1"/>
  <c r="O41" i="47"/>
  <c r="O42" i="47"/>
  <c r="R42" i="47"/>
  <c r="Q41" i="47"/>
  <c r="Q42" i="47"/>
  <c r="S18" i="47"/>
  <c r="AG36" i="47"/>
  <c r="P41" i="47"/>
  <c r="P42" i="47"/>
  <c r="T42" i="47"/>
  <c r="N42" i="47"/>
  <c r="W42" i="47"/>
  <c r="W41" i="47"/>
  <c r="W36" i="47"/>
  <c r="M36" i="47"/>
  <c r="M42" i="47"/>
  <c r="M41" i="47"/>
  <c r="L42" i="47"/>
  <c r="L41" i="47"/>
  <c r="L36" i="47"/>
  <c r="X42" i="47"/>
  <c r="X41" i="47"/>
  <c r="X36" i="47"/>
  <c r="S36" i="47"/>
  <c r="S41" i="47"/>
  <c r="K41" i="47"/>
  <c r="K36" i="47"/>
  <c r="Y42" i="47"/>
  <c r="Y36" i="47"/>
  <c r="Y41" i="47"/>
  <c r="U36" i="47"/>
  <c r="U42" i="47"/>
  <c r="U41" i="47"/>
  <c r="V36" i="47"/>
  <c r="V42" i="47"/>
  <c r="V41" i="47"/>
  <c r="N36" i="47"/>
  <c r="N41" i="47"/>
  <c r="O36" i="47"/>
  <c r="P36" i="47"/>
  <c r="Q36" i="47"/>
  <c r="R36" i="47"/>
  <c r="AF8" i="47"/>
  <c r="V18" i="47"/>
  <c r="L18" i="47"/>
  <c r="AH12" i="47"/>
  <c r="M18" i="47"/>
  <c r="Y18" i="47"/>
  <c r="N18" i="47"/>
  <c r="O18" i="47"/>
  <c r="AG12" i="47"/>
  <c r="AG8" i="47"/>
  <c r="P18" i="47"/>
  <c r="T18" i="47"/>
  <c r="Q18" i="47"/>
  <c r="U18" i="47"/>
  <c r="R18" i="47"/>
  <c r="AE8" i="47"/>
  <c r="AH8" i="47"/>
  <c r="W18" i="47"/>
  <c r="AE12" i="47"/>
  <c r="X18" i="47"/>
  <c r="AF12" i="47"/>
  <c r="AE15" i="47"/>
  <c r="K21" i="47" l="1"/>
  <c r="K24" i="47" s="1"/>
  <c r="AH42" i="47"/>
  <c r="AG41" i="47"/>
  <c r="AE42" i="47"/>
  <c r="S21" i="47"/>
  <c r="S24" i="47" s="1"/>
  <c r="X21" i="47"/>
  <c r="X24" i="47" s="1"/>
  <c r="O21" i="47"/>
  <c r="O24" i="47" s="1"/>
  <c r="N21" i="47"/>
  <c r="N24" i="47" s="1"/>
  <c r="V21" i="47"/>
  <c r="V24" i="47" s="1"/>
  <c r="P21" i="47"/>
  <c r="P24" i="47" s="1"/>
  <c r="W21" i="47"/>
  <c r="W24" i="47" s="1"/>
  <c r="R21" i="47"/>
  <c r="R24" i="47" s="1"/>
  <c r="Y21" i="47"/>
  <c r="Y24" i="47" s="1"/>
  <c r="M21" i="47"/>
  <c r="M24" i="47" s="1"/>
  <c r="L21" i="47"/>
  <c r="L24" i="47" s="1"/>
  <c r="U21" i="47"/>
  <c r="U24" i="47" s="1"/>
  <c r="Q21" i="47"/>
  <c r="Q24" i="47" s="1"/>
  <c r="T21" i="47"/>
  <c r="T24" i="47" s="1"/>
  <c r="AF18" i="47"/>
  <c r="AG18" i="47"/>
  <c r="AH18" i="47"/>
  <c r="AE18" i="47"/>
  <c r="AH21" i="47" l="1"/>
  <c r="AG24" i="47"/>
  <c r="AG21" i="47"/>
  <c r="AF24" i="47"/>
  <c r="AH24" i="47"/>
  <c r="AF21" i="47"/>
  <c r="AE24" i="47"/>
  <c r="AE21" i="47"/>
  <c r="AD17" i="31"/>
  <c r="AM49" i="32"/>
  <c r="AM47" i="32"/>
  <c r="AM48" i="32" l="1"/>
  <c r="AM44" i="32"/>
  <c r="AM43" i="32"/>
  <c r="AM42" i="32"/>
  <c r="AM41" i="32"/>
  <c r="AM37" i="32"/>
  <c r="AM36" i="32"/>
  <c r="AM34" i="32"/>
  <c r="AM33" i="32"/>
  <c r="AM29" i="32"/>
  <c r="AM28" i="32"/>
  <c r="AM26" i="32"/>
  <c r="AM25" i="32"/>
  <c r="AM24" i="32"/>
  <c r="AM23" i="32"/>
  <c r="AM22" i="32"/>
  <c r="AM21" i="32"/>
  <c r="AM20" i="32"/>
  <c r="AM13" i="32"/>
  <c r="AM12" i="32"/>
  <c r="AM11" i="32"/>
  <c r="AM45" i="32"/>
  <c r="AD43" i="32"/>
  <c r="AD35" i="32"/>
  <c r="AM35" i="32" s="1"/>
  <c r="AD27" i="32"/>
  <c r="AD13" i="32"/>
  <c r="AD11" i="32"/>
  <c r="AC9" i="32"/>
  <c r="AM13" i="31"/>
  <c r="AM12" i="31"/>
  <c r="AM10" i="31"/>
  <c r="AM9" i="31"/>
  <c r="AM7" i="31"/>
  <c r="AM8" i="31"/>
  <c r="AD38" i="31" l="1"/>
  <c r="AC38" i="31"/>
  <c r="AD14" i="32"/>
  <c r="AM14" i="32" s="1"/>
  <c r="AM34" i="31"/>
  <c r="AM31" i="31"/>
  <c r="AM30" i="31"/>
  <c r="AM26" i="31"/>
  <c r="AM25" i="31"/>
  <c r="AM24" i="31" s="1"/>
  <c r="AM22" i="31"/>
  <c r="AM21" i="31"/>
  <c r="AM20" i="31"/>
  <c r="AM19" i="31"/>
  <c r="AM18" i="31" s="1"/>
  <c r="AM14" i="31"/>
  <c r="AM11" i="31" s="1"/>
  <c r="AM15" i="31" s="1"/>
  <c r="AD9" i="31"/>
  <c r="AD10" i="31" s="1"/>
  <c r="AM29" i="31" l="1"/>
  <c r="AM33" i="31"/>
  <c r="AD15" i="32"/>
  <c r="AM15" i="32" s="1"/>
  <c r="AD16" i="31"/>
  <c r="AM17" i="31"/>
  <c r="AM16" i="31" s="1"/>
  <c r="AM23" i="31" s="1"/>
  <c r="AM27" i="31" s="1"/>
  <c r="AD36" i="31"/>
  <c r="AD29" i="31"/>
  <c r="AD24" i="31"/>
  <c r="AD18" i="31"/>
  <c r="AD11" i="31"/>
  <c r="AD15" i="31" s="1"/>
  <c r="AD13" i="50"/>
  <c r="AD11" i="50"/>
  <c r="AD10" i="50"/>
  <c r="AD9" i="50"/>
  <c r="AD8" i="50"/>
  <c r="AC11" i="50"/>
  <c r="AC10" i="50"/>
  <c r="AC9" i="50"/>
  <c r="AC8" i="50"/>
  <c r="AM35" i="31" l="1"/>
  <c r="AM36" i="31" s="1"/>
  <c r="AD12" i="50"/>
  <c r="AD15" i="50" s="1"/>
  <c r="AD23" i="31"/>
  <c r="AD27" i="31" s="1"/>
  <c r="AD19" i="30" l="1"/>
  <c r="AZ27" i="46" l="1"/>
  <c r="AZ26" i="46"/>
  <c r="AZ24" i="46" s="1"/>
  <c r="AZ25" i="46"/>
  <c r="AD24" i="46"/>
  <c r="Y72" i="52"/>
  <c r="AA72" i="52"/>
  <c r="AB72" i="52"/>
  <c r="C108" i="52"/>
  <c r="D108" i="52"/>
  <c r="E108" i="52"/>
  <c r="F108" i="52"/>
  <c r="G108" i="52"/>
  <c r="H108" i="52"/>
  <c r="I108" i="52"/>
  <c r="J108" i="52"/>
  <c r="K108" i="52"/>
  <c r="L108" i="52"/>
  <c r="M108" i="52"/>
  <c r="N108" i="52"/>
  <c r="O108" i="52"/>
  <c r="P108" i="52"/>
  <c r="Q108" i="52"/>
  <c r="R108" i="52"/>
  <c r="S108" i="52"/>
  <c r="T108" i="52"/>
  <c r="U108" i="52"/>
  <c r="V108" i="52"/>
  <c r="AC108" i="52"/>
  <c r="W108" i="52"/>
  <c r="X108" i="52"/>
  <c r="Z108" i="52"/>
  <c r="AD17" i="46"/>
  <c r="AD13" i="46" l="1"/>
  <c r="AD10" i="46"/>
  <c r="AD9" i="46" l="1"/>
  <c r="AZ13" i="46" s="1"/>
  <c r="W10" i="49"/>
  <c r="X10" i="49"/>
  <c r="Y10" i="49"/>
  <c r="Z10" i="49"/>
  <c r="AA10" i="49"/>
  <c r="AB10" i="49"/>
  <c r="H36" i="48"/>
  <c r="I36" i="48"/>
  <c r="D38" i="48"/>
  <c r="D36" i="48" s="1"/>
  <c r="E38" i="48"/>
  <c r="E36" i="48" s="1"/>
  <c r="F38" i="48"/>
  <c r="F36" i="48" s="1"/>
  <c r="G38" i="48"/>
  <c r="G36" i="48" s="1"/>
  <c r="H38" i="48"/>
  <c r="I38" i="48"/>
  <c r="J38" i="48"/>
  <c r="J36" i="48" s="1"/>
  <c r="K38" i="48"/>
  <c r="K36" i="48" s="1"/>
  <c r="L38" i="48"/>
  <c r="L36" i="48" s="1"/>
  <c r="M38" i="48"/>
  <c r="M36" i="48" s="1"/>
  <c r="N38" i="48"/>
  <c r="N36" i="48" s="1"/>
  <c r="O38" i="48"/>
  <c r="O36" i="48" s="1"/>
  <c r="P38" i="48"/>
  <c r="P36" i="48" s="1"/>
  <c r="Q38" i="48"/>
  <c r="Q36" i="48" s="1"/>
  <c r="D28" i="48"/>
  <c r="E28" i="48"/>
  <c r="F28" i="48"/>
  <c r="G28" i="48"/>
  <c r="H28" i="48"/>
  <c r="I28" i="48"/>
  <c r="J28" i="48"/>
  <c r="K28" i="48"/>
  <c r="L28" i="48"/>
  <c r="M28" i="48"/>
  <c r="N28" i="48"/>
  <c r="O28" i="48"/>
  <c r="P28" i="48"/>
  <c r="Q28" i="48"/>
  <c r="R28" i="48"/>
  <c r="S28" i="48"/>
  <c r="T28" i="48"/>
  <c r="U28" i="48"/>
  <c r="D21" i="48"/>
  <c r="E21" i="48"/>
  <c r="F21" i="48"/>
  <c r="G21" i="48"/>
  <c r="H21" i="48"/>
  <c r="I21" i="48"/>
  <c r="J21" i="48"/>
  <c r="K21" i="48"/>
  <c r="L21" i="48"/>
  <c r="M21" i="48"/>
  <c r="N21" i="48"/>
  <c r="O21" i="48"/>
  <c r="P21" i="48"/>
  <c r="Q21" i="48"/>
  <c r="R21" i="48"/>
  <c r="S21" i="48"/>
  <c r="T21" i="48"/>
  <c r="U21" i="48"/>
  <c r="D15" i="48"/>
  <c r="E15" i="48"/>
  <c r="F15" i="48"/>
  <c r="G15" i="48"/>
  <c r="H15" i="48"/>
  <c r="I15" i="48"/>
  <c r="J15" i="48"/>
  <c r="K15" i="48"/>
  <c r="L15" i="48"/>
  <c r="M15" i="48"/>
  <c r="N15" i="48"/>
  <c r="O15" i="48"/>
  <c r="P15" i="48"/>
  <c r="Q15" i="48"/>
  <c r="R15" i="48"/>
  <c r="S15" i="48"/>
  <c r="T15" i="48"/>
  <c r="U15" i="48"/>
  <c r="D8" i="48"/>
  <c r="E8" i="48"/>
  <c r="F8" i="48"/>
  <c r="G8" i="48"/>
  <c r="H8" i="48"/>
  <c r="I8" i="48"/>
  <c r="J8" i="48"/>
  <c r="K8" i="48"/>
  <c r="L8" i="48"/>
  <c r="M8" i="48"/>
  <c r="N8" i="48"/>
  <c r="O8" i="48"/>
  <c r="P8" i="48"/>
  <c r="Q8" i="48"/>
  <c r="R8" i="48"/>
  <c r="S8" i="48"/>
  <c r="T8" i="48"/>
  <c r="U8" i="48"/>
  <c r="K8" i="51"/>
  <c r="Q8" i="51"/>
  <c r="AC13" i="50"/>
  <c r="AC12" i="50"/>
  <c r="AC15" i="50" s="1"/>
  <c r="AL10" i="49"/>
  <c r="AB43" i="32"/>
  <c r="AC43" i="32"/>
  <c r="AA35" i="32"/>
  <c r="AB35" i="32"/>
  <c r="AC35" i="32"/>
  <c r="AC19" i="32"/>
  <c r="AC15" i="32"/>
  <c r="AC11" i="32"/>
  <c r="AC14" i="32"/>
  <c r="AB97" i="31"/>
  <c r="AB104" i="31" s="1"/>
  <c r="AC97" i="31"/>
  <c r="AC104" i="31" s="1"/>
  <c r="AB87" i="31"/>
  <c r="AC87" i="31"/>
  <c r="AB70" i="31"/>
  <c r="AC70" i="31"/>
  <c r="AB67" i="31"/>
  <c r="AB51" i="31"/>
  <c r="AC51" i="31"/>
  <c r="AC67" i="31" s="1"/>
  <c r="AC29" i="31"/>
  <c r="AB41" i="31"/>
  <c r="AC41" i="31"/>
  <c r="AC24" i="31"/>
  <c r="AC18" i="31"/>
  <c r="AC16" i="31"/>
  <c r="AC15" i="31"/>
  <c r="AC9" i="31"/>
  <c r="AC10" i="31" s="1"/>
  <c r="Y19" i="30"/>
  <c r="Z19" i="30"/>
  <c r="AA19" i="30"/>
  <c r="AB19" i="30"/>
  <c r="AC19" i="30"/>
  <c r="W19" i="30"/>
  <c r="X12" i="30"/>
  <c r="Y12" i="30"/>
  <c r="Z12" i="30"/>
  <c r="AA12" i="30"/>
  <c r="AB12" i="30"/>
  <c r="AC12" i="30"/>
  <c r="W12" i="30"/>
  <c r="AY27" i="46"/>
  <c r="AY24" i="46" s="1"/>
  <c r="AY26" i="46"/>
  <c r="AY25" i="46"/>
  <c r="AY19" i="46"/>
  <c r="AY18" i="46"/>
  <c r="AY17" i="46"/>
  <c r="AY16" i="46"/>
  <c r="AY15" i="46"/>
  <c r="AY14" i="46"/>
  <c r="AY13" i="46"/>
  <c r="AY12" i="46"/>
  <c r="AY11" i="46"/>
  <c r="AY10" i="46"/>
  <c r="R17" i="55"/>
  <c r="M21" i="55"/>
  <c r="M20" i="55"/>
  <c r="M19" i="55"/>
  <c r="M18" i="55"/>
  <c r="M17" i="55"/>
  <c r="H21" i="55"/>
  <c r="H20" i="55"/>
  <c r="H19" i="55"/>
  <c r="H18" i="55"/>
  <c r="H17" i="55"/>
  <c r="R9" i="55"/>
  <c r="M13" i="55"/>
  <c r="M12" i="55"/>
  <c r="M11" i="55"/>
  <c r="M9" i="55"/>
  <c r="H11" i="55"/>
  <c r="H12" i="55"/>
  <c r="H13" i="55"/>
  <c r="H9" i="55"/>
  <c r="AC7" i="49"/>
  <c r="AC10" i="49" s="1"/>
  <c r="AC11" i="31"/>
  <c r="AM13" i="46" l="1"/>
  <c r="AZ14" i="46"/>
  <c r="AM16" i="46"/>
  <c r="AZ11" i="46"/>
  <c r="AZ10" i="46"/>
  <c r="AZ9" i="46" s="1"/>
  <c r="AM19" i="46"/>
  <c r="AM18" i="46"/>
  <c r="AM17" i="46"/>
  <c r="AM15" i="46"/>
  <c r="AM14" i="46"/>
  <c r="AM12" i="46"/>
  <c r="AM11" i="46"/>
  <c r="AZ16" i="46"/>
  <c r="AM10" i="46"/>
  <c r="AZ12" i="46"/>
  <c r="AZ19" i="46"/>
  <c r="AZ18" i="46"/>
  <c r="AZ17" i="46"/>
  <c r="AZ15" i="46"/>
  <c r="AY9" i="46"/>
  <c r="AC27" i="32"/>
  <c r="AC23" i="31"/>
  <c r="AC10" i="52" s="1"/>
  <c r="AC13" i="32"/>
  <c r="X23" i="30"/>
  <c r="AC27" i="31"/>
  <c r="W23" i="30"/>
  <c r="U34" i="48"/>
  <c r="U23" i="55"/>
  <c r="U15" i="55"/>
  <c r="T35" i="31"/>
  <c r="Z16" i="31"/>
  <c r="AA16" i="31"/>
  <c r="X18" i="31"/>
  <c r="Z18" i="31"/>
  <c r="AA18" i="31"/>
  <c r="V24" i="31"/>
  <c r="W24" i="31"/>
  <c r="X24" i="31"/>
  <c r="Z24" i="31"/>
  <c r="AA24" i="31"/>
  <c r="X29" i="31"/>
  <c r="Z29" i="31"/>
  <c r="AA29" i="31"/>
  <c r="Q35" i="31"/>
  <c r="R35" i="31"/>
  <c r="AB18" i="31"/>
  <c r="AB16" i="31"/>
  <c r="AB11" i="31"/>
  <c r="AB9" i="31"/>
  <c r="AB10" i="31" s="1"/>
  <c r="AB29" i="31"/>
  <c r="AB24" i="31"/>
  <c r="Z35" i="31" l="1"/>
  <c r="N8" i="51" s="1"/>
  <c r="X35" i="31"/>
  <c r="L8" i="51" s="1"/>
  <c r="AA35" i="31"/>
  <c r="AC37" i="30"/>
  <c r="AB35" i="31"/>
  <c r="P8" i="51" s="1"/>
  <c r="AB15" i="31"/>
  <c r="O8" i="51" l="1"/>
  <c r="AB23" i="31"/>
  <c r="AB27" i="31" s="1"/>
  <c r="Y13" i="52"/>
  <c r="AA13" i="52"/>
  <c r="Y14" i="52"/>
  <c r="Y15" i="52"/>
  <c r="AA15" i="52"/>
  <c r="Y16" i="52"/>
  <c r="AA16" i="52"/>
  <c r="Y19" i="52"/>
  <c r="AA19" i="52"/>
  <c r="Y29" i="52"/>
  <c r="AA29" i="52"/>
  <c r="Y34" i="52"/>
  <c r="Y44" i="52"/>
  <c r="AB44" i="52"/>
  <c r="Y45" i="52"/>
  <c r="AA45" i="52"/>
  <c r="AB45" i="52"/>
  <c r="Y46" i="52"/>
  <c r="AA46" i="52"/>
  <c r="Y48" i="52"/>
  <c r="AB48" i="52"/>
  <c r="AB49" i="52"/>
  <c r="Y51" i="52"/>
  <c r="AB51" i="52"/>
  <c r="Y53" i="52"/>
  <c r="AB53" i="52"/>
  <c r="Y54" i="52"/>
  <c r="AA54" i="52"/>
  <c r="Y55" i="52"/>
  <c r="AA55" i="52"/>
  <c r="AB55" i="52"/>
  <c r="AA56" i="52"/>
  <c r="Y57" i="52"/>
  <c r="AA57" i="52"/>
  <c r="Y58" i="52"/>
  <c r="AB58" i="52"/>
  <c r="AA59" i="52"/>
  <c r="AB60" i="52"/>
  <c r="Y64" i="52"/>
  <c r="AA64" i="52"/>
  <c r="AB64" i="52"/>
  <c r="Y67" i="52"/>
  <c r="AA67" i="52"/>
  <c r="Y68" i="52"/>
  <c r="AB68" i="52"/>
  <c r="Y74" i="52"/>
  <c r="AA74" i="52"/>
  <c r="AB75" i="52"/>
  <c r="Y77" i="52"/>
  <c r="AA77" i="52"/>
  <c r="Y78" i="52"/>
  <c r="Y87" i="52"/>
  <c r="Y89" i="52"/>
  <c r="AB89" i="52"/>
  <c r="Y95" i="52"/>
  <c r="AB95" i="52"/>
  <c r="Y102" i="52"/>
  <c r="AA102" i="52"/>
  <c r="Y103" i="52"/>
  <c r="AB103" i="52"/>
  <c r="Y104" i="52"/>
  <c r="AB104" i="52"/>
  <c r="AA105" i="52"/>
  <c r="S110" i="52"/>
  <c r="T110" i="52"/>
  <c r="U114" i="52"/>
  <c r="V114" i="52"/>
  <c r="Y114" i="52"/>
  <c r="Y115" i="52"/>
  <c r="Z114" i="52" s="1"/>
  <c r="Z115" i="52"/>
  <c r="AA114" i="52" s="1"/>
  <c r="AA115" i="52"/>
  <c r="AB114" i="52" s="1"/>
  <c r="V115" i="52"/>
  <c r="J16" i="51"/>
  <c r="V8" i="50"/>
  <c r="W8" i="50"/>
  <c r="X8" i="50"/>
  <c r="Y8" i="50"/>
  <c r="Z8" i="50"/>
  <c r="AA8" i="50"/>
  <c r="AB8" i="50"/>
  <c r="V9" i="50"/>
  <c r="W9" i="50"/>
  <c r="X9" i="50"/>
  <c r="Y9" i="50"/>
  <c r="Z9" i="50"/>
  <c r="AA9" i="50"/>
  <c r="AB9" i="50"/>
  <c r="V10" i="50"/>
  <c r="W10" i="50"/>
  <c r="X10" i="50"/>
  <c r="Y10" i="50"/>
  <c r="Z10" i="50"/>
  <c r="AA10" i="50"/>
  <c r="V11" i="50"/>
  <c r="W11" i="50"/>
  <c r="X11" i="50"/>
  <c r="Y11" i="50"/>
  <c r="Z11" i="50"/>
  <c r="AA11" i="50"/>
  <c r="V13" i="50"/>
  <c r="W13" i="50"/>
  <c r="X13" i="50"/>
  <c r="Z13" i="50"/>
  <c r="AA13" i="50"/>
  <c r="V14" i="50"/>
  <c r="AG7" i="49"/>
  <c r="AH7" i="49"/>
  <c r="AI7" i="49"/>
  <c r="AJ7" i="49"/>
  <c r="AK7" i="49"/>
  <c r="AG8" i="49"/>
  <c r="AH8" i="49"/>
  <c r="AI8" i="49"/>
  <c r="AJ8" i="49"/>
  <c r="AK8" i="49"/>
  <c r="AL8" i="49"/>
  <c r="AG9" i="49"/>
  <c r="AH9" i="49"/>
  <c r="AI9" i="49"/>
  <c r="AJ9" i="49"/>
  <c r="AK9" i="49"/>
  <c r="AL9" i="49"/>
  <c r="C10" i="49"/>
  <c r="D10" i="49"/>
  <c r="E10" i="49"/>
  <c r="F10" i="49"/>
  <c r="G10" i="49"/>
  <c r="H10" i="49"/>
  <c r="I10" i="49"/>
  <c r="J10" i="49"/>
  <c r="K10" i="49"/>
  <c r="L10" i="49"/>
  <c r="M10" i="49"/>
  <c r="N10" i="49"/>
  <c r="O10" i="49"/>
  <c r="AJ10" i="49" s="1"/>
  <c r="P10" i="49"/>
  <c r="Q10" i="49"/>
  <c r="R10" i="49"/>
  <c r="S10" i="49"/>
  <c r="T10" i="49"/>
  <c r="U10" i="49"/>
  <c r="V10" i="49"/>
  <c r="C8" i="48"/>
  <c r="C15" i="48"/>
  <c r="C21" i="48"/>
  <c r="C28" i="48"/>
  <c r="L34" i="48"/>
  <c r="C38" i="48"/>
  <c r="C36" i="48" s="1"/>
  <c r="C9" i="32"/>
  <c r="D9" i="32"/>
  <c r="E9" i="32"/>
  <c r="F9" i="32"/>
  <c r="G9" i="32"/>
  <c r="H9" i="32"/>
  <c r="I9" i="32"/>
  <c r="J9" i="32"/>
  <c r="K9" i="32"/>
  <c r="L9" i="32"/>
  <c r="M9" i="32"/>
  <c r="N9" i="32"/>
  <c r="O9" i="32"/>
  <c r="P9" i="32"/>
  <c r="Q9" i="32"/>
  <c r="S19" i="32"/>
  <c r="S33" i="32"/>
  <c r="AK33" i="32" s="1"/>
  <c r="S41" i="32"/>
  <c r="AK41" i="32" s="1"/>
  <c r="T19" i="32"/>
  <c r="T9" i="32" s="1"/>
  <c r="U19" i="32"/>
  <c r="U9" i="32" s="1"/>
  <c r="V19" i="32"/>
  <c r="V9" i="32"/>
  <c r="X19" i="32"/>
  <c r="X9" i="32" s="1"/>
  <c r="Y19" i="32"/>
  <c r="Y27" i="32" s="1"/>
  <c r="Z19" i="32"/>
  <c r="AA19" i="32"/>
  <c r="AM19" i="32" s="1"/>
  <c r="AB19" i="32"/>
  <c r="C11" i="32"/>
  <c r="D11" i="32"/>
  <c r="D10" i="32"/>
  <c r="E11" i="32"/>
  <c r="F11" i="32"/>
  <c r="F10" i="32" s="1"/>
  <c r="G11" i="32"/>
  <c r="H11" i="32"/>
  <c r="H10" i="32" s="1"/>
  <c r="I11" i="32"/>
  <c r="I10" i="32" s="1"/>
  <c r="J11" i="32"/>
  <c r="K11" i="32"/>
  <c r="L11" i="32"/>
  <c r="M11" i="32"/>
  <c r="N11" i="32"/>
  <c r="O11" i="32"/>
  <c r="P11" i="32"/>
  <c r="P10" i="32" s="1"/>
  <c r="Q11" i="32"/>
  <c r="Q10" i="32" s="1"/>
  <c r="S10" i="32"/>
  <c r="AK10" i="32" s="1"/>
  <c r="X11" i="32"/>
  <c r="X10" i="32" s="1"/>
  <c r="Z11" i="32"/>
  <c r="AA11" i="32"/>
  <c r="R11" i="32"/>
  <c r="S11" i="32"/>
  <c r="T11" i="32"/>
  <c r="U11" i="32"/>
  <c r="V11" i="32"/>
  <c r="W11" i="32"/>
  <c r="Y34" i="32"/>
  <c r="Y35" i="32" s="1"/>
  <c r="Y12" i="32"/>
  <c r="C13" i="32"/>
  <c r="D13" i="32"/>
  <c r="E13" i="32"/>
  <c r="F13" i="32"/>
  <c r="G13" i="32"/>
  <c r="H13" i="32"/>
  <c r="I13" i="32"/>
  <c r="J13" i="32"/>
  <c r="K13" i="32"/>
  <c r="L13" i="32"/>
  <c r="M13" i="32"/>
  <c r="N13" i="32"/>
  <c r="O13" i="32"/>
  <c r="P13" i="32"/>
  <c r="Q13" i="32"/>
  <c r="R13" i="32"/>
  <c r="S13" i="32"/>
  <c r="T13" i="32"/>
  <c r="C14" i="32"/>
  <c r="D14" i="32"/>
  <c r="E14" i="32"/>
  <c r="F14" i="32"/>
  <c r="G14" i="32"/>
  <c r="H14" i="32"/>
  <c r="I14" i="32"/>
  <c r="J14" i="32"/>
  <c r="K14" i="32"/>
  <c r="L14" i="32"/>
  <c r="M14" i="32"/>
  <c r="N14" i="32"/>
  <c r="O14" i="32"/>
  <c r="P14" i="32"/>
  <c r="W14" i="32"/>
  <c r="C15" i="32"/>
  <c r="D15" i="32"/>
  <c r="E15" i="32"/>
  <c r="F15" i="32"/>
  <c r="G15" i="32"/>
  <c r="H15" i="32"/>
  <c r="I15" i="32"/>
  <c r="J15" i="32"/>
  <c r="K15" i="32"/>
  <c r="L15" i="32"/>
  <c r="M15" i="32"/>
  <c r="N15" i="32"/>
  <c r="O15" i="32"/>
  <c r="P15" i="32"/>
  <c r="Q15" i="32"/>
  <c r="R15" i="32"/>
  <c r="T15" i="32"/>
  <c r="U15" i="32"/>
  <c r="V15" i="32"/>
  <c r="W15" i="32"/>
  <c r="X15" i="32"/>
  <c r="Z15" i="32"/>
  <c r="AA15" i="32"/>
  <c r="R19" i="32"/>
  <c r="W19" i="32"/>
  <c r="AL19" i="32" s="1"/>
  <c r="AG19" i="32"/>
  <c r="AH19" i="32"/>
  <c r="AI19" i="32"/>
  <c r="AI26" i="32" s="1"/>
  <c r="AJ19" i="32"/>
  <c r="AG20" i="32"/>
  <c r="AH20" i="32"/>
  <c r="AI20" i="32"/>
  <c r="AJ20" i="32"/>
  <c r="AK20" i="32"/>
  <c r="AL20" i="32"/>
  <c r="AG21" i="32"/>
  <c r="AH21" i="32"/>
  <c r="AI21" i="32"/>
  <c r="AJ21" i="32"/>
  <c r="AK21" i="32"/>
  <c r="AL21" i="32"/>
  <c r="AG22" i="32"/>
  <c r="AH22" i="32"/>
  <c r="AI22" i="32"/>
  <c r="AJ22" i="32"/>
  <c r="AK22" i="32"/>
  <c r="AL22" i="32"/>
  <c r="AG23" i="32"/>
  <c r="AH23" i="32"/>
  <c r="AI23" i="32"/>
  <c r="AJ23" i="32"/>
  <c r="AK23" i="32"/>
  <c r="AL23" i="32"/>
  <c r="AG24" i="32"/>
  <c r="AH24" i="32"/>
  <c r="AI24" i="32"/>
  <c r="AJ24" i="32"/>
  <c r="AK24" i="32"/>
  <c r="AL24" i="32"/>
  <c r="O25" i="32"/>
  <c r="AG25" i="32"/>
  <c r="AH25" i="32"/>
  <c r="AI25" i="32"/>
  <c r="AJ25" i="32"/>
  <c r="AK25" i="32"/>
  <c r="AL25" i="32"/>
  <c r="AG27" i="32"/>
  <c r="AH27" i="32"/>
  <c r="AI27" i="32"/>
  <c r="AJ27" i="32"/>
  <c r="S27" i="32"/>
  <c r="AK27" i="32"/>
  <c r="AL26" i="32"/>
  <c r="Q28" i="32"/>
  <c r="AJ28" i="32" s="1"/>
  <c r="S28" i="32"/>
  <c r="AK28" i="32" s="1"/>
  <c r="AG28" i="32"/>
  <c r="AH28" i="32"/>
  <c r="AI28" i="32"/>
  <c r="AL28" i="32"/>
  <c r="S29" i="32"/>
  <c r="AG29" i="32"/>
  <c r="AH29" i="32"/>
  <c r="AI29" i="32"/>
  <c r="AJ29" i="32"/>
  <c r="AK29" i="32"/>
  <c r="AL29" i="32"/>
  <c r="AG33" i="32"/>
  <c r="AH33" i="32"/>
  <c r="AI33" i="32"/>
  <c r="AJ33" i="32"/>
  <c r="AL33" i="32"/>
  <c r="C34" i="32"/>
  <c r="D34" i="32"/>
  <c r="E34" i="32"/>
  <c r="F34" i="32"/>
  <c r="G34" i="32"/>
  <c r="H34" i="32"/>
  <c r="I34" i="32"/>
  <c r="J34" i="32"/>
  <c r="K34" i="32"/>
  <c r="L34" i="32"/>
  <c r="M34" i="32"/>
  <c r="N34" i="32"/>
  <c r="O34" i="32"/>
  <c r="P34" i="32"/>
  <c r="Q34" i="32"/>
  <c r="R34" i="32"/>
  <c r="S35" i="32"/>
  <c r="AK35" i="32" s="1"/>
  <c r="T34" i="32"/>
  <c r="U34" i="32"/>
  <c r="V34" i="32"/>
  <c r="W34" i="32"/>
  <c r="AG35" i="32"/>
  <c r="AH35" i="32"/>
  <c r="AI35" i="32"/>
  <c r="AJ35" i="32"/>
  <c r="AJ34" i="32" s="1"/>
  <c r="X35" i="32"/>
  <c r="S36" i="32"/>
  <c r="AK36" i="32" s="1"/>
  <c r="AG36" i="32"/>
  <c r="AH36" i="32"/>
  <c r="AI36" i="32"/>
  <c r="AJ36" i="32"/>
  <c r="AL36" i="32"/>
  <c r="S37" i="32"/>
  <c r="AK37" i="32" s="1"/>
  <c r="AG37" i="32"/>
  <c r="AH37" i="32"/>
  <c r="AI37" i="32"/>
  <c r="AJ37" i="32"/>
  <c r="AL37" i="32"/>
  <c r="AG41" i="32"/>
  <c r="AH41" i="32"/>
  <c r="AI41" i="32"/>
  <c r="AJ41" i="32"/>
  <c r="AL41" i="32"/>
  <c r="C42" i="32"/>
  <c r="D42" i="32"/>
  <c r="E42" i="32"/>
  <c r="F42" i="32"/>
  <c r="G42" i="32"/>
  <c r="H42" i="32"/>
  <c r="I42" i="32"/>
  <c r="J42" i="32"/>
  <c r="K42" i="32"/>
  <c r="L42" i="32"/>
  <c r="M42" i="32"/>
  <c r="N42" i="32"/>
  <c r="O42" i="32"/>
  <c r="P42" i="32"/>
  <c r="Q42" i="32"/>
  <c r="R42" i="32"/>
  <c r="S43" i="32"/>
  <c r="T42" i="32"/>
  <c r="U42" i="32"/>
  <c r="V42" i="32"/>
  <c r="W42" i="32"/>
  <c r="AL42" i="32" s="1"/>
  <c r="AG43" i="32"/>
  <c r="AH43" i="32"/>
  <c r="AI43" i="32"/>
  <c r="AI42" i="32" s="1"/>
  <c r="AJ43" i="32"/>
  <c r="X43" i="32"/>
  <c r="Y43" i="32"/>
  <c r="Z43" i="32"/>
  <c r="AA43" i="32"/>
  <c r="S44" i="32"/>
  <c r="U44" i="32"/>
  <c r="AG44" i="32"/>
  <c r="AH44" i="32"/>
  <c r="AI44" i="32"/>
  <c r="AJ44" i="32"/>
  <c r="AL44" i="32"/>
  <c r="S45" i="32"/>
  <c r="AK45" i="32" s="1"/>
  <c r="AG45" i="32"/>
  <c r="AH45" i="32"/>
  <c r="AI45" i="32"/>
  <c r="AJ45" i="32"/>
  <c r="AL45" i="32"/>
  <c r="AK47" i="32"/>
  <c r="AL47" i="32"/>
  <c r="AK48" i="32"/>
  <c r="AK49" i="32"/>
  <c r="AL49" i="32"/>
  <c r="Y7" i="31"/>
  <c r="Y11" i="32" s="1"/>
  <c r="Y8" i="31"/>
  <c r="AL8" i="31" s="1"/>
  <c r="AL9" i="31" s="1"/>
  <c r="AL10" i="31" s="1"/>
  <c r="U9" i="31"/>
  <c r="U13" i="32" s="1"/>
  <c r="V9" i="31"/>
  <c r="V13" i="32" s="1"/>
  <c r="W9" i="31"/>
  <c r="W13" i="32" s="1"/>
  <c r="X9" i="31"/>
  <c r="Z9" i="31"/>
  <c r="Z10" i="31" s="1"/>
  <c r="AA9" i="31"/>
  <c r="AA10" i="31" s="1"/>
  <c r="U11" i="31"/>
  <c r="V11" i="31"/>
  <c r="W11" i="31"/>
  <c r="X11" i="31"/>
  <c r="Y12" i="31"/>
  <c r="AL12" i="31" s="1"/>
  <c r="Y13" i="31"/>
  <c r="AL13" i="31" s="1"/>
  <c r="Y14" i="31"/>
  <c r="Z11" i="31"/>
  <c r="AA11" i="31"/>
  <c r="U16" i="31"/>
  <c r="V16" i="31"/>
  <c r="Y17" i="31"/>
  <c r="Y16" i="31" s="1"/>
  <c r="U18" i="31"/>
  <c r="Y19" i="31"/>
  <c r="Y20" i="31"/>
  <c r="AL20" i="31" s="1"/>
  <c r="Y21" i="31"/>
  <c r="AL21" i="31" s="1"/>
  <c r="Y22" i="31"/>
  <c r="AL22" i="31" s="1"/>
  <c r="U24" i="31"/>
  <c r="X36" i="31"/>
  <c r="Y25" i="31"/>
  <c r="AL25" i="31" s="1"/>
  <c r="AL24" i="31" s="1"/>
  <c r="Y26" i="31"/>
  <c r="AL26" i="31" s="1"/>
  <c r="AL28" i="31"/>
  <c r="Y30" i="31"/>
  <c r="Y31" i="31"/>
  <c r="AL31" i="31" s="1"/>
  <c r="S33" i="31"/>
  <c r="S15" i="32" s="1"/>
  <c r="Y33" i="31"/>
  <c r="AL33" i="31" s="1"/>
  <c r="S34" i="31"/>
  <c r="Y34" i="31"/>
  <c r="AL34" i="31" s="1"/>
  <c r="R36" i="31"/>
  <c r="T14" i="32"/>
  <c r="C36" i="31"/>
  <c r="D36" i="31"/>
  <c r="E36" i="31"/>
  <c r="F36" i="31"/>
  <c r="G36" i="31"/>
  <c r="H36" i="31"/>
  <c r="I36" i="31"/>
  <c r="J36" i="31"/>
  <c r="K36" i="31"/>
  <c r="L36" i="31"/>
  <c r="M36" i="31"/>
  <c r="N36" i="31"/>
  <c r="O36" i="31"/>
  <c r="P36" i="31"/>
  <c r="W36" i="31"/>
  <c r="C41" i="31"/>
  <c r="D41" i="31"/>
  <c r="E41" i="31"/>
  <c r="F41" i="31"/>
  <c r="G41" i="31"/>
  <c r="H41" i="31"/>
  <c r="I41" i="31"/>
  <c r="J41" i="31"/>
  <c r="K41" i="31"/>
  <c r="L41" i="31"/>
  <c r="M41" i="31"/>
  <c r="M67" i="31" s="1"/>
  <c r="M105" i="31" s="1"/>
  <c r="N41" i="31"/>
  <c r="O41" i="31"/>
  <c r="P41" i="31"/>
  <c r="Q41" i="31"/>
  <c r="R41" i="31"/>
  <c r="S41" i="31"/>
  <c r="T41" i="31"/>
  <c r="U41" i="31"/>
  <c r="V41" i="31"/>
  <c r="W41" i="31"/>
  <c r="X41" i="31"/>
  <c r="Y41" i="31"/>
  <c r="AA41" i="31"/>
  <c r="AB115" i="52"/>
  <c r="C51" i="31"/>
  <c r="D51" i="31"/>
  <c r="D67" i="31" s="1"/>
  <c r="D105" i="31" s="1"/>
  <c r="E51" i="31"/>
  <c r="E67" i="31" s="1"/>
  <c r="E105" i="31" s="1"/>
  <c r="F51" i="31"/>
  <c r="G51" i="31"/>
  <c r="H51" i="31"/>
  <c r="I51" i="31"/>
  <c r="J51" i="31"/>
  <c r="K51" i="31"/>
  <c r="L51" i="31"/>
  <c r="L67" i="31" s="1"/>
  <c r="L105" i="31" s="1"/>
  <c r="M51" i="31"/>
  <c r="N51" i="31"/>
  <c r="O51" i="31"/>
  <c r="P51" i="31"/>
  <c r="Q51" i="31"/>
  <c r="R51" i="31"/>
  <c r="S51" i="31"/>
  <c r="T51" i="31"/>
  <c r="U51" i="31"/>
  <c r="V51" i="31"/>
  <c r="V67" i="31" s="1"/>
  <c r="W51" i="31"/>
  <c r="X51" i="31"/>
  <c r="Y51" i="31"/>
  <c r="AA51" i="31"/>
  <c r="AA67" i="31" s="1"/>
  <c r="U67" i="31"/>
  <c r="Z67" i="31"/>
  <c r="C70" i="31"/>
  <c r="D70" i="31"/>
  <c r="E70" i="31"/>
  <c r="F70" i="31"/>
  <c r="G70" i="31"/>
  <c r="H70" i="31"/>
  <c r="I70" i="31"/>
  <c r="J70" i="31"/>
  <c r="K70" i="31"/>
  <c r="L70" i="31"/>
  <c r="M70" i="31"/>
  <c r="N70" i="31"/>
  <c r="O70" i="31"/>
  <c r="P70" i="31"/>
  <c r="Q70" i="31"/>
  <c r="R70" i="31"/>
  <c r="S70" i="31"/>
  <c r="T70" i="31"/>
  <c r="U70" i="31"/>
  <c r="V70" i="31"/>
  <c r="W70" i="31"/>
  <c r="X70" i="31"/>
  <c r="Y70" i="31"/>
  <c r="AA70" i="31"/>
  <c r="C87" i="31"/>
  <c r="D87" i="31"/>
  <c r="E87" i="31"/>
  <c r="F87" i="31"/>
  <c r="G87" i="31"/>
  <c r="H87" i="31"/>
  <c r="I87" i="31"/>
  <c r="J87" i="31"/>
  <c r="K87" i="31"/>
  <c r="L87" i="31"/>
  <c r="M87" i="31"/>
  <c r="N87" i="31"/>
  <c r="O87" i="31"/>
  <c r="P87" i="31"/>
  <c r="Q87" i="31"/>
  <c r="R87" i="31"/>
  <c r="S87" i="31"/>
  <c r="T87" i="31"/>
  <c r="U87" i="31"/>
  <c r="V87" i="31"/>
  <c r="W87" i="31"/>
  <c r="X87" i="31"/>
  <c r="Y87" i="31"/>
  <c r="AA87" i="31"/>
  <c r="C102" i="31"/>
  <c r="C97" i="31" s="1"/>
  <c r="D102" i="31"/>
  <c r="D97" i="31" s="1"/>
  <c r="E102" i="31"/>
  <c r="E97" i="31" s="1"/>
  <c r="F102" i="31"/>
  <c r="F97" i="31" s="1"/>
  <c r="G102" i="31"/>
  <c r="G97" i="31" s="1"/>
  <c r="H102" i="31"/>
  <c r="H97" i="31" s="1"/>
  <c r="I102" i="31"/>
  <c r="I97" i="31" s="1"/>
  <c r="J102" i="31"/>
  <c r="J97" i="31" s="1"/>
  <c r="K102" i="31"/>
  <c r="K97" i="31" s="1"/>
  <c r="L102" i="31"/>
  <c r="L97" i="31" s="1"/>
  <c r="M102" i="31"/>
  <c r="M97" i="31" s="1"/>
  <c r="N102" i="31"/>
  <c r="N97" i="31" s="1"/>
  <c r="O102" i="31"/>
  <c r="O97" i="31" s="1"/>
  <c r="P102" i="31"/>
  <c r="P97" i="31" s="1"/>
  <c r="Q102" i="31"/>
  <c r="Q97" i="31" s="1"/>
  <c r="Q104" i="31" s="1"/>
  <c r="R97" i="31"/>
  <c r="S97" i="31"/>
  <c r="T102" i="31"/>
  <c r="T97" i="31" s="1"/>
  <c r="T104" i="31" s="1"/>
  <c r="U102" i="31"/>
  <c r="U97" i="31" s="1"/>
  <c r="V102" i="31"/>
  <c r="V97" i="31" s="1"/>
  <c r="V104" i="31" s="1"/>
  <c r="W97" i="31"/>
  <c r="X97" i="31"/>
  <c r="X104" i="31" s="1"/>
  <c r="Y102" i="31"/>
  <c r="Y97" i="31" s="1"/>
  <c r="Y104" i="31" s="1"/>
  <c r="AA97" i="31"/>
  <c r="T106" i="31"/>
  <c r="U106" i="31"/>
  <c r="Z106" i="31"/>
  <c r="T107" i="31"/>
  <c r="U107" i="31"/>
  <c r="AL107" i="31"/>
  <c r="AL48" i="32" s="1"/>
  <c r="U108" i="31"/>
  <c r="Z108" i="31"/>
  <c r="X19" i="30"/>
  <c r="C10" i="46"/>
  <c r="C13" i="46"/>
  <c r="C17" i="46"/>
  <c r="D10" i="46"/>
  <c r="D13" i="46"/>
  <c r="D17" i="46"/>
  <c r="E10" i="46"/>
  <c r="E13" i="46"/>
  <c r="E17" i="46"/>
  <c r="F10" i="46"/>
  <c r="F13" i="46"/>
  <c r="F17" i="46"/>
  <c r="G10" i="46"/>
  <c r="G13" i="46"/>
  <c r="G17" i="46"/>
  <c r="H10" i="46"/>
  <c r="H13" i="46"/>
  <c r="H17" i="46"/>
  <c r="I10" i="46"/>
  <c r="I13" i="46"/>
  <c r="I17" i="46"/>
  <c r="J10" i="46"/>
  <c r="J13" i="46"/>
  <c r="J17" i="46"/>
  <c r="K10" i="46"/>
  <c r="K13" i="46"/>
  <c r="K17" i="46"/>
  <c r="L10" i="46"/>
  <c r="L13" i="46"/>
  <c r="L17" i="46"/>
  <c r="M10" i="46"/>
  <c r="M13" i="46"/>
  <c r="M17" i="46"/>
  <c r="N10" i="46"/>
  <c r="N13" i="46"/>
  <c r="N17" i="46"/>
  <c r="O10" i="46"/>
  <c r="O13" i="46"/>
  <c r="O17" i="46"/>
  <c r="P10" i="46"/>
  <c r="P13" i="46"/>
  <c r="P17" i="46"/>
  <c r="Q10" i="46"/>
  <c r="Q13" i="46"/>
  <c r="Q17" i="46"/>
  <c r="S10" i="46"/>
  <c r="S13" i="46"/>
  <c r="S17" i="46"/>
  <c r="T10" i="46"/>
  <c r="T13" i="46"/>
  <c r="T17" i="46"/>
  <c r="U10" i="46"/>
  <c r="U13" i="46"/>
  <c r="U17" i="46"/>
  <c r="V10" i="46"/>
  <c r="V13" i="46"/>
  <c r="V17" i="46"/>
  <c r="W10" i="46"/>
  <c r="W13" i="46"/>
  <c r="W17" i="46"/>
  <c r="X10" i="46"/>
  <c r="X13" i="46"/>
  <c r="X17" i="46"/>
  <c r="Y10" i="46"/>
  <c r="Y13" i="46"/>
  <c r="Y17" i="46"/>
  <c r="Z10" i="46"/>
  <c r="Z13" i="46"/>
  <c r="Z17" i="46"/>
  <c r="AA10" i="46"/>
  <c r="EN9" i="46" a="1"/>
  <c r="EN9" i="46" s="1"/>
  <c r="EN10" i="46" a="1"/>
  <c r="EN10" i="46" s="1"/>
  <c r="C24" i="46"/>
  <c r="D24" i="46"/>
  <c r="E24" i="46"/>
  <c r="F24" i="46"/>
  <c r="G24" i="46"/>
  <c r="H24" i="46"/>
  <c r="I24" i="46"/>
  <c r="J24" i="46"/>
  <c r="K24" i="46"/>
  <c r="L24" i="46"/>
  <c r="M24" i="46"/>
  <c r="N24" i="46"/>
  <c r="O24" i="46"/>
  <c r="P24" i="46"/>
  <c r="Q24" i="46"/>
  <c r="S24" i="46"/>
  <c r="AO24" i="46" s="1"/>
  <c r="T24" i="46"/>
  <c r="AP27" i="46" s="1"/>
  <c r="U24" i="46"/>
  <c r="AQ26" i="46" s="1"/>
  <c r="V24" i="46"/>
  <c r="AR26" i="46" s="1"/>
  <c r="W24" i="46"/>
  <c r="X24" i="46"/>
  <c r="AT24" i="46" s="1"/>
  <c r="Y24" i="46"/>
  <c r="AU26" i="46" s="1"/>
  <c r="Z24" i="46"/>
  <c r="AP24" i="46"/>
  <c r="AV25" i="46"/>
  <c r="AV26" i="46"/>
  <c r="AV27" i="46"/>
  <c r="AV24" i="46" s="1"/>
  <c r="AO25" i="46"/>
  <c r="AO26" i="46"/>
  <c r="AO27" i="46"/>
  <c r="AU27" i="46"/>
  <c r="G29" i="53"/>
  <c r="G32" i="53" s="1"/>
  <c r="E32" i="53"/>
  <c r="E42" i="53"/>
  <c r="E44" i="53" s="1"/>
  <c r="E43" i="53"/>
  <c r="D25" i="55"/>
  <c r="E25" i="55"/>
  <c r="F25" i="55"/>
  <c r="G25" i="55"/>
  <c r="H25" i="55"/>
  <c r="I25" i="55"/>
  <c r="J25" i="55"/>
  <c r="K25" i="55"/>
  <c r="L25" i="55"/>
  <c r="M25" i="55"/>
  <c r="D26" i="55"/>
  <c r="E26" i="55"/>
  <c r="F26" i="55"/>
  <c r="G26" i="55"/>
  <c r="H26" i="55"/>
  <c r="I26" i="55"/>
  <c r="J26" i="55"/>
  <c r="K26" i="55"/>
  <c r="L26" i="55"/>
  <c r="M26" i="55"/>
  <c r="D27" i="55"/>
  <c r="E27" i="55"/>
  <c r="F27" i="55"/>
  <c r="G27" i="55"/>
  <c r="H27" i="55"/>
  <c r="I27" i="55"/>
  <c r="J27" i="55"/>
  <c r="K27" i="55"/>
  <c r="L27" i="55"/>
  <c r="M27" i="55"/>
  <c r="D28" i="55"/>
  <c r="E28" i="55"/>
  <c r="F28" i="55"/>
  <c r="G28" i="55"/>
  <c r="H28" i="55"/>
  <c r="I28" i="55"/>
  <c r="J28" i="55"/>
  <c r="K28" i="55"/>
  <c r="L28" i="55"/>
  <c r="M28" i="55"/>
  <c r="D29" i="55"/>
  <c r="E29" i="55"/>
  <c r="F29" i="55"/>
  <c r="G29" i="55"/>
  <c r="H29" i="55"/>
  <c r="I29" i="55"/>
  <c r="J29" i="55"/>
  <c r="K29" i="55"/>
  <c r="L29" i="55"/>
  <c r="M29" i="55"/>
  <c r="R6" i="57"/>
  <c r="R7" i="57"/>
  <c r="R8" i="57"/>
  <c r="R9" i="57"/>
  <c r="R11" i="57"/>
  <c r="R12" i="57"/>
  <c r="R13" i="57"/>
  <c r="R15" i="57"/>
  <c r="R16" i="57"/>
  <c r="R17" i="57"/>
  <c r="L18" i="57"/>
  <c r="R18" i="57" s="1"/>
  <c r="R19" i="57"/>
  <c r="Q20" i="57"/>
  <c r="R20" i="57"/>
  <c r="R21" i="57"/>
  <c r="L22" i="57"/>
  <c r="Q22" i="57"/>
  <c r="R23" i="57"/>
  <c r="R24" i="57"/>
  <c r="R26" i="57"/>
  <c r="R27" i="57"/>
  <c r="R28" i="57"/>
  <c r="R29" i="57"/>
  <c r="R22" i="57" l="1"/>
  <c r="AI10" i="49"/>
  <c r="AH10" i="49"/>
  <c r="N10" i="32"/>
  <c r="AB27" i="32"/>
  <c r="AB9" i="32"/>
  <c r="AI34" i="32"/>
  <c r="L10" i="32"/>
  <c r="AA27" i="32"/>
  <c r="AM27" i="32" s="1"/>
  <c r="AA9" i="32"/>
  <c r="AH9" i="32"/>
  <c r="K10" i="32"/>
  <c r="Z9" i="32"/>
  <c r="Z10" i="32" s="1"/>
  <c r="Z27" i="32"/>
  <c r="AJ9" i="32"/>
  <c r="AG34" i="32"/>
  <c r="AI9" i="32"/>
  <c r="AB77" i="52"/>
  <c r="Y12" i="50"/>
  <c r="X13" i="32"/>
  <c r="X10" i="31"/>
  <c r="AB46" i="52"/>
  <c r="AB54" i="52"/>
  <c r="AB67" i="52"/>
  <c r="AB57" i="52"/>
  <c r="AB59" i="52"/>
  <c r="AB56" i="52"/>
  <c r="Y108" i="52"/>
  <c r="AB102" i="52"/>
  <c r="AA108" i="52"/>
  <c r="AS17" i="46"/>
  <c r="F9" i="46"/>
  <c r="K9" i="46"/>
  <c r="AJ24" i="46"/>
  <c r="AU25" i="46"/>
  <c r="AT26" i="46"/>
  <c r="E9" i="46"/>
  <c r="AH26" i="46"/>
  <c r="AG25" i="46"/>
  <c r="AJ25" i="46"/>
  <c r="W67" i="31"/>
  <c r="O67" i="31"/>
  <c r="O105" i="31" s="1"/>
  <c r="G67" i="31"/>
  <c r="G105" i="31" s="1"/>
  <c r="AB74" i="52"/>
  <c r="S9" i="32"/>
  <c r="AK9" i="32" s="1"/>
  <c r="AK34" i="32"/>
  <c r="AK44" i="32"/>
  <c r="AH34" i="32"/>
  <c r="AK19" i="32"/>
  <c r="AL43" i="32"/>
  <c r="AG42" i="32"/>
  <c r="AJ42" i="32"/>
  <c r="O10" i="32"/>
  <c r="G10" i="32"/>
  <c r="AH26" i="32"/>
  <c r="AK26" i="32"/>
  <c r="X27" i="32"/>
  <c r="AL27" i="32" s="1"/>
  <c r="AS14" i="46"/>
  <c r="AR27" i="46"/>
  <c r="AQ27" i="46"/>
  <c r="AI26" i="46"/>
  <c r="AR25" i="46"/>
  <c r="AU24" i="46"/>
  <c r="I9" i="46"/>
  <c r="AJ27" i="46"/>
  <c r="AQ25" i="46"/>
  <c r="AR24" i="46"/>
  <c r="AL25" i="46"/>
  <c r="AG27" i="46"/>
  <c r="AQ24" i="46"/>
  <c r="AJ26" i="46"/>
  <c r="AH27" i="46"/>
  <c r="J9" i="46"/>
  <c r="AK26" i="46"/>
  <c r="D9" i="46"/>
  <c r="V105" i="31"/>
  <c r="F67" i="31"/>
  <c r="F105" i="31" s="1"/>
  <c r="S35" i="31"/>
  <c r="S36" i="31" s="1"/>
  <c r="AA12" i="50"/>
  <c r="AA15" i="50" s="1"/>
  <c r="T67" i="31"/>
  <c r="T105" i="31" s="1"/>
  <c r="S104" i="31"/>
  <c r="AA15" i="31"/>
  <c r="AA23" i="31" s="1"/>
  <c r="AA27" i="31" s="1"/>
  <c r="AA17" i="46"/>
  <c r="AK11" i="32"/>
  <c r="AK12" i="32" s="1"/>
  <c r="Y29" i="31"/>
  <c r="AI14" i="32"/>
  <c r="V10" i="31"/>
  <c r="U10" i="31"/>
  <c r="U15" i="31"/>
  <c r="U23" i="31" s="1"/>
  <c r="U27" i="31" s="1"/>
  <c r="U29" i="31" s="1"/>
  <c r="U35" i="31" s="1"/>
  <c r="Y24" i="31"/>
  <c r="AJ11" i="32"/>
  <c r="AL19" i="31"/>
  <c r="Y18" i="31"/>
  <c r="AL30" i="31"/>
  <c r="AL29" i="31" s="1"/>
  <c r="Y9" i="31"/>
  <c r="V15" i="31"/>
  <c r="V23" i="31" s="1"/>
  <c r="V27" i="31" s="1"/>
  <c r="V35" i="31" s="1"/>
  <c r="AB11" i="50"/>
  <c r="AB10" i="50"/>
  <c r="AB15" i="32"/>
  <c r="W104" i="31"/>
  <c r="W12" i="50"/>
  <c r="W15" i="50" s="1"/>
  <c r="V12" i="50"/>
  <c r="V15" i="50" s="1"/>
  <c r="AH11" i="32"/>
  <c r="Z12" i="50"/>
  <c r="Z15" i="50" s="1"/>
  <c r="N67" i="31"/>
  <c r="N105" i="31" s="1"/>
  <c r="AL17" i="31"/>
  <c r="AL16" i="31" s="1"/>
  <c r="AA104" i="31"/>
  <c r="S67" i="31"/>
  <c r="S105" i="31" s="1"/>
  <c r="C67" i="31"/>
  <c r="C105" i="31" s="1"/>
  <c r="X12" i="50"/>
  <c r="X15" i="50" s="1"/>
  <c r="X67" i="31"/>
  <c r="P67" i="31"/>
  <c r="P105" i="31" s="1"/>
  <c r="H67" i="31"/>
  <c r="H105" i="31" s="1"/>
  <c r="T36" i="31"/>
  <c r="AK15" i="32"/>
  <c r="AI15" i="32"/>
  <c r="AG15" i="32"/>
  <c r="W10" i="31"/>
  <c r="X14" i="32"/>
  <c r="AJ15" i="32"/>
  <c r="AH15" i="32"/>
  <c r="AG14" i="32"/>
  <c r="AA13" i="32"/>
  <c r="AH13" i="32"/>
  <c r="AG13" i="32"/>
  <c r="R67" i="31"/>
  <c r="R105" i="31" s="1"/>
  <c r="J67" i="31"/>
  <c r="J105" i="31" s="1"/>
  <c r="K67" i="31"/>
  <c r="K105" i="31" s="1"/>
  <c r="AS11" i="46"/>
  <c r="AS12" i="46"/>
  <c r="G9" i="46"/>
  <c r="AA36" i="31"/>
  <c r="AA14" i="32"/>
  <c r="S42" i="32"/>
  <c r="AK43" i="32"/>
  <c r="AK42" i="32" s="1"/>
  <c r="AG26" i="32"/>
  <c r="AL27" i="46"/>
  <c r="AS26" i="46"/>
  <c r="AL26" i="46"/>
  <c r="AL24" i="46" s="1"/>
  <c r="AS24" i="46"/>
  <c r="AS25" i="46"/>
  <c r="AS27" i="46"/>
  <c r="AV17" i="46"/>
  <c r="AJ13" i="32"/>
  <c r="AS10" i="46"/>
  <c r="AA13" i="46"/>
  <c r="AU13" i="46"/>
  <c r="U104" i="31"/>
  <c r="U105" i="31" s="1"/>
  <c r="Z12" i="32"/>
  <c r="AL12" i="32" s="1"/>
  <c r="Z35" i="32"/>
  <c r="AL35" i="32" s="1"/>
  <c r="AL34" i="32"/>
  <c r="M10" i="32"/>
  <c r="Y9" i="32"/>
  <c r="Y10" i="32" s="1"/>
  <c r="AX25" i="46"/>
  <c r="AS13" i="46"/>
  <c r="AA24" i="46"/>
  <c r="AW26" i="46" s="1"/>
  <c r="AK25" i="46"/>
  <c r="AK27" i="46"/>
  <c r="AK24" i="46"/>
  <c r="AP26" i="46"/>
  <c r="AI25" i="46"/>
  <c r="AI27" i="46"/>
  <c r="AG26" i="46"/>
  <c r="AG24" i="46"/>
  <c r="AP10" i="46"/>
  <c r="H9" i="46"/>
  <c r="Q36" i="31"/>
  <c r="Q14" i="32"/>
  <c r="Y11" i="31"/>
  <c r="AL14" i="31"/>
  <c r="AL11" i="31" s="1"/>
  <c r="AL15" i="31" s="1"/>
  <c r="AL9" i="32"/>
  <c r="AB13" i="50"/>
  <c r="AB11" i="32"/>
  <c r="AP25" i="46"/>
  <c r="AS16" i="46"/>
  <c r="C9" i="46"/>
  <c r="AG13" i="46" s="1"/>
  <c r="Z13" i="32"/>
  <c r="C10" i="32"/>
  <c r="AG11" i="32"/>
  <c r="AK10" i="49"/>
  <c r="AG10" i="49"/>
  <c r="AI24" i="46"/>
  <c r="AQ17" i="46"/>
  <c r="J10" i="32"/>
  <c r="E10" i="32"/>
  <c r="AT27" i="46"/>
  <c r="AT25" i="46"/>
  <c r="AH24" i="46"/>
  <c r="Z15" i="31"/>
  <c r="Z23" i="31" s="1"/>
  <c r="AH42" i="32"/>
  <c r="AB105" i="52"/>
  <c r="AH25" i="46"/>
  <c r="AV13" i="46"/>
  <c r="AT17" i="46"/>
  <c r="Y15" i="32"/>
  <c r="AL15" i="32" s="1"/>
  <c r="AG9" i="32"/>
  <c r="Y13" i="50"/>
  <c r="Y15" i="50" s="1"/>
  <c r="Y67" i="31"/>
  <c r="Q67" i="31"/>
  <c r="Q105" i="31" s="1"/>
  <c r="I67" i="31"/>
  <c r="I105" i="31" s="1"/>
  <c r="AL18" i="31"/>
  <c r="R14" i="32"/>
  <c r="AI11" i="32"/>
  <c r="S34" i="32"/>
  <c r="AJ26" i="32"/>
  <c r="AH14" i="32"/>
  <c r="AI13" i="32"/>
  <c r="AA10" i="32" l="1"/>
  <c r="AM10" i="32" s="1"/>
  <c r="AM9" i="32"/>
  <c r="AB12" i="50"/>
  <c r="AB15" i="50" s="1"/>
  <c r="Y13" i="32"/>
  <c r="AL13" i="32" s="1"/>
  <c r="Y10" i="31"/>
  <c r="V29" i="31"/>
  <c r="AH10" i="32"/>
  <c r="AB108" i="52"/>
  <c r="AJ10" i="46"/>
  <c r="AI15" i="46"/>
  <c r="AS19" i="46"/>
  <c r="AS18" i="46"/>
  <c r="AS15" i="46"/>
  <c r="AK13" i="46"/>
  <c r="S14" i="32"/>
  <c r="AJ10" i="32"/>
  <c r="AI18" i="46"/>
  <c r="AU17" i="46"/>
  <c r="AI14" i="46"/>
  <c r="AI19" i="46"/>
  <c r="AH13" i="46"/>
  <c r="Y35" i="31"/>
  <c r="M8" i="51" s="1"/>
  <c r="Y36" i="31"/>
  <c r="AG12" i="32"/>
  <c r="AH12" i="32"/>
  <c r="U36" i="31"/>
  <c r="Y15" i="31"/>
  <c r="Y23" i="31" s="1"/>
  <c r="Y10" i="52" s="1"/>
  <c r="AI12" i="32"/>
  <c r="AJ12" i="32"/>
  <c r="AA10" i="52"/>
  <c r="AX26" i="46"/>
  <c r="AL35" i="31"/>
  <c r="AL36" i="31" s="1"/>
  <c r="AI10" i="32"/>
  <c r="AG10" i="32"/>
  <c r="AJ14" i="32"/>
  <c r="AL10" i="32"/>
  <c r="Z10" i="52"/>
  <c r="Z27" i="31"/>
  <c r="AK12" i="46"/>
  <c r="AO14" i="46"/>
  <c r="AO19" i="46"/>
  <c r="AO10" i="46"/>
  <c r="AO18" i="46"/>
  <c r="AO17" i="46"/>
  <c r="AO11" i="46"/>
  <c r="AK15" i="46"/>
  <c r="AK18" i="46"/>
  <c r="AK14" i="46"/>
  <c r="AO16" i="46"/>
  <c r="AK11" i="46"/>
  <c r="AK16" i="46"/>
  <c r="AO15" i="46"/>
  <c r="AO12" i="46"/>
  <c r="AK19" i="46"/>
  <c r="AR13" i="46"/>
  <c r="Z36" i="31"/>
  <c r="Z14" i="32"/>
  <c r="AV15" i="46"/>
  <c r="AV11" i="46"/>
  <c r="AV19" i="46"/>
  <c r="AV18" i="46"/>
  <c r="AV14" i="46"/>
  <c r="AV16" i="46"/>
  <c r="AV12" i="46"/>
  <c r="AL15" i="46"/>
  <c r="AL11" i="46"/>
  <c r="AI12" i="46"/>
  <c r="AL17" i="46"/>
  <c r="AK17" i="46"/>
  <c r="AQ16" i="46"/>
  <c r="AQ19" i="46"/>
  <c r="AQ15" i="46"/>
  <c r="AQ18" i="46"/>
  <c r="AQ11" i="46"/>
  <c r="AQ13" i="46"/>
  <c r="AQ10" i="46"/>
  <c r="AQ12" i="46"/>
  <c r="AQ14" i="46"/>
  <c r="AO13" i="46"/>
  <c r="AU10" i="46"/>
  <c r="AU11" i="46"/>
  <c r="AU16" i="46"/>
  <c r="AU12" i="46"/>
  <c r="AU15" i="46"/>
  <c r="AU18" i="46"/>
  <c r="AU14" i="46"/>
  <c r="AU19" i="46"/>
  <c r="AT12" i="46"/>
  <c r="AT16" i="46"/>
  <c r="AT19" i="46"/>
  <c r="AT10" i="46"/>
  <c r="AT14" i="46"/>
  <c r="AT11" i="46"/>
  <c r="AT13" i="46"/>
  <c r="AT15" i="46"/>
  <c r="AT18" i="46"/>
  <c r="AH11" i="46"/>
  <c r="AH16" i="46"/>
  <c r="AH19" i="46"/>
  <c r="AH14" i="46"/>
  <c r="AH10" i="46"/>
  <c r="AH12" i="46"/>
  <c r="AH18" i="46"/>
  <c r="AH15" i="46"/>
  <c r="AL19" i="46"/>
  <c r="AK10" i="46"/>
  <c r="AI13" i="46"/>
  <c r="AI10" i="46"/>
  <c r="AI11" i="46"/>
  <c r="AI16" i="46"/>
  <c r="AM27" i="46"/>
  <c r="AP18" i="46"/>
  <c r="AP15" i="46"/>
  <c r="AP14" i="46"/>
  <c r="AP12" i="46"/>
  <c r="AP11" i="46"/>
  <c r="AP13" i="46"/>
  <c r="AP19" i="46"/>
  <c r="AP16" i="46"/>
  <c r="AP17" i="46"/>
  <c r="AI17" i="46"/>
  <c r="V14" i="32"/>
  <c r="V36" i="31"/>
  <c r="AX27" i="46"/>
  <c r="AL23" i="31"/>
  <c r="AL27" i="31" s="1"/>
  <c r="AM26" i="46"/>
  <c r="AL13" i="46"/>
  <c r="AJ12" i="46"/>
  <c r="AJ11" i="46"/>
  <c r="AJ16" i="46"/>
  <c r="AJ19" i="46"/>
  <c r="AJ14" i="46"/>
  <c r="AJ18" i="46"/>
  <c r="AJ17" i="46"/>
  <c r="AJ15" i="46"/>
  <c r="AR11" i="46"/>
  <c r="AR16" i="46"/>
  <c r="AR19" i="46"/>
  <c r="AR10" i="46"/>
  <c r="AR14" i="46"/>
  <c r="AR12" i="46"/>
  <c r="AR17" i="46"/>
  <c r="AR18" i="46"/>
  <c r="AR15" i="46"/>
  <c r="AB10" i="32"/>
  <c r="AJ13" i="46"/>
  <c r="AL12" i="46"/>
  <c r="AX17" i="46"/>
  <c r="AW13" i="46"/>
  <c r="AB14" i="32"/>
  <c r="AL14" i="46"/>
  <c r="AM25" i="46"/>
  <c r="AL10" i="46"/>
  <c r="AG18" i="46"/>
  <c r="AG14" i="46"/>
  <c r="AG11" i="46"/>
  <c r="AG16" i="46"/>
  <c r="AG19" i="46"/>
  <c r="AG15" i="46"/>
  <c r="AG10" i="46"/>
  <c r="AG12" i="46"/>
  <c r="AB13" i="32"/>
  <c r="AH17" i="46"/>
  <c r="AW27" i="46"/>
  <c r="AW25" i="46"/>
  <c r="AW24" i="46" s="1"/>
  <c r="AG17" i="46"/>
  <c r="AV10" i="46"/>
  <c r="AV9" i="46" s="1"/>
  <c r="AL18" i="46"/>
  <c r="AL16" i="46"/>
  <c r="Y27" i="31" l="1"/>
  <c r="AX24" i="46"/>
  <c r="Y14" i="32"/>
  <c r="U14" i="32"/>
  <c r="X37" i="30" s="1"/>
  <c r="AB10" i="52"/>
  <c r="AW19" i="46"/>
  <c r="AW12" i="46"/>
  <c r="AW11" i="46"/>
  <c r="AW10" i="46"/>
  <c r="AW15" i="46"/>
  <c r="AW18" i="46"/>
  <c r="AW17" i="46"/>
  <c r="AW14" i="46"/>
  <c r="AW16" i="46"/>
  <c r="AL9" i="46"/>
  <c r="AX12" i="46"/>
  <c r="AX16" i="46"/>
  <c r="AX11" i="46"/>
  <c r="AX15" i="46"/>
  <c r="AX10" i="46"/>
  <c r="AX13" i="46"/>
  <c r="AX18" i="46"/>
  <c r="AX19" i="46"/>
  <c r="AX14" i="46"/>
  <c r="AM24" i="46"/>
  <c r="AL14" i="32" l="1"/>
  <c r="AA37" i="30"/>
  <c r="AW9" i="46"/>
  <c r="Z37" i="30"/>
  <c r="AM9" i="46"/>
  <c r="AX9"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<sst xmlns="http://schemas.openxmlformats.org/spreadsheetml/2006/main" count="1310" uniqueCount="540">
  <si>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</si>
  <si>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</si>
  <si>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</si>
  <si>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</si>
  <si>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</si>
  <si>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</si>
  <si>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</si>
  <si>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</si>
  <si>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</si>
  <si>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</si>
  <si>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</si>
  <si>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</si>
  <si>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</si>
  <si>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</si>
  <si>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</si>
  <si>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</si>
  <si>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</si>
  <si>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</si>
  <si>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</si>
  <si>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</si>
  <si>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</si>
  <si>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</si>
  <si>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</si>
  <si>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</si>
  <si>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</si>
  <si>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</si>
  <si>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</si>
  <si>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</si>
  <si>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</si>
  <si>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</si>
  <si>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</si>
  <si>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</si>
  <si>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</si>
  <si>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</si>
  <si>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</si>
  <si>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</si>
  <si>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</si>
  <si>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</si>
  <si>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</si>
  <si>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</si>
  <si>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</si>
  <si>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</si>
  <si>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</si>
  <si>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</si>
  <si>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</si>
  <si>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</si>
  <si>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</si>
  <si>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</si>
  <si>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</si>
  <si>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</si>
  <si>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</si>
  <si>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</si>
  <si>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</si>
  <si>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</si>
  <si>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</si>
  <si>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</si>
  <si>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</si>
  <si>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</si>
  <si>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</si>
  <si>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</si>
  <si>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</si>
  <si>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</si>
  <si>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</si>
  <si>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</si>
  <si>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</si>
  <si>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</si>
  <si>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</si>
  <si>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</si>
  <si>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</si>
  <si>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</si>
  <si>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</si>
  <si>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</si>
  <si>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</si>
  <si>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</si>
  <si>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</si>
  <si>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</si>
  <si>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</si>
  <si>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</si>
  <si>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</si>
  <si>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</si>
  <si>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</si>
  <si>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</si>
  <si>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</si>
  <si>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</si>
  <si>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</si>
  <si>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</si>
  <si>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</si>
  <si>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</si>
  <si>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</si>
  <si>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</si>
  <si>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</si>
  <si>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</si>
  <si>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</si>
  <si>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</si>
  <si>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</si>
  <si>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</si>
  <si>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</si>
  <si>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</si>
  <si>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</si>
  <si>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</si>
  <si>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</si>
  <si>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</si>
  <si>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</si>
  <si>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</si>
  <si>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</si>
  <si>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</si>
  <si>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</si>
  <si>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</si>
  <si>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</si>
  <si>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</si>
  <si>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</si>
  <si>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</si>
  <si>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</si>
  <si>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</si>
  <si>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</si>
  <si>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</si>
  <si>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</si>
  <si>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</si>
  <si>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</si>
  <si>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</si>
  <si>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</si>
  <si>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</si>
  <si>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</si>
  <si>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</si>
  <si>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</si>
  <si>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</si>
  <si>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</si>
  <si>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</si>
  <si>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</si>
  <si>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</si>
  <si>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</si>
  <si>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</si>
  <si>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</si>
  <si>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</si>
  <si>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</si>
  <si>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</si>
  <si>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</si>
  <si>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</si>
  <si>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</si>
  <si>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</si>
  <si>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</si>
  <si>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</si>
  <si>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</si>
  <si>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</si>
  <si>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</si>
  <si>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</si>
  <si>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</si>
  <si>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</si>
  <si>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</si>
  <si>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</si>
  <si>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</si>
  <si>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</si>
  <si>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</si>
  <si>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</si>
  <si>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</si>
  <si>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</si>
  <si>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Participação dos controladores</t>
  </si>
  <si>
    <t>Participação dos não-controladores</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</si>
  <si>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</si>
  <si>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</si>
  <si>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</si>
  <si>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</si>
  <si>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</si>
  <si>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</si>
  <si>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</si>
  <si>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</si>
  <si>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</si>
  <si>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</si>
  <si>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</si>
  <si>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</si>
  <si>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</si>
  <si>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</si>
  <si>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</si>
  <si>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</si>
  <si>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</si>
  <si>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</si>
  <si>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</si>
  <si>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</si>
  <si>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</si>
  <si>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</si>
  <si>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</si>
  <si>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</si>
  <si>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</si>
  <si>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</si>
  <si>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</si>
  <si>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</si>
  <si>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</si>
  <si>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</si>
  <si>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</si>
  <si>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</si>
  <si>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</si>
  <si>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</si>
  <si>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</si>
  <si>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</si>
  <si>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</si>
  <si>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</si>
  <si>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</si>
  <si>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</si>
  <si>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</si>
  <si>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</si>
  <si>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</si>
  <si>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</si>
  <si>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</si>
  <si>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</si>
  <si>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</si>
  <si>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</si>
  <si>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</si>
  <si>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</si>
  <si>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</si>
  <si>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</si>
  <si>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</si>
  <si>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</si>
  <si>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</si>
  <si>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</si>
  <si>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</si>
  <si>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</si>
  <si>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</si>
  <si>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</si>
  <si>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</si>
  <si>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</si>
  <si>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</si>
  <si>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Níquel</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</si>
  <si>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</si>
  <si>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</si>
  <si>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</si>
  <si>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</si>
  <si>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</si>
  <si>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</si>
  <si>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</si>
  <si>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</si>
  <si>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</si>
  <si>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</si>
  <si>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</si>
  <si>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</si>
  <si>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</si>
  <si>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</si>
  <si>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</si>
  <si>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</si>
  <si>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</si>
  <si>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</si>
  <si>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</si>
  <si>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</si>
  <si>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</si>
  <si>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</si>
  <si>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</si>
  <si>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</si>
  <si>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</si>
  <si>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</si>
  <si>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</si>
  <si>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</si>
  <si>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</si>
  <si>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</si>
  <si>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</si>
  <si>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</si>
  <si>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</si>
  <si>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</si>
  <si>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</si>
  <si>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</si>
  <si>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</si>
  <si>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</si>
  <si>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</si>
  <si>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Reciclagem:</t>
  </si>
  <si>
    <t>Custo total do produto vendido de tarugo e do serviço prestado na transformação de sucata de terceiro</t>
  </si>
  <si>
    <t>CPV Trading de Lingote:</t>
  </si>
  <si>
    <t>Custo total do produto vendido de lingote importado</t>
  </si>
  <si>
    <t>CPV Outros:</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</si>
  <si>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</si>
  <si>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</si>
  <si>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</si>
  <si>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</si>
  <si>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</si>
  <si>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</si>
  <si>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</si>
  <si>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</si>
  <si>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</si>
  <si>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</si>
  <si>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</si>
  <si>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</si>
  <si>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</si>
  <si>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</si>
  <si>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</si>
  <si>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FCF</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</si>
  <si>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</si>
  <si>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</si>
  <si>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</si>
  <si>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</si>
  <si>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</si>
  <si>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</si>
  <si>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</si>
  <si>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</si>
  <si>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</si>
  <si>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</si>
  <si>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</si>
  <si>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</si>
  <si>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</si>
  <si>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</si>
  <si>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</si>
  <si>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</si>
  <si>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</si>
  <si>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</si>
  <si>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</si>
  <si>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</si>
  <si>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</si>
  <si>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</si>
  <si>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</si>
  <si>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</si>
  <si>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</si>
  <si>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</si>
  <si>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</si>
  <si>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</si>
  <si>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</si>
  <si>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</si>
  <si>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</si>
  <si>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</si>
  <si>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</si>
  <si>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</si>
  <si>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</si>
  <si>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</si>
  <si>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</si>
  <si>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</si>
  <si>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</si>
  <si>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</si>
  <si>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</si>
  <si>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</si>
  <si>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</si>
  <si>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</si>
  <si>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</si>
  <si>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</si>
  <si>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</si>
  <si>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</si>
  <si>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</si>
  <si>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</si>
  <si>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</si>
  <si>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</si>
  <si>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</si>
  <si>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</si>
  <si>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</si>
  <si>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Caixa e equivalentes de caixa no início do periodo</t>
  </si>
  <si>
    <t>Caixa e equivalentes de caixa no fim do periodo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</si>
  <si>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</si>
  <si>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</si>
  <si>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</si>
  <si>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</si>
  <si>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</si>
  <si>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</si>
  <si>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</si>
  <si>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</si>
  <si>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</si>
  <si>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</si>
  <si>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</si>
  <si>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</si>
  <si>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</si>
  <si>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</si>
  <si>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</si>
  <si>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</si>
  <si>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</si>
  <si>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</si>
  <si>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</si>
  <si>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</si>
  <si>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</si>
  <si>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</si>
  <si>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</si>
  <si>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</si>
  <si>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</si>
  <si>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</si>
  <si>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</si>
  <si>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</si>
  <si>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</si>
  <si>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t>
  </si>
  <si>
    <t>Hedge (MWm)</t>
  </si>
  <si>
    <t>Mercado Externo</t>
  </si>
  <si>
    <t>Mercado Interno</t>
  </si>
  <si>
    <t>CPV</t>
  </si>
  <si>
    <t>CPV²</t>
  </si>
  <si>
    <t>² Inclui custo da energia comercializada e custo das participações</t>
  </si>
  <si>
    <t>Capacidade</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</si>
  <si>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</si>
  <si>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</si>
  <si>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</si>
  <si>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</si>
  <si>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</si>
  <si>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</si>
  <si>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</si>
  <si>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</si>
  <si>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</si>
  <si>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</si>
  <si>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</si>
  <si>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</si>
  <si>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</si>
  <si>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</si>
  <si>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</si>
  <si>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 xml:space="preserve">            -  </t>
  </si>
  <si>
    <t>2T23</t>
  </si>
  <si>
    <t xml:space="preserve">           -  </t>
  </si>
  <si>
    <t xml:space="preserve">          -  </t>
  </si>
  <si>
    <t>Recebimento de operações societárias</t>
  </si>
  <si>
    <t>Passivos relacionados a ativos mantidos para venda</t>
  </si>
  <si>
    <t>PR</t>
  </si>
  <si>
    <t>Usina/Complexo eólico</t>
  </si>
  <si>
    <t>PE/PI</t>
  </si>
  <si>
    <t>Ventos de Santo Anselmo/Ventos de Santo Isidoro</t>
  </si>
  <si>
    <t>A geração própria da CBA advém de 11 usinas hidrelétricas conectadas diretamente ao site de alumínio. Conectados ao Sistema Interligado Nacional – SIN, possui 2 complexos eólicos, Ventos de Santo Anselmo e de Santo Isidoro, e 9 usinas hidrelétricas, sendo 4 integralmente pertencentes à CBA e 5 nas quais a CBA possui participação societária direta ou por meio das empresas CBA Energia Participações S.A. (33,3%) e CBA Machadinho Geração de Energia Ltda. (100%)</t>
  </si>
  <si>
    <t>Complexos eólicos</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</si>
  <si>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</si>
  <si>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</si>
  <si>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</si>
  <si>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</si>
  <si>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</si>
  <si>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</si>
  <si>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</si>
  <si>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</si>
  <si>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</si>
  <si>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</si>
  <si>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</si>
  <si>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</si>
  <si>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</si>
  <si>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</si>
  <si>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</si>
  <si>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</si>
  <si>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</si>
  <si>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</si>
  <si>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</si>
  <si>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</si>
  <si>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</si>
  <si>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</si>
  <si>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</si>
  <si>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</si>
  <si>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</si>
  <si>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</si>
  <si>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</si>
  <si>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</si>
  <si>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</si>
  <si>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</si>
  <si>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</si>
  <si>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</si>
  <si>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</si>
  <si>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</si>
  <si>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</si>
  <si>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</si>
  <si>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</si>
  <si>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</si>
  <si>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</si>
  <si>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</si>
  <si>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</si>
  <si>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</si>
  <si>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</si>
  <si>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R$</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</si>
  <si>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</si>
  <si>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</si>
  <si>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</si>
  <si>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</si>
  <si>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</si>
  <si>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</si>
  <si>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</si>
  <si>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</si>
  <si>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</si>
  <si>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</si>
  <si>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</si>
  <si>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</si>
  <si>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</si>
  <si>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</si>
  <si>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</si>
  <si>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</si>
  <si>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</si>
  <si>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</si>
  <si>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</si>
  <si>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</si>
  <si>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</si>
  <si>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</si>
  <si>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</si>
  <si>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</si>
  <si>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</si>
  <si>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</si>
  <si>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</si>
  <si>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</si>
  <si>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</si>
  <si>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</si>
  <si>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</si>
  <si>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</si>
  <si>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</si>
  <si>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Financeiro¹</t>
  </si>
  <si>
    <t>Juros sobre capital próprio a pagar</t>
  </si>
  <si>
    <t>Aumento de capital</t>
  </si>
  <si>
    <t>2T24</t>
  </si>
  <si>
    <t>Perda na venda de imobilizado</t>
  </si>
  <si>
    <t>Provisão (reversão) para desvalorização de ativos (impairment)</t>
  </si>
  <si>
    <t>3.  Indicadores ESG</t>
  </si>
  <si>
    <t>CGH Jurupará </t>
  </si>
  <si>
    <t>3T24</t>
  </si>
  <si>
    <t> </t>
  </si>
  <si>
    <t>4T24</t>
  </si>
  <si>
    <t>Ganho na venda de investimento - Alunorte e Santa Cruz</t>
  </si>
  <si>
    <t>Resgate aplicações financeiras</t>
  </si>
  <si>
    <t>Provisão para perda de outros ativos</t>
  </si>
  <si>
    <t>Investimentos²</t>
  </si>
  <si>
    <t>¹Juros pagos sobre empréstimos, financiamentos e uso do bem público - UBP, instrumentos financeiros derivativos, aplicações financeiras e liquidações de arrendamentos.</t>
  </si>
  <si>
    <t>²Venda Alunorte e Santa Cruz</t>
  </si>
  <si>
    <t xml:space="preserve">DRE Energia </t>
  </si>
  <si>
    <t>Receita líquida dos produtos vendidos (Participações)</t>
  </si>
  <si>
    <t>SWAP Submercado (Excedente)</t>
  </si>
  <si>
    <t>Venda Curto Prazo (Excedente)</t>
  </si>
  <si>
    <t>Custos dos produtos Vendidos (Participações)</t>
  </si>
  <si>
    <t>Custo dos Produtos Vendidos (Excedente)</t>
  </si>
  <si>
    <t>Swap de Energia (Dolarização)</t>
  </si>
  <si>
    <t>EBITDA</t>
  </si>
  <si>
    <t>EBITDA ajustado</t>
  </si>
  <si>
    <t>Receita do Excedente</t>
  </si>
  <si>
    <t>Custo do Excedente</t>
  </si>
  <si>
    <t>Horas</t>
  </si>
  <si>
    <t>² Dados prévios de 2024 que irão passar por auditoria e ajustes de fatores após publicação da ferramenta atualizada do GHG Protocol (março)</t>
  </si>
  <si>
    <t>³ Dados em auditoria, podendo sofrer alterações</t>
  </si>
  <si>
    <r>
      <rPr>
        <b/>
        <vertAlign val="superscript"/>
        <sz val="9"/>
        <color theme="1"/>
        <rFont val="Verdana"/>
        <family val="2"/>
      </rPr>
      <t>4</t>
    </r>
    <r>
      <rPr>
        <b/>
        <sz val="9"/>
        <color theme="1"/>
        <rFont val="Verdana"/>
        <family val="2"/>
      </rPr>
      <t xml:space="preserve"> Considera acidente fatal ou com lesão que gere incapacidade permanente (nível v e vi).</t>
    </r>
  </si>
  <si>
    <r>
      <rPr>
        <b/>
        <vertAlign val="superscript"/>
        <sz val="9"/>
        <color theme="1"/>
        <rFont val="Verdana"/>
        <family val="2"/>
      </rPr>
      <t>5</t>
    </r>
    <r>
      <rPr>
        <b/>
        <sz val="9"/>
        <color theme="1"/>
        <rFont val="Verdana"/>
        <family val="2"/>
      </rPr>
      <t xml:space="preserve"> Base 1 milhão de HHT. Inclui empregados(as) próprios e terceiros.</t>
    </r>
  </si>
  <si>
    <r>
      <rPr>
        <b/>
        <vertAlign val="superscript"/>
        <sz val="9"/>
        <color theme="1"/>
        <rFont val="Verdana"/>
        <family val="2"/>
      </rPr>
      <t xml:space="preserve">6 </t>
    </r>
    <r>
      <rPr>
        <b/>
        <sz val="9"/>
        <color theme="1"/>
        <rFont val="Verdana"/>
        <family val="2"/>
      </rPr>
      <t>O SLA é um índice cumulativo que mede o cumprimento dos resultados esperados para os projetos em execução no período.</t>
    </r>
  </si>
  <si>
    <r>
      <rPr>
        <b/>
        <vertAlign val="superscript"/>
        <sz val="9"/>
        <color theme="1"/>
        <rFont val="Verdana"/>
        <family val="2"/>
      </rPr>
      <t>7</t>
    </r>
    <r>
      <rPr>
        <b/>
        <sz val="9"/>
        <color theme="1"/>
        <rFont val="Verdana"/>
        <family val="2"/>
      </rPr>
      <t xml:space="preserve"> Avaliação realizada a cada 3 anos.</t>
    </r>
  </si>
  <si>
    <r>
      <rPr>
        <b/>
        <vertAlign val="superscript"/>
        <sz val="9"/>
        <rFont val="Verdana"/>
        <family val="2"/>
      </rPr>
      <t xml:space="preserve">8 </t>
    </r>
    <r>
      <rPr>
        <b/>
        <sz val="9"/>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</si>
  <si>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t>% de reciclagem de alumínio com sucata industrial e de obsolescência na Metalex³</t>
  </si>
  <si>
    <t>% de reciclagem de alumínio com sucata industrial e de obsolescência na produção de tarugos na Fábrica de Alumínio³</t>
  </si>
  <si>
    <t>% de reciclagem de alumínio com sucata industrial e de obsolescência na produção de lingotes na Alux³</t>
  </si>
  <si>
    <t>Consumo de água nova por tonelada de alumínio líquido produzido³</t>
  </si>
  <si>
    <t>% de spend com fornecedores locais³</t>
  </si>
  <si>
    <t>% de fornecedores locais³</t>
  </si>
  <si>
    <r>
      <t>Emissão de GEE de produtos fundidos</t>
    </r>
    <r>
      <rPr>
        <vertAlign val="superscript"/>
        <sz val="11"/>
        <rFont val="Votorantim Sans Black"/>
      </rPr>
      <t>1;2</t>
    </r>
  </si>
  <si>
    <r>
      <t>% de redução de emissões de produtos fundidos (ano base 2019)</t>
    </r>
    <r>
      <rPr>
        <vertAlign val="superscript"/>
        <sz val="11"/>
        <rFont val="Votorantim Sans Black"/>
      </rPr>
      <t>1;2</t>
    </r>
  </si>
  <si>
    <r>
      <t>N° de  acidentes graves nas operações</t>
    </r>
    <r>
      <rPr>
        <vertAlign val="superscript"/>
        <sz val="11"/>
        <color theme="1"/>
        <rFont val="Votorantim Sans Black"/>
      </rPr>
      <t>4</t>
    </r>
  </si>
  <si>
    <r>
      <t>Taxa de frequência de acidentes</t>
    </r>
    <r>
      <rPr>
        <vertAlign val="superscript"/>
        <sz val="11"/>
        <color theme="1"/>
        <rFont val="Votorantim Sans Black"/>
      </rPr>
      <t>5</t>
    </r>
  </si>
  <si>
    <r>
      <t>SLA de projetos sociais</t>
    </r>
    <r>
      <rPr>
        <vertAlign val="superscript"/>
        <sz val="11"/>
        <color theme="1"/>
        <rFont val="Votorantim Sans Black"/>
      </rPr>
      <t>6</t>
    </r>
  </si>
  <si>
    <r>
      <t>Emissão de GEE do tarugo da Metalex</t>
    </r>
    <r>
      <rPr>
        <vertAlign val="superscript"/>
        <sz val="11"/>
        <rFont val="Votorantim Sans Black"/>
      </rPr>
      <t>2</t>
    </r>
  </si>
  <si>
    <r>
      <t>Avaliação do Programa de Compliance por terceira parte</t>
    </r>
    <r>
      <rPr>
        <vertAlign val="superscript"/>
        <sz val="11"/>
        <color theme="1"/>
        <rFont val="Votorantim Sans Black"/>
      </rPr>
      <t>7</t>
    </r>
  </si>
  <si>
    <r>
      <t>% de empregados com metas ESG</t>
    </r>
    <r>
      <rPr>
        <vertAlign val="superscript"/>
        <sz val="11"/>
        <color theme="1"/>
        <rFont val="Votorantim Sans Black"/>
      </rPr>
      <t>8</t>
    </r>
  </si>
  <si>
    <t>Outros Ajustes</t>
  </si>
  <si>
    <t>Capacidade % CBA (MW)</t>
  </si>
  <si>
    <t>Outros Efeitos energia² ³</t>
  </si>
  <si>
    <t>Custos dos Produtos Vendidos¹</t>
  </si>
  <si>
    <t>Receita Líquida dos Produtos Vendidos</t>
  </si>
  <si>
    <t>Lucro (prejuízo) Bruto</t>
  </si>
  <si>
    <t>Outras Receitas (despesas) Operacionais</t>
  </si>
  <si>
    <t>Outras Receitas (despesas) Operacionais (Participações)</t>
  </si>
  <si>
    <t>Dividendos Recebidos (efeito caixa) de empresas não consolidadas</t>
  </si>
  <si>
    <t>6.  DRE e Balanço Energia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</si>
</sst>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vertAlign val="superscript"/>
      <sz val="9"/>
      <color theme="1"/>
      <name val="Verdana"/>
      <family val="2"/>
    </font>
    <font>
      <b/>
      <sz val="9"/>
      <name val="Verdana"/>
      <family val="2"/>
    </font>
    <font>
      <b/>
      <vertAlign val="superscript"/>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1"/>
      <color theme="1" tint="0.14999847407452621"/>
      <name val="Votorantim Sans Black"/>
    </font>
    <font>
      <sz val="12"/>
      <color rgb="FF000064"/>
      <name val="Verdana"/>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s>
  <cellStyleXfs count="57">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588">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10" xfId="0" applyFont="1" applyBorder="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0" fontId="58" fillId="0" borderId="5" xfId="0" applyFont="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0" fontId="56" fillId="0" borderId="0" xfId="0" applyFont="1" applyAlignment="1">
      <alignment horizontal="right"/>
    </xf>
    <xf numFmtId="165" fontId="35" fillId="0" borderId="0" xfId="0" applyNumberFormat="1" applyFont="1" applyAlignment="1">
      <alignment horizontal="right" vertical="center"/>
    </xf>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0" fontId="32" fillId="4" borderId="5" xfId="0" applyFont="1" applyFill="1" applyBorder="1"/>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32" fillId="0" borderId="0" xfId="0" applyNumberFormat="1" applyFont="1"/>
    <xf numFmtId="165" fontId="32" fillId="0" borderId="7" xfId="23" applyNumberFormat="1" applyFont="1" applyFill="1" applyBorder="1" applyAlignment="1">
      <alignment vertical="center"/>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4" borderId="7" xfId="22" applyFont="1" applyFill="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0" fontId="36" fillId="0" borderId="7" xfId="0" applyFont="1" applyBorder="1" applyAlignment="1">
      <alignment horizontal="left" indent="1"/>
    </xf>
    <xf numFmtId="14" fontId="5" fillId="0" borderId="0" xfId="22" applyNumberFormat="1"/>
    <xf numFmtId="0" fontId="57" fillId="0" borderId="8" xfId="22" applyFont="1" applyBorder="1"/>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9" fontId="19" fillId="3" borderId="0" xfId="22" applyNumberFormat="1" applyFont="1" applyFill="1"/>
    <xf numFmtId="9" fontId="19" fillId="3" borderId="0" xfId="8" applyFont="1" applyFill="1"/>
    <xf numFmtId="0" fontId="54" fillId="3" borderId="0" xfId="0" applyFont="1" applyFill="1" applyAlignment="1">
      <alignment horizontal="center" vertical="top"/>
    </xf>
    <xf numFmtId="3" fontId="56" fillId="5" borderId="11" xfId="0" applyNumberFormat="1" applyFont="1" applyFill="1" applyBorder="1" applyAlignment="1">
      <alignment horizontal="center" vertical="center"/>
    </xf>
    <xf numFmtId="169" fontId="84"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5" fillId="0" borderId="0" xfId="0" applyFont="1"/>
    <xf numFmtId="1" fontId="28" fillId="3" borderId="0" xfId="22" applyNumberFormat="1" applyFont="1" applyFill="1" applyAlignment="1">
      <alignment horizontal="right" vertical="center"/>
    </xf>
    <xf numFmtId="0" fontId="86" fillId="3" borderId="0" xfId="0" applyFont="1" applyFill="1"/>
    <xf numFmtId="165" fontId="32" fillId="0" borderId="7" xfId="13" applyNumberFormat="1" applyFont="1" applyBorder="1" applyAlignment="1">
      <alignment horizontal="right" vertical="center"/>
    </xf>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8" fillId="0" borderId="0" xfId="55" applyFont="1" applyAlignment="1">
      <alignment vertical="center"/>
    </xf>
    <xf numFmtId="0" fontId="88" fillId="0" borderId="0" xfId="55" applyFont="1" applyAlignment="1">
      <alignment vertical="center" wrapText="1"/>
    </xf>
    <xf numFmtId="0" fontId="88" fillId="0" borderId="0" xfId="55" applyFont="1" applyAlignment="1">
      <alignment horizontal="left" vertical="center" wrapText="1"/>
    </xf>
    <xf numFmtId="0" fontId="88" fillId="0" borderId="0" xfId="55" applyFont="1" applyAlignment="1">
      <alignment horizontal="center" vertical="center" wrapText="1"/>
    </xf>
    <xf numFmtId="0" fontId="89" fillId="0" borderId="0" xfId="55" applyFont="1" applyAlignment="1">
      <alignment horizontal="center" vertical="center" wrapText="1"/>
    </xf>
    <xf numFmtId="0" fontId="87"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6"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7" fillId="0" borderId="0" xfId="0" applyFont="1"/>
    <xf numFmtId="0" fontId="90" fillId="0" borderId="0" xfId="55" applyFont="1" applyAlignment="1">
      <alignment horizontal="left" vertical="center" wrapText="1"/>
    </xf>
    <xf numFmtId="0" fontId="92" fillId="0" borderId="0" xfId="55" applyFont="1" applyAlignment="1">
      <alignment horizontal="left" vertical="center" wrapText="1"/>
    </xf>
    <xf numFmtId="0" fontId="87" fillId="0" borderId="0" xfId="55" applyFont="1" applyAlignment="1">
      <alignment horizontal="center" vertical="center" wrapText="1"/>
    </xf>
    <xf numFmtId="0" fontId="99" fillId="0" borderId="0" xfId="0" applyFont="1" applyAlignment="1">
      <alignment horizontal="left"/>
    </xf>
    <xf numFmtId="9" fontId="19" fillId="3" borderId="0" xfId="8" applyFont="1" applyFill="1" applyAlignment="1">
      <alignment vertical="center"/>
    </xf>
    <xf numFmtId="0" fontId="59" fillId="4" borderId="0" xfId="22" applyFont="1" applyFill="1"/>
    <xf numFmtId="0" fontId="59" fillId="0" borderId="0" xfId="22" applyFont="1"/>
    <xf numFmtId="0" fontId="100" fillId="0" borderId="0" xfId="0" applyFont="1" applyAlignment="1">
      <alignment horizontal="justify" vertical="center" readingOrder="1"/>
    </xf>
    <xf numFmtId="164" fontId="5" fillId="0" borderId="0" xfId="13"/>
    <xf numFmtId="174" fontId="59" fillId="0" borderId="25" xfId="13" applyNumberFormat="1" applyFont="1" applyBorder="1" applyAlignment="1">
      <alignment horizontal="center" vertical="center" wrapText="1"/>
    </xf>
    <xf numFmtId="164" fontId="57" fillId="0" borderId="4" xfId="20" applyFont="1" applyBorder="1" applyAlignment="1">
      <alignment vertical="center"/>
    </xf>
    <xf numFmtId="0" fontId="17" fillId="3" borderId="0" xfId="0" applyFont="1" applyFill="1" applyAlignment="1">
      <alignment horizontal="center" vertical="center"/>
    </xf>
    <xf numFmtId="165" fontId="32" fillId="0" borderId="0" xfId="23" applyNumberFormat="1" applyFont="1" applyAlignment="1">
      <alignment vertical="center"/>
    </xf>
    <xf numFmtId="9" fontId="36" fillId="0" borderId="0" xfId="40" applyFont="1" applyAlignment="1">
      <alignment vertical="center"/>
    </xf>
    <xf numFmtId="165" fontId="32" fillId="0" borderId="0" xfId="23" applyNumberFormat="1" applyFont="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5" fillId="0" borderId="4" xfId="23" applyNumberFormat="1" applyFont="1" applyFill="1" applyBorder="1" applyAlignment="1">
      <alignment vertical="center"/>
    </xf>
    <xf numFmtId="165" fontId="32" fillId="0" borderId="0" xfId="23" applyNumberFormat="1" applyFont="1" applyFill="1" applyAlignment="1">
      <alignment vertical="center"/>
    </xf>
    <xf numFmtId="165" fontId="32" fillId="0" borderId="0" xfId="13" applyNumberFormat="1" applyFont="1" applyFill="1" applyAlignment="1">
      <alignment horizontal="center" vertical="center"/>
    </xf>
    <xf numFmtId="165" fontId="32" fillId="0" borderId="6" xfId="23" applyNumberFormat="1" applyFont="1" applyFill="1" applyBorder="1" applyAlignment="1">
      <alignment horizontal="center" vertical="center"/>
    </xf>
    <xf numFmtId="165" fontId="32" fillId="0" borderId="0" xfId="23" applyNumberFormat="1" applyFont="1" applyFill="1" applyAlignment="1">
      <alignment horizontal="center" vertical="center"/>
    </xf>
    <xf numFmtId="165" fontId="32" fillId="0" borderId="10" xfId="23" applyNumberFormat="1" applyFont="1" applyFill="1" applyBorder="1" applyAlignment="1">
      <alignment horizontal="center" vertical="center"/>
    </xf>
    <xf numFmtId="165" fontId="32" fillId="0" borderId="6" xfId="23" applyNumberFormat="1" applyFont="1" applyFill="1" applyBorder="1" applyAlignment="1">
      <alignment vertical="center"/>
    </xf>
    <xf numFmtId="165" fontId="59" fillId="0" borderId="0" xfId="23" applyNumberFormat="1" applyFont="1"/>
    <xf numFmtId="165" fontId="59" fillId="0" borderId="5" xfId="23" applyNumberFormat="1" applyFont="1" applyBorder="1"/>
    <xf numFmtId="165" fontId="59" fillId="0" borderId="6" xfId="23" applyNumberFormat="1" applyFont="1" applyBorder="1"/>
    <xf numFmtId="164" fontId="19" fillId="3" borderId="0" xfId="13" applyFont="1" applyFill="1"/>
    <xf numFmtId="164" fontId="35" fillId="0" borderId="0" xfId="13" applyFont="1" applyFill="1" applyBorder="1" applyAlignment="1">
      <alignment horizontal="right"/>
    </xf>
    <xf numFmtId="43" fontId="19" fillId="3" borderId="0" xfId="22" applyNumberFormat="1" applyFont="1" applyFill="1"/>
    <xf numFmtId="164" fontId="82" fillId="0" borderId="0" xfId="13" applyFont="1" applyFill="1"/>
    <xf numFmtId="1" fontId="32" fillId="0" borderId="5" xfId="23" applyNumberFormat="1" applyFont="1" applyBorder="1" applyAlignment="1">
      <alignment vertical="center"/>
    </xf>
    <xf numFmtId="165" fontId="32" fillId="0" borderId="5" xfId="23" applyNumberFormat="1" applyFont="1" applyBorder="1" applyAlignment="1">
      <alignment vertical="center"/>
    </xf>
    <xf numFmtId="165" fontId="35" fillId="0" borderId="5" xfId="23" applyNumberFormat="1" applyFont="1" applyBorder="1" applyAlignment="1">
      <alignment vertical="center"/>
    </xf>
    <xf numFmtId="1" fontId="32" fillId="0" borderId="0" xfId="23" applyNumberFormat="1" applyFont="1" applyAlignment="1">
      <alignment vertical="center"/>
    </xf>
    <xf numFmtId="0" fontId="35" fillId="0" borderId="4" xfId="0" applyFont="1" applyBorder="1" applyAlignment="1">
      <alignment vertical="center" wrapText="1"/>
    </xf>
    <xf numFmtId="165" fontId="35" fillId="0" borderId="4" xfId="20" applyNumberFormat="1" applyFont="1" applyBorder="1" applyAlignment="1">
      <alignment horizontal="right" vertical="center"/>
    </xf>
    <xf numFmtId="9" fontId="19" fillId="0" borderId="0" xfId="8" applyFont="1"/>
    <xf numFmtId="0" fontId="56" fillId="5" borderId="0" xfId="24" applyFont="1" applyFill="1" applyAlignment="1">
      <alignment horizontal="center" vertical="center" wrapText="1"/>
    </xf>
    <xf numFmtId="0" fontId="56" fillId="5" borderId="0" xfId="22" applyFont="1" applyFill="1" applyAlignment="1">
      <alignment horizontal="right" vertical="center" wrapText="1"/>
    </xf>
    <xf numFmtId="165" fontId="57" fillId="0" borderId="4" xfId="13" applyNumberFormat="1" applyFont="1" applyBorder="1"/>
    <xf numFmtId="165" fontId="32" fillId="0" borderId="4" xfId="23" applyNumberFormat="1" applyFont="1" applyBorder="1" applyAlignment="1">
      <alignment vertical="center"/>
    </xf>
    <xf numFmtId="165" fontId="35" fillId="0" borderId="7" xfId="13" applyNumberFormat="1" applyFont="1" applyFill="1" applyBorder="1"/>
    <xf numFmtId="165" fontId="32" fillId="0" borderId="7" xfId="13" applyNumberFormat="1" applyFont="1" applyFill="1" applyBorder="1"/>
    <xf numFmtId="165" fontId="57" fillId="0" borderId="8" xfId="23" applyNumberFormat="1" applyFont="1" applyFill="1" applyBorder="1" applyAlignment="1">
      <alignment horizontal="right"/>
    </xf>
    <xf numFmtId="1" fontId="57" fillId="0" borderId="8" xfId="23" applyNumberFormat="1" applyFont="1" applyFill="1" applyBorder="1" applyAlignment="1">
      <alignment horizontal="right"/>
    </xf>
    <xf numFmtId="1" fontId="57" fillId="0" borderId="8" xfId="23" applyNumberFormat="1" applyFont="1" applyBorder="1" applyAlignment="1">
      <alignment horizontal="right"/>
    </xf>
    <xf numFmtId="9" fontId="5" fillId="0" borderId="0" xfId="25"/>
    <xf numFmtId="1" fontId="57" fillId="0" borderId="4" xfId="23" applyNumberFormat="1" applyFont="1" applyBorder="1" applyAlignment="1">
      <alignment horizontal="right"/>
    </xf>
    <xf numFmtId="165" fontId="57" fillId="0" borderId="4" xfId="23" applyNumberFormat="1" applyFont="1" applyFill="1" applyBorder="1" applyAlignment="1">
      <alignment horizontal="right"/>
    </xf>
    <xf numFmtId="1" fontId="57" fillId="0" borderId="4" xfId="23" applyNumberFormat="1" applyFont="1" applyFill="1" applyBorder="1" applyAlignment="1">
      <alignment horizontal="right"/>
    </xf>
    <xf numFmtId="1" fontId="32" fillId="4" borderId="0" xfId="22" applyNumberFormat="1" applyFont="1" applyFill="1"/>
    <xf numFmtId="0" fontId="56" fillId="5" borderId="0" xfId="55" applyFont="1" applyFill="1" applyAlignment="1">
      <alignment horizontal="center" vertical="center" wrapText="1"/>
    </xf>
    <xf numFmtId="0" fontId="32" fillId="4" borderId="18" xfId="55" applyFont="1" applyFill="1" applyBorder="1" applyAlignment="1">
      <alignment horizontal="center" vertical="center" wrapText="1"/>
    </xf>
    <xf numFmtId="0" fontId="35" fillId="8" borderId="18" xfId="55" applyFont="1" applyFill="1" applyBorder="1" applyAlignment="1">
      <alignment horizontal="center" vertical="center" wrapText="1"/>
    </xf>
    <xf numFmtId="10" fontId="32" fillId="4" borderId="18" xfId="55" applyNumberFormat="1" applyFont="1" applyFill="1" applyBorder="1" applyAlignment="1">
      <alignment horizontal="center" vertical="center" wrapText="1"/>
    </xf>
    <xf numFmtId="171" fontId="35" fillId="8" borderId="18" xfId="55" applyNumberFormat="1" applyFont="1" applyFill="1" applyBorder="1" applyAlignment="1">
      <alignment horizontal="center" vertical="center" wrapText="1"/>
    </xf>
    <xf numFmtId="0" fontId="59" fillId="4" borderId="21" xfId="55" quotePrefix="1" applyFont="1" applyFill="1" applyBorder="1" applyAlignment="1">
      <alignment horizontal="center" vertical="center" wrapText="1"/>
    </xf>
    <xf numFmtId="0" fontId="59" fillId="4" borderId="18" xfId="55" quotePrefix="1" applyFont="1" applyFill="1" applyBorder="1" applyAlignment="1">
      <alignment horizontal="center" vertical="center" wrapText="1"/>
    </xf>
    <xf numFmtId="172" fontId="57" fillId="8" borderId="25" xfId="55" applyNumberFormat="1" applyFont="1" applyFill="1" applyBorder="1" applyAlignment="1">
      <alignment horizontal="center" vertical="center" wrapText="1"/>
    </xf>
    <xf numFmtId="0" fontId="32" fillId="4" borderId="21" xfId="55" quotePrefix="1" applyFont="1" applyFill="1" applyBorder="1" applyAlignment="1">
      <alignment horizontal="center" vertical="center" wrapText="1"/>
    </xf>
    <xf numFmtId="0" fontId="35" fillId="8" borderId="21" xfId="55" applyFont="1" applyFill="1" applyBorder="1" applyAlignment="1">
      <alignment horizontal="center" vertical="center" wrapText="1"/>
    </xf>
    <xf numFmtId="0" fontId="32" fillId="4" borderId="21" xfId="55" applyFont="1" applyFill="1" applyBorder="1" applyAlignment="1">
      <alignment horizontal="center" vertical="center" wrapText="1"/>
    </xf>
    <xf numFmtId="9" fontId="59" fillId="4" borderId="21" xfId="55" quotePrefix="1" applyNumberFormat="1" applyFont="1" applyFill="1" applyBorder="1" applyAlignment="1">
      <alignment horizontal="center" vertical="center" wrapText="1"/>
    </xf>
    <xf numFmtId="9" fontId="59" fillId="0" borderId="39" xfId="55" quotePrefix="1" applyNumberFormat="1" applyFont="1" applyBorder="1" applyAlignment="1">
      <alignment horizontal="center" vertical="center" wrapText="1"/>
    </xf>
    <xf numFmtId="0" fontId="32" fillId="4" borderId="20" xfId="55" applyFont="1" applyFill="1" applyBorder="1" applyAlignment="1">
      <alignment vertical="center" wrapText="1"/>
    </xf>
    <xf numFmtId="0" fontId="32" fillId="4" borderId="24" xfId="55" applyFont="1" applyFill="1" applyBorder="1" applyAlignment="1">
      <alignment vertical="center" wrapText="1"/>
    </xf>
    <xf numFmtId="9" fontId="57" fillId="4" borderId="5" xfId="25" applyFont="1" applyFill="1" applyBorder="1"/>
    <xf numFmtId="9" fontId="59" fillId="4" borderId="7" xfId="25" applyFont="1" applyFill="1" applyBorder="1"/>
    <xf numFmtId="165" fontId="5" fillId="0" borderId="0" xfId="22" applyNumberFormat="1"/>
    <xf numFmtId="165" fontId="5" fillId="0" borderId="0" xfId="13" applyNumberFormat="1"/>
    <xf numFmtId="9" fontId="32" fillId="0" borderId="0" xfId="8" applyFont="1"/>
    <xf numFmtId="0" fontId="19" fillId="0" borderId="0" xfId="0" applyFont="1" applyAlignment="1">
      <alignment horizontal="left" vertical="top" wrapText="1"/>
    </xf>
    <xf numFmtId="0" fontId="92" fillId="0" borderId="0" xfId="55" applyFont="1" applyAlignment="1">
      <alignment horizontal="left" vertical="center"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90"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7" fillId="4" borderId="20" xfId="55" applyFont="1" applyFill="1" applyBorder="1" applyAlignment="1">
      <alignment horizontal="left" vertical="center" wrapText="1"/>
    </xf>
    <xf numFmtId="0" fontId="59" fillId="4" borderId="37"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57" fillId="4" borderId="24" xfId="55" applyFont="1" applyFill="1" applyBorder="1" applyAlignment="1">
      <alignment horizontal="left" vertical="center" wrapText="1"/>
    </xf>
    <xf numFmtId="0" fontId="59" fillId="4" borderId="24" xfId="55" applyFont="1" applyFill="1" applyBorder="1" applyAlignment="1">
      <alignment horizontal="left"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87"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17" fillId="0" borderId="0" xfId="24" applyFont="1" applyAlignment="1">
      <alignment horizont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2" fillId="0" borderId="0" xfId="0" applyNumberFormat="1" applyFont="1" applyFill="1"/>
    <xf numFmtId="0" fontId="32" fillId="0" borderId="4" xfId="0" applyFont="1" applyFill="1" applyBorder="1" applyAlignment="1">
      <alignment horizontal="right" vertical="center"/>
    </xf>
    <xf numFmtId="37" fontId="32" fillId="0" borderId="0" xfId="0" applyNumberFormat="1" applyFont="1" applyFill="1" applyAlignment="1">
      <alignment horizontal="right"/>
    </xf>
  </cellXfs>
  <cellStyles count="57">
    <cellStyle name="%" xfId="1" xr:uid="{00000000-0005-0000-0000-000000000000}"/>
    <cellStyle name="% 2" xfId="26" xr:uid="{6C1F8AE7-3DE5-46AB-82F2-F08DF60C694A}"/>
    <cellStyle name="% 2 3" xfId="2" xr:uid="{00000000-0005-0000-0000-000001000000}"/>
    <cellStyle name="% 2 3 2" xfId="27" xr:uid="{CD40C7CF-233A-4A43-AAF1-4B78D942A404}"/>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FD8ED"/>
      <color rgb="FFC5D9F1"/>
      <color rgb="FF00599C"/>
      <color rgb="FF140FD1"/>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116416</xdr:rowOff>
    </xdr:to>
    <xdr:sp macro="" textlink="">
      <xdr:nvSpPr>
        <xdr:cNvPr id="8" name="CaixaDeTexto 8">
          <a:extLst>
            <a:ext uri="{FF2B5EF4-FFF2-40B4-BE49-F238E27FC236}">
              <a16:creationId xmlns:a16="http://schemas.microsoft.com/office/drawing/2014/main" id="{9A1828D4-1B68-42D3-9EBC-4781C8940251}"/>
            </a:ext>
          </a:extLst>
        </xdr:cNvPr>
        <xdr:cNvSpPr txBox="1"/>
      </xdr:nvSpPr>
      <xdr:spPr>
        <a:xfrm>
          <a:off x="25400" y="3821643"/>
          <a:ext cx="8452908" cy="117369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São Paulo, 25 de fevereiro de  2025 – A Companhia Brasileira de Alumínio, “CBA” ou “Companhia” (B3: CBAV3) divulga seus resultados do quarto trimestre de 2024 (4T24). As demonstrações financeiras intermediárias consolidadas da Companhia são apresentadas em reais (R$), de acordo com o padrão contábil internacional – IFRS (Internationale Financial Reporting Standards) – e conforme as práticas contábeis adotadas no Brasil. Os somatórios podem divergir devido a arredondamentos.</a:t>
          </a: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1"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4T24</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30</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30</xdr:col>
      <xdr:colOff>204611</xdr:colOff>
      <xdr:row>0</xdr:row>
      <xdr:rowOff>74436</xdr:rowOff>
    </xdr:from>
    <xdr:to>
      <xdr:col>31</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0014266" y="74436"/>
          <a:ext cx="732698" cy="723785"/>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1238250</xdr:colOff>
      <xdr:row>2</xdr:row>
      <xdr:rowOff>97155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30</xdr:col>
      <xdr:colOff>115358</xdr:colOff>
      <xdr:row>0</xdr:row>
      <xdr:rowOff>56797</xdr:rowOff>
    </xdr:from>
    <xdr:to>
      <xdr:col>31</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7814733" y="56797"/>
          <a:ext cx="823913" cy="609600"/>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1266190</xdr:colOff>
      <xdr:row>2</xdr:row>
      <xdr:rowOff>85090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22</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209550</xdr:colOff>
      <xdr:row>0</xdr:row>
      <xdr:rowOff>95250</xdr:rowOff>
    </xdr:from>
    <xdr:to>
      <xdr:col>23</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8912785" y="95250"/>
          <a:ext cx="897405"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30</xdr:col>
      <xdr:colOff>123825</xdr:colOff>
      <xdr:row>0</xdr:row>
      <xdr:rowOff>38100</xdr:rowOff>
    </xdr:from>
    <xdr:to>
      <xdr:col>31</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8791575" y="38100"/>
          <a:ext cx="996950" cy="615950"/>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30</xdr:col>
      <xdr:colOff>123825</xdr:colOff>
      <xdr:row>0</xdr:row>
      <xdr:rowOff>38100</xdr:rowOff>
    </xdr:from>
    <xdr:to>
      <xdr:col>31</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7974013" y="38100"/>
          <a:ext cx="814387" cy="708025"/>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18</xdr:col>
      <xdr:colOff>123825</xdr:colOff>
      <xdr:row>0</xdr:row>
      <xdr:rowOff>38100</xdr:rowOff>
    </xdr:from>
    <xdr:to>
      <xdr:col>19</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7061200" y="38100"/>
          <a:ext cx="814388" cy="708025"/>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30</xdr:col>
      <xdr:colOff>123825</xdr:colOff>
      <xdr:row>0</xdr:row>
      <xdr:rowOff>38101</xdr:rowOff>
    </xdr:from>
    <xdr:to>
      <xdr:col>30</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11911013" y="38101"/>
          <a:ext cx="838200" cy="688180"/>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107764</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431036" y="57150"/>
          <a:ext cx="945445" cy="610658"/>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609542" y="19050"/>
          <a:ext cx="908755" cy="619831"/>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23</xdr:col>
      <xdr:colOff>11906</xdr:colOff>
      <xdr:row>2</xdr:row>
      <xdr:rowOff>148431</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78593" y="11906"/>
          <a:ext cx="189904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273843</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47625</xdr:colOff>
      <xdr:row>0</xdr:row>
      <xdr:rowOff>0</xdr:rowOff>
    </xdr:from>
    <xdr:to>
      <xdr:col>24</xdr:col>
      <xdr:colOff>303665</xdr:colOff>
      <xdr:row>2</xdr:row>
      <xdr:rowOff>130287</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3618825" y="0"/>
          <a:ext cx="878340" cy="701787"/>
          <a:chOff x="11133666" y="131229"/>
          <a:chExt cx="928738"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23</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117929</xdr:colOff>
      <xdr:row>0</xdr:row>
      <xdr:rowOff>18143</xdr:rowOff>
    </xdr:from>
    <xdr:to>
      <xdr:col>24</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8550729" y="18143"/>
          <a:ext cx="875166" cy="698612"/>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63</xdr:row>
      <xdr:rowOff>153988</xdr:rowOff>
    </xdr:from>
    <xdr:to>
      <xdr:col>2</xdr:col>
      <xdr:colOff>471488</xdr:colOff>
      <xdr:row>63</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71</xdr:row>
      <xdr:rowOff>67159</xdr:rowOff>
    </xdr:from>
    <xdr:to>
      <xdr:col>9</xdr:col>
      <xdr:colOff>917222</xdr:colOff>
      <xdr:row>77</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70</xdr:row>
      <xdr:rowOff>109477</xdr:rowOff>
    </xdr:from>
    <xdr:to>
      <xdr:col>3</xdr:col>
      <xdr:colOff>643841</xdr:colOff>
      <xdr:row>76</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48</xdr:row>
      <xdr:rowOff>34071</xdr:rowOff>
    </xdr:from>
    <xdr:to>
      <xdr:col>2</xdr:col>
      <xdr:colOff>509498</xdr:colOff>
      <xdr:row>58</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60</xdr:row>
      <xdr:rowOff>96202</xdr:rowOff>
    </xdr:from>
    <xdr:to>
      <xdr:col>8</xdr:col>
      <xdr:colOff>2257243</xdr:colOff>
      <xdr:row>65</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7</xdr:col>
      <xdr:colOff>263407</xdr:colOff>
      <xdr:row>60</xdr:row>
      <xdr:rowOff>86066</xdr:rowOff>
    </xdr:from>
    <xdr:to>
      <xdr:col>8</xdr:col>
      <xdr:colOff>171518</xdr:colOff>
      <xdr:row>65</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6</xdr:col>
      <xdr:colOff>849154</xdr:colOff>
      <xdr:row>66</xdr:row>
      <xdr:rowOff>15519</xdr:rowOff>
    </xdr:from>
    <xdr:to>
      <xdr:col>7</xdr:col>
      <xdr:colOff>750915</xdr:colOff>
      <xdr:row>70</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64</xdr:row>
      <xdr:rowOff>32930</xdr:rowOff>
    </xdr:from>
    <xdr:to>
      <xdr:col>3</xdr:col>
      <xdr:colOff>73257</xdr:colOff>
      <xdr:row>64</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46</xdr:row>
      <xdr:rowOff>0</xdr:rowOff>
    </xdr:from>
    <xdr:to>
      <xdr:col>1</xdr:col>
      <xdr:colOff>1147343</xdr:colOff>
      <xdr:row>51</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46</xdr:row>
      <xdr:rowOff>128461</xdr:rowOff>
    </xdr:from>
    <xdr:to>
      <xdr:col>3</xdr:col>
      <xdr:colOff>649959</xdr:colOff>
      <xdr:row>50</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55</xdr:row>
      <xdr:rowOff>143919</xdr:rowOff>
    </xdr:from>
    <xdr:to>
      <xdr:col>3</xdr:col>
      <xdr:colOff>624494</xdr:colOff>
      <xdr:row>63</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50</xdr:row>
      <xdr:rowOff>157803</xdr:rowOff>
    </xdr:from>
    <xdr:to>
      <xdr:col>4</xdr:col>
      <xdr:colOff>525296</xdr:colOff>
      <xdr:row>58</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52</xdr:row>
      <xdr:rowOff>53927</xdr:rowOff>
    </xdr:from>
    <xdr:to>
      <xdr:col>4</xdr:col>
      <xdr:colOff>712535</xdr:colOff>
      <xdr:row>58</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53</xdr:row>
      <xdr:rowOff>137147</xdr:rowOff>
    </xdr:from>
    <xdr:to>
      <xdr:col>6</xdr:col>
      <xdr:colOff>213391</xdr:colOff>
      <xdr:row>55</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52</xdr:row>
      <xdr:rowOff>53927</xdr:rowOff>
    </xdr:from>
    <xdr:to>
      <xdr:col>4</xdr:col>
      <xdr:colOff>1110982</xdr:colOff>
      <xdr:row>56</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57</xdr:row>
      <xdr:rowOff>40043</xdr:rowOff>
    </xdr:from>
    <xdr:to>
      <xdr:col>6</xdr:col>
      <xdr:colOff>204404</xdr:colOff>
      <xdr:row>59</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56</xdr:row>
      <xdr:rowOff>140301</xdr:rowOff>
    </xdr:from>
    <xdr:to>
      <xdr:col>4</xdr:col>
      <xdr:colOff>1078028</xdr:colOff>
      <xdr:row>64</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64</xdr:row>
      <xdr:rowOff>10519</xdr:rowOff>
    </xdr:from>
    <xdr:to>
      <xdr:col>4</xdr:col>
      <xdr:colOff>729011</xdr:colOff>
      <xdr:row>66</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66</xdr:row>
      <xdr:rowOff>42502</xdr:rowOff>
    </xdr:from>
    <xdr:to>
      <xdr:col>4</xdr:col>
      <xdr:colOff>550759</xdr:colOff>
      <xdr:row>67</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67</xdr:row>
      <xdr:rowOff>31616</xdr:rowOff>
    </xdr:from>
    <xdr:to>
      <xdr:col>4</xdr:col>
      <xdr:colOff>703159</xdr:colOff>
      <xdr:row>68</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61</xdr:row>
      <xdr:rowOff>15768</xdr:rowOff>
    </xdr:from>
    <xdr:to>
      <xdr:col>4</xdr:col>
      <xdr:colOff>712534</xdr:colOff>
      <xdr:row>67</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63</xdr:row>
      <xdr:rowOff>46350</xdr:rowOff>
    </xdr:from>
    <xdr:to>
      <xdr:col>3</xdr:col>
      <xdr:colOff>504660</xdr:colOff>
      <xdr:row>68</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65</xdr:row>
      <xdr:rowOff>30714</xdr:rowOff>
    </xdr:from>
    <xdr:to>
      <xdr:col>4</xdr:col>
      <xdr:colOff>116362</xdr:colOff>
      <xdr:row>69</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67</xdr:row>
      <xdr:rowOff>54290</xdr:rowOff>
    </xdr:from>
    <xdr:to>
      <xdr:col>3</xdr:col>
      <xdr:colOff>828211</xdr:colOff>
      <xdr:row>70</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70</xdr:row>
      <xdr:rowOff>16828</xdr:rowOff>
    </xdr:from>
    <xdr:to>
      <xdr:col>3</xdr:col>
      <xdr:colOff>768295</xdr:colOff>
      <xdr:row>72</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55</xdr:row>
      <xdr:rowOff>136916</xdr:rowOff>
    </xdr:from>
    <xdr:to>
      <xdr:col>6</xdr:col>
      <xdr:colOff>238856</xdr:colOff>
      <xdr:row>57</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54</xdr:row>
      <xdr:rowOff>157341</xdr:rowOff>
    </xdr:from>
    <xdr:to>
      <xdr:col>6</xdr:col>
      <xdr:colOff>238856</xdr:colOff>
      <xdr:row>56</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47</xdr:row>
      <xdr:rowOff>154651</xdr:rowOff>
    </xdr:from>
    <xdr:to>
      <xdr:col>3</xdr:col>
      <xdr:colOff>1150264</xdr:colOff>
      <xdr:row>57</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59</xdr:row>
      <xdr:rowOff>128049</xdr:rowOff>
    </xdr:from>
    <xdr:to>
      <xdr:col>3</xdr:col>
      <xdr:colOff>1142774</xdr:colOff>
      <xdr:row>65</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53</xdr:row>
      <xdr:rowOff>160957</xdr:rowOff>
    </xdr:from>
    <xdr:to>
      <xdr:col>3</xdr:col>
      <xdr:colOff>1150265</xdr:colOff>
      <xdr:row>60</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58</xdr:row>
      <xdr:rowOff>21020</xdr:rowOff>
    </xdr:from>
    <xdr:to>
      <xdr:col>4</xdr:col>
      <xdr:colOff>1145436</xdr:colOff>
      <xdr:row>59</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64</xdr:row>
      <xdr:rowOff>162919</xdr:rowOff>
    </xdr:from>
    <xdr:to>
      <xdr:col>4</xdr:col>
      <xdr:colOff>881411</xdr:colOff>
      <xdr:row>67</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62</xdr:row>
      <xdr:rowOff>38987</xdr:rowOff>
    </xdr:from>
    <xdr:to>
      <xdr:col>3</xdr:col>
      <xdr:colOff>938631</xdr:colOff>
      <xdr:row>62</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51</xdr:row>
      <xdr:rowOff>154363</xdr:rowOff>
    </xdr:from>
    <xdr:to>
      <xdr:col>3</xdr:col>
      <xdr:colOff>1098476</xdr:colOff>
      <xdr:row>54</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54</xdr:row>
      <xdr:rowOff>7878</xdr:rowOff>
    </xdr:from>
    <xdr:to>
      <xdr:col>4</xdr:col>
      <xdr:colOff>7997</xdr:colOff>
      <xdr:row>58</xdr:row>
      <xdr:rowOff>86319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57</xdr:row>
      <xdr:rowOff>29289</xdr:rowOff>
    </xdr:from>
    <xdr:to>
      <xdr:col>3</xdr:col>
      <xdr:colOff>711232</xdr:colOff>
      <xdr:row>58</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45</xdr:row>
      <xdr:rowOff>21325</xdr:rowOff>
    </xdr:from>
    <xdr:to>
      <xdr:col>4</xdr:col>
      <xdr:colOff>985071</xdr:colOff>
      <xdr:row>46</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46</xdr:row>
      <xdr:rowOff>68350</xdr:rowOff>
    </xdr:from>
    <xdr:to>
      <xdr:col>5</xdr:col>
      <xdr:colOff>29811</xdr:colOff>
      <xdr:row>50</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49</xdr:row>
      <xdr:rowOff>89763</xdr:rowOff>
    </xdr:from>
    <xdr:to>
      <xdr:col>6</xdr:col>
      <xdr:colOff>71183</xdr:colOff>
      <xdr:row>50</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52</xdr:row>
      <xdr:rowOff>101408</xdr:rowOff>
    </xdr:from>
    <xdr:to>
      <xdr:col>2</xdr:col>
      <xdr:colOff>205357</xdr:colOff>
      <xdr:row>54</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59</xdr:row>
      <xdr:rowOff>29394</xdr:rowOff>
    </xdr:from>
    <xdr:to>
      <xdr:col>2</xdr:col>
      <xdr:colOff>439932</xdr:colOff>
      <xdr:row>63</xdr:row>
      <xdr:rowOff>107835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57</xdr:row>
      <xdr:rowOff>160894</xdr:rowOff>
    </xdr:from>
    <xdr:to>
      <xdr:col>2</xdr:col>
      <xdr:colOff>375475</xdr:colOff>
      <xdr:row>59</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62</xdr:row>
      <xdr:rowOff>47360</xdr:rowOff>
    </xdr:from>
    <xdr:to>
      <xdr:col>2</xdr:col>
      <xdr:colOff>105105</xdr:colOff>
      <xdr:row>63</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66</xdr:row>
      <xdr:rowOff>15519</xdr:rowOff>
    </xdr:from>
    <xdr:to>
      <xdr:col>5</xdr:col>
      <xdr:colOff>877984</xdr:colOff>
      <xdr:row>70</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64</xdr:row>
      <xdr:rowOff>162059</xdr:rowOff>
    </xdr:from>
    <xdr:to>
      <xdr:col>6</xdr:col>
      <xdr:colOff>566589</xdr:colOff>
      <xdr:row>66</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69</xdr:row>
      <xdr:rowOff>8355</xdr:rowOff>
    </xdr:from>
    <xdr:to>
      <xdr:col>6</xdr:col>
      <xdr:colOff>483659</xdr:colOff>
      <xdr:row>70</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64</xdr:row>
      <xdr:rowOff>162059</xdr:rowOff>
    </xdr:from>
    <xdr:to>
      <xdr:col>7</xdr:col>
      <xdr:colOff>489500</xdr:colOff>
      <xdr:row>66</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69</xdr:row>
      <xdr:rowOff>36932</xdr:rowOff>
    </xdr:from>
    <xdr:to>
      <xdr:col>7</xdr:col>
      <xdr:colOff>362939</xdr:colOff>
      <xdr:row>70</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66</xdr:row>
      <xdr:rowOff>15519</xdr:rowOff>
    </xdr:from>
    <xdr:to>
      <xdr:col>8</xdr:col>
      <xdr:colOff>654613</xdr:colOff>
      <xdr:row>70</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7</xdr:col>
      <xdr:colOff>660220</xdr:colOff>
      <xdr:row>64</xdr:row>
      <xdr:rowOff>162059</xdr:rowOff>
    </xdr:from>
    <xdr:to>
      <xdr:col>8</xdr:col>
      <xdr:colOff>254959</xdr:colOff>
      <xdr:row>66</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69</xdr:row>
      <xdr:rowOff>36932</xdr:rowOff>
    </xdr:from>
    <xdr:to>
      <xdr:col>8</xdr:col>
      <xdr:colOff>266638</xdr:colOff>
      <xdr:row>70</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66</xdr:row>
      <xdr:rowOff>15519</xdr:rowOff>
    </xdr:from>
    <xdr:to>
      <xdr:col>8</xdr:col>
      <xdr:colOff>1664353</xdr:colOff>
      <xdr:row>70</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8</xdr:col>
      <xdr:colOff>576113</xdr:colOff>
      <xdr:row>65</xdr:row>
      <xdr:rowOff>3309</xdr:rowOff>
    </xdr:from>
    <xdr:to>
      <xdr:col>8</xdr:col>
      <xdr:colOff>1648843</xdr:colOff>
      <xdr:row>66</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69</xdr:row>
      <xdr:rowOff>36932</xdr:rowOff>
    </xdr:from>
    <xdr:to>
      <xdr:col>8</xdr:col>
      <xdr:colOff>1325817</xdr:colOff>
      <xdr:row>70</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66</xdr:row>
      <xdr:rowOff>15519</xdr:rowOff>
    </xdr:from>
    <xdr:to>
      <xdr:col>8</xdr:col>
      <xdr:colOff>2812739</xdr:colOff>
      <xdr:row>70</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8</xdr:col>
      <xdr:colOff>1637555</xdr:colOff>
      <xdr:row>64</xdr:row>
      <xdr:rowOff>162059</xdr:rowOff>
    </xdr:from>
    <xdr:to>
      <xdr:col>9</xdr:col>
      <xdr:colOff>545163</xdr:colOff>
      <xdr:row>66</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69</xdr:row>
      <xdr:rowOff>36932</xdr:rowOff>
    </xdr:from>
    <xdr:to>
      <xdr:col>9</xdr:col>
      <xdr:colOff>338116</xdr:colOff>
      <xdr:row>70</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66</xdr:row>
      <xdr:rowOff>15519</xdr:rowOff>
    </xdr:from>
    <xdr:to>
      <xdr:col>9</xdr:col>
      <xdr:colOff>1801843</xdr:colOff>
      <xdr:row>70</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9</xdr:col>
      <xdr:colOff>720188</xdr:colOff>
      <xdr:row>64</xdr:row>
      <xdr:rowOff>162059</xdr:rowOff>
    </xdr:from>
    <xdr:to>
      <xdr:col>9</xdr:col>
      <xdr:colOff>1626205</xdr:colOff>
      <xdr:row>66</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69</xdr:row>
      <xdr:rowOff>36932</xdr:rowOff>
    </xdr:from>
    <xdr:to>
      <xdr:col>9</xdr:col>
      <xdr:colOff>1398320</xdr:colOff>
      <xdr:row>70</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66</xdr:row>
      <xdr:rowOff>15519</xdr:rowOff>
    </xdr:from>
    <xdr:to>
      <xdr:col>10</xdr:col>
      <xdr:colOff>998720</xdr:colOff>
      <xdr:row>70</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9</xdr:col>
      <xdr:colOff>1774643</xdr:colOff>
      <xdr:row>64</xdr:row>
      <xdr:rowOff>162059</xdr:rowOff>
    </xdr:from>
    <xdr:to>
      <xdr:col>10</xdr:col>
      <xdr:colOff>877816</xdr:colOff>
      <xdr:row>66</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69</xdr:row>
      <xdr:rowOff>36932</xdr:rowOff>
    </xdr:from>
    <xdr:to>
      <xdr:col>10</xdr:col>
      <xdr:colOff>544310</xdr:colOff>
      <xdr:row>70</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60</xdr:row>
      <xdr:rowOff>96202</xdr:rowOff>
    </xdr:from>
    <xdr:to>
      <xdr:col>7</xdr:col>
      <xdr:colOff>255102</xdr:colOff>
      <xdr:row>65</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6</xdr:col>
      <xdr:colOff>245214</xdr:colOff>
      <xdr:row>59</xdr:row>
      <xdr:rowOff>56299</xdr:rowOff>
    </xdr:from>
    <xdr:to>
      <xdr:col>7</xdr:col>
      <xdr:colOff>259939</xdr:colOff>
      <xdr:row>60</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68</xdr:row>
      <xdr:rowOff>24416</xdr:rowOff>
    </xdr:from>
    <xdr:to>
      <xdr:col>3</xdr:col>
      <xdr:colOff>963790</xdr:colOff>
      <xdr:row>68</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67</xdr:row>
      <xdr:rowOff>58025</xdr:rowOff>
    </xdr:from>
    <xdr:to>
      <xdr:col>3</xdr:col>
      <xdr:colOff>613278</xdr:colOff>
      <xdr:row>67</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63</xdr:row>
      <xdr:rowOff>101485</xdr:rowOff>
    </xdr:from>
    <xdr:to>
      <xdr:col>3</xdr:col>
      <xdr:colOff>574651</xdr:colOff>
      <xdr:row>67</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63</xdr:row>
      <xdr:rowOff>35283</xdr:rowOff>
    </xdr:from>
    <xdr:to>
      <xdr:col>3</xdr:col>
      <xdr:colOff>651904</xdr:colOff>
      <xdr:row>63</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58</xdr:row>
      <xdr:rowOff>79969</xdr:rowOff>
    </xdr:from>
    <xdr:to>
      <xdr:col>3</xdr:col>
      <xdr:colOff>638142</xdr:colOff>
      <xdr:row>63</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66</xdr:row>
      <xdr:rowOff>50835</xdr:rowOff>
    </xdr:from>
    <xdr:to>
      <xdr:col>4</xdr:col>
      <xdr:colOff>316334</xdr:colOff>
      <xdr:row>66</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50</xdr:row>
      <xdr:rowOff>140441</xdr:rowOff>
    </xdr:from>
    <xdr:to>
      <xdr:col>4</xdr:col>
      <xdr:colOff>689942</xdr:colOff>
      <xdr:row>66</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64</xdr:row>
      <xdr:rowOff>115302</xdr:rowOff>
    </xdr:from>
    <xdr:to>
      <xdr:col>6</xdr:col>
      <xdr:colOff>161924</xdr:colOff>
      <xdr:row>68</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59</xdr:row>
      <xdr:rowOff>56299</xdr:rowOff>
    </xdr:from>
    <xdr:to>
      <xdr:col>8</xdr:col>
      <xdr:colOff>23655</xdr:colOff>
      <xdr:row>60</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59</xdr:row>
      <xdr:rowOff>56299</xdr:rowOff>
    </xdr:from>
    <xdr:to>
      <xdr:col>8</xdr:col>
      <xdr:colOff>1129198</xdr:colOff>
      <xdr:row>60</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59</xdr:row>
      <xdr:rowOff>56299</xdr:rowOff>
    </xdr:from>
    <xdr:to>
      <xdr:col>9</xdr:col>
      <xdr:colOff>237798</xdr:colOff>
      <xdr:row>60</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60</xdr:row>
      <xdr:rowOff>96202</xdr:rowOff>
    </xdr:from>
    <xdr:to>
      <xdr:col>8</xdr:col>
      <xdr:colOff>1164890</xdr:colOff>
      <xdr:row>65</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69</xdr:row>
      <xdr:rowOff>118322</xdr:rowOff>
    </xdr:from>
    <xdr:to>
      <xdr:col>3</xdr:col>
      <xdr:colOff>82275</xdr:colOff>
      <xdr:row>69</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53</xdr:row>
      <xdr:rowOff>121108</xdr:rowOff>
    </xdr:from>
    <xdr:to>
      <xdr:col>2</xdr:col>
      <xdr:colOff>449351</xdr:colOff>
      <xdr:row>58</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56</xdr:row>
      <xdr:rowOff>151158</xdr:rowOff>
    </xdr:from>
    <xdr:to>
      <xdr:col>2</xdr:col>
      <xdr:colOff>105105</xdr:colOff>
      <xdr:row>57</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63</xdr:row>
      <xdr:rowOff>108166</xdr:rowOff>
    </xdr:from>
    <xdr:to>
      <xdr:col>6</xdr:col>
      <xdr:colOff>962476</xdr:colOff>
      <xdr:row>64</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63</xdr:row>
      <xdr:rowOff>108166</xdr:rowOff>
    </xdr:from>
    <xdr:to>
      <xdr:col>7</xdr:col>
      <xdr:colOff>853503</xdr:colOff>
      <xdr:row>64</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63</xdr:row>
      <xdr:rowOff>108166</xdr:rowOff>
    </xdr:from>
    <xdr:to>
      <xdr:col>8</xdr:col>
      <xdr:colOff>1822597</xdr:colOff>
      <xdr:row>64</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63</xdr:row>
      <xdr:rowOff>108166</xdr:rowOff>
    </xdr:from>
    <xdr:to>
      <xdr:col>8</xdr:col>
      <xdr:colOff>727521</xdr:colOff>
      <xdr:row>64</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76</xdr:row>
      <xdr:rowOff>19459</xdr:rowOff>
    </xdr:from>
    <xdr:to>
      <xdr:col>7</xdr:col>
      <xdr:colOff>185784</xdr:colOff>
      <xdr:row>76</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73</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71</xdr:row>
      <xdr:rowOff>105098</xdr:rowOff>
    </xdr:from>
    <xdr:to>
      <xdr:col>6</xdr:col>
      <xdr:colOff>659569</xdr:colOff>
      <xdr:row>73</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76</xdr:row>
      <xdr:rowOff>19457</xdr:rowOff>
    </xdr:from>
    <xdr:to>
      <xdr:col>4</xdr:col>
      <xdr:colOff>878920</xdr:colOff>
      <xdr:row>77</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73</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71</xdr:row>
      <xdr:rowOff>117069</xdr:rowOff>
    </xdr:from>
    <xdr:to>
      <xdr:col>7</xdr:col>
      <xdr:colOff>447675</xdr:colOff>
      <xdr:row>73</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76</xdr:row>
      <xdr:rowOff>19457</xdr:rowOff>
    </xdr:from>
    <xdr:to>
      <xdr:col>6</xdr:col>
      <xdr:colOff>767578</xdr:colOff>
      <xdr:row>77</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72</xdr:row>
      <xdr:rowOff>147583</xdr:rowOff>
    </xdr:from>
    <xdr:to>
      <xdr:col>6</xdr:col>
      <xdr:colOff>89641</xdr:colOff>
      <xdr:row>74</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72</xdr:row>
      <xdr:rowOff>147583</xdr:rowOff>
    </xdr:from>
    <xdr:to>
      <xdr:col>6</xdr:col>
      <xdr:colOff>1149101</xdr:colOff>
      <xdr:row>74</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73</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76</xdr:row>
      <xdr:rowOff>19457</xdr:rowOff>
    </xdr:from>
    <xdr:to>
      <xdr:col>8</xdr:col>
      <xdr:colOff>564822</xdr:colOff>
      <xdr:row>77</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73</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76</xdr:row>
      <xdr:rowOff>19457</xdr:rowOff>
    </xdr:from>
    <xdr:to>
      <xdr:col>8</xdr:col>
      <xdr:colOff>1604753</xdr:colOff>
      <xdr:row>77</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71</xdr:row>
      <xdr:rowOff>118941</xdr:rowOff>
    </xdr:from>
    <xdr:to>
      <xdr:col>9</xdr:col>
      <xdr:colOff>54270</xdr:colOff>
      <xdr:row>73</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71</xdr:row>
      <xdr:rowOff>114889</xdr:rowOff>
    </xdr:from>
    <xdr:to>
      <xdr:col>8</xdr:col>
      <xdr:colOff>901673</xdr:colOff>
      <xdr:row>73</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73</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71</xdr:row>
      <xdr:rowOff>106305</xdr:rowOff>
    </xdr:from>
    <xdr:to>
      <xdr:col>7</xdr:col>
      <xdr:colOff>958400</xdr:colOff>
      <xdr:row>73</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76</xdr:row>
      <xdr:rowOff>19457</xdr:rowOff>
    </xdr:from>
    <xdr:to>
      <xdr:col>7</xdr:col>
      <xdr:colOff>657545</xdr:colOff>
      <xdr:row>77</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72</xdr:row>
      <xdr:rowOff>147583</xdr:rowOff>
    </xdr:from>
    <xdr:to>
      <xdr:col>7</xdr:col>
      <xdr:colOff>1054714</xdr:colOff>
      <xdr:row>74</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72</xdr:row>
      <xdr:rowOff>147583</xdr:rowOff>
    </xdr:from>
    <xdr:to>
      <xdr:col>8</xdr:col>
      <xdr:colOff>1928195</xdr:colOff>
      <xdr:row>74</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72</xdr:row>
      <xdr:rowOff>147583</xdr:rowOff>
    </xdr:from>
    <xdr:to>
      <xdr:col>8</xdr:col>
      <xdr:colOff>980551</xdr:colOff>
      <xdr:row>74</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73</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76</xdr:row>
      <xdr:rowOff>19457</xdr:rowOff>
    </xdr:from>
    <xdr:to>
      <xdr:col>9</xdr:col>
      <xdr:colOff>344441</xdr:colOff>
      <xdr:row>77</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71</xdr:row>
      <xdr:rowOff>111087</xdr:rowOff>
    </xdr:from>
    <xdr:to>
      <xdr:col>9</xdr:col>
      <xdr:colOff>1428457</xdr:colOff>
      <xdr:row>73</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9</xdr:col>
      <xdr:colOff>237551</xdr:colOff>
      <xdr:row>72</xdr:row>
      <xdr:rowOff>147583</xdr:rowOff>
    </xdr:from>
    <xdr:to>
      <xdr:col>9</xdr:col>
      <xdr:colOff>791878</xdr:colOff>
      <xdr:row>74</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67</xdr:row>
      <xdr:rowOff>77199</xdr:rowOff>
    </xdr:from>
    <xdr:to>
      <xdr:col>3</xdr:col>
      <xdr:colOff>540571</xdr:colOff>
      <xdr:row>67</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67</xdr:row>
      <xdr:rowOff>127998</xdr:rowOff>
    </xdr:from>
    <xdr:to>
      <xdr:col>3</xdr:col>
      <xdr:colOff>552295</xdr:colOff>
      <xdr:row>68</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70</xdr:row>
      <xdr:rowOff>65184</xdr:rowOff>
    </xdr:from>
    <xdr:to>
      <xdr:col>6</xdr:col>
      <xdr:colOff>476689</xdr:colOff>
      <xdr:row>71</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59</xdr:row>
      <xdr:rowOff>87313</xdr:rowOff>
    </xdr:from>
    <xdr:to>
      <xdr:col>2</xdr:col>
      <xdr:colOff>465138</xdr:colOff>
      <xdr:row>59</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5208249" y="19050"/>
          <a:ext cx="949326" cy="609600"/>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122767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613833</xdr:colOff>
      <xdr:row>53</xdr:row>
      <xdr:rowOff>21167</xdr:rowOff>
    </xdr:from>
    <xdr:to>
      <xdr:col>7</xdr:col>
      <xdr:colOff>467782</xdr:colOff>
      <xdr:row>57</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53</xdr:row>
      <xdr:rowOff>137584</xdr:rowOff>
    </xdr:from>
    <xdr:to>
      <xdr:col>4</xdr:col>
      <xdr:colOff>553504</xdr:colOff>
      <xdr:row>54</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54</xdr:row>
      <xdr:rowOff>21166</xdr:rowOff>
    </xdr:from>
    <xdr:to>
      <xdr:col>6</xdr:col>
      <xdr:colOff>592667</xdr:colOff>
      <xdr:row>54</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50</xdr:row>
      <xdr:rowOff>21167</xdr:rowOff>
    </xdr:from>
    <xdr:to>
      <xdr:col>7</xdr:col>
      <xdr:colOff>826965</xdr:colOff>
      <xdr:row>53</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56</xdr:row>
      <xdr:rowOff>52917</xdr:rowOff>
    </xdr:from>
    <xdr:to>
      <xdr:col>7</xdr:col>
      <xdr:colOff>506167</xdr:colOff>
      <xdr:row>57</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a:t>
          </a:r>
          <a:r>
            <a:rPr lang="en-US" sz="1600" b="1" i="0" u="none" strike="noStrike" baseline="0">
              <a:solidFill>
                <a:schemeClr val="bg1"/>
              </a:solidFill>
              <a:latin typeface="Votorantim Sans Black" panose="02010A03030202050203"/>
              <a:ea typeface="+mn-ea"/>
              <a:cs typeface="+mn-cs"/>
            </a:rPr>
            <a:t>DRE Energia e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81642</xdr:colOff>
      <xdr:row>45</xdr:row>
      <xdr:rowOff>36286</xdr:rowOff>
    </xdr:from>
    <xdr:to>
      <xdr:col>20</xdr:col>
      <xdr:colOff>235857</xdr:colOff>
      <xdr:row>59</xdr:row>
      <xdr:rowOff>154214</xdr:rowOff>
    </xdr:to>
    <xdr:sp macro="" textlink="">
      <xdr:nvSpPr>
        <xdr:cNvPr id="110" name="CaixaDeTexto 7">
          <a:extLst>
            <a:ext uri="{FF2B5EF4-FFF2-40B4-BE49-F238E27FC236}">
              <a16:creationId xmlns:a16="http://schemas.microsoft.com/office/drawing/2014/main" id="{73ABC48E-417B-07B7-5BCC-C817C7821316}"/>
            </a:ext>
          </a:extLst>
        </xdr:cNvPr>
        <xdr:cNvSpPr txBox="1"/>
      </xdr:nvSpPr>
      <xdr:spPr>
        <a:xfrm>
          <a:off x="81642" y="8200572"/>
          <a:ext cx="5334001" cy="2403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Custos dos Produtos Vendidos </a:t>
          </a:r>
          <a:r>
            <a:rPr lang="pt-BR" sz="1100" baseline="0">
              <a:solidFill>
                <a:schemeClr val="dk1"/>
              </a:solidFill>
              <a:effectLst/>
              <a:latin typeface="+mn-lt"/>
              <a:ea typeface="+mn-ea"/>
              <a:cs typeface="+mn-cs"/>
            </a:rPr>
            <a:t>sem depreciação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GSF e Derivativos</a:t>
          </a:r>
          <a:r>
            <a:rPr lang="pt-BR" sz="1100" baseline="0">
              <a:solidFill>
                <a:schemeClr val="dk1"/>
              </a:solidFill>
              <a:effectLst/>
              <a:latin typeface="+mn-lt"/>
              <a:ea typeface="+mn-ea"/>
              <a:cs typeface="+mn-cs"/>
            </a:rPr>
            <a:t> de Energia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Em julho de 2023, a Companhia efetuou a designação desta operação em hedge accounting como hedge de fluxo de caixa, visando a proteção do risco de descasamento do fluxo de caixa entre receita futura dolarizada e o custo de aquisição da energia elétrica indexados à inflação, portanto, terá o MtM futuro deste instrumento classificado na rubrica “Outros resultados abrangentes”, e será reclassificado para o resultado, acompanhando seu objeto de hedge no momento da realização do swap. O valor realizado de hedge accounting acumulado em 31 de dezembro de 2024, de “Outros resultados abrangentes” para “Custo dos produtos vendidos e dos serviços prestados”, foi de R$274 milhões.</a:t>
          </a:r>
          <a:endParaRPr lang="pt-BR" sz="1100"/>
        </a:p>
      </xdr:txBody>
    </xdr:sp>
    <xdr:clientData/>
  </xdr:twoCellAnchor>
  <xdr:twoCellAnchor>
    <xdr:from>
      <xdr:col>26</xdr:col>
      <xdr:colOff>226785</xdr:colOff>
      <xdr:row>0</xdr:row>
      <xdr:rowOff>99785</xdr:rowOff>
    </xdr:from>
    <xdr:to>
      <xdr:col>32</xdr:col>
      <xdr:colOff>500112</xdr:colOff>
      <xdr:row>3</xdr:row>
      <xdr:rowOff>200931</xdr:rowOff>
    </xdr:to>
    <xdr:grpSp>
      <xdr:nvGrpSpPr>
        <xdr:cNvPr id="111" name="Agrupar 4">
          <a:hlinkClick xmlns:r="http://schemas.openxmlformats.org/officeDocument/2006/relationships" r:id="rId2"/>
          <a:extLst>
            <a:ext uri="{FF2B5EF4-FFF2-40B4-BE49-F238E27FC236}">
              <a16:creationId xmlns:a16="http://schemas.microsoft.com/office/drawing/2014/main" id="{0A7C26E0-9E3E-438E-BADE-37505751E167}"/>
            </a:ext>
          </a:extLst>
        </xdr:cNvPr>
        <xdr:cNvGrpSpPr>
          <a:grpSpLocks/>
        </xdr:cNvGrpSpPr>
      </xdr:nvGrpSpPr>
      <xdr:grpSpPr bwMode="auto">
        <a:xfrm>
          <a:off x="9221106" y="102960"/>
          <a:ext cx="916038" cy="598260"/>
          <a:chOff x="11133666" y="131229"/>
          <a:chExt cx="928738" cy="609603"/>
        </a:xfrm>
      </xdr:grpSpPr>
      <xdr:sp macro="" textlink="">
        <xdr:nvSpPr>
          <xdr:cNvPr id="112" name="Seta: Curva para Cima 111" descr="Menu">
            <a:extLst>
              <a:ext uri="{FF2B5EF4-FFF2-40B4-BE49-F238E27FC236}">
                <a16:creationId xmlns:a16="http://schemas.microsoft.com/office/drawing/2014/main" id="{4FBD5843-584F-406B-56B3-50BFA24638F9}"/>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3" name="CaixaDeTexto 112">
            <a:extLst>
              <a:ext uri="{FF2B5EF4-FFF2-40B4-BE49-F238E27FC236}">
                <a16:creationId xmlns:a16="http://schemas.microsoft.com/office/drawing/2014/main" id="{43064A39-616C-7E85-A925-956C9693632B}"/>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30</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30</xdr:col>
      <xdr:colOff>159104</xdr:colOff>
      <xdr:row>0</xdr:row>
      <xdr:rowOff>72672</xdr:rowOff>
    </xdr:from>
    <xdr:to>
      <xdr:col>31</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8353779" y="69497"/>
          <a:ext cx="911049" cy="63023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9523</xdr:colOff>
      <xdr:row>0</xdr:row>
      <xdr:rowOff>0</xdr:rowOff>
    </xdr:from>
    <xdr:to>
      <xdr:col>30</xdr:col>
      <xdr:colOff>11905</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3" y="0"/>
          <a:ext cx="15170945"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30</xdr:col>
      <xdr:colOff>171451</xdr:colOff>
      <xdr:row>0</xdr:row>
      <xdr:rowOff>65616</xdr:rowOff>
    </xdr:from>
    <xdr:to>
      <xdr:col>31</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9251951" y="65616"/>
          <a:ext cx="1054099" cy="59690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B050"/>
    <pageSetUpPr fitToPage="1"/>
  </sheetPr>
  <dimension ref="C1:R25"/>
  <sheetViews>
    <sheetView showGridLines="0" tabSelected="1" zoomScale="90" zoomScaleNormal="90" workbookViewId="0">
      <selection activeCell="E36" sqref="E36"/>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 customHeight="1">
      <c r="N3" s="17" t="s">
        <v>0</v>
      </c>
      <c r="O3" s="404" t="s">
        <v>403</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486</v>
      </c>
      <c r="O7" s="16"/>
      <c r="P7" s="7"/>
      <c r="Q7" s="6"/>
      <c r="R7" s="8"/>
    </row>
    <row r="8" spans="4:18" ht="15" customHeight="1">
      <c r="E8" s="2"/>
      <c r="N8" s="14" t="s">
        <v>457</v>
      </c>
      <c r="O8" s="16"/>
      <c r="P8" s="7"/>
      <c r="Q8" s="6"/>
      <c r="R8" s="8"/>
    </row>
    <row r="9" spans="4:18" ht="15" customHeight="1">
      <c r="E9" s="2"/>
      <c r="N9" s="14" t="s">
        <v>458</v>
      </c>
      <c r="O9" s="16"/>
      <c r="P9" s="7"/>
      <c r="Q9" s="6"/>
      <c r="R9" s="8"/>
    </row>
    <row r="10" spans="4:18" ht="15" customHeight="1">
      <c r="E10" s="2"/>
      <c r="N10" s="14" t="s">
        <v>539</v>
      </c>
      <c r="O10" s="16"/>
      <c r="P10" s="7"/>
      <c r="Q10" s="6"/>
      <c r="R10" s="9"/>
    </row>
    <row r="11" spans="4:18" ht="15" customHeight="1">
      <c r="E11" s="2"/>
      <c r="N11" s="14" t="s">
        <v>459</v>
      </c>
      <c r="O11" s="16"/>
      <c r="P11" s="7"/>
      <c r="Q11" s="11"/>
      <c r="R11" s="10"/>
    </row>
    <row r="12" spans="4:18" ht="15" customHeight="1">
      <c r="E12" s="2"/>
      <c r="N12" s="14" t="s">
        <v>460</v>
      </c>
      <c r="O12" s="15"/>
      <c r="P12" s="6"/>
      <c r="Q12" s="12"/>
      <c r="R12" s="10"/>
    </row>
    <row r="13" spans="4:18" ht="15" customHeight="1">
      <c r="N13" s="14" t="s">
        <v>461</v>
      </c>
      <c r="O13" s="15"/>
      <c r="P13" s="6"/>
      <c r="Q13" s="12"/>
      <c r="R13" s="10"/>
    </row>
    <row r="14" spans="4:18" ht="15" customHeight="1">
      <c r="N14" s="14" t="s">
        <v>467</v>
      </c>
      <c r="O14" s="12"/>
      <c r="P14" s="12"/>
      <c r="Q14" s="12"/>
      <c r="R14" s="10"/>
    </row>
    <row r="15" spans="4:18" ht="15" customHeight="1">
      <c r="N15" s="14" t="s">
        <v>462</v>
      </c>
      <c r="O15" s="12"/>
      <c r="P15" s="12"/>
      <c r="Q15" s="12"/>
      <c r="R15" s="10"/>
    </row>
    <row r="16" spans="4:18" ht="15" customHeight="1">
      <c r="D16" s="3"/>
      <c r="E16" s="4"/>
      <c r="J16" s="5"/>
      <c r="N16" s="14" t="s">
        <v>463</v>
      </c>
      <c r="O16" s="12"/>
      <c r="P16" s="12"/>
      <c r="Q16" s="12"/>
      <c r="R16" s="10"/>
    </row>
    <row r="17" spans="3:18" ht="15" customHeight="1">
      <c r="D17" s="3"/>
      <c r="E17" s="4"/>
      <c r="J17" s="5"/>
      <c r="N17" s="14" t="s">
        <v>464</v>
      </c>
      <c r="O17" s="12"/>
      <c r="P17" s="12"/>
      <c r="Q17" s="12"/>
      <c r="R17" s="10"/>
    </row>
    <row r="18" spans="3:18" ht="15" customHeight="1">
      <c r="D18" s="3"/>
      <c r="E18" s="4"/>
      <c r="J18" s="5"/>
      <c r="N18" s="14" t="s">
        <v>465</v>
      </c>
      <c r="O18" s="12"/>
      <c r="P18" s="12"/>
      <c r="Q18" s="12"/>
      <c r="R18" s="10"/>
    </row>
    <row r="19" spans="3:18" ht="15" customHeight="1">
      <c r="D19" s="345" t="s">
        <v>362</v>
      </c>
      <c r="E19" s="4"/>
      <c r="J19" s="5"/>
      <c r="N19" s="14" t="s">
        <v>466</v>
      </c>
      <c r="O19" s="12"/>
      <c r="P19" s="12"/>
      <c r="Q19" s="12"/>
      <c r="R19" s="10"/>
    </row>
    <row r="22" spans="3:18">
      <c r="O22" s="404" t="s">
        <v>403</v>
      </c>
    </row>
    <row r="25" spans="3:18">
      <c r="C25" s="392"/>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DRE e Balanço Energia'!A1" display="6.  DRE e Balanço Energia"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tabColor rgb="FF00B050"/>
    <pageSetUpPr fitToPage="1"/>
  </sheetPr>
  <dimension ref="B1:AM108"/>
  <sheetViews>
    <sheetView showGridLines="0" topLeftCell="A15" zoomScale="87" zoomScaleNormal="87" workbookViewId="0">
      <selection activeCell="AE33" sqref="AE33"/>
    </sheetView>
  </sheetViews>
  <sheetFormatPr defaultColWidth="9.1796875" defaultRowHeight="14" outlineLevelCol="1"/>
  <cols>
    <col min="1" max="1" width="2.1796875" style="46" customWidth="1"/>
    <col min="2" max="2" width="63" style="113" customWidth="1"/>
    <col min="3" max="19" width="9.1796875" style="46" hidden="1" customWidth="1" outlineLevel="1"/>
    <col min="20" max="20" width="9.81640625" style="46" hidden="1" customWidth="1" outlineLevel="1"/>
    <col min="21" max="21" width="11" style="46" hidden="1" customWidth="1" outlineLevel="1"/>
    <col min="22" max="22" width="9.453125" style="46" hidden="1" customWidth="1" outlineLevel="1"/>
    <col min="23" max="23" width="9.453125" style="46" customWidth="1" collapsed="1"/>
    <col min="24" max="30" width="9.453125" style="46" customWidth="1"/>
    <col min="31" max="31" width="12.1796875" style="46" customWidth="1"/>
    <col min="32" max="32" width="11.1796875" style="46" customWidth="1"/>
    <col min="33" max="37" width="0" style="46" hidden="1" customWidth="1" outlineLevel="1"/>
    <col min="38" max="38" width="12" style="46" bestFit="1" customWidth="1" collapsed="1"/>
    <col min="39" max="39" width="12" style="46" bestFit="1" customWidth="1"/>
    <col min="40" max="16384" width="9.1796875" style="46"/>
  </cols>
  <sheetData>
    <row r="1" spans="2:39">
      <c r="B1" s="46"/>
    </row>
    <row r="2" spans="2:39" ht="12.65" customHeight="1">
      <c r="B2" s="46"/>
    </row>
    <row r="3" spans="2:39" ht="19.5" customHeight="1">
      <c r="B3" s="46"/>
    </row>
    <row r="4" spans="2:39" ht="34.5" customHeight="1">
      <c r="B4" s="87"/>
    </row>
    <row r="5" spans="2:39" ht="20.25" customHeight="1" thickBot="1">
      <c r="B5" s="66" t="s">
        <v>134</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28" t="s">
        <v>342</v>
      </c>
      <c r="V5" s="228" t="s">
        <v>348</v>
      </c>
      <c r="W5" s="228" t="s">
        <v>363</v>
      </c>
      <c r="X5" s="228" t="s">
        <v>392</v>
      </c>
      <c r="Y5" s="228" t="s">
        <v>404</v>
      </c>
      <c r="Z5" s="228" t="s">
        <v>405</v>
      </c>
      <c r="AA5" s="228" t="s">
        <v>478</v>
      </c>
      <c r="AB5" s="228" t="s">
        <v>483</v>
      </c>
      <c r="AC5" s="228" t="s">
        <v>488</v>
      </c>
      <c r="AD5" s="228" t="s">
        <v>490</v>
      </c>
      <c r="AG5" s="67">
        <v>2018</v>
      </c>
      <c r="AH5" s="67">
        <v>2019</v>
      </c>
      <c r="AI5" s="67">
        <v>2020</v>
      </c>
      <c r="AJ5" s="67">
        <v>2021</v>
      </c>
      <c r="AK5" s="67">
        <v>2022</v>
      </c>
      <c r="AL5" s="67">
        <v>2023</v>
      </c>
      <c r="AM5" s="67">
        <v>2024</v>
      </c>
    </row>
    <row r="6" spans="2:39" ht="9" customHeight="1" thickTop="1">
      <c r="B6" s="49"/>
      <c r="AE6" s="113"/>
    </row>
    <row r="7" spans="2:39" s="49" customFormat="1" ht="14.5" thickBot="1">
      <c r="B7" s="107" t="s">
        <v>135</v>
      </c>
      <c r="C7" s="159">
        <v>1165.088</v>
      </c>
      <c r="D7" s="159">
        <v>1316.9949999999999</v>
      </c>
      <c r="E7" s="159">
        <v>1438.836</v>
      </c>
      <c r="F7" s="159">
        <v>1496.5569999999993</v>
      </c>
      <c r="G7" s="159">
        <v>1327.079</v>
      </c>
      <c r="H7" s="159">
        <v>1365.954</v>
      </c>
      <c r="I7" s="159">
        <v>1313.2519999999995</v>
      </c>
      <c r="J7" s="159">
        <v>1257.3990000000013</v>
      </c>
      <c r="K7" s="159">
        <v>1252.7380000000001</v>
      </c>
      <c r="L7" s="159">
        <v>1101.9179999999999</v>
      </c>
      <c r="M7" s="159">
        <v>1485.6209999999999</v>
      </c>
      <c r="N7" s="159">
        <v>1571.105</v>
      </c>
      <c r="O7" s="159">
        <v>1792.8239999999998</v>
      </c>
      <c r="P7" s="159">
        <v>1913.0839999999996</v>
      </c>
      <c r="Q7" s="159">
        <v>2300.0440000000008</v>
      </c>
      <c r="R7" s="159">
        <v>2417.2279999999996</v>
      </c>
      <c r="S7" s="159">
        <v>2291.665</v>
      </c>
      <c r="T7" s="159">
        <v>2331</v>
      </c>
      <c r="U7" s="159">
        <v>2245</v>
      </c>
      <c r="V7" s="159">
        <v>1957</v>
      </c>
      <c r="W7" s="159">
        <v>1915.819</v>
      </c>
      <c r="X7" s="159">
        <v>1665</v>
      </c>
      <c r="Y7" s="159">
        <f>1864</f>
        <v>1864</v>
      </c>
      <c r="Z7" s="159">
        <v>1904</v>
      </c>
      <c r="AA7" s="159">
        <v>1693.866</v>
      </c>
      <c r="AB7" s="482">
        <v>2065</v>
      </c>
      <c r="AC7" s="482">
        <v>2135</v>
      </c>
      <c r="AD7" s="482">
        <v>2280.4187040800002</v>
      </c>
      <c r="AE7" s="227"/>
      <c r="AF7" s="342"/>
      <c r="AG7" s="159">
        <v>5417.4759999999987</v>
      </c>
      <c r="AH7" s="159">
        <v>5263.6840000000011</v>
      </c>
      <c r="AI7" s="159">
        <v>5411.3819999999996</v>
      </c>
      <c r="AJ7" s="159">
        <v>8423.18</v>
      </c>
      <c r="AK7" s="159">
        <v>8825</v>
      </c>
      <c r="AL7" s="159">
        <v>7348</v>
      </c>
      <c r="AM7" s="159">
        <f>SUM(AA7:AD7)</f>
        <v>8174.2847040800007</v>
      </c>
    </row>
    <row r="8" spans="2:39">
      <c r="B8" s="108" t="s">
        <v>136</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-5418-SUM(W8:X8)</f>
        <v>-1924.1959999999999</v>
      </c>
      <c r="Z8" s="109">
        <v>-1855</v>
      </c>
      <c r="AA8" s="109">
        <v>-1615.364</v>
      </c>
      <c r="AB8" s="483">
        <v>-1807</v>
      </c>
      <c r="AC8" s="483">
        <v>-1771.5</v>
      </c>
      <c r="AD8" s="483">
        <v>-2120.2050000000004</v>
      </c>
      <c r="AE8" s="227"/>
      <c r="AF8" s="342"/>
      <c r="AG8" s="109">
        <v>-4468.0439999999999</v>
      </c>
      <c r="AH8" s="109">
        <v>-4606.1170000000002</v>
      </c>
      <c r="AI8" s="109">
        <v>-4831.1329999999998</v>
      </c>
      <c r="AJ8" s="109">
        <v>-6799.4719999999998</v>
      </c>
      <c r="AK8" s="109">
        <v>-7175.3649999999998</v>
      </c>
      <c r="AL8" s="109">
        <f>SUM(W8:Z8)</f>
        <v>-7273</v>
      </c>
      <c r="AM8" s="109">
        <f>SUM(AA8:AD8)</f>
        <v>-7314.0689999999995</v>
      </c>
    </row>
    <row r="9" spans="2:39" s="49" customFormat="1" ht="15" customHeight="1" thickBot="1">
      <c r="B9" s="107" t="s">
        <v>137</v>
      </c>
      <c r="C9" s="160">
        <v>218.54999999999995</v>
      </c>
      <c r="D9" s="160">
        <v>266.05299999999988</v>
      </c>
      <c r="E9" s="160">
        <v>265.51099999999997</v>
      </c>
      <c r="F9" s="160">
        <v>199.31799999999976</v>
      </c>
      <c r="G9" s="160">
        <v>207.798</v>
      </c>
      <c r="H9" s="160">
        <v>189.27499999999986</v>
      </c>
      <c r="I9" s="160">
        <v>141.31799999999976</v>
      </c>
      <c r="J9" s="160">
        <v>119.17600000000084</v>
      </c>
      <c r="K9" s="160">
        <v>148.14400000000001</v>
      </c>
      <c r="L9" s="160">
        <v>63.952999999999747</v>
      </c>
      <c r="M9" s="160">
        <v>188.66700000000014</v>
      </c>
      <c r="N9" s="160">
        <v>179.48500000000013</v>
      </c>
      <c r="O9" s="160">
        <v>443.78599999999983</v>
      </c>
      <c r="P9" s="160">
        <v>386.12199999999962</v>
      </c>
      <c r="Q9" s="160">
        <v>310.04400000000078</v>
      </c>
      <c r="R9" s="160">
        <v>483.75599999999986</v>
      </c>
      <c r="S9" s="160">
        <v>553.95000000000005</v>
      </c>
      <c r="T9" s="160">
        <v>662.21799999999985</v>
      </c>
      <c r="U9" s="160">
        <f>SUM(U7:U8)</f>
        <v>331</v>
      </c>
      <c r="V9" s="160">
        <f>SUM(V7:V8)</f>
        <v>103</v>
      </c>
      <c r="W9" s="160">
        <f t="shared" ref="W9:Y9" si="0">SUM(W7:W8)</f>
        <v>60.014999999999873</v>
      </c>
      <c r="X9" s="160">
        <f t="shared" si="0"/>
        <v>27</v>
      </c>
      <c r="Y9" s="160">
        <f t="shared" si="0"/>
        <v>-60.195999999999913</v>
      </c>
      <c r="Z9" s="160">
        <f>SUM(Z7:Z8)</f>
        <v>49</v>
      </c>
      <c r="AA9" s="160">
        <f>SUM(AA7:AA8)</f>
        <v>78.501999999999953</v>
      </c>
      <c r="AB9" s="160">
        <f>SUM(AB7:AB8)</f>
        <v>258</v>
      </c>
      <c r="AC9" s="160">
        <f>SUM(AC7:AC8)</f>
        <v>363.5</v>
      </c>
      <c r="AD9" s="160">
        <f>SUM(AD7:AD8)</f>
        <v>160.21370407999984</v>
      </c>
      <c r="AE9" s="227"/>
      <c r="AF9" s="342"/>
      <c r="AG9" s="160">
        <v>949.43199999999956</v>
      </c>
      <c r="AH9" s="160">
        <v>657.56700000000046</v>
      </c>
      <c r="AI9" s="160">
        <v>580.24900000000002</v>
      </c>
      <c r="AJ9" s="160">
        <v>1623.7080000000001</v>
      </c>
      <c r="AK9" s="160">
        <v>1649.2619999999999</v>
      </c>
      <c r="AL9" s="160">
        <f>SUM(AL7:AL8)</f>
        <v>75</v>
      </c>
      <c r="AM9" s="160">
        <f>SUM(AA9:AD9)</f>
        <v>860.2157040799998</v>
      </c>
    </row>
    <row r="10" spans="2:39" s="78" customFormat="1" ht="14.5">
      <c r="B10" s="110" t="s">
        <v>138</v>
      </c>
      <c r="C10" s="161">
        <v>0.18758239720948114</v>
      </c>
      <c r="D10" s="161">
        <v>0.20201519367955073</v>
      </c>
      <c r="E10" s="161">
        <v>0.18453180209558279</v>
      </c>
      <c r="F10" s="161">
        <v>0.13318436918874446</v>
      </c>
      <c r="G10" s="161">
        <v>0.15658299166816747</v>
      </c>
      <c r="H10" s="161">
        <v>0.1385661596217734</v>
      </c>
      <c r="I10" s="161">
        <v>0.10760920219424742</v>
      </c>
      <c r="J10" s="161">
        <v>9.4779779529012453E-2</v>
      </c>
      <c r="K10" s="161">
        <v>0.11825617168154874</v>
      </c>
      <c r="L10" s="161">
        <v>5.8037893926771097E-2</v>
      </c>
      <c r="M10" s="161">
        <v>0.12699537769054164</v>
      </c>
      <c r="N10" s="161">
        <v>0.11424125058477959</v>
      </c>
      <c r="O10" s="161">
        <v>0.24753461577935137</v>
      </c>
      <c r="P10" s="161">
        <v>0.20183222482651034</v>
      </c>
      <c r="Q10" s="161">
        <v>0.13479916036388898</v>
      </c>
      <c r="R10" s="161">
        <v>0.20012841155240629</v>
      </c>
      <c r="S10" s="161">
        <v>0.2417238121627725</v>
      </c>
      <c r="T10" s="161">
        <v>0.28406523971589098</v>
      </c>
      <c r="U10" s="161">
        <f t="shared" ref="U10:AD10" si="1">U9/U7</f>
        <v>0.14743875278396437</v>
      </c>
      <c r="V10" s="161">
        <f t="shared" si="1"/>
        <v>5.2631578947368418E-2</v>
      </c>
      <c r="W10" s="161">
        <f t="shared" si="1"/>
        <v>3.1326028189510531E-2</v>
      </c>
      <c r="X10" s="161">
        <f t="shared" si="1"/>
        <v>1.6216216216216217E-2</v>
      </c>
      <c r="Y10" s="161">
        <f t="shared" si="1"/>
        <v>-3.2293991416308968E-2</v>
      </c>
      <c r="Z10" s="161">
        <f t="shared" si="1"/>
        <v>2.5735294117647058E-2</v>
      </c>
      <c r="AA10" s="161">
        <f t="shared" si="1"/>
        <v>4.6344870255380269E-2</v>
      </c>
      <c r="AB10" s="161">
        <f t="shared" si="1"/>
        <v>0.12493946731234867</v>
      </c>
      <c r="AC10" s="161">
        <f t="shared" si="1"/>
        <v>0.1702576112412178</v>
      </c>
      <c r="AD10" s="161">
        <f t="shared" si="1"/>
        <v>7.0256266444997259E-2</v>
      </c>
      <c r="AE10" s="227"/>
      <c r="AF10" s="342"/>
      <c r="AG10" s="161">
        <v>0.17525356826684599</v>
      </c>
      <c r="AH10" s="161">
        <v>0.12492524247276249</v>
      </c>
      <c r="AI10" s="161">
        <v>0.1072275067625978</v>
      </c>
      <c r="AJ10" s="161">
        <v>0.19276662733077057</v>
      </c>
      <c r="AK10" s="161">
        <v>0.18688521246458922</v>
      </c>
      <c r="AL10" s="161">
        <f t="shared" ref="AL10:AM10" si="2">AL9/AL7</f>
        <v>1.0206859009254219E-2</v>
      </c>
      <c r="AM10" s="161">
        <f t="shared" si="2"/>
        <v>0.10523437037257137</v>
      </c>
    </row>
    <row r="11" spans="2:39" ht="14.5" thickBot="1">
      <c r="B11" s="111" t="s">
        <v>139</v>
      </c>
      <c r="C11" s="162">
        <v>-53.069999999999993</v>
      </c>
      <c r="D11" s="162">
        <v>30.466999999999999</v>
      </c>
      <c r="E11" s="162">
        <v>-110.545</v>
      </c>
      <c r="F11" s="162">
        <v>-135.26600000000002</v>
      </c>
      <c r="G11" s="162">
        <v>-74.996000000000009</v>
      </c>
      <c r="H11" s="162">
        <v>-38.573000000000008</v>
      </c>
      <c r="I11" s="162">
        <v>-124.23099999999999</v>
      </c>
      <c r="J11" s="162">
        <v>-189.935</v>
      </c>
      <c r="K11" s="162">
        <v>276.82800000000003</v>
      </c>
      <c r="L11" s="162">
        <v>-29.350999999999999</v>
      </c>
      <c r="M11" s="162">
        <v>-189.791</v>
      </c>
      <c r="N11" s="162">
        <v>-203.947</v>
      </c>
      <c r="O11" s="162">
        <v>-308.68799999999999</v>
      </c>
      <c r="P11" s="162">
        <v>42.943000000000026</v>
      </c>
      <c r="Q11" s="162">
        <v>-124.83699999999997</v>
      </c>
      <c r="R11" s="162">
        <v>108.08499999999998</v>
      </c>
      <c r="S11" s="162">
        <v>-157.304</v>
      </c>
      <c r="T11" s="162">
        <v>27</v>
      </c>
      <c r="U11" s="162">
        <f>SUM(U12:U14)</f>
        <v>-136</v>
      </c>
      <c r="V11" s="162">
        <f>SUM(V12:V14)</f>
        <v>-237.119</v>
      </c>
      <c r="W11" s="162">
        <f>SUM(W12:W14)</f>
        <v>44.015999999999991</v>
      </c>
      <c r="X11" s="162">
        <f t="shared" ref="X11:AB11" si="3">SUM(X12:X14)</f>
        <v>-240</v>
      </c>
      <c r="Y11" s="162">
        <f t="shared" si="3"/>
        <v>4.9840000000000373</v>
      </c>
      <c r="Z11" s="162">
        <f t="shared" si="3"/>
        <v>-838.58199999999999</v>
      </c>
      <c r="AA11" s="162">
        <f t="shared" si="3"/>
        <v>34.571999999999989</v>
      </c>
      <c r="AB11" s="162">
        <f t="shared" si="3"/>
        <v>-66</v>
      </c>
      <c r="AC11" s="162">
        <f>SUM(AC12:AC14)</f>
        <v>-250</v>
      </c>
      <c r="AD11" s="162">
        <f>SUM(AD12:AD14)</f>
        <v>-46.898000000000025</v>
      </c>
      <c r="AE11" s="227"/>
      <c r="AF11" s="342"/>
      <c r="AG11" s="162">
        <v>-268.41399999999999</v>
      </c>
      <c r="AH11" s="162">
        <v>-427.73500000000001</v>
      </c>
      <c r="AI11" s="162">
        <v>-146.26099999999997</v>
      </c>
      <c r="AJ11" s="162">
        <v>-282.49699999999996</v>
      </c>
      <c r="AK11" s="162">
        <v>-503.423</v>
      </c>
      <c r="AL11" s="162">
        <f t="shared" ref="AL11:AM11" si="4">SUM(AL12:AL14)</f>
        <v>-1029.5819999999999</v>
      </c>
      <c r="AM11" s="162">
        <f t="shared" si="4"/>
        <v>-328.32600000000002</v>
      </c>
    </row>
    <row r="12" spans="2:39" s="113" customFormat="1">
      <c r="B12" s="112" t="s">
        <v>140</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390">
        <v>-6</v>
      </c>
      <c r="AC12" s="390">
        <v>-12</v>
      </c>
      <c r="AD12" s="390">
        <v>-12.565999999999995</v>
      </c>
      <c r="AE12" s="227"/>
      <c r="AF12" s="342"/>
      <c r="AG12" s="109">
        <v>-35.951999999999998</v>
      </c>
      <c r="AH12" s="109">
        <v>-35.991999999999997</v>
      </c>
      <c r="AI12" s="109">
        <v>-37.119999999999997</v>
      </c>
      <c r="AJ12" s="109">
        <v>-42.269000000000005</v>
      </c>
      <c r="AK12" s="109">
        <v>-49.115000000000002</v>
      </c>
      <c r="AL12" s="109">
        <f>SUM(W12:Z12)</f>
        <v>-46.991999999999997</v>
      </c>
      <c r="AM12" s="109">
        <f>SUM(AA12:AD12)</f>
        <v>-41.807999999999993</v>
      </c>
    </row>
    <row r="13" spans="2:39">
      <c r="B13" s="114" t="s">
        <v>141</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390">
        <v>-117</v>
      </c>
      <c r="AC13" s="390">
        <v>-90</v>
      </c>
      <c r="AD13" s="390">
        <v>-128.69600000000003</v>
      </c>
      <c r="AE13" s="227"/>
      <c r="AF13" s="342"/>
      <c r="AG13" s="115">
        <v>-197.155</v>
      </c>
      <c r="AH13" s="115">
        <v>-213.99700000000001</v>
      </c>
      <c r="AI13" s="115">
        <v>-283.90199999999999</v>
      </c>
      <c r="AJ13" s="115">
        <v>-338.02699999999999</v>
      </c>
      <c r="AK13" s="115">
        <v>-405.30899999999997</v>
      </c>
      <c r="AL13" s="115">
        <f>SUM(W13:Z13)</f>
        <v>-389.59</v>
      </c>
      <c r="AM13" s="115">
        <f>SUM(AA13:AD13)</f>
        <v>-428.12600000000003</v>
      </c>
    </row>
    <row r="14" spans="2:39">
      <c r="B14" s="112" t="s">
        <v>142</v>
      </c>
      <c r="C14" s="109">
        <v>1.292</v>
      </c>
      <c r="D14" s="163">
        <v>80.564999999999998</v>
      </c>
      <c r="E14" s="163">
        <v>-51.912999999999997</v>
      </c>
      <c r="F14" s="163">
        <v>-65.251000000000005</v>
      </c>
      <c r="G14" s="163">
        <v>-14.734999999999999</v>
      </c>
      <c r="H14" s="163">
        <v>24.038</v>
      </c>
      <c r="I14" s="163">
        <v>-66.097999999999999</v>
      </c>
      <c r="J14" s="163">
        <v>-120.95100000000001</v>
      </c>
      <c r="K14" s="163">
        <v>340.53100000000001</v>
      </c>
      <c r="L14" s="163">
        <v>34</v>
      </c>
      <c r="M14" s="163">
        <v>-120.589</v>
      </c>
      <c r="N14" s="163">
        <v>-79.181000000000012</v>
      </c>
      <c r="O14" s="163">
        <v>-231.56800000000001</v>
      </c>
      <c r="P14" s="163">
        <v>135.06900000000002</v>
      </c>
      <c r="Q14" s="163">
        <v>-39.013999999999982</v>
      </c>
      <c r="R14" s="163">
        <v>233.31199999999998</v>
      </c>
      <c r="S14" s="163">
        <v>-61.026000000000003</v>
      </c>
      <c r="T14" s="163">
        <v>152</v>
      </c>
      <c r="U14" s="163">
        <v>-30</v>
      </c>
      <c r="V14" s="163">
        <v>-109.973</v>
      </c>
      <c r="W14" s="163">
        <v>151.90199999999999</v>
      </c>
      <c r="X14" s="163">
        <v>-120</v>
      </c>
      <c r="Y14" s="163">
        <f>130-SUM(W14:X14)-1</f>
        <v>97.098000000000013</v>
      </c>
      <c r="Z14" s="115">
        <v>-722</v>
      </c>
      <c r="AA14" s="115">
        <v>138.244</v>
      </c>
      <c r="AB14" s="390">
        <v>57</v>
      </c>
      <c r="AC14" s="390">
        <v>-148</v>
      </c>
      <c r="AD14" s="390">
        <v>94.364000000000004</v>
      </c>
      <c r="AE14" s="227"/>
      <c r="AF14" s="342"/>
      <c r="AG14" s="163">
        <v>-35.307000000000002</v>
      </c>
      <c r="AH14" s="163">
        <v>-177.74600000000001</v>
      </c>
      <c r="AI14" s="163">
        <v>174.761</v>
      </c>
      <c r="AJ14" s="163">
        <v>97.799000000000007</v>
      </c>
      <c r="AK14" s="163">
        <v>-48.999000000000009</v>
      </c>
      <c r="AL14" s="163">
        <f>SUM(W14:Z14)</f>
        <v>-593</v>
      </c>
      <c r="AM14" s="163">
        <f>SUM(AA14:AD14)</f>
        <v>141.608</v>
      </c>
    </row>
    <row r="15" spans="2:39" s="49" customFormat="1" ht="28.5" thickBot="1">
      <c r="B15" s="500" t="s">
        <v>143</v>
      </c>
      <c r="C15" s="159">
        <v>165.47999999999996</v>
      </c>
      <c r="D15" s="159">
        <v>296.51999999999987</v>
      </c>
      <c r="E15" s="159">
        <v>154.96599999999995</v>
      </c>
      <c r="F15" s="159">
        <v>64.051999999999737</v>
      </c>
      <c r="G15" s="159">
        <v>132.80199999999999</v>
      </c>
      <c r="H15" s="159">
        <v>150.70199999999986</v>
      </c>
      <c r="I15" s="159">
        <v>17.086999999999762</v>
      </c>
      <c r="J15" s="159">
        <v>-70.758999999999162</v>
      </c>
      <c r="K15" s="159">
        <v>424.97200000000004</v>
      </c>
      <c r="L15" s="159">
        <v>34.601999999999748</v>
      </c>
      <c r="M15" s="159">
        <v>-1.1239999999998531</v>
      </c>
      <c r="N15" s="159">
        <v>-24.461999999999875</v>
      </c>
      <c r="O15" s="159">
        <v>135.09799999999984</v>
      </c>
      <c r="P15" s="159">
        <v>429.06499999999966</v>
      </c>
      <c r="Q15" s="159">
        <v>185.20700000000079</v>
      </c>
      <c r="R15" s="159">
        <v>591.84099999999989</v>
      </c>
      <c r="S15" s="159">
        <v>396.64600000000007</v>
      </c>
      <c r="T15" s="159">
        <v>689.21799999999985</v>
      </c>
      <c r="U15" s="159">
        <f>SUM(U11,U9)</f>
        <v>195</v>
      </c>
      <c r="V15" s="159">
        <f>SUM(V11,V9)</f>
        <v>-134.119</v>
      </c>
      <c r="W15" s="159">
        <v>104.03099999999986</v>
      </c>
      <c r="X15" s="159">
        <v>-213</v>
      </c>
      <c r="Y15" s="159">
        <f t="shared" ref="Y15:AD15" si="5">SUM(Y11,Y9)</f>
        <v>-55.211999999999875</v>
      </c>
      <c r="Z15" s="159">
        <f t="shared" si="5"/>
        <v>-789.58199999999999</v>
      </c>
      <c r="AA15" s="159">
        <f t="shared" si="5"/>
        <v>113.07399999999994</v>
      </c>
      <c r="AB15" s="159">
        <f t="shared" si="5"/>
        <v>192</v>
      </c>
      <c r="AC15" s="159">
        <f t="shared" si="5"/>
        <v>113.5</v>
      </c>
      <c r="AD15" s="159">
        <f t="shared" si="5"/>
        <v>113.31570407999982</v>
      </c>
      <c r="AE15" s="227"/>
      <c r="AF15" s="342"/>
      <c r="AG15" s="159">
        <v>681.01799999999957</v>
      </c>
      <c r="AH15" s="159">
        <v>229.83200000000045</v>
      </c>
      <c r="AI15" s="159">
        <v>433.98800000000006</v>
      </c>
      <c r="AJ15" s="159">
        <v>1341.2110000000002</v>
      </c>
      <c r="AK15" s="159">
        <v>1145.8389999999999</v>
      </c>
      <c r="AL15" s="159">
        <f>SUM(AL11,AL9)</f>
        <v>-954.58199999999988</v>
      </c>
      <c r="AM15" s="159">
        <f>SUM(AM11,AM9)</f>
        <v>531.88970407999977</v>
      </c>
    </row>
    <row r="16" spans="2:39" s="184" customFormat="1" ht="14.5" thickBot="1">
      <c r="B16" s="111" t="s">
        <v>144</v>
      </c>
      <c r="C16" s="162">
        <v>1.3029999999999999</v>
      </c>
      <c r="D16" s="162">
        <v>-19.989999999999998</v>
      </c>
      <c r="E16" s="162">
        <v>-8.3290000000000006</v>
      </c>
      <c r="F16" s="162">
        <v>-2.1000000000000796E-2</v>
      </c>
      <c r="G16" s="162">
        <v>-0.35099999999999998</v>
      </c>
      <c r="H16" s="162">
        <v>4.992</v>
      </c>
      <c r="I16" s="162">
        <v>1.9610000000000001</v>
      </c>
      <c r="J16" s="162">
        <v>7.8949999999999996</v>
      </c>
      <c r="K16" s="162">
        <v>-26.245000000000001</v>
      </c>
      <c r="L16" s="162">
        <v>7.7720000000000002</v>
      </c>
      <c r="M16" s="162">
        <v>5.1269999999999998</v>
      </c>
      <c r="N16" s="162">
        <v>10.3</v>
      </c>
      <c r="O16" s="162">
        <v>-17.169</v>
      </c>
      <c r="P16" s="162">
        <v>17.065000000000001</v>
      </c>
      <c r="Q16" s="162">
        <v>-17.646999999999998</v>
      </c>
      <c r="R16" s="162">
        <v>30.474999999999998</v>
      </c>
      <c r="S16" s="162">
        <v>19.192</v>
      </c>
      <c r="T16" s="162">
        <v>-15</v>
      </c>
      <c r="U16" s="162">
        <f>U17</f>
        <v>-11</v>
      </c>
      <c r="V16" s="162">
        <f>V17</f>
        <v>-6.2949999999999999</v>
      </c>
      <c r="W16" s="162">
        <v>18.428000000000001</v>
      </c>
      <c r="X16" s="162">
        <v>26</v>
      </c>
      <c r="Y16" s="162">
        <f t="shared" ref="Y16:AD16" si="6">Y17</f>
        <v>11.572000000000003</v>
      </c>
      <c r="Z16" s="162">
        <f t="shared" si="6"/>
        <v>11.212000000000003</v>
      </c>
      <c r="AA16" s="162">
        <f t="shared" si="6"/>
        <v>32.139000000000003</v>
      </c>
      <c r="AB16" s="162">
        <f t="shared" si="6"/>
        <v>31</v>
      </c>
      <c r="AC16" s="162">
        <f t="shared" si="6"/>
        <v>34.200000000000003</v>
      </c>
      <c r="AD16" s="162">
        <f t="shared" si="6"/>
        <v>30.61</v>
      </c>
      <c r="AE16" s="227"/>
      <c r="AF16" s="342"/>
      <c r="AG16" s="162">
        <v>-27.036999999999999</v>
      </c>
      <c r="AH16" s="162">
        <v>14.497</v>
      </c>
      <c r="AI16" s="162">
        <v>-3.0459999999999994</v>
      </c>
      <c r="AJ16" s="162">
        <v>12.724</v>
      </c>
      <c r="AK16" s="162">
        <v>-13.103</v>
      </c>
      <c r="AL16" s="162">
        <f>AL17</f>
        <v>67.212000000000003</v>
      </c>
      <c r="AM16" s="162">
        <f>AM17</f>
        <v>127.949</v>
      </c>
    </row>
    <row r="17" spans="2:39" s="113" customFormat="1">
      <c r="B17" s="116" t="s">
        <v>145</v>
      </c>
      <c r="C17" s="185">
        <v>1.3029999999999999</v>
      </c>
      <c r="D17" s="185">
        <v>-19.989999999999998</v>
      </c>
      <c r="E17" s="185">
        <v>-8.3290000000000006</v>
      </c>
      <c r="F17" s="185">
        <v>-2.1000000000000796E-2</v>
      </c>
      <c r="G17" s="185">
        <v>-0.35099999999999998</v>
      </c>
      <c r="H17" s="185">
        <v>4.992</v>
      </c>
      <c r="I17" s="185">
        <v>1.9610000000000001</v>
      </c>
      <c r="J17" s="185">
        <v>7.8949999999999996</v>
      </c>
      <c r="K17" s="185">
        <v>-26.245000000000001</v>
      </c>
      <c r="L17" s="185">
        <v>7.7720000000000002</v>
      </c>
      <c r="M17" s="185">
        <v>5.1269999999999998</v>
      </c>
      <c r="N17" s="185">
        <v>10.3</v>
      </c>
      <c r="O17" s="185">
        <v>-17.169</v>
      </c>
      <c r="P17" s="185">
        <v>17.065000000000001</v>
      </c>
      <c r="Q17" s="185">
        <v>-17.646999999999998</v>
      </c>
      <c r="R17" s="185">
        <v>30.474999999999998</v>
      </c>
      <c r="S17" s="185">
        <v>19.192</v>
      </c>
      <c r="T17" s="185">
        <v>-15</v>
      </c>
      <c r="U17" s="185">
        <v>-11</v>
      </c>
      <c r="V17" s="185">
        <v>-6.2949999999999999</v>
      </c>
      <c r="W17" s="185">
        <v>18.428000000000001</v>
      </c>
      <c r="X17" s="185">
        <v>26</v>
      </c>
      <c r="Y17" s="185">
        <f>56-SUM(W17:X17)</f>
        <v>11.572000000000003</v>
      </c>
      <c r="Z17" s="185">
        <v>11.212000000000003</v>
      </c>
      <c r="AA17" s="185">
        <v>32.139000000000003</v>
      </c>
      <c r="AB17" s="484">
        <v>31</v>
      </c>
      <c r="AC17" s="484">
        <v>34.200000000000003</v>
      </c>
      <c r="AD17" s="484">
        <f>ROUND(30.6055349276484,2)</f>
        <v>30.61</v>
      </c>
      <c r="AE17" s="227"/>
      <c r="AF17" s="342"/>
      <c r="AG17" s="185">
        <v>-27.036999999999999</v>
      </c>
      <c r="AH17" s="185">
        <v>14.497</v>
      </c>
      <c r="AI17" s="185">
        <v>-3.0459999999999994</v>
      </c>
      <c r="AJ17" s="185">
        <v>12.724</v>
      </c>
      <c r="AK17" s="185">
        <v>-13.103</v>
      </c>
      <c r="AL17" s="185">
        <f>SUM(W17:Z17)</f>
        <v>67.212000000000003</v>
      </c>
      <c r="AM17" s="185">
        <f>SUM(AA17:AD17)</f>
        <v>127.949</v>
      </c>
    </row>
    <row r="18" spans="2:39">
      <c r="B18" s="117" t="s">
        <v>146</v>
      </c>
      <c r="C18" s="164">
        <v>-58.606000000000009</v>
      </c>
      <c r="D18" s="164">
        <v>-326.72500000000002</v>
      </c>
      <c r="E18" s="164">
        <v>-159.70700000000002</v>
      </c>
      <c r="F18" s="164">
        <v>18.997000000000057</v>
      </c>
      <c r="G18" s="164">
        <v>-82.067000000000007</v>
      </c>
      <c r="H18" s="164">
        <v>-155.08900000000006</v>
      </c>
      <c r="I18" s="164">
        <v>-99.825999999999937</v>
      </c>
      <c r="J18" s="164">
        <v>89</v>
      </c>
      <c r="K18" s="164">
        <v>-281.11599999999999</v>
      </c>
      <c r="L18" s="164">
        <v>-20.513000000000019</v>
      </c>
      <c r="M18" s="164">
        <v>-174.54599999999996</v>
      </c>
      <c r="N18" s="164">
        <v>-16.298999999999964</v>
      </c>
      <c r="O18" s="164">
        <v>-244.70599999999999</v>
      </c>
      <c r="P18" s="164">
        <v>131.68599999999998</v>
      </c>
      <c r="Q18" s="164">
        <v>-254.91500000000002</v>
      </c>
      <c r="R18" s="164">
        <v>-128.59199999999998</v>
      </c>
      <c r="S18" s="164">
        <v>166.542</v>
      </c>
      <c r="T18" s="164">
        <v>-128</v>
      </c>
      <c r="U18" s="164">
        <f>SUM(U19:U22)</f>
        <v>-28</v>
      </c>
      <c r="V18" s="164">
        <v>-13.404999999999999</v>
      </c>
      <c r="W18" s="164">
        <v>-0.49400000000001398</v>
      </c>
      <c r="X18" s="164">
        <f t="shared" ref="X18:AD18" si="7">SUM(X19:X22)</f>
        <v>184</v>
      </c>
      <c r="Y18" s="164">
        <f t="shared" si="7"/>
        <v>-274.50599999999997</v>
      </c>
      <c r="Z18" s="164">
        <f t="shared" si="7"/>
        <v>-2.7379999999999995</v>
      </c>
      <c r="AA18" s="164">
        <f t="shared" si="7"/>
        <v>-144.40299999999999</v>
      </c>
      <c r="AB18" s="164">
        <f t="shared" si="7"/>
        <v>-350.44399999999996</v>
      </c>
      <c r="AC18" s="164">
        <f t="shared" si="7"/>
        <v>-106.06800000000001</v>
      </c>
      <c r="AD18" s="164">
        <f t="shared" si="7"/>
        <v>-417.51800000000003</v>
      </c>
      <c r="AE18" s="227"/>
      <c r="AF18" s="342"/>
      <c r="AG18" s="164">
        <v>-526.04099999999994</v>
      </c>
      <c r="AH18" s="164">
        <v>-248</v>
      </c>
      <c r="AI18" s="164">
        <v>-492.47399999999993</v>
      </c>
      <c r="AJ18" s="164">
        <v>-496.52700000000004</v>
      </c>
      <c r="AK18" s="164">
        <v>-2.8629999999999978</v>
      </c>
      <c r="AL18" s="164">
        <f>SUM(AL19:AL22)</f>
        <v>-93.738</v>
      </c>
      <c r="AM18" s="164">
        <f>SUM(AM19:AM22)</f>
        <v>-1018.433</v>
      </c>
    </row>
    <row r="19" spans="2:39">
      <c r="B19" s="79" t="s">
        <v>147</v>
      </c>
      <c r="C19" s="165">
        <v>59.723999999999997</v>
      </c>
      <c r="D19" s="165">
        <v>22.262999999999998</v>
      </c>
      <c r="E19" s="165">
        <v>17.463999999999999</v>
      </c>
      <c r="F19" s="165">
        <v>52.314000000000007</v>
      </c>
      <c r="G19" s="165">
        <v>12.944000000000001</v>
      </c>
      <c r="H19" s="165">
        <v>83.039000000000001</v>
      </c>
      <c r="I19" s="165">
        <v>32.853000000000009</v>
      </c>
      <c r="J19" s="165">
        <v>184</v>
      </c>
      <c r="K19" s="165">
        <v>13.736000000000001</v>
      </c>
      <c r="L19" s="165">
        <v>97.522999999999996</v>
      </c>
      <c r="M19" s="165">
        <v>8.3089999999999975</v>
      </c>
      <c r="N19" s="165">
        <v>17.046000000000006</v>
      </c>
      <c r="O19" s="165">
        <v>8.3569999999999993</v>
      </c>
      <c r="P19" s="165">
        <v>9.0929999999999964</v>
      </c>
      <c r="Q19" s="165">
        <v>33.314</v>
      </c>
      <c r="R19" s="165">
        <v>59.052000000000007</v>
      </c>
      <c r="S19" s="165">
        <v>41.81</v>
      </c>
      <c r="T19" s="165">
        <v>90</v>
      </c>
      <c r="U19" s="165">
        <v>79</v>
      </c>
      <c r="V19" s="165">
        <v>59</v>
      </c>
      <c r="W19" s="165">
        <v>45.631999999999998</v>
      </c>
      <c r="X19" s="165">
        <v>49</v>
      </c>
      <c r="Y19" s="165">
        <f>170-SUM(W19:X19)</f>
        <v>75.367999999999995</v>
      </c>
      <c r="Z19" s="165">
        <v>52</v>
      </c>
      <c r="AA19" s="165">
        <v>49.148000000000003</v>
      </c>
      <c r="AB19" s="383">
        <v>57.960999999999999</v>
      </c>
      <c r="AC19" s="383">
        <v>73.125</v>
      </c>
      <c r="AD19" s="383">
        <v>66.155000000000001</v>
      </c>
      <c r="AE19" s="227"/>
      <c r="AF19" s="342"/>
      <c r="AG19" s="165">
        <v>151.76499999999999</v>
      </c>
      <c r="AH19" s="165">
        <v>313</v>
      </c>
      <c r="AI19" s="165">
        <v>136.614</v>
      </c>
      <c r="AJ19" s="165">
        <v>109.816</v>
      </c>
      <c r="AK19" s="165">
        <v>269.81</v>
      </c>
      <c r="AL19" s="165">
        <f>SUM(W19:Z19)</f>
        <v>222</v>
      </c>
      <c r="AM19" s="165">
        <f t="shared" ref="AM19:AM22" si="8">SUM(AA19:AD19)</f>
        <v>246.38900000000001</v>
      </c>
    </row>
    <row r="20" spans="2:39">
      <c r="B20" s="80" t="s">
        <v>148</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5">
        <v>-147</v>
      </c>
      <c r="AA20" s="165">
        <v>-121.855</v>
      </c>
      <c r="AB20" s="383">
        <v>-150.81899999999999</v>
      </c>
      <c r="AC20" s="383">
        <v>-198.41200000000003</v>
      </c>
      <c r="AD20" s="383">
        <v>-235.077</v>
      </c>
      <c r="AE20" s="227"/>
      <c r="AF20" s="342"/>
      <c r="AG20" s="115">
        <v>-394.53100000000001</v>
      </c>
      <c r="AH20" s="115">
        <v>-515.03099999999995</v>
      </c>
      <c r="AI20" s="115">
        <v>-414.55399999999997</v>
      </c>
      <c r="AJ20" s="115">
        <v>-461.5</v>
      </c>
      <c r="AK20" s="115">
        <v>-512.23699999999997</v>
      </c>
      <c r="AL20" s="115">
        <f>SUM(W20:Z20)</f>
        <v>-633</v>
      </c>
      <c r="AM20" s="115">
        <f t="shared" si="8"/>
        <v>-706.16300000000001</v>
      </c>
    </row>
    <row r="21" spans="2:39">
      <c r="B21" s="81" t="s">
        <v>149</v>
      </c>
      <c r="C21" s="166">
        <v>0</v>
      </c>
      <c r="D21" s="166">
        <v>0</v>
      </c>
      <c r="E21" s="166">
        <v>0</v>
      </c>
      <c r="F21" s="166">
        <v>0</v>
      </c>
      <c r="G21" s="166">
        <v>0</v>
      </c>
      <c r="H21" s="166">
        <v>0</v>
      </c>
      <c r="I21" s="166">
        <v>0</v>
      </c>
      <c r="J21" s="166">
        <v>0</v>
      </c>
      <c r="K21" s="166">
        <v>0</v>
      </c>
      <c r="L21" s="166">
        <v>0</v>
      </c>
      <c r="M21" s="166">
        <v>0</v>
      </c>
      <c r="N21" s="166">
        <v>0</v>
      </c>
      <c r="O21" s="166">
        <v>-92.358999999999995</v>
      </c>
      <c r="P21" s="166">
        <v>103.18799999999999</v>
      </c>
      <c r="Q21" s="166">
        <v>-75.509</v>
      </c>
      <c r="R21" s="166">
        <v>-5.6089999999999947</v>
      </c>
      <c r="S21" s="166">
        <v>197.541</v>
      </c>
      <c r="T21" s="166">
        <v>-28</v>
      </c>
      <c r="U21" s="166">
        <v>16</v>
      </c>
      <c r="V21" s="166">
        <v>9</v>
      </c>
      <c r="W21" s="166">
        <v>43.250999999999998</v>
      </c>
      <c r="X21" s="166">
        <v>197</v>
      </c>
      <c r="Y21" s="166">
        <f>189-SUM(W21:X21)</f>
        <v>-51.251000000000005</v>
      </c>
      <c r="Z21" s="165">
        <v>58.519000000000005</v>
      </c>
      <c r="AA21" s="165">
        <v>-22.850999999999999</v>
      </c>
      <c r="AB21" s="383">
        <v>-97.98299999999999</v>
      </c>
      <c r="AC21" s="383">
        <v>-8.92</v>
      </c>
      <c r="AD21" s="383">
        <v>-140.99800000000002</v>
      </c>
      <c r="AE21" s="227"/>
      <c r="AF21" s="342"/>
      <c r="AG21" s="166">
        <v>0</v>
      </c>
      <c r="AH21" s="166">
        <v>0</v>
      </c>
      <c r="AI21" s="166">
        <v>0</v>
      </c>
      <c r="AJ21" s="166">
        <v>-70.289000000000001</v>
      </c>
      <c r="AK21" s="166">
        <v>194.541</v>
      </c>
      <c r="AL21" s="166">
        <f>SUM(W21:Z21)</f>
        <v>247.51900000000001</v>
      </c>
      <c r="AM21" s="166">
        <f t="shared" si="8"/>
        <v>-270.75200000000001</v>
      </c>
    </row>
    <row r="22" spans="2:39">
      <c r="B22" s="81" t="s">
        <v>150</v>
      </c>
      <c r="C22" s="166">
        <v>-9.8740000000000006</v>
      </c>
      <c r="D22" s="166">
        <v>-238.97900000000001</v>
      </c>
      <c r="E22" s="166">
        <v>-81.379000000000019</v>
      </c>
      <c r="F22" s="166">
        <v>46.95700000000005</v>
      </c>
      <c r="G22" s="166">
        <v>-12.275</v>
      </c>
      <c r="H22" s="166">
        <v>0.31300000000000061</v>
      </c>
      <c r="I22" s="166">
        <v>-56.200999999999993</v>
      </c>
      <c r="J22" s="166">
        <v>22.552</v>
      </c>
      <c r="K22" s="166">
        <v>-227.49100000000001</v>
      </c>
      <c r="L22" s="166">
        <v>-39.210000000000008</v>
      </c>
      <c r="M22" s="166">
        <v>-35.510999999999967</v>
      </c>
      <c r="N22" s="166">
        <v>87.677999999999997</v>
      </c>
      <c r="O22" s="166">
        <v>-89.022999999999996</v>
      </c>
      <c r="P22" s="166">
        <v>141.529</v>
      </c>
      <c r="Q22" s="166">
        <v>-95.412999999999997</v>
      </c>
      <c r="R22" s="166">
        <v>-31.647000000000006</v>
      </c>
      <c r="S22" s="166">
        <v>81.427999999999997</v>
      </c>
      <c r="T22" s="166">
        <v>-29</v>
      </c>
      <c r="U22" s="166">
        <v>-16</v>
      </c>
      <c r="V22" s="166">
        <v>9</v>
      </c>
      <c r="W22" s="166">
        <v>24.917999999999999</v>
      </c>
      <c r="X22" s="166">
        <v>61</v>
      </c>
      <c r="Y22" s="166">
        <f>36-SUM(W22:X22)</f>
        <v>-49.918000000000006</v>
      </c>
      <c r="Z22" s="165">
        <v>33.742999999999995</v>
      </c>
      <c r="AA22" s="165">
        <v>-48.844999999999999</v>
      </c>
      <c r="AB22" s="383">
        <v>-159.60300000000001</v>
      </c>
      <c r="AC22" s="383">
        <v>28.13900000000001</v>
      </c>
      <c r="AD22" s="383">
        <v>-107.59799999999998</v>
      </c>
      <c r="AE22" s="227"/>
      <c r="AF22" s="342"/>
      <c r="AG22" s="166">
        <v>-283.27499999999998</v>
      </c>
      <c r="AH22" s="166">
        <v>-45.610999999999997</v>
      </c>
      <c r="AI22" s="166">
        <v>-214.53399999999999</v>
      </c>
      <c r="AJ22" s="166">
        <v>-74.554000000000002</v>
      </c>
      <c r="AK22" s="166">
        <v>45.427999999999997</v>
      </c>
      <c r="AL22" s="166">
        <f>SUM(W22:Z22)</f>
        <v>69.742999999999995</v>
      </c>
      <c r="AM22" s="166">
        <f t="shared" si="8"/>
        <v>-287.90699999999998</v>
      </c>
    </row>
    <row r="23" spans="2:39" ht="14.5" thickBot="1">
      <c r="B23" s="82" t="s">
        <v>151</v>
      </c>
      <c r="C23" s="167">
        <v>108.17699999999995</v>
      </c>
      <c r="D23" s="167">
        <v>-50.195000000000149</v>
      </c>
      <c r="E23" s="167">
        <v>-13.070000000000071</v>
      </c>
      <c r="F23" s="167">
        <v>83.027999999999793</v>
      </c>
      <c r="G23" s="167">
        <v>50.383999999999986</v>
      </c>
      <c r="H23" s="167">
        <v>0.60499999999980059</v>
      </c>
      <c r="I23" s="167">
        <v>-80.778000000000176</v>
      </c>
      <c r="J23" s="167">
        <v>26</v>
      </c>
      <c r="K23" s="167">
        <v>117.61100000000005</v>
      </c>
      <c r="L23" s="167">
        <v>21.860999999999727</v>
      </c>
      <c r="M23" s="167">
        <v>-170.54299999999981</v>
      </c>
      <c r="N23" s="167">
        <v>-30.460999999999839</v>
      </c>
      <c r="O23" s="167">
        <v>-126.77700000000014</v>
      </c>
      <c r="P23" s="167">
        <v>577.81599999999958</v>
      </c>
      <c r="Q23" s="167">
        <v>-87.354999999999222</v>
      </c>
      <c r="R23" s="167">
        <v>493.72399999999993</v>
      </c>
      <c r="S23" s="167">
        <v>582.38000000000011</v>
      </c>
      <c r="T23" s="167">
        <v>546.21799999999985</v>
      </c>
      <c r="U23" s="167">
        <f>SUM(U18,U16,U15)</f>
        <v>156</v>
      </c>
      <c r="V23" s="167">
        <f>SUM(V18,V16,V15)</f>
        <v>-153.81899999999999</v>
      </c>
      <c r="W23" s="167">
        <v>121.96499999999985</v>
      </c>
      <c r="X23" s="167">
        <v>-3</v>
      </c>
      <c r="Y23" s="167">
        <f t="shared" ref="Y23:AD23" si="9">SUM(Y18,Y16,Y15)</f>
        <v>-318.14599999999984</v>
      </c>
      <c r="Z23" s="167">
        <f t="shared" si="9"/>
        <v>-781.10799999999995</v>
      </c>
      <c r="AA23" s="167">
        <f t="shared" si="9"/>
        <v>0.80999999999995964</v>
      </c>
      <c r="AB23" s="167">
        <f t="shared" si="9"/>
        <v>-127.44399999999996</v>
      </c>
      <c r="AC23" s="167">
        <f t="shared" si="9"/>
        <v>41.631999999999991</v>
      </c>
      <c r="AD23" s="167">
        <f t="shared" si="9"/>
        <v>-273.5922959200002</v>
      </c>
      <c r="AE23" s="227"/>
      <c r="AF23" s="342"/>
      <c r="AG23" s="167">
        <v>127.93999999999951</v>
      </c>
      <c r="AH23" s="167">
        <v>-3</v>
      </c>
      <c r="AI23" s="167">
        <v>-61.531999999999869</v>
      </c>
      <c r="AJ23" s="167">
        <v>857.40800000000013</v>
      </c>
      <c r="AK23" s="167">
        <v>1129.873</v>
      </c>
      <c r="AL23" s="167">
        <f>SUM(AL18,AL16,AL15)</f>
        <v>-981.10799999999983</v>
      </c>
      <c r="AM23" s="167">
        <f>SUM(AM18,AM16,AM15)</f>
        <v>-358.59429592000026</v>
      </c>
    </row>
    <row r="24" spans="2:39" ht="14.5" thickBot="1">
      <c r="B24" s="83" t="s">
        <v>152</v>
      </c>
      <c r="C24" s="168">
        <v>-44.497</v>
      </c>
      <c r="D24" s="168">
        <v>-59.894999999999996</v>
      </c>
      <c r="E24" s="168">
        <v>48.356999999999999</v>
      </c>
      <c r="F24" s="168">
        <v>-17.420999999999999</v>
      </c>
      <c r="G24" s="168">
        <v>-20.832999999999998</v>
      </c>
      <c r="H24" s="168">
        <v>-140.65</v>
      </c>
      <c r="I24" s="168">
        <v>32.15</v>
      </c>
      <c r="J24" s="168">
        <v>97.885999999999996</v>
      </c>
      <c r="K24" s="168">
        <v>-70.579000000000008</v>
      </c>
      <c r="L24" s="168">
        <v>8.5509999999999966</v>
      </c>
      <c r="M24" s="168">
        <v>-288.66099999999994</v>
      </c>
      <c r="N24" s="168">
        <v>-467.79000000000008</v>
      </c>
      <c r="O24" s="168">
        <v>-6.4359999999999999</v>
      </c>
      <c r="P24" s="168">
        <v>-181.46600000000001</v>
      </c>
      <c r="Q24" s="168">
        <v>46.932000000000002</v>
      </c>
      <c r="R24" s="168">
        <v>121.289</v>
      </c>
      <c r="S24" s="168">
        <v>-156.29900000000001</v>
      </c>
      <c r="T24" s="168">
        <v>-35</v>
      </c>
      <c r="U24" s="168">
        <f>SUM(U25:U26)</f>
        <v>-55</v>
      </c>
      <c r="V24" s="168">
        <f>SUM(V25:V26)</f>
        <v>58.013999999999996</v>
      </c>
      <c r="W24" s="168">
        <f t="shared" ref="W24:AD24" si="10">SUM(W25:W26)</f>
        <v>-32.664000000000001</v>
      </c>
      <c r="X24" s="168">
        <f t="shared" si="10"/>
        <v>-47</v>
      </c>
      <c r="Y24" s="168">
        <f t="shared" si="10"/>
        <v>54.664000000000001</v>
      </c>
      <c r="Z24" s="168">
        <f t="shared" si="10"/>
        <v>195.334</v>
      </c>
      <c r="AA24" s="168">
        <f t="shared" si="10"/>
        <v>-30.353999999999999</v>
      </c>
      <c r="AB24" s="168">
        <f t="shared" si="10"/>
        <v>53.504999999999995</v>
      </c>
      <c r="AC24" s="168">
        <f t="shared" si="10"/>
        <v>45</v>
      </c>
      <c r="AD24" s="168">
        <f t="shared" si="10"/>
        <v>217.62500000000003</v>
      </c>
      <c r="AE24" s="227"/>
      <c r="AF24" s="342"/>
      <c r="AG24" s="168">
        <v>-73.455999999999989</v>
      </c>
      <c r="AH24" s="168">
        <v>-31.447000000000003</v>
      </c>
      <c r="AI24" s="168">
        <v>-818.47900000000004</v>
      </c>
      <c r="AJ24" s="168">
        <v>-19.681000000000026</v>
      </c>
      <c r="AK24" s="168">
        <v>-188.28500000000003</v>
      </c>
      <c r="AL24" s="168">
        <f t="shared" ref="AL24:AM24" si="11">SUM(AL25:AL26)</f>
        <v>170.334</v>
      </c>
      <c r="AM24" s="168">
        <f t="shared" si="11"/>
        <v>285.77600000000001</v>
      </c>
    </row>
    <row r="25" spans="2:39">
      <c r="B25" s="81" t="s">
        <v>153</v>
      </c>
      <c r="C25" s="166">
        <v>-11.459</v>
      </c>
      <c r="D25" s="166">
        <v>-8.5079999999999991</v>
      </c>
      <c r="E25" s="166">
        <v>-6.7770000000000001</v>
      </c>
      <c r="F25" s="166">
        <v>0.53000000000000114</v>
      </c>
      <c r="G25" s="166">
        <v>-12.228999999999999</v>
      </c>
      <c r="H25" s="166">
        <v>-11.280000000000001</v>
      </c>
      <c r="I25" s="166">
        <v>-8.9619999999999962</v>
      </c>
      <c r="J25" s="166">
        <v>-9.6390000000000029</v>
      </c>
      <c r="K25" s="166">
        <v>-11.555999999999999</v>
      </c>
      <c r="L25" s="166">
        <v>-13.303000000000003</v>
      </c>
      <c r="M25" s="166">
        <v>-15.476999999999997</v>
      </c>
      <c r="N25" s="166">
        <v>-12.143000000000001</v>
      </c>
      <c r="O25" s="166">
        <v>-18.064</v>
      </c>
      <c r="P25" s="166">
        <v>-59.929000000000002</v>
      </c>
      <c r="Q25" s="166">
        <v>-60.959000000000003</v>
      </c>
      <c r="R25" s="166">
        <v>70.951999999999998</v>
      </c>
      <c r="S25" s="166">
        <v>-72.143000000000001</v>
      </c>
      <c r="T25" s="166">
        <v>-113</v>
      </c>
      <c r="U25" s="166">
        <v>-22</v>
      </c>
      <c r="V25" s="166">
        <v>8.0429999999999993</v>
      </c>
      <c r="W25" s="166">
        <v>-7.3369999999999997</v>
      </c>
      <c r="X25" s="166">
        <v>-7</v>
      </c>
      <c r="Y25" s="166">
        <f>-21-SUM(W25:X25)</f>
        <v>-6.6630000000000003</v>
      </c>
      <c r="Z25" s="166">
        <v>0.33399999999999963</v>
      </c>
      <c r="AA25" s="166">
        <v>-5.5609999999999999</v>
      </c>
      <c r="AB25" s="485">
        <v>-0.17899999999999999</v>
      </c>
      <c r="AC25" s="485">
        <v>-4</v>
      </c>
      <c r="AD25" s="485">
        <v>-7.697000000000001</v>
      </c>
      <c r="AE25" s="227"/>
      <c r="AF25" s="342"/>
      <c r="AG25" s="166">
        <v>-26.213999999999999</v>
      </c>
      <c r="AH25" s="166">
        <v>-42.11</v>
      </c>
      <c r="AI25" s="166">
        <v>-52.478999999999999</v>
      </c>
      <c r="AJ25" s="166">
        <v>-68</v>
      </c>
      <c r="AK25" s="166">
        <v>-199.1</v>
      </c>
      <c r="AL25" s="166">
        <f>SUM(W25:Z25)</f>
        <v>-20.666</v>
      </c>
      <c r="AM25" s="166">
        <f t="shared" ref="AM25:AM26" si="12">SUM(AA25:AD25)</f>
        <v>-17.437000000000001</v>
      </c>
    </row>
    <row r="26" spans="2:39">
      <c r="B26" s="84" t="s">
        <v>154</v>
      </c>
      <c r="C26" s="163">
        <v>-33.037999999999997</v>
      </c>
      <c r="D26" s="163">
        <v>-51.387</v>
      </c>
      <c r="E26" s="163">
        <v>55.134</v>
      </c>
      <c r="F26" s="163">
        <v>-17.951000000000001</v>
      </c>
      <c r="G26" s="163">
        <v>-8.6039999999999992</v>
      </c>
      <c r="H26" s="163">
        <v>-129.37</v>
      </c>
      <c r="I26" s="163">
        <v>41.111999999999995</v>
      </c>
      <c r="J26" s="163">
        <v>107.52499999999999</v>
      </c>
      <c r="K26" s="163">
        <v>-59.023000000000003</v>
      </c>
      <c r="L26" s="163">
        <v>21.853999999999999</v>
      </c>
      <c r="M26" s="163">
        <v>-273.18399999999997</v>
      </c>
      <c r="N26" s="163">
        <v>-455.64700000000005</v>
      </c>
      <c r="O26" s="163">
        <v>11.628</v>
      </c>
      <c r="P26" s="163">
        <v>-121.53700000000001</v>
      </c>
      <c r="Q26" s="163">
        <v>107.89100000000001</v>
      </c>
      <c r="R26" s="163">
        <v>50.337000000000003</v>
      </c>
      <c r="S26" s="163">
        <v>-84.156000000000006</v>
      </c>
      <c r="T26" s="163">
        <v>78</v>
      </c>
      <c r="U26" s="163">
        <v>-33</v>
      </c>
      <c r="V26" s="163">
        <v>49.970999999999997</v>
      </c>
      <c r="W26" s="163">
        <v>-25.327000000000002</v>
      </c>
      <c r="X26" s="163">
        <v>-40</v>
      </c>
      <c r="Y26" s="163">
        <f>-4-SUM(W26:X26)</f>
        <v>61.326999999999998</v>
      </c>
      <c r="Z26" s="163">
        <v>195</v>
      </c>
      <c r="AA26" s="163">
        <v>-24.792999999999999</v>
      </c>
      <c r="AB26" s="485">
        <v>53.683999999999997</v>
      </c>
      <c r="AC26" s="485">
        <v>49</v>
      </c>
      <c r="AD26" s="485">
        <v>225.32200000000003</v>
      </c>
      <c r="AE26" s="227"/>
      <c r="AF26" s="342"/>
      <c r="AG26" s="163">
        <v>-47.241999999999997</v>
      </c>
      <c r="AH26" s="163">
        <v>10.662999999999997</v>
      </c>
      <c r="AI26" s="163">
        <v>-766</v>
      </c>
      <c r="AJ26" s="163">
        <v>48.319000000000003</v>
      </c>
      <c r="AK26" s="163">
        <v>10.814999999999991</v>
      </c>
      <c r="AL26" s="163">
        <f>SUM(W26:Z26)</f>
        <v>191</v>
      </c>
      <c r="AM26" s="163">
        <f t="shared" si="12"/>
        <v>303.21300000000002</v>
      </c>
    </row>
    <row r="27" spans="2:39" s="49" customFormat="1" ht="14.5" thickBot="1">
      <c r="B27" s="107" t="s">
        <v>358</v>
      </c>
      <c r="C27" s="159"/>
      <c r="D27" s="159"/>
      <c r="E27" s="159"/>
      <c r="F27" s="159"/>
      <c r="G27" s="159"/>
      <c r="H27" s="159"/>
      <c r="I27" s="159"/>
      <c r="J27" s="159"/>
      <c r="K27" s="159"/>
      <c r="L27" s="159"/>
      <c r="M27" s="159"/>
      <c r="N27" s="159"/>
      <c r="O27" s="159">
        <v>-133.21300000000014</v>
      </c>
      <c r="P27" s="159">
        <v>396.34999999999957</v>
      </c>
      <c r="Q27" s="159">
        <v>-40.42299999999922</v>
      </c>
      <c r="R27" s="159">
        <v>615.01299999999992</v>
      </c>
      <c r="S27" s="159">
        <v>426.08100000000013</v>
      </c>
      <c r="T27" s="159">
        <v>511</v>
      </c>
      <c r="U27" s="159">
        <f>U23+U24</f>
        <v>101</v>
      </c>
      <c r="V27" s="159">
        <f>V23+V24</f>
        <v>-95.804999999999993</v>
      </c>
      <c r="W27" s="159">
        <v>89.300999999999846</v>
      </c>
      <c r="X27" s="159">
        <v>-50</v>
      </c>
      <c r="Y27" s="159">
        <f t="shared" ref="Y27:AD27" si="13">Y23+Y24</f>
        <v>-263.48199999999986</v>
      </c>
      <c r="Z27" s="159">
        <f t="shared" si="13"/>
        <v>-585.77399999999989</v>
      </c>
      <c r="AA27" s="159">
        <f t="shared" si="13"/>
        <v>-29.54400000000004</v>
      </c>
      <c r="AB27" s="159">
        <f t="shared" si="13"/>
        <v>-73.938999999999965</v>
      </c>
      <c r="AC27" s="159">
        <f t="shared" si="13"/>
        <v>86.631999999999991</v>
      </c>
      <c r="AD27" s="159">
        <f t="shared" si="13"/>
        <v>-55.967295920000169</v>
      </c>
      <c r="AE27" s="227"/>
      <c r="AF27" s="342"/>
      <c r="AG27" s="159"/>
      <c r="AH27" s="159"/>
      <c r="AI27" s="159"/>
      <c r="AJ27" s="159"/>
      <c r="AK27" s="159">
        <v>941.58799999999997</v>
      </c>
      <c r="AL27" s="159">
        <f>AL23+AL24</f>
        <v>-810.77399999999989</v>
      </c>
      <c r="AM27" s="159">
        <f>AM23+AM24</f>
        <v>-72.818295920000253</v>
      </c>
    </row>
    <row r="28" spans="2:39">
      <c r="B28" s="84" t="s">
        <v>359</v>
      </c>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486"/>
      <c r="AC28" s="486"/>
      <c r="AD28" s="486"/>
      <c r="AE28" s="227"/>
      <c r="AF28" s="342"/>
      <c r="AG28" s="163"/>
      <c r="AH28" s="163"/>
      <c r="AI28" s="163"/>
      <c r="AJ28" s="163"/>
      <c r="AK28" s="163">
        <v>16.259</v>
      </c>
      <c r="AL28" s="163">
        <f>SUM(W28:Z28)</f>
        <v>0</v>
      </c>
      <c r="AM28" s="163"/>
    </row>
    <row r="29" spans="2:39" s="49" customFormat="1" ht="14.5" thickBot="1">
      <c r="B29" s="107" t="s">
        <v>155</v>
      </c>
      <c r="C29" s="159">
        <v>63.67999999999995</v>
      </c>
      <c r="D29" s="159">
        <v>-110.09000000000015</v>
      </c>
      <c r="E29" s="159">
        <v>35.286999999999928</v>
      </c>
      <c r="F29" s="159">
        <v>65.6069999999998</v>
      </c>
      <c r="G29" s="159">
        <v>29.550999999999988</v>
      </c>
      <c r="H29" s="159">
        <v>-140.04500000000021</v>
      </c>
      <c r="I29" s="159">
        <v>-48.628000000000178</v>
      </c>
      <c r="J29" s="159">
        <v>125</v>
      </c>
      <c r="K29" s="159">
        <v>47.032000000000039</v>
      </c>
      <c r="L29" s="159">
        <v>30.411999999999722</v>
      </c>
      <c r="M29" s="159">
        <v>-459.20399999999972</v>
      </c>
      <c r="N29" s="159">
        <v>-498.25099999999992</v>
      </c>
      <c r="O29" s="159">
        <v>-133.21300000000014</v>
      </c>
      <c r="P29" s="159">
        <v>396.34999999999957</v>
      </c>
      <c r="Q29" s="159">
        <v>-40.42299999999922</v>
      </c>
      <c r="R29" s="159">
        <v>615.01299999999992</v>
      </c>
      <c r="S29" s="159">
        <v>426.08100000000013</v>
      </c>
      <c r="T29" s="159">
        <v>511</v>
      </c>
      <c r="U29" s="159">
        <f>U27+U28</f>
        <v>101</v>
      </c>
      <c r="V29" s="159">
        <f>V27+V28</f>
        <v>-95.804999999999993</v>
      </c>
      <c r="W29" s="159">
        <v>89.300999999999846</v>
      </c>
      <c r="X29" s="159">
        <f t="shared" ref="X29:AD29" si="14">SUM(X30:X31)</f>
        <v>-50</v>
      </c>
      <c r="Y29" s="159">
        <f t="shared" si="14"/>
        <v>-263.30100000000004</v>
      </c>
      <c r="Z29" s="159">
        <f t="shared" si="14"/>
        <v>-587</v>
      </c>
      <c r="AA29" s="159">
        <f t="shared" si="14"/>
        <v>-29.544</v>
      </c>
      <c r="AB29" s="159">
        <f t="shared" si="14"/>
        <v>-74.428999999999988</v>
      </c>
      <c r="AC29" s="159">
        <f t="shared" si="14"/>
        <v>87</v>
      </c>
      <c r="AD29" s="159">
        <f t="shared" si="14"/>
        <v>-55.916000000000011</v>
      </c>
      <c r="AE29" s="227"/>
      <c r="AF29" s="342"/>
      <c r="AG29" s="159">
        <v>54.483999999999533</v>
      </c>
      <c r="AH29" s="159">
        <v>-35</v>
      </c>
      <c r="AI29" s="159">
        <v>-880.01099999999997</v>
      </c>
      <c r="AJ29" s="159">
        <v>837.72700000000009</v>
      </c>
      <c r="AK29" s="159">
        <v>957.84699999999998</v>
      </c>
      <c r="AL29" s="159">
        <f>SUM(AL30:AL31)</f>
        <v>-811</v>
      </c>
      <c r="AM29" s="159">
        <f>SUM(AM30:AM31)</f>
        <v>-72.888999999999996</v>
      </c>
    </row>
    <row r="30" spans="2:39" ht="13.5" customHeight="1">
      <c r="B30" s="118" t="s">
        <v>156</v>
      </c>
      <c r="C30" s="169">
        <v>64.628</v>
      </c>
      <c r="D30" s="169">
        <v>-114.116</v>
      </c>
      <c r="E30" s="169">
        <v>37.328000000000003</v>
      </c>
      <c r="F30" s="169">
        <v>55.355000000000004</v>
      </c>
      <c r="G30" s="169">
        <v>19.158999999999999</v>
      </c>
      <c r="H30" s="169">
        <v>-143.489</v>
      </c>
      <c r="I30" s="169">
        <v>-57.164000000000001</v>
      </c>
      <c r="J30" s="169">
        <v>117.26900000000001</v>
      </c>
      <c r="K30" s="169">
        <v>35.451999999999998</v>
      </c>
      <c r="L30" s="169">
        <v>19.21</v>
      </c>
      <c r="M30" s="169">
        <v>-473.59800000000001</v>
      </c>
      <c r="N30" s="169">
        <v>-510.06399999999996</v>
      </c>
      <c r="O30" s="169">
        <v>-150.536</v>
      </c>
      <c r="P30" s="169">
        <v>384.33800000000002</v>
      </c>
      <c r="Q30" s="169">
        <v>-47.308999999999997</v>
      </c>
      <c r="R30" s="169">
        <v>557</v>
      </c>
      <c r="S30" s="169">
        <v>406.17500000000001</v>
      </c>
      <c r="T30" s="169">
        <v>490</v>
      </c>
      <c r="U30" s="169">
        <v>78</v>
      </c>
      <c r="V30" s="169">
        <v>-106</v>
      </c>
      <c r="W30" s="169">
        <v>67.040000000000006</v>
      </c>
      <c r="X30" s="169">
        <v>-61</v>
      </c>
      <c r="Y30" s="169">
        <f>-283-SUM(W30:X30)</f>
        <v>-289.04000000000002</v>
      </c>
      <c r="Z30" s="169">
        <v>-625</v>
      </c>
      <c r="AA30" s="169">
        <v>-56.399000000000001</v>
      </c>
      <c r="AB30" s="487">
        <v>-101.59299999999999</v>
      </c>
      <c r="AC30" s="487">
        <v>58</v>
      </c>
      <c r="AD30" s="487">
        <v>-80.679000000000002</v>
      </c>
      <c r="AE30" s="227"/>
      <c r="AF30" s="342"/>
      <c r="AG30" s="169">
        <v>43.195000000000007</v>
      </c>
      <c r="AH30" s="169">
        <v>-64.225000000000023</v>
      </c>
      <c r="AI30" s="169">
        <v>-929</v>
      </c>
      <c r="AJ30" s="169">
        <v>743</v>
      </c>
      <c r="AK30" s="169">
        <v>868.17499999999995</v>
      </c>
      <c r="AL30" s="169">
        <f>SUM(W30:Z30)</f>
        <v>-908</v>
      </c>
      <c r="AM30" s="169">
        <f t="shared" ref="AM30:AM31" si="15">SUM(AA30:AD30)</f>
        <v>-180.67099999999999</v>
      </c>
    </row>
    <row r="31" spans="2:39">
      <c r="B31" s="119" t="s">
        <v>157</v>
      </c>
      <c r="C31" s="170">
        <v>-0.82799999999999996</v>
      </c>
      <c r="D31" s="170">
        <v>4.1180000000000003</v>
      </c>
      <c r="E31" s="170">
        <v>-2.0409999999999999</v>
      </c>
      <c r="F31" s="170">
        <v>9.6219999999999999</v>
      </c>
      <c r="G31" s="170">
        <v>10.391999999999999</v>
      </c>
      <c r="H31" s="170">
        <v>3.4440000000000008</v>
      </c>
      <c r="I31" s="170">
        <v>8.516</v>
      </c>
      <c r="J31" s="170">
        <v>7.3279999999999994</v>
      </c>
      <c r="K31" s="170">
        <v>11.58</v>
      </c>
      <c r="L31" s="170">
        <v>11.124999999999998</v>
      </c>
      <c r="M31" s="170">
        <v>15</v>
      </c>
      <c r="N31" s="166">
        <v>11.288000000000004</v>
      </c>
      <c r="O31" s="170">
        <v>17.323</v>
      </c>
      <c r="P31" s="170">
        <v>12.246</v>
      </c>
      <c r="Q31" s="170">
        <v>6.8090000000000002</v>
      </c>
      <c r="R31" s="170">
        <v>58.405000000000001</v>
      </c>
      <c r="S31" s="170">
        <v>19.905999999999999</v>
      </c>
      <c r="T31" s="170">
        <v>21</v>
      </c>
      <c r="U31" s="170">
        <v>22</v>
      </c>
      <c r="V31" s="170">
        <v>27</v>
      </c>
      <c r="W31" s="170">
        <v>22.260999999999999</v>
      </c>
      <c r="X31" s="170">
        <v>11</v>
      </c>
      <c r="Y31" s="170">
        <f>60-SUM(W31:X31)-1</f>
        <v>25.739000000000004</v>
      </c>
      <c r="Z31" s="170">
        <v>38</v>
      </c>
      <c r="AA31" s="170">
        <v>26.855</v>
      </c>
      <c r="AB31" s="488">
        <v>27.164000000000001</v>
      </c>
      <c r="AC31" s="488">
        <v>29</v>
      </c>
      <c r="AD31" s="488">
        <v>24.762999999999991</v>
      </c>
      <c r="AE31" s="227"/>
      <c r="AF31" s="342"/>
      <c r="AG31" s="170">
        <v>10.871</v>
      </c>
      <c r="AH31" s="170">
        <v>29.68</v>
      </c>
      <c r="AI31" s="170">
        <v>48.993000000000002</v>
      </c>
      <c r="AJ31" s="170">
        <v>94.783000000000001</v>
      </c>
      <c r="AK31" s="170">
        <v>89.906000000000006</v>
      </c>
      <c r="AL31" s="170">
        <f>SUM(W31:Z31)</f>
        <v>97</v>
      </c>
      <c r="AM31" s="170">
        <f t="shared" si="15"/>
        <v>107.782</v>
      </c>
    </row>
    <row r="32" spans="2:39">
      <c r="B32" s="108"/>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472"/>
      <c r="AC32" s="472"/>
      <c r="AD32" s="472"/>
      <c r="AE32" s="227"/>
      <c r="AF32" s="342"/>
      <c r="AG32" s="163"/>
      <c r="AH32" s="163"/>
      <c r="AI32" s="163"/>
      <c r="AJ32" s="163"/>
      <c r="AK32" s="163"/>
      <c r="AL32" s="163"/>
      <c r="AM32" s="163"/>
    </row>
    <row r="33" spans="2:39">
      <c r="B33" s="108" t="s">
        <v>158</v>
      </c>
      <c r="C33" s="163">
        <v>74.691999999999993</v>
      </c>
      <c r="D33" s="163">
        <v>78.035000000000011</v>
      </c>
      <c r="E33" s="163">
        <v>74.794999999999987</v>
      </c>
      <c r="F33" s="163">
        <v>75.680000000000007</v>
      </c>
      <c r="G33" s="163">
        <v>96.887</v>
      </c>
      <c r="H33" s="163">
        <v>141.75299999999999</v>
      </c>
      <c r="I33" s="163">
        <v>89.732000000000028</v>
      </c>
      <c r="J33" s="163">
        <v>134.16899999999998</v>
      </c>
      <c r="K33" s="163">
        <v>91.376000000000005</v>
      </c>
      <c r="L33" s="163">
        <v>110.422</v>
      </c>
      <c r="M33" s="163">
        <v>103.39999999999998</v>
      </c>
      <c r="N33" s="163">
        <v>126.28300000000002</v>
      </c>
      <c r="O33" s="163">
        <v>113.1</v>
      </c>
      <c r="P33" s="163">
        <v>126.14100000000002</v>
      </c>
      <c r="Q33" s="163">
        <v>137.14399999999998</v>
      </c>
      <c r="R33" s="163">
        <v>119.66000000000003</v>
      </c>
      <c r="S33" s="163">
        <f>128728/1000</f>
        <v>128.72800000000001</v>
      </c>
      <c r="T33" s="163">
        <v>124</v>
      </c>
      <c r="U33" s="163">
        <v>137</v>
      </c>
      <c r="V33" s="163">
        <v>150</v>
      </c>
      <c r="W33" s="163">
        <v>134.69200000000001</v>
      </c>
      <c r="X33" s="163">
        <v>145</v>
      </c>
      <c r="Y33" s="163">
        <f>422-SUM(W33:X33)</f>
        <v>142.30799999999999</v>
      </c>
      <c r="Z33" s="163">
        <v>148.29200000000003</v>
      </c>
      <c r="AA33" s="163">
        <v>144.215</v>
      </c>
      <c r="AB33" s="163">
        <v>144.18199999999999</v>
      </c>
      <c r="AC33" s="163">
        <v>158</v>
      </c>
      <c r="AD33" s="163">
        <v>196.93800000000005</v>
      </c>
      <c r="AE33" s="227"/>
      <c r="AF33" s="342"/>
      <c r="AG33" s="163">
        <v>303.202</v>
      </c>
      <c r="AH33" s="163">
        <v>462.541</v>
      </c>
      <c r="AI33" s="163">
        <v>431.48099999999999</v>
      </c>
      <c r="AJ33" s="163">
        <v>496.04500000000002</v>
      </c>
      <c r="AK33" s="163">
        <v>539.72800000000007</v>
      </c>
      <c r="AL33" s="163">
        <f>SUM(W33:Z33)</f>
        <v>570.29200000000003</v>
      </c>
      <c r="AM33" s="163">
        <f t="shared" ref="AM33:AM34" si="16">SUM(AA33:AD33)</f>
        <v>643.33500000000004</v>
      </c>
    </row>
    <row r="34" spans="2:39">
      <c r="B34" s="108" t="s">
        <v>159</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109">
        <v>3.15</v>
      </c>
      <c r="AC34" s="109">
        <v>137</v>
      </c>
      <c r="AD34" s="109">
        <v>177.358</v>
      </c>
      <c r="AE34" s="227"/>
      <c r="AF34" s="342"/>
      <c r="AG34" s="109">
        <v>-5.2819999999999965</v>
      </c>
      <c r="AH34" s="109">
        <v>295.83299999999997</v>
      </c>
      <c r="AI34" s="109">
        <v>-203.62100000000007</v>
      </c>
      <c r="AJ34" s="109">
        <v>-299.29899999999998</v>
      </c>
      <c r="AK34" s="109">
        <v>-58.145000000000003</v>
      </c>
      <c r="AL34" s="109">
        <f>SUM(W34:Z34)</f>
        <v>691</v>
      </c>
      <c r="AM34" s="109">
        <f t="shared" si="16"/>
        <v>206.41900000000001</v>
      </c>
    </row>
    <row r="35" spans="2:39" s="49" customFormat="1" ht="14.5" thickBot="1">
      <c r="B35" s="107" t="s">
        <v>160</v>
      </c>
      <c r="C35" s="160">
        <v>239.11599999999996</v>
      </c>
      <c r="D35" s="160">
        <v>262.62899999999991</v>
      </c>
      <c r="E35" s="160">
        <v>228.79799999999992</v>
      </c>
      <c r="F35" s="160">
        <v>248.39600000000019</v>
      </c>
      <c r="G35" s="160">
        <v>229.05799999999999</v>
      </c>
      <c r="H35" s="160">
        <v>345.03099999999984</v>
      </c>
      <c r="I35" s="160">
        <v>129.21600000000026</v>
      </c>
      <c r="J35" s="160">
        <v>284.9009999999999</v>
      </c>
      <c r="K35" s="160">
        <v>161.82600000000008</v>
      </c>
      <c r="L35" s="160">
        <v>171.9899999999997</v>
      </c>
      <c r="M35" s="160">
        <v>159.11100000000044</v>
      </c>
      <c r="N35" s="160">
        <v>168.92099999999962</v>
      </c>
      <c r="O35" s="160">
        <v>360.42100000000011</v>
      </c>
      <c r="P35" s="160">
        <v>362.67900000000003</v>
      </c>
      <c r="Q35" s="160">
        <f>Q29-Q24-Q18-Q16+Q33+Q34</f>
        <v>313.71800000000081</v>
      </c>
      <c r="R35" s="160">
        <f>R29-R24-R18-R16+R33+R34</f>
        <v>500.678</v>
      </c>
      <c r="S35" s="160">
        <f>S29-S24-S18-S16+S33+S34</f>
        <v>552.33500000000004</v>
      </c>
      <c r="T35" s="160">
        <f t="shared" ref="T35" si="17">T29-T24-T18-T16+T33+T34</f>
        <v>641</v>
      </c>
      <c r="U35" s="160">
        <f>U29-U24-U18-U16+U33+U34</f>
        <v>331</v>
      </c>
      <c r="V35" s="160">
        <f>V27-V24-V18-V16+V33+V34</f>
        <v>102.881</v>
      </c>
      <c r="W35" s="160">
        <v>84.31006989999986</v>
      </c>
      <c r="X35" s="160">
        <f>X29-X24-X18-X16+X33+X34</f>
        <v>74</v>
      </c>
      <c r="Y35" s="160">
        <f>Y29-Y24-Y18-Y16+Y33+Y34</f>
        <v>45.689930099999941</v>
      </c>
      <c r="Z35" s="160">
        <f t="shared" ref="Z35:AA35" si="18">Z29-Z24-Z18-Z16+Z33+Z34</f>
        <v>102.48400000000004</v>
      </c>
      <c r="AA35" s="160">
        <f t="shared" si="18"/>
        <v>146.19999999999999</v>
      </c>
      <c r="AB35" s="160">
        <f>AB29-AB24-AB18-AB16+AB33+AB34</f>
        <v>338.84199999999998</v>
      </c>
      <c r="AC35" s="160">
        <v>409.46800000000002</v>
      </c>
      <c r="AD35" s="160">
        <v>485.79300000000012</v>
      </c>
      <c r="AE35" s="227"/>
      <c r="AF35" s="342"/>
      <c r="AG35" s="160">
        <v>978.93899999999996</v>
      </c>
      <c r="AH35" s="160">
        <v>988.2059999999999</v>
      </c>
      <c r="AI35" s="160">
        <v>661.84799999999984</v>
      </c>
      <c r="AJ35" s="160">
        <v>1538.496000000001</v>
      </c>
      <c r="AK35" s="160">
        <v>1627.4220000000003</v>
      </c>
      <c r="AL35" s="160">
        <f>AL29-AL24-AL18-AL16+AL33+AL34</f>
        <v>306.48400000000004</v>
      </c>
      <c r="AM35" s="160">
        <f>AM29-AM24-AM18-AM16+AM33+AM34</f>
        <v>1381.5730000000001</v>
      </c>
    </row>
    <row r="36" spans="2:39" s="78" customFormat="1" ht="14.5">
      <c r="B36" s="110" t="s">
        <v>161</v>
      </c>
      <c r="C36" s="161">
        <f>C35/C7</f>
        <v>0.20523428273229144</v>
      </c>
      <c r="D36" s="161">
        <f t="shared" ref="D36:P36" si="19">D35/D7</f>
        <v>0.1994153356694596</v>
      </c>
      <c r="E36" s="161">
        <f t="shared" si="19"/>
        <v>0.15901603796402086</v>
      </c>
      <c r="F36" s="161">
        <f t="shared" si="19"/>
        <v>0.16597830887831222</v>
      </c>
      <c r="G36" s="161">
        <f t="shared" si="19"/>
        <v>0.17260313817037268</v>
      </c>
      <c r="H36" s="161">
        <f t="shared" si="19"/>
        <v>0.2525934255472731</v>
      </c>
      <c r="I36" s="161">
        <f t="shared" si="19"/>
        <v>9.8393910688885547E-2</v>
      </c>
      <c r="J36" s="161">
        <f t="shared" si="19"/>
        <v>0.22657962985496219</v>
      </c>
      <c r="K36" s="161">
        <f t="shared" si="19"/>
        <v>0.12917784883990113</v>
      </c>
      <c r="L36" s="161">
        <f>(L35/L7)-0</f>
        <v>0.1560823945157441</v>
      </c>
      <c r="M36" s="161">
        <f t="shared" si="19"/>
        <v>0.1071006669938029</v>
      </c>
      <c r="N36" s="161">
        <f t="shared" si="19"/>
        <v>0.10751732061192576</v>
      </c>
      <c r="O36" s="161">
        <f t="shared" si="19"/>
        <v>0.20103534981682539</v>
      </c>
      <c r="P36" s="161">
        <f t="shared" si="19"/>
        <v>0.18957818893472533</v>
      </c>
      <c r="Q36" s="161">
        <f>Q35/Q7</f>
        <v>0.13639652111003125</v>
      </c>
      <c r="R36" s="161">
        <f>R35/R7</f>
        <v>0.20712899238301066</v>
      </c>
      <c r="S36" s="161">
        <f t="shared" ref="S36:T36" si="20">S35/S7</f>
        <v>0.24101908437751593</v>
      </c>
      <c r="T36" s="161">
        <f t="shared" si="20"/>
        <v>0.274989274989275</v>
      </c>
      <c r="U36" s="161">
        <f>U35/U7</f>
        <v>0.14743875278396437</v>
      </c>
      <c r="V36" s="161">
        <f t="shared" ref="V36:W36" si="21">V35/V7</f>
        <v>5.2570771589167092E-2</v>
      </c>
      <c r="W36" s="161">
        <f t="shared" si="21"/>
        <v>4.4007325274464791E-2</v>
      </c>
      <c r="X36" s="161">
        <f>X35/X7</f>
        <v>4.4444444444444446E-2</v>
      </c>
      <c r="Y36" s="161">
        <f>Y35/Y7</f>
        <v>2.4511765075107265E-2</v>
      </c>
      <c r="Z36" s="161">
        <f>Z35/Z7</f>
        <v>5.382563025210086E-2</v>
      </c>
      <c r="AA36" s="161">
        <f>AA35/AA7</f>
        <v>8.6311431955066104E-2</v>
      </c>
      <c r="AB36" s="471">
        <v>0.16383486329174982</v>
      </c>
      <c r="AC36" s="471">
        <v>0.19178829039812648</v>
      </c>
      <c r="AD36" s="471">
        <f>AD35/AD7</f>
        <v>0.21302798434815759</v>
      </c>
      <c r="AE36" s="227"/>
      <c r="AF36" s="131"/>
      <c r="AG36" s="161">
        <v>0.18070020061002581</v>
      </c>
      <c r="AH36" s="161">
        <v>0.18774037347226766</v>
      </c>
      <c r="AI36" s="161">
        <v>0.12230664920717109</v>
      </c>
      <c r="AJ36" s="161">
        <v>0.18265025797857828</v>
      </c>
      <c r="AK36" s="161">
        <v>0.1844104249291785</v>
      </c>
      <c r="AL36" s="161">
        <f>AL35/AL7</f>
        <v>4.1709853021230273E-2</v>
      </c>
      <c r="AM36" s="161">
        <f>AM35/AM7</f>
        <v>0.16901454378147859</v>
      </c>
    </row>
    <row r="37" spans="2:39">
      <c r="B37" s="116"/>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13"/>
      <c r="AF37" s="113"/>
      <c r="AG37" s="120"/>
      <c r="AH37" s="120"/>
      <c r="AI37" s="120"/>
      <c r="AJ37" s="120"/>
    </row>
    <row r="38" spans="2:39" ht="18" customHeight="1" thickBot="1">
      <c r="B38" s="66" t="s">
        <v>162</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342</v>
      </c>
      <c r="V38" s="67" t="s">
        <v>348</v>
      </c>
      <c r="W38" s="67" t="s">
        <v>363</v>
      </c>
      <c r="X38" s="67" t="s">
        <v>392</v>
      </c>
      <c r="Y38" s="67" t="s">
        <v>404</v>
      </c>
      <c r="Z38" s="67" t="s">
        <v>405</v>
      </c>
      <c r="AA38" s="67" t="s">
        <v>478</v>
      </c>
      <c r="AB38" s="67" t="s">
        <v>483</v>
      </c>
      <c r="AC38" s="67" t="str">
        <f>AC5</f>
        <v>3T24</v>
      </c>
      <c r="AD38" s="67" t="str">
        <f>AD5</f>
        <v>4T24</v>
      </c>
      <c r="AG38" s="211"/>
      <c r="AH38" s="211"/>
      <c r="AI38" s="211"/>
      <c r="AJ38" s="211"/>
      <c r="AK38" s="113"/>
      <c r="AL38" s="113"/>
      <c r="AM38" s="113"/>
    </row>
    <row r="39" spans="2:39" ht="7.5" customHeight="1" thickTop="1">
      <c r="B39" s="121"/>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G39" s="122"/>
      <c r="AH39" s="122"/>
      <c r="AI39" s="122"/>
      <c r="AJ39" s="122"/>
      <c r="AK39" s="113"/>
      <c r="AL39" s="113"/>
      <c r="AM39" s="113"/>
    </row>
    <row r="40" spans="2:39">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113"/>
      <c r="AB40" s="113"/>
      <c r="AC40" s="113"/>
      <c r="AD40" s="113"/>
      <c r="AG40" s="113"/>
      <c r="AH40" s="113"/>
      <c r="AI40" s="113"/>
      <c r="AJ40" s="113"/>
      <c r="AK40" s="113"/>
      <c r="AL40" s="113"/>
      <c r="AM40" s="113"/>
    </row>
    <row r="41" spans="2:39" ht="14.5" thickBot="1">
      <c r="B41" s="123" t="s">
        <v>163</v>
      </c>
      <c r="C41" s="171">
        <f>SUM(C42:C50)</f>
        <v>2832.0549999999998</v>
      </c>
      <c r="D41" s="171">
        <f t="shared" ref="D41:P41" si="22">SUM(D42:D50)</f>
        <v>2654.9590000000003</v>
      </c>
      <c r="E41" s="171">
        <f t="shared" si="22"/>
        <v>2646.402</v>
      </c>
      <c r="F41" s="171">
        <f t="shared" si="22"/>
        <v>2581.4180000000001</v>
      </c>
      <c r="G41" s="171">
        <f t="shared" si="22"/>
        <v>2456.7450000000003</v>
      </c>
      <c r="H41" s="171">
        <f t="shared" si="22"/>
        <v>2782.2065663538724</v>
      </c>
      <c r="I41" s="171">
        <f t="shared" si="22"/>
        <v>2706.3770181844852</v>
      </c>
      <c r="J41" s="171">
        <f t="shared" si="22"/>
        <v>2669.2290000000003</v>
      </c>
      <c r="K41" s="171">
        <f t="shared" si="22"/>
        <v>3092.0460000000003</v>
      </c>
      <c r="L41" s="171">
        <f t="shared" si="22"/>
        <v>2780.74</v>
      </c>
      <c r="M41" s="171">
        <f t="shared" si="22"/>
        <v>3091.7239999999997</v>
      </c>
      <c r="N41" s="171">
        <f t="shared" si="22"/>
        <v>3405.3719999999994</v>
      </c>
      <c r="O41" s="171">
        <f t="shared" si="22"/>
        <v>3233.8740000000007</v>
      </c>
      <c r="P41" s="171">
        <f t="shared" si="22"/>
        <v>3621</v>
      </c>
      <c r="Q41" s="171">
        <f>SUM(Q42:Q50)</f>
        <v>4297.0249999999996</v>
      </c>
      <c r="R41" s="171">
        <f>SUM(R42:R50)</f>
        <v>4454.9830000000002</v>
      </c>
      <c r="S41" s="171">
        <f t="shared" ref="S41:U41" si="23">SUM(S42:S50)</f>
        <v>4327.2749999999996</v>
      </c>
      <c r="T41" s="171">
        <f t="shared" si="23"/>
        <v>4506</v>
      </c>
      <c r="U41" s="171">
        <f t="shared" si="23"/>
        <v>4898.8609999999999</v>
      </c>
      <c r="V41" s="171">
        <f t="shared" ref="V41:AA41" si="24">SUM(V42:V50)</f>
        <v>4270</v>
      </c>
      <c r="W41" s="171">
        <f t="shared" si="24"/>
        <v>4879.74</v>
      </c>
      <c r="X41" s="171">
        <f t="shared" si="24"/>
        <v>5188</v>
      </c>
      <c r="Y41" s="171">
        <f t="shared" si="24"/>
        <v>4913</v>
      </c>
      <c r="Z41" s="171">
        <v>4862.3969999999999</v>
      </c>
      <c r="AA41" s="171">
        <f t="shared" si="24"/>
        <v>4564.0930000000008</v>
      </c>
      <c r="AB41" s="171">
        <f>SUM(AB42:AB50)</f>
        <v>4928.2159999999994</v>
      </c>
      <c r="AC41" s="171">
        <f>SUM(AC42:AC50)</f>
        <v>4623</v>
      </c>
      <c r="AD41" s="171">
        <f>SUM(AD42:AD50)</f>
        <v>4562.2839999999997</v>
      </c>
      <c r="AE41" s="217"/>
      <c r="AG41" s="212"/>
      <c r="AH41" s="212"/>
      <c r="AI41" s="212"/>
      <c r="AJ41" s="212"/>
      <c r="AK41" s="113"/>
      <c r="AL41" s="113"/>
      <c r="AM41" s="113"/>
    </row>
    <row r="42" spans="2:39" ht="14.25" customHeight="1">
      <c r="B42" s="116" t="s">
        <v>164</v>
      </c>
      <c r="C42" s="120">
        <v>46.537999999999997</v>
      </c>
      <c r="D42" s="120">
        <v>48.152999999999999</v>
      </c>
      <c r="E42" s="120">
        <v>32.043999999999997</v>
      </c>
      <c r="F42" s="172">
        <v>116.81100000000001</v>
      </c>
      <c r="G42" s="120">
        <v>76.706000000000003</v>
      </c>
      <c r="H42" s="120">
        <v>59.725000000000001</v>
      </c>
      <c r="I42" s="120">
        <v>87.718000000000004</v>
      </c>
      <c r="J42" s="120">
        <v>190.321</v>
      </c>
      <c r="K42" s="120">
        <v>193.85400000000001</v>
      </c>
      <c r="L42" s="120">
        <v>172.03899999999999</v>
      </c>
      <c r="M42" s="120">
        <v>458</v>
      </c>
      <c r="N42" s="120">
        <v>632.43799999999999</v>
      </c>
      <c r="O42" s="120">
        <v>514.62400000000002</v>
      </c>
      <c r="P42" s="120">
        <v>296</v>
      </c>
      <c r="Q42" s="120">
        <v>686</v>
      </c>
      <c r="R42" s="120">
        <v>1449.345</v>
      </c>
      <c r="S42" s="120">
        <v>1263.009</v>
      </c>
      <c r="T42" s="120">
        <v>1126</v>
      </c>
      <c r="U42" s="120">
        <v>1177</v>
      </c>
      <c r="V42" s="120">
        <v>849</v>
      </c>
      <c r="W42" s="120">
        <v>886.06299999999999</v>
      </c>
      <c r="X42" s="120">
        <v>1028</v>
      </c>
      <c r="Y42" s="120">
        <v>937</v>
      </c>
      <c r="Z42" s="120">
        <v>1350.229</v>
      </c>
      <c r="AA42" s="120">
        <v>1072.8920000000001</v>
      </c>
      <c r="AB42" s="120">
        <v>1580.2940000000001</v>
      </c>
      <c r="AC42" s="120">
        <v>1284</v>
      </c>
      <c r="AD42" s="120">
        <v>1141.9649999999999</v>
      </c>
      <c r="AE42" s="217"/>
      <c r="AG42" s="120"/>
      <c r="AH42" s="120"/>
      <c r="AI42" s="120"/>
      <c r="AJ42" s="120"/>
      <c r="AK42" s="113"/>
      <c r="AL42" s="113"/>
      <c r="AM42" s="113"/>
    </row>
    <row r="43" spans="2:39" ht="14.25" customHeight="1">
      <c r="B43" s="124" t="s">
        <v>165</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217"/>
      <c r="AG43" s="120"/>
      <c r="AH43" s="120"/>
      <c r="AI43" s="120"/>
      <c r="AJ43" s="120"/>
      <c r="AK43" s="113"/>
      <c r="AL43" s="113"/>
      <c r="AM43" s="113"/>
    </row>
    <row r="44" spans="2:39" ht="14.25" customHeight="1">
      <c r="B44" s="124" t="s">
        <v>166</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217"/>
      <c r="AG44" s="120"/>
      <c r="AH44" s="120"/>
      <c r="AI44" s="120"/>
      <c r="AJ44" s="120"/>
      <c r="AK44" s="113"/>
      <c r="AL44" s="113"/>
      <c r="AM44" s="113"/>
    </row>
    <row r="45" spans="2:39" ht="14.25" customHeight="1">
      <c r="B45" s="124" t="s">
        <v>167</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217"/>
      <c r="AG45" s="120"/>
      <c r="AH45" s="120"/>
      <c r="AI45" s="120"/>
      <c r="AJ45" s="120"/>
      <c r="AK45" s="113"/>
      <c r="AL45" s="113"/>
      <c r="AM45" s="113"/>
    </row>
    <row r="46" spans="2:39" ht="14.25" customHeight="1">
      <c r="B46" s="125" t="s">
        <v>168</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217"/>
      <c r="AG46" s="120"/>
      <c r="AH46" s="120"/>
      <c r="AI46" s="120"/>
      <c r="AJ46" s="120"/>
      <c r="AK46" s="113"/>
      <c r="AL46" s="113"/>
      <c r="AM46" s="113"/>
    </row>
    <row r="47" spans="2:39" ht="14.25" customHeight="1">
      <c r="B47" s="116" t="s">
        <v>169</v>
      </c>
      <c r="C47" s="120">
        <v>384.16699999999997</v>
      </c>
      <c r="D47" s="120">
        <v>397.065</v>
      </c>
      <c r="E47" s="120">
        <v>369.84500000000003</v>
      </c>
      <c r="F47" s="172">
        <v>357.01799999999997</v>
      </c>
      <c r="G47" s="120">
        <v>334.39100000000002</v>
      </c>
      <c r="H47" s="120">
        <v>470.78399999999999</v>
      </c>
      <c r="I47" s="120">
        <v>422.83499999999998</v>
      </c>
      <c r="J47" s="120">
        <v>640.19000000000005</v>
      </c>
      <c r="K47" s="173">
        <v>619.98500000000001</v>
      </c>
      <c r="L47" s="120">
        <v>364.767</v>
      </c>
      <c r="M47" s="120">
        <v>324.01900000000001</v>
      </c>
      <c r="N47" s="120">
        <v>442.36500000000001</v>
      </c>
      <c r="O47" s="120">
        <v>431.71300000000002</v>
      </c>
      <c r="P47" s="120">
        <v>441</v>
      </c>
      <c r="Q47" s="120">
        <v>425</v>
      </c>
      <c r="R47" s="120">
        <v>294.43400000000003</v>
      </c>
      <c r="S47" s="120">
        <v>312.41800000000001</v>
      </c>
      <c r="T47" s="120">
        <v>541</v>
      </c>
      <c r="U47" s="120">
        <v>670</v>
      </c>
      <c r="V47" s="120">
        <v>420</v>
      </c>
      <c r="W47" s="120">
        <v>467.62599999999998</v>
      </c>
      <c r="X47" s="120">
        <v>478</v>
      </c>
      <c r="Y47" s="120">
        <v>444</v>
      </c>
      <c r="Z47" s="120">
        <v>360.96800000000002</v>
      </c>
      <c r="AA47" s="120">
        <v>365.43</v>
      </c>
      <c r="AB47" s="120">
        <v>357.75900000000001</v>
      </c>
      <c r="AC47" s="120">
        <v>291</v>
      </c>
      <c r="AD47" s="120">
        <v>247.779</v>
      </c>
      <c r="AE47" s="217"/>
      <c r="AG47" s="120"/>
      <c r="AH47" s="120"/>
      <c r="AI47" s="120"/>
      <c r="AJ47" s="120"/>
      <c r="AK47" s="113"/>
      <c r="AL47" s="113"/>
      <c r="AM47" s="113"/>
    </row>
    <row r="48" spans="2:39" ht="14.25" customHeight="1">
      <c r="B48" s="125" t="s">
        <v>170</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217"/>
      <c r="AG48" s="120"/>
      <c r="AH48" s="120"/>
      <c r="AI48" s="120"/>
      <c r="AJ48" s="120"/>
      <c r="AK48" s="113"/>
      <c r="AL48" s="113"/>
      <c r="AM48" s="113"/>
    </row>
    <row r="49" spans="2:39" ht="14.25" customHeight="1">
      <c r="B49" s="125" t="s">
        <v>171</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6">
        <v>0</v>
      </c>
      <c r="V49" s="176">
        <v>0</v>
      </c>
      <c r="W49" s="176">
        <v>0</v>
      </c>
      <c r="X49" s="176">
        <v>0</v>
      </c>
      <c r="Y49" s="176">
        <v>0</v>
      </c>
      <c r="Z49" s="176">
        <v>0</v>
      </c>
      <c r="AA49" s="176">
        <v>0</v>
      </c>
      <c r="AB49" s="474">
        <v>0</v>
      </c>
      <c r="AC49" s="474">
        <v>0</v>
      </c>
      <c r="AD49" s="474" t="s">
        <v>368</v>
      </c>
      <c r="AE49" s="217"/>
      <c r="AG49" s="213"/>
      <c r="AH49" s="213"/>
      <c r="AI49" s="213"/>
      <c r="AJ49" s="213"/>
      <c r="AK49" s="113"/>
      <c r="AL49" s="113"/>
      <c r="AM49" s="113"/>
    </row>
    <row r="50" spans="2:39" ht="14.25" customHeight="1">
      <c r="B50" s="108" t="s">
        <v>172</v>
      </c>
      <c r="C50" s="120">
        <v>259.935</v>
      </c>
      <c r="D50" s="120">
        <v>62.472000000000001</v>
      </c>
      <c r="E50" s="120">
        <v>54.869</v>
      </c>
      <c r="F50" s="172">
        <v>52.353999999999999</v>
      </c>
      <c r="G50" s="120">
        <v>40.206000000000003</v>
      </c>
      <c r="H50" s="120">
        <v>50.973999999999997</v>
      </c>
      <c r="I50" s="120">
        <v>50.673999999999999</v>
      </c>
      <c r="J50" s="120">
        <v>41.377000000000002</v>
      </c>
      <c r="K50" s="120">
        <v>29.545000000000002</v>
      </c>
      <c r="L50" s="120">
        <v>44.496000000000002</v>
      </c>
      <c r="M50" s="120">
        <v>0</v>
      </c>
      <c r="N50" s="120">
        <v>53.534999999999997</v>
      </c>
      <c r="O50" s="120">
        <v>45.268000000000001</v>
      </c>
      <c r="P50" s="120">
        <v>63</v>
      </c>
      <c r="Q50" s="120">
        <v>74</v>
      </c>
      <c r="R50" s="120">
        <v>71.88</v>
      </c>
      <c r="S50" s="120">
        <v>58.377000000000002</v>
      </c>
      <c r="T50" s="120">
        <v>96</v>
      </c>
      <c r="U50" s="120">
        <v>178</v>
      </c>
      <c r="V50" s="120">
        <v>238</v>
      </c>
      <c r="W50" s="120">
        <v>216.959</v>
      </c>
      <c r="X50" s="120">
        <v>181</v>
      </c>
      <c r="Y50" s="120">
        <v>246</v>
      </c>
      <c r="Z50" s="120">
        <v>211.7</v>
      </c>
      <c r="AA50" s="120">
        <v>209.66300000000001</v>
      </c>
      <c r="AB50" s="120">
        <v>125.64100000000001</v>
      </c>
      <c r="AC50" s="120">
        <v>162</v>
      </c>
      <c r="AD50" s="120">
        <v>72.445999999999998</v>
      </c>
      <c r="AE50" s="217"/>
      <c r="AG50" s="120"/>
      <c r="AH50" s="120"/>
      <c r="AI50" s="120"/>
      <c r="AJ50" s="120"/>
      <c r="AK50" s="113"/>
      <c r="AL50" s="113"/>
      <c r="AM50" s="113"/>
    </row>
    <row r="51" spans="2:39" s="49" customFormat="1" ht="14.5" thickBot="1">
      <c r="B51" s="107" t="s">
        <v>173</v>
      </c>
      <c r="C51" s="160">
        <f t="shared" ref="C51:T51" si="25">SUM(C53:C66)</f>
        <v>8391.3820000000014</v>
      </c>
      <c r="D51" s="160">
        <f t="shared" si="25"/>
        <v>7077.1779999999999</v>
      </c>
      <c r="E51" s="160">
        <f t="shared" si="25"/>
        <v>7135.0899999999992</v>
      </c>
      <c r="F51" s="160">
        <f t="shared" si="25"/>
        <v>7122.2370000000001</v>
      </c>
      <c r="G51" s="160">
        <f t="shared" si="25"/>
        <v>7118.9119999999994</v>
      </c>
      <c r="H51" s="160">
        <f t="shared" si="25"/>
        <v>6892.6933153521395</v>
      </c>
      <c r="I51" s="160">
        <f t="shared" si="25"/>
        <v>6997.2883914116564</v>
      </c>
      <c r="J51" s="160">
        <f t="shared" si="25"/>
        <v>7147.0868869189926</v>
      </c>
      <c r="K51" s="160">
        <f t="shared" si="25"/>
        <v>7518.2399091442521</v>
      </c>
      <c r="L51" s="160">
        <f t="shared" si="25"/>
        <v>7871.8892241334061</v>
      </c>
      <c r="M51" s="160">
        <f t="shared" si="25"/>
        <v>7590.4471371328491</v>
      </c>
      <c r="N51" s="160">
        <f t="shared" si="25"/>
        <v>7805.7979999999998</v>
      </c>
      <c r="O51" s="160">
        <f t="shared" si="25"/>
        <v>7007.5389999999998</v>
      </c>
      <c r="P51" s="160">
        <f t="shared" si="25"/>
        <v>6883</v>
      </c>
      <c r="Q51" s="160">
        <f t="shared" si="25"/>
        <v>6993</v>
      </c>
      <c r="R51" s="160">
        <f t="shared" si="25"/>
        <v>7510.1799999999994</v>
      </c>
      <c r="S51" s="160">
        <f t="shared" si="25"/>
        <v>7569.0170000000007</v>
      </c>
      <c r="T51" s="160">
        <f t="shared" si="25"/>
        <v>7734</v>
      </c>
      <c r="U51" s="160">
        <f>SUM(U52:U66)</f>
        <v>7717</v>
      </c>
      <c r="V51" s="160">
        <f>SUM(V52:V66)</f>
        <v>8005.3760000000002</v>
      </c>
      <c r="W51" s="160">
        <f>SUM(W52:W66)</f>
        <v>8283.9140000000007</v>
      </c>
      <c r="X51" s="160">
        <f>SUM(X52:X66)</f>
        <v>8418</v>
      </c>
      <c r="Y51" s="160">
        <f>SUM(Y52:Y66)</f>
        <v>8582</v>
      </c>
      <c r="Z51" s="160">
        <v>8699.5349999999999</v>
      </c>
      <c r="AA51" s="160">
        <f>SUM(AA52:AA66)</f>
        <v>8768.64</v>
      </c>
      <c r="AB51" s="501">
        <f>SUM(AB52:AB66)</f>
        <v>8848.6119999999992</v>
      </c>
      <c r="AC51" s="501">
        <f>SUM(AC52:AC66)</f>
        <v>8934</v>
      </c>
      <c r="AD51" s="501">
        <f>SUM(AD52:AD66)</f>
        <v>9271.110999999999</v>
      </c>
      <c r="AE51" s="50"/>
      <c r="AF51" s="46"/>
      <c r="AG51" s="214"/>
      <c r="AH51" s="214"/>
      <c r="AI51" s="214"/>
      <c r="AJ51" s="214"/>
      <c r="AK51" s="184"/>
      <c r="AL51" s="184"/>
      <c r="AM51" s="184"/>
    </row>
    <row r="52" spans="2:39" s="49" customFormat="1">
      <c r="B52" s="268" t="s">
        <v>349</v>
      </c>
      <c r="C52" s="269"/>
      <c r="D52" s="269"/>
      <c r="E52" s="269"/>
      <c r="F52" s="269"/>
      <c r="G52" s="269"/>
      <c r="H52" s="269"/>
      <c r="I52" s="269"/>
      <c r="J52" s="269"/>
      <c r="K52" s="269"/>
      <c r="L52" s="269"/>
      <c r="M52" s="269"/>
      <c r="N52" s="269"/>
      <c r="O52" s="269"/>
      <c r="P52" s="269"/>
      <c r="Q52" s="269"/>
      <c r="R52" s="269"/>
      <c r="S52" s="269"/>
      <c r="T52" s="269"/>
      <c r="U52" s="269"/>
      <c r="V52" s="269">
        <v>78</v>
      </c>
      <c r="W52" s="269">
        <v>78.137</v>
      </c>
      <c r="X52" s="269">
        <v>210</v>
      </c>
      <c r="Y52" s="269">
        <v>312</v>
      </c>
      <c r="Z52" s="269">
        <v>245.768</v>
      </c>
      <c r="AA52" s="269">
        <v>248.107</v>
      </c>
      <c r="AB52" s="475">
        <v>113.288</v>
      </c>
      <c r="AC52" s="475">
        <v>111</v>
      </c>
      <c r="AD52" s="475">
        <v>0</v>
      </c>
      <c r="AF52" s="46"/>
      <c r="AG52" s="177"/>
      <c r="AH52" s="177"/>
      <c r="AI52" s="177"/>
      <c r="AJ52" s="177"/>
      <c r="AK52" s="184"/>
      <c r="AL52" s="184"/>
      <c r="AM52" s="184"/>
    </row>
    <row r="53" spans="2:39" s="49" customFormat="1">
      <c r="B53" s="116" t="s">
        <v>174</v>
      </c>
      <c r="C53" s="177"/>
      <c r="D53" s="177"/>
      <c r="E53" s="177"/>
      <c r="F53" s="26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227"/>
      <c r="AF53" s="46"/>
      <c r="AG53" s="215"/>
      <c r="AH53" s="215"/>
      <c r="AI53" s="215"/>
      <c r="AJ53" s="215"/>
      <c r="AK53" s="184"/>
      <c r="AL53" s="184"/>
      <c r="AM53" s="184"/>
    </row>
    <row r="54" spans="2:39">
      <c r="B54" s="114" t="s">
        <v>165</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405">
        <v>0</v>
      </c>
      <c r="P54" s="405">
        <v>0</v>
      </c>
      <c r="Q54" s="405">
        <v>0</v>
      </c>
      <c r="R54" s="405">
        <v>0</v>
      </c>
      <c r="S54" s="405">
        <v>0</v>
      </c>
      <c r="T54" s="405">
        <v>0</v>
      </c>
      <c r="U54" s="405">
        <v>0</v>
      </c>
      <c r="V54" s="405">
        <v>0</v>
      </c>
      <c r="W54" s="405">
        <v>0</v>
      </c>
      <c r="X54" s="405">
        <v>0</v>
      </c>
      <c r="Y54" s="405">
        <v>0</v>
      </c>
      <c r="Z54" s="405"/>
      <c r="AA54" s="405"/>
      <c r="AB54" s="405"/>
      <c r="AC54" s="405"/>
      <c r="AD54" s="405"/>
      <c r="AE54" s="346"/>
      <c r="AG54" s="120"/>
      <c r="AH54" s="120"/>
      <c r="AI54" s="120"/>
      <c r="AJ54" s="120"/>
      <c r="AK54" s="113"/>
      <c r="AL54" s="113"/>
      <c r="AM54" s="113"/>
    </row>
    <row r="55" spans="2:39">
      <c r="B55" s="114" t="s">
        <v>175</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347"/>
      <c r="AG55" s="172"/>
      <c r="AH55" s="172"/>
      <c r="AI55" s="172"/>
      <c r="AJ55" s="172"/>
      <c r="AK55" s="113"/>
      <c r="AL55" s="113"/>
      <c r="AM55" s="113"/>
    </row>
    <row r="56" spans="2:39">
      <c r="B56" s="114" t="s">
        <v>171</v>
      </c>
      <c r="C56" s="174">
        <v>77.141000000000005</v>
      </c>
      <c r="D56" s="174">
        <v>55.706000000000003</v>
      </c>
      <c r="E56" s="174">
        <v>27.641999999999999</v>
      </c>
      <c r="F56" s="174">
        <v>0</v>
      </c>
      <c r="G56" s="174">
        <v>0</v>
      </c>
      <c r="H56" s="174">
        <v>0</v>
      </c>
      <c r="I56" s="174">
        <v>0</v>
      </c>
      <c r="J56" s="173">
        <v>0</v>
      </c>
      <c r="K56" s="173">
        <v>0</v>
      </c>
      <c r="L56" s="173">
        <v>0</v>
      </c>
      <c r="M56" s="173">
        <v>0</v>
      </c>
      <c r="N56" s="173">
        <v>0</v>
      </c>
      <c r="O56" s="173">
        <v>0</v>
      </c>
      <c r="P56" s="173">
        <v>0</v>
      </c>
      <c r="Q56" s="173"/>
      <c r="R56" s="173">
        <v>0</v>
      </c>
      <c r="S56" s="173">
        <v>0</v>
      </c>
      <c r="T56" s="173">
        <v>0</v>
      </c>
      <c r="U56" s="173"/>
      <c r="V56" s="173"/>
      <c r="W56" s="173">
        <v>0</v>
      </c>
      <c r="X56" s="173">
        <v>0</v>
      </c>
      <c r="Y56" s="173">
        <v>0</v>
      </c>
      <c r="Z56" s="173">
        <v>0</v>
      </c>
      <c r="AA56" s="173">
        <v>0</v>
      </c>
      <c r="AB56" s="173">
        <v>0</v>
      </c>
      <c r="AC56" s="173">
        <v>0</v>
      </c>
      <c r="AD56" s="173">
        <v>0</v>
      </c>
      <c r="AE56" s="347"/>
      <c r="AG56" s="172"/>
      <c r="AH56" s="172"/>
      <c r="AI56" s="172"/>
      <c r="AJ56" s="172"/>
      <c r="AK56" s="113"/>
      <c r="AL56" s="113"/>
      <c r="AM56" s="113"/>
    </row>
    <row r="57" spans="2:39">
      <c r="B57" s="86" t="s">
        <v>169</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217"/>
      <c r="AG57" s="120"/>
      <c r="AH57" s="120"/>
      <c r="AI57" s="120"/>
      <c r="AJ57" s="120"/>
      <c r="AK57" s="113"/>
      <c r="AL57" s="113"/>
      <c r="AM57" s="113"/>
    </row>
    <row r="58" spans="2:39">
      <c r="B58" s="112" t="s">
        <v>176</v>
      </c>
      <c r="C58" s="174">
        <v>827.83600000000001</v>
      </c>
      <c r="D58" s="174">
        <v>830.30799999999999</v>
      </c>
      <c r="E58" s="174">
        <v>867.971</v>
      </c>
      <c r="F58" s="174">
        <v>781.71</v>
      </c>
      <c r="G58" s="174">
        <v>790.27700000000004</v>
      </c>
      <c r="H58" s="174">
        <v>628.37855279971859</v>
      </c>
      <c r="I58" s="174">
        <v>710.90479171433265</v>
      </c>
      <c r="J58" s="120">
        <v>805.55957651899269</v>
      </c>
      <c r="K58" s="120">
        <v>988.05163325666229</v>
      </c>
      <c r="L58" s="120">
        <v>1087.3286990586528</v>
      </c>
      <c r="M58" s="120">
        <v>891.64714237903434</v>
      </c>
      <c r="N58" s="120">
        <v>175.768</v>
      </c>
      <c r="O58" s="120">
        <v>316.20499999999998</v>
      </c>
      <c r="P58" s="120">
        <v>50</v>
      </c>
      <c r="Q58" s="120">
        <v>247</v>
      </c>
      <c r="R58" s="120">
        <v>253.94300000000001</v>
      </c>
      <c r="S58" s="120">
        <v>24.138000000000002</v>
      </c>
      <c r="T58" s="120">
        <v>145</v>
      </c>
      <c r="U58" s="120">
        <v>129</v>
      </c>
      <c r="V58" s="120">
        <v>156</v>
      </c>
      <c r="W58" s="120">
        <v>114.91800000000001</v>
      </c>
      <c r="X58" s="120">
        <v>46</v>
      </c>
      <c r="Y58" s="120">
        <v>158</v>
      </c>
      <c r="Z58" s="120">
        <v>302.334</v>
      </c>
      <c r="AA58" s="120">
        <v>324.30900000000003</v>
      </c>
      <c r="AB58" s="120">
        <v>523.803</v>
      </c>
      <c r="AC58" s="120">
        <v>567</v>
      </c>
      <c r="AD58" s="120">
        <v>875.02200000000005</v>
      </c>
      <c r="AE58" s="217"/>
      <c r="AG58" s="120"/>
      <c r="AH58" s="120"/>
      <c r="AI58" s="120"/>
      <c r="AJ58" s="120"/>
      <c r="AK58" s="113"/>
      <c r="AL58" s="113"/>
      <c r="AM58" s="113"/>
    </row>
    <row r="59" spans="2:39">
      <c r="B59" s="114" t="s">
        <v>177</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217"/>
      <c r="AG59" s="120"/>
      <c r="AH59" s="120"/>
      <c r="AI59" s="120"/>
      <c r="AJ59" s="120"/>
      <c r="AK59" s="113"/>
      <c r="AL59" s="113"/>
      <c r="AM59" s="113"/>
    </row>
    <row r="60" spans="2:39">
      <c r="B60" s="85" t="s">
        <v>178</v>
      </c>
      <c r="C60" s="174">
        <v>119.617</v>
      </c>
      <c r="D60" s="174">
        <v>119.788</v>
      </c>
      <c r="E60" s="174">
        <v>120.10599999999999</v>
      </c>
      <c r="F60" s="174">
        <v>128.107</v>
      </c>
      <c r="G60" s="174">
        <v>128.65600000000001</v>
      </c>
      <c r="H60" s="174">
        <v>136.136</v>
      </c>
      <c r="I60" s="174">
        <v>120.468</v>
      </c>
      <c r="J60" s="120">
        <v>115.259</v>
      </c>
      <c r="K60" s="120">
        <v>111.824</v>
      </c>
      <c r="L60" s="120">
        <v>15.516999999999999</v>
      </c>
      <c r="M60" s="120">
        <v>15.606999999999999</v>
      </c>
      <c r="N60" s="120">
        <v>15.141</v>
      </c>
      <c r="O60" s="120">
        <v>15.163</v>
      </c>
      <c r="P60" s="120">
        <v>16</v>
      </c>
      <c r="Q60" s="120">
        <v>17</v>
      </c>
      <c r="R60" s="120">
        <v>16.655999999999999</v>
      </c>
      <c r="S60" s="120">
        <v>16.917000000000002</v>
      </c>
      <c r="T60" s="120">
        <v>18</v>
      </c>
      <c r="U60" s="120">
        <v>18</v>
      </c>
      <c r="V60" s="120">
        <v>18</v>
      </c>
      <c r="W60" s="120">
        <v>18.132999999999999</v>
      </c>
      <c r="X60" s="120">
        <v>50</v>
      </c>
      <c r="Y60" s="120">
        <v>21</v>
      </c>
      <c r="Z60" s="120">
        <v>20.952000000000002</v>
      </c>
      <c r="AA60" s="120">
        <v>23.062999999999999</v>
      </c>
      <c r="AB60" s="120">
        <v>18.797000000000001</v>
      </c>
      <c r="AC60" s="120">
        <v>19</v>
      </c>
      <c r="AD60" s="120">
        <v>19.295000000000002</v>
      </c>
      <c r="AE60" s="217"/>
      <c r="AG60" s="120"/>
      <c r="AH60" s="120"/>
      <c r="AI60" s="120"/>
      <c r="AJ60" s="120"/>
      <c r="AK60" s="113"/>
      <c r="AL60" s="113"/>
      <c r="AM60" s="113"/>
    </row>
    <row r="61" spans="2:39">
      <c r="B61" s="86" t="s">
        <v>172</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217"/>
      <c r="AG61" s="120"/>
      <c r="AH61" s="120"/>
      <c r="AI61" s="120"/>
      <c r="AJ61" s="120"/>
      <c r="AK61" s="113"/>
      <c r="AL61" s="113"/>
      <c r="AM61" s="113"/>
    </row>
    <row r="62" spans="2:39" s="113" customFormat="1">
      <c r="B62" s="119" t="s">
        <v>179</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227"/>
      <c r="AG62" s="120"/>
      <c r="AH62" s="120"/>
      <c r="AI62" s="120"/>
      <c r="AJ62" s="120"/>
    </row>
    <row r="63" spans="2:39">
      <c r="B63" s="119" t="s">
        <v>345</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4">
        <v>0</v>
      </c>
      <c r="W63" s="174">
        <v>0</v>
      </c>
      <c r="X63" s="174">
        <v>0</v>
      </c>
      <c r="Y63" s="174">
        <v>0</v>
      </c>
      <c r="Z63" s="174">
        <v>0</v>
      </c>
      <c r="AA63" s="174">
        <v>0</v>
      </c>
      <c r="AB63" s="174">
        <v>0</v>
      </c>
      <c r="AC63" s="174">
        <v>0</v>
      </c>
      <c r="AD63" s="174"/>
      <c r="AE63" s="217"/>
      <c r="AG63" s="120"/>
      <c r="AH63" s="120"/>
      <c r="AI63" s="120"/>
      <c r="AJ63" s="120"/>
      <c r="AK63" s="113"/>
      <c r="AL63" s="113"/>
      <c r="AM63" s="113"/>
    </row>
    <row r="64" spans="2:39">
      <c r="B64" s="124" t="s">
        <v>180</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217"/>
      <c r="AG64" s="120"/>
      <c r="AH64" s="120"/>
      <c r="AI64" s="120"/>
      <c r="AJ64" s="120"/>
      <c r="AK64" s="113"/>
      <c r="AL64" s="113"/>
      <c r="AM64" s="113"/>
    </row>
    <row r="65" spans="2:39">
      <c r="B65" s="125" t="s">
        <v>181</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217"/>
      <c r="AG65" s="120"/>
      <c r="AH65" s="120"/>
      <c r="AI65" s="120"/>
      <c r="AJ65" s="120"/>
      <c r="AK65" s="113"/>
      <c r="AL65" s="113"/>
      <c r="AM65" s="113"/>
    </row>
    <row r="66" spans="2:39" s="49" customFormat="1">
      <c r="B66" s="116" t="s">
        <v>182</v>
      </c>
      <c r="C66" s="174">
        <v>0</v>
      </c>
      <c r="D66" s="174">
        <v>0</v>
      </c>
      <c r="E66" s="174">
        <v>0</v>
      </c>
      <c r="F66" s="174">
        <v>0</v>
      </c>
      <c r="G66" s="174">
        <v>23.265999999999998</v>
      </c>
      <c r="H66" s="174">
        <v>19.878</v>
      </c>
      <c r="I66" s="174">
        <v>17.193999999999999</v>
      </c>
      <c r="J66" s="120">
        <v>15.305999999999999</v>
      </c>
      <c r="K66" s="120">
        <v>15.141</v>
      </c>
      <c r="L66" s="120">
        <v>12.718</v>
      </c>
      <c r="M66" s="120">
        <v>12.138</v>
      </c>
      <c r="N66" s="120">
        <v>15.24</v>
      </c>
      <c r="O66" s="120">
        <v>20.044</v>
      </c>
      <c r="P66" s="120">
        <v>42</v>
      </c>
      <c r="Q66" s="120">
        <v>47</v>
      </c>
      <c r="R66" s="120">
        <v>43.137</v>
      </c>
      <c r="S66" s="120">
        <v>39.798999999999999</v>
      </c>
      <c r="T66" s="120">
        <v>39</v>
      </c>
      <c r="U66" s="120">
        <v>31</v>
      </c>
      <c r="V66" s="120">
        <v>31</v>
      </c>
      <c r="W66" s="120">
        <v>26.821999999999999</v>
      </c>
      <c r="X66" s="120">
        <v>28</v>
      </c>
      <c r="Y66" s="120">
        <v>36</v>
      </c>
      <c r="Z66" s="120">
        <v>48.576000000000001</v>
      </c>
      <c r="AA66" s="120">
        <v>42.121000000000002</v>
      </c>
      <c r="AB66" s="120">
        <v>39.564999999999998</v>
      </c>
      <c r="AC66" s="120">
        <v>57</v>
      </c>
      <c r="AD66" s="120">
        <v>171.41800000000001</v>
      </c>
      <c r="AE66" s="50"/>
      <c r="AF66" s="46"/>
      <c r="AG66" s="214"/>
      <c r="AH66" s="214"/>
      <c r="AI66" s="214"/>
      <c r="AJ66" s="214"/>
      <c r="AK66" s="184"/>
      <c r="AL66" s="184"/>
      <c r="AM66" s="184"/>
    </row>
    <row r="67" spans="2:39" ht="14.5" thickBot="1">
      <c r="B67" s="123" t="s">
        <v>183</v>
      </c>
      <c r="C67" s="160">
        <f t="shared" ref="C67:AD67" si="26">SUM(C51,C41)</f>
        <v>11223.437000000002</v>
      </c>
      <c r="D67" s="160">
        <f t="shared" si="26"/>
        <v>9732.1370000000006</v>
      </c>
      <c r="E67" s="160">
        <f t="shared" si="26"/>
        <v>9781.4919999999984</v>
      </c>
      <c r="F67" s="160">
        <f t="shared" si="26"/>
        <v>9703.6550000000007</v>
      </c>
      <c r="G67" s="160">
        <f t="shared" si="26"/>
        <v>9575.6569999999992</v>
      </c>
      <c r="H67" s="160">
        <f t="shared" si="26"/>
        <v>9674.8998817060128</v>
      </c>
      <c r="I67" s="160">
        <f t="shared" si="26"/>
        <v>9703.6654095961421</v>
      </c>
      <c r="J67" s="160">
        <f t="shared" si="26"/>
        <v>9816.3158869189938</v>
      </c>
      <c r="K67" s="160">
        <f t="shared" si="26"/>
        <v>10610.285909144251</v>
      </c>
      <c r="L67" s="160">
        <f t="shared" si="26"/>
        <v>10652.629224133405</v>
      </c>
      <c r="M67" s="160">
        <f t="shared" si="26"/>
        <v>10682.171137132849</v>
      </c>
      <c r="N67" s="160">
        <f t="shared" si="26"/>
        <v>11211.169999999998</v>
      </c>
      <c r="O67" s="160">
        <f t="shared" si="26"/>
        <v>10241.413</v>
      </c>
      <c r="P67" s="160">
        <f t="shared" si="26"/>
        <v>10504</v>
      </c>
      <c r="Q67" s="160">
        <f t="shared" si="26"/>
        <v>11290.025</v>
      </c>
      <c r="R67" s="160">
        <f t="shared" si="26"/>
        <v>11965.163</v>
      </c>
      <c r="S67" s="160">
        <f t="shared" si="26"/>
        <v>11896.292000000001</v>
      </c>
      <c r="T67" s="160">
        <f t="shared" si="26"/>
        <v>12240</v>
      </c>
      <c r="U67" s="160">
        <f t="shared" si="26"/>
        <v>12615.861000000001</v>
      </c>
      <c r="V67" s="160">
        <f t="shared" si="26"/>
        <v>12275.376</v>
      </c>
      <c r="W67" s="160">
        <f t="shared" si="26"/>
        <v>13163.654</v>
      </c>
      <c r="X67" s="160">
        <f t="shared" si="26"/>
        <v>13606</v>
      </c>
      <c r="Y67" s="160">
        <f t="shared" si="26"/>
        <v>13495</v>
      </c>
      <c r="Z67" s="160">
        <f t="shared" si="26"/>
        <v>13561.932000000001</v>
      </c>
      <c r="AA67" s="160">
        <f t="shared" si="26"/>
        <v>13332.733</v>
      </c>
      <c r="AB67" s="160">
        <f t="shared" si="26"/>
        <v>13776.827999999998</v>
      </c>
      <c r="AC67" s="160">
        <f t="shared" si="26"/>
        <v>13557</v>
      </c>
      <c r="AD67" s="160">
        <f t="shared" si="26"/>
        <v>13833.394999999999</v>
      </c>
      <c r="AG67" s="109"/>
      <c r="AH67" s="109"/>
      <c r="AI67" s="109"/>
      <c r="AJ67" s="109"/>
      <c r="AK67" s="113"/>
      <c r="AL67" s="113"/>
      <c r="AM67" s="113"/>
    </row>
    <row r="68" spans="2:39">
      <c r="B68" s="121"/>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70"/>
      <c r="AC68" s="470"/>
      <c r="AD68" s="470"/>
      <c r="AG68" s="109"/>
      <c r="AH68" s="109"/>
      <c r="AI68" s="109"/>
      <c r="AJ68" s="109"/>
      <c r="AK68" s="113"/>
      <c r="AL68" s="113"/>
      <c r="AM68" s="113"/>
    </row>
    <row r="69" spans="2:39">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70"/>
      <c r="AC69" s="470"/>
      <c r="AD69" s="470"/>
      <c r="AE69" s="217"/>
      <c r="AG69" s="180"/>
      <c r="AH69" s="180"/>
      <c r="AI69" s="180"/>
      <c r="AJ69" s="180"/>
      <c r="AK69" s="113"/>
      <c r="AL69" s="113"/>
      <c r="AM69" s="113"/>
    </row>
    <row r="70" spans="2:39" ht="14.5" thickBot="1">
      <c r="B70" s="107" t="s">
        <v>184</v>
      </c>
      <c r="C70" s="159">
        <f>SUM(C71:C85)</f>
        <v>1427.873</v>
      </c>
      <c r="D70" s="159">
        <f>SUM(D71:D85)</f>
        <v>1493.3719999999998</v>
      </c>
      <c r="E70" s="159">
        <f t="shared" ref="E70:P70" si="27">SUM(E71:E85)</f>
        <v>1506.248</v>
      </c>
      <c r="F70" s="159">
        <f t="shared" si="27"/>
        <v>1332.4649999999999</v>
      </c>
      <c r="G70" s="159">
        <f t="shared" si="27"/>
        <v>1218.8489999999999</v>
      </c>
      <c r="H70" s="159">
        <f t="shared" si="27"/>
        <v>1401.3614659621855</v>
      </c>
      <c r="I70" s="159">
        <f t="shared" si="27"/>
        <v>1389.9093766210444</v>
      </c>
      <c r="J70" s="159">
        <f t="shared" si="27"/>
        <v>1233.8945746135075</v>
      </c>
      <c r="K70" s="159">
        <f t="shared" si="27"/>
        <v>1624.2482467242435</v>
      </c>
      <c r="L70" s="159">
        <f t="shared" si="27"/>
        <v>1547.5579460457982</v>
      </c>
      <c r="M70" s="159">
        <f t="shared" si="27"/>
        <v>1749.6914815602122</v>
      </c>
      <c r="N70" s="159">
        <f t="shared" si="27"/>
        <v>1990.6629999999998</v>
      </c>
      <c r="O70" s="159">
        <f t="shared" si="27"/>
        <v>2262.6780000000008</v>
      </c>
      <c r="P70" s="159">
        <f t="shared" si="27"/>
        <v>2232</v>
      </c>
      <c r="Q70" s="159">
        <f>SUM(Q71:Q85)</f>
        <v>2329</v>
      </c>
      <c r="R70" s="159">
        <f>SUM(R71:R85)</f>
        <v>2159.634</v>
      </c>
      <c r="S70" s="159">
        <f t="shared" ref="S70:U70" si="28">SUM(S71:S85)</f>
        <v>1778.6399999999999</v>
      </c>
      <c r="T70" s="159">
        <f t="shared" si="28"/>
        <v>1754</v>
      </c>
      <c r="U70" s="159">
        <f t="shared" si="28"/>
        <v>2022.5720000000001</v>
      </c>
      <c r="V70" s="159">
        <f t="shared" ref="V70:W70" si="29">SUM(V71:V85)</f>
        <v>2188</v>
      </c>
      <c r="W70" s="159">
        <f t="shared" si="29"/>
        <v>2205.0119999999997</v>
      </c>
      <c r="X70" s="159">
        <f>SUM(X71:X86)</f>
        <v>2451</v>
      </c>
      <c r="Y70" s="159">
        <f>SUM(Y71:Y86)</f>
        <v>2174</v>
      </c>
      <c r="Z70" s="159">
        <v>2181.4940000000001</v>
      </c>
      <c r="AA70" s="159">
        <f>SUM(AA71:AA86)</f>
        <v>2157.9209999999998</v>
      </c>
      <c r="AB70" s="159">
        <f t="shared" ref="AB70:AD70" si="30">SUM(AB71:AB86)</f>
        <v>1987.665</v>
      </c>
      <c r="AC70" s="159">
        <f t="shared" si="30"/>
        <v>2002</v>
      </c>
      <c r="AD70" s="159">
        <f t="shared" si="30"/>
        <v>2345.7809999999999</v>
      </c>
      <c r="AE70" s="217"/>
      <c r="AG70" s="109"/>
      <c r="AH70" s="109"/>
      <c r="AI70" s="109"/>
      <c r="AJ70" s="109"/>
      <c r="AK70" s="113"/>
      <c r="AL70" s="113"/>
      <c r="AM70" s="113"/>
    </row>
    <row r="71" spans="2:39">
      <c r="B71" s="62" t="s">
        <v>185</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70">
        <v>277.38099999999997</v>
      </c>
      <c r="AC71" s="470">
        <v>272</v>
      </c>
      <c r="AD71" s="470">
        <v>117.289</v>
      </c>
      <c r="AE71" s="217"/>
      <c r="AG71" s="109"/>
      <c r="AH71" s="109"/>
      <c r="AI71" s="109"/>
      <c r="AJ71" s="109"/>
      <c r="AK71" s="113"/>
      <c r="AL71" s="113"/>
      <c r="AM71" s="113"/>
    </row>
    <row r="72" spans="2:39">
      <c r="B72" s="65" t="s">
        <v>175</v>
      </c>
      <c r="C72" s="126">
        <v>13.459</v>
      </c>
      <c r="D72" s="126">
        <v>180.791</v>
      </c>
      <c r="E72" s="126">
        <v>163.62</v>
      </c>
      <c r="F72" s="126">
        <v>57.786000000000001</v>
      </c>
      <c r="G72" s="126">
        <v>24.167999999999999</v>
      </c>
      <c r="H72" s="126">
        <v>0.39244594420231987</v>
      </c>
      <c r="I72" s="126">
        <v>5.2436518043528721</v>
      </c>
      <c r="J72" s="126">
        <v>17.986209779999999</v>
      </c>
      <c r="K72" s="126">
        <v>245.24705921145792</v>
      </c>
      <c r="L72" s="126">
        <v>284.15198942780034</v>
      </c>
      <c r="M72" s="126">
        <v>336.27670211687837</v>
      </c>
      <c r="N72" s="126">
        <v>398.78199999999998</v>
      </c>
      <c r="O72" s="126">
        <v>594.61400000000003</v>
      </c>
      <c r="P72" s="126">
        <v>527</v>
      </c>
      <c r="Q72" s="126">
        <v>552</v>
      </c>
      <c r="R72" s="126">
        <v>231.28899999999999</v>
      </c>
      <c r="S72" s="126">
        <v>122.902</v>
      </c>
      <c r="T72" s="126">
        <v>4</v>
      </c>
      <c r="U72" s="126">
        <v>5</v>
      </c>
      <c r="V72" s="126">
        <v>4</v>
      </c>
      <c r="W72" s="126">
        <v>3</v>
      </c>
      <c r="X72" s="126">
        <v>2</v>
      </c>
      <c r="Y72" s="126">
        <v>3</v>
      </c>
      <c r="Z72" s="126">
        <v>2.3050000000000002</v>
      </c>
      <c r="AA72" s="126">
        <v>2.89</v>
      </c>
      <c r="AB72" s="476">
        <v>4.9569999999999999</v>
      </c>
      <c r="AC72" s="476">
        <v>4</v>
      </c>
      <c r="AD72" s="476">
        <v>197</v>
      </c>
      <c r="AE72" s="217"/>
      <c r="AG72" s="109"/>
      <c r="AH72" s="109"/>
      <c r="AI72" s="109"/>
      <c r="AJ72" s="109"/>
      <c r="AK72" s="113"/>
      <c r="AL72" s="113"/>
      <c r="AM72" s="113"/>
    </row>
    <row r="73" spans="2:39">
      <c r="B73" s="62" t="s">
        <v>186</v>
      </c>
      <c r="C73" s="180">
        <v>0</v>
      </c>
      <c r="D73" s="180">
        <v>0</v>
      </c>
      <c r="E73" s="180">
        <v>0</v>
      </c>
      <c r="F73" s="180">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70">
        <v>18.751000000000001</v>
      </c>
      <c r="AC73" s="470">
        <v>30</v>
      </c>
      <c r="AD73" s="470">
        <v>42.390999999999998</v>
      </c>
      <c r="AE73" s="217"/>
      <c r="AG73" s="109"/>
      <c r="AH73" s="109"/>
      <c r="AI73" s="109"/>
      <c r="AJ73" s="109"/>
      <c r="AK73" s="113"/>
      <c r="AL73" s="113"/>
      <c r="AM73" s="113"/>
    </row>
    <row r="74" spans="2:39">
      <c r="B74" s="65" t="s">
        <v>187</v>
      </c>
      <c r="C74" s="126">
        <v>44.372</v>
      </c>
      <c r="D74" s="126">
        <v>28.062000000000001</v>
      </c>
      <c r="E74" s="126">
        <v>158.61799999999999</v>
      </c>
      <c r="F74" s="126">
        <v>256.64499999999998</v>
      </c>
      <c r="G74" s="126">
        <v>260.55500000000001</v>
      </c>
      <c r="H74" s="126">
        <v>387.101</v>
      </c>
      <c r="I74" s="126">
        <v>360.32799999999997</v>
      </c>
      <c r="J74" s="126">
        <v>335.13</v>
      </c>
      <c r="K74" s="126">
        <v>416.798</v>
      </c>
      <c r="L74" s="126">
        <v>347.41199999999998</v>
      </c>
      <c r="M74" s="126">
        <v>412.73500000000001</v>
      </c>
      <c r="N74" s="126">
        <v>594.58100000000002</v>
      </c>
      <c r="O74" s="126">
        <v>589.87900000000002</v>
      </c>
      <c r="P74" s="126">
        <v>614</v>
      </c>
      <c r="Q74" s="126">
        <v>387</v>
      </c>
      <c r="R74" s="126">
        <v>558.01700000000005</v>
      </c>
      <c r="S74" s="126">
        <v>272.87900000000002</v>
      </c>
      <c r="T74" s="126">
        <v>109</v>
      </c>
      <c r="U74" s="126">
        <v>120.425</v>
      </c>
      <c r="V74" s="126">
        <v>210</v>
      </c>
      <c r="W74" s="126">
        <v>275.65600000000001</v>
      </c>
      <c r="X74" s="126">
        <v>267</v>
      </c>
      <c r="Y74" s="126">
        <v>118</v>
      </c>
      <c r="Z74" s="126">
        <v>248.81200000000001</v>
      </c>
      <c r="AA74" s="126">
        <v>134.15299999999999</v>
      </c>
      <c r="AB74" s="476">
        <v>150.428</v>
      </c>
      <c r="AC74" s="476">
        <v>98</v>
      </c>
      <c r="AD74" s="476">
        <v>178.46700000000001</v>
      </c>
      <c r="AE74" s="217"/>
      <c r="AG74" s="109"/>
      <c r="AH74" s="109"/>
      <c r="AI74" s="109"/>
      <c r="AJ74" s="109"/>
      <c r="AK74" s="113"/>
      <c r="AL74" s="113"/>
      <c r="AM74" s="113"/>
    </row>
    <row r="75" spans="2:39">
      <c r="B75" s="62" t="s">
        <v>188</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70">
        <v>796.21400000000006</v>
      </c>
      <c r="AC75" s="470">
        <v>958</v>
      </c>
      <c r="AD75" s="470">
        <v>1123.9939999999999</v>
      </c>
      <c r="AE75" s="217"/>
      <c r="AG75" s="109"/>
      <c r="AH75" s="109"/>
      <c r="AI75" s="109"/>
      <c r="AJ75" s="109"/>
      <c r="AK75" s="113"/>
      <c r="AL75" s="113"/>
      <c r="AM75" s="113"/>
    </row>
    <row r="76" spans="2:39">
      <c r="B76" s="65" t="s">
        <v>189</v>
      </c>
      <c r="C76" s="126">
        <v>82.474999999999994</v>
      </c>
      <c r="D76" s="126">
        <v>100.065</v>
      </c>
      <c r="E76" s="126">
        <v>126.708</v>
      </c>
      <c r="F76" s="126">
        <v>118.724</v>
      </c>
      <c r="G76" s="126">
        <v>82.093999999999994</v>
      </c>
      <c r="H76" s="126">
        <v>102.691</v>
      </c>
      <c r="I76" s="126">
        <v>124.592</v>
      </c>
      <c r="J76" s="126">
        <v>123.054</v>
      </c>
      <c r="K76" s="126">
        <v>94.290999999999997</v>
      </c>
      <c r="L76" s="126">
        <v>141.66900000000001</v>
      </c>
      <c r="M76" s="126">
        <v>155.59200000000001</v>
      </c>
      <c r="N76" s="126">
        <v>175.666</v>
      </c>
      <c r="O76" s="126">
        <v>110.849</v>
      </c>
      <c r="P76" s="126">
        <v>131</v>
      </c>
      <c r="Q76" s="126">
        <v>161</v>
      </c>
      <c r="R76" s="126">
        <v>162.24299999999999</v>
      </c>
      <c r="S76" s="126">
        <v>120.797</v>
      </c>
      <c r="T76" s="126">
        <v>143</v>
      </c>
      <c r="U76" s="126">
        <v>177</v>
      </c>
      <c r="V76" s="126">
        <v>171</v>
      </c>
      <c r="W76" s="126">
        <v>125.004</v>
      </c>
      <c r="X76" s="126">
        <v>156</v>
      </c>
      <c r="Y76" s="126">
        <v>190</v>
      </c>
      <c r="Z76" s="126">
        <v>198.72300000000001</v>
      </c>
      <c r="AA76" s="126">
        <v>125.65</v>
      </c>
      <c r="AB76" s="476">
        <v>165.94300000000001</v>
      </c>
      <c r="AC76" s="476">
        <v>200</v>
      </c>
      <c r="AD76" s="476">
        <v>220.92400000000001</v>
      </c>
      <c r="AE76" s="217"/>
      <c r="AG76" s="109"/>
      <c r="AH76" s="109"/>
      <c r="AI76" s="109"/>
      <c r="AJ76" s="109"/>
      <c r="AK76" s="113"/>
      <c r="AL76" s="113"/>
      <c r="AM76" s="113"/>
    </row>
    <row r="77" spans="2:39">
      <c r="B77" s="62" t="s">
        <v>190</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70">
        <v>41.277999999999999</v>
      </c>
      <c r="AC77" s="470">
        <v>53</v>
      </c>
      <c r="AD77" s="470">
        <v>37.357999999999997</v>
      </c>
      <c r="AE77" s="217"/>
      <c r="AG77" s="109"/>
      <c r="AH77" s="109"/>
      <c r="AI77" s="109"/>
      <c r="AJ77" s="109"/>
      <c r="AK77" s="113"/>
      <c r="AL77" s="113"/>
      <c r="AM77" s="113"/>
    </row>
    <row r="78" spans="2:39">
      <c r="B78" s="65" t="s">
        <v>191</v>
      </c>
      <c r="C78" s="126">
        <v>239.203</v>
      </c>
      <c r="D78" s="126">
        <v>50.499000000000002</v>
      </c>
      <c r="E78" s="126">
        <v>24.135000000000002</v>
      </c>
      <c r="F78" s="126">
        <v>29.048999999999999</v>
      </c>
      <c r="G78" s="126">
        <v>33.161999999999999</v>
      </c>
      <c r="H78" s="126">
        <v>40.073</v>
      </c>
      <c r="I78" s="126">
        <v>37.033999999999999</v>
      </c>
      <c r="J78" s="126">
        <v>20.413</v>
      </c>
      <c r="K78" s="126">
        <v>24.975999999999999</v>
      </c>
      <c r="L78" s="126">
        <v>34.151000000000003</v>
      </c>
      <c r="M78" s="126">
        <v>23.337</v>
      </c>
      <c r="N78" s="126">
        <v>31.861999999999998</v>
      </c>
      <c r="O78" s="126">
        <v>42.584000000000003</v>
      </c>
      <c r="P78" s="126">
        <v>45</v>
      </c>
      <c r="Q78" s="126">
        <v>71</v>
      </c>
      <c r="R78" s="126">
        <v>47.662999999999997</v>
      </c>
      <c r="S78" s="126">
        <v>52.831000000000003</v>
      </c>
      <c r="T78" s="126">
        <v>59</v>
      </c>
      <c r="U78" s="126">
        <v>28</v>
      </c>
      <c r="V78" s="126">
        <v>31</v>
      </c>
      <c r="W78" s="126">
        <v>15.178000000000001</v>
      </c>
      <c r="X78" s="126">
        <v>46</v>
      </c>
      <c r="Y78" s="126">
        <v>27</v>
      </c>
      <c r="Z78" s="126">
        <v>18.324999999999999</v>
      </c>
      <c r="AA78" s="126">
        <v>100.81100000000001</v>
      </c>
      <c r="AB78" s="476">
        <v>89.552000000000007</v>
      </c>
      <c r="AC78" s="476">
        <v>110</v>
      </c>
      <c r="AD78" s="476">
        <v>22.885999999999999</v>
      </c>
      <c r="AE78" s="217"/>
      <c r="AG78" s="109"/>
      <c r="AH78" s="109"/>
      <c r="AI78" s="109"/>
      <c r="AJ78" s="109"/>
      <c r="AK78" s="113"/>
      <c r="AL78" s="113"/>
      <c r="AM78" s="113"/>
    </row>
    <row r="79" spans="2:39">
      <c r="B79" s="65" t="s">
        <v>481</v>
      </c>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v>14.609</v>
      </c>
      <c r="AB79" s="476">
        <v>0</v>
      </c>
      <c r="AC79" s="476">
        <v>0</v>
      </c>
      <c r="AD79" s="476">
        <v>0</v>
      </c>
      <c r="AE79" s="217"/>
      <c r="AG79" s="109"/>
      <c r="AH79" s="109"/>
      <c r="AI79" s="109"/>
      <c r="AJ79" s="109"/>
      <c r="AK79" s="113"/>
      <c r="AL79" s="113"/>
      <c r="AM79" s="113"/>
    </row>
    <row r="80" spans="2:39">
      <c r="B80" s="62" t="s">
        <v>192</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70">
        <v>58.831000000000003</v>
      </c>
      <c r="AC80" s="470">
        <v>0</v>
      </c>
      <c r="AD80" s="470">
        <v>0</v>
      </c>
      <c r="AE80" s="217"/>
      <c r="AG80" s="109"/>
      <c r="AH80" s="109"/>
      <c r="AI80" s="109"/>
      <c r="AJ80" s="109"/>
      <c r="AK80" s="113"/>
      <c r="AL80" s="113"/>
      <c r="AM80" s="113"/>
    </row>
    <row r="81" spans="2:39">
      <c r="B81" s="65" t="s">
        <v>193</v>
      </c>
      <c r="C81" s="126">
        <v>39.155000000000001</v>
      </c>
      <c r="D81" s="126">
        <v>39.387</v>
      </c>
      <c r="E81" s="126">
        <v>39.466999999999999</v>
      </c>
      <c r="F81" s="126">
        <v>44.155999999999999</v>
      </c>
      <c r="G81" s="126">
        <v>42.173000000000002</v>
      </c>
      <c r="H81" s="126">
        <v>42.34</v>
      </c>
      <c r="I81" s="126">
        <v>42.433</v>
      </c>
      <c r="J81" s="126">
        <v>44.878</v>
      </c>
      <c r="K81" s="126">
        <v>44.923999999999999</v>
      </c>
      <c r="L81" s="126">
        <v>47.177</v>
      </c>
      <c r="M81" s="126">
        <v>47.734000000000002</v>
      </c>
      <c r="N81" s="126">
        <v>47.703000000000003</v>
      </c>
      <c r="O81" s="126">
        <v>47.703000000000003</v>
      </c>
      <c r="P81" s="126">
        <v>52</v>
      </c>
      <c r="Q81" s="126">
        <v>54</v>
      </c>
      <c r="R81" s="126">
        <v>74.313999999999993</v>
      </c>
      <c r="S81" s="126">
        <v>74.97</v>
      </c>
      <c r="T81" s="126">
        <v>76</v>
      </c>
      <c r="U81" s="126">
        <v>74</v>
      </c>
      <c r="V81" s="126">
        <v>56</v>
      </c>
      <c r="W81" s="126">
        <v>78.617999999999995</v>
      </c>
      <c r="X81" s="126">
        <v>79</v>
      </c>
      <c r="Y81" s="126">
        <v>78</v>
      </c>
      <c r="Z81" s="126">
        <v>78.795000000000002</v>
      </c>
      <c r="AA81" s="126">
        <v>78.885999999999996</v>
      </c>
      <c r="AB81" s="476">
        <v>79.207999999999998</v>
      </c>
      <c r="AC81" s="476">
        <v>79</v>
      </c>
      <c r="AD81" s="476">
        <v>82.233999999999995</v>
      </c>
      <c r="AE81" s="217"/>
      <c r="AG81" s="181"/>
      <c r="AH81" s="181"/>
      <c r="AI81" s="181"/>
      <c r="AJ81" s="181"/>
      <c r="AK81" s="113"/>
      <c r="AL81" s="113"/>
      <c r="AM81" s="113"/>
    </row>
    <row r="82" spans="2:39">
      <c r="B82" s="62" t="s">
        <v>194</v>
      </c>
      <c r="C82" s="109">
        <v>0</v>
      </c>
      <c r="D82" s="109">
        <v>0</v>
      </c>
      <c r="E82" s="109">
        <v>0</v>
      </c>
      <c r="F82" s="109">
        <v>0</v>
      </c>
      <c r="G82" s="109">
        <v>0</v>
      </c>
      <c r="H82" s="109">
        <v>0</v>
      </c>
      <c r="I82" s="109">
        <v>0</v>
      </c>
      <c r="J82" s="181">
        <v>16.635999999999999</v>
      </c>
      <c r="K82" s="181">
        <v>10.967000000000001</v>
      </c>
      <c r="L82" s="181">
        <v>22.667000000000002</v>
      </c>
      <c r="M82" s="181">
        <v>36.165999999999997</v>
      </c>
      <c r="N82" s="181">
        <v>65.489999999999995</v>
      </c>
      <c r="O82" s="181">
        <v>62.637</v>
      </c>
      <c r="P82" s="181">
        <v>2</v>
      </c>
      <c r="Q82" s="181">
        <v>6</v>
      </c>
      <c r="R82" s="181">
        <v>11.141999999999999</v>
      </c>
      <c r="S82" s="181">
        <v>20.321000000000002</v>
      </c>
      <c r="T82" s="181">
        <v>47</v>
      </c>
      <c r="U82" s="181">
        <v>94</v>
      </c>
      <c r="V82" s="181">
        <v>95</v>
      </c>
      <c r="W82" s="181">
        <v>121.693</v>
      </c>
      <c r="X82" s="181">
        <v>174</v>
      </c>
      <c r="Y82" s="181">
        <v>71</v>
      </c>
      <c r="Z82" s="181">
        <v>154.518</v>
      </c>
      <c r="AA82" s="181">
        <v>124.53100000000001</v>
      </c>
      <c r="AB82" s="477">
        <v>89.119</v>
      </c>
      <c r="AC82" s="477">
        <v>57</v>
      </c>
      <c r="AD82" s="477">
        <v>113.38800000000001</v>
      </c>
      <c r="AE82" s="217"/>
      <c r="AG82" s="181"/>
      <c r="AH82" s="181"/>
      <c r="AI82" s="181"/>
      <c r="AJ82" s="181"/>
      <c r="AK82" s="113"/>
      <c r="AL82" s="113"/>
      <c r="AM82" s="113"/>
    </row>
    <row r="83" spans="2:39">
      <c r="B83" s="65" t="s">
        <v>195</v>
      </c>
      <c r="C83" s="126">
        <v>223.36799999999999</v>
      </c>
      <c r="D83" s="126">
        <v>250.20599999999999</v>
      </c>
      <c r="E83" s="126">
        <v>223.55199999999999</v>
      </c>
      <c r="F83" s="126">
        <v>223.369</v>
      </c>
      <c r="G83" s="126">
        <v>173.23500000000001</v>
      </c>
      <c r="H83" s="126">
        <v>146.86500000000001</v>
      </c>
      <c r="I83" s="126">
        <v>83.191999999999993</v>
      </c>
      <c r="J83" s="175">
        <v>27.201000000000001</v>
      </c>
      <c r="K83" s="175">
        <v>0.63600000000000001</v>
      </c>
      <c r="L83" s="175">
        <v>0.56100000000000005</v>
      </c>
      <c r="M83" s="175">
        <v>0.56100000000000005</v>
      </c>
      <c r="N83" s="175">
        <v>0.56100000000000005</v>
      </c>
      <c r="O83" s="175">
        <v>16.405000000000001</v>
      </c>
      <c r="P83" s="175">
        <v>1</v>
      </c>
      <c r="Q83" s="175">
        <v>1</v>
      </c>
      <c r="R83" s="175">
        <v>0.35</v>
      </c>
      <c r="S83" s="175">
        <v>0.35</v>
      </c>
      <c r="T83" s="175">
        <v>1</v>
      </c>
      <c r="U83" s="175">
        <v>0</v>
      </c>
      <c r="V83" s="175">
        <v>1</v>
      </c>
      <c r="W83" s="175">
        <v>0</v>
      </c>
      <c r="X83" s="175">
        <v>0</v>
      </c>
      <c r="Y83" s="175">
        <v>0</v>
      </c>
      <c r="Z83" s="175">
        <v>0</v>
      </c>
      <c r="AA83" s="175">
        <v>0</v>
      </c>
      <c r="AB83" s="478">
        <v>0</v>
      </c>
      <c r="AC83" s="478">
        <v>0</v>
      </c>
      <c r="AD83" s="478"/>
      <c r="AE83" s="217"/>
      <c r="AG83" s="109"/>
      <c r="AH83" s="109"/>
      <c r="AI83" s="109"/>
      <c r="AJ83" s="109"/>
      <c r="AK83" s="113"/>
      <c r="AL83" s="113"/>
      <c r="AM83" s="113"/>
    </row>
    <row r="84" spans="2:39">
      <c r="B84" s="65" t="s">
        <v>196</v>
      </c>
      <c r="C84" s="170">
        <v>0</v>
      </c>
      <c r="D84" s="170">
        <v>0</v>
      </c>
      <c r="E84" s="170">
        <v>0</v>
      </c>
      <c r="F84" s="170">
        <v>0</v>
      </c>
      <c r="G84" s="170">
        <v>0</v>
      </c>
      <c r="H84" s="170">
        <v>0</v>
      </c>
      <c r="I84" s="170">
        <v>0</v>
      </c>
      <c r="J84" s="170">
        <v>0</v>
      </c>
      <c r="K84" s="170">
        <v>0</v>
      </c>
      <c r="L84" s="170">
        <v>0</v>
      </c>
      <c r="M84" s="170">
        <v>0.751</v>
      </c>
      <c r="N84" s="170">
        <v>0.52200000000000002</v>
      </c>
      <c r="O84" s="170">
        <v>16.431999999999999</v>
      </c>
      <c r="P84" s="170">
        <v>16</v>
      </c>
      <c r="Q84" s="170">
        <v>18</v>
      </c>
      <c r="R84" s="170">
        <v>29.218</v>
      </c>
      <c r="S84" s="170">
        <v>21.190999999999999</v>
      </c>
      <c r="T84" s="170">
        <v>83</v>
      </c>
      <c r="U84" s="170">
        <v>66</v>
      </c>
      <c r="V84" s="170">
        <v>93</v>
      </c>
      <c r="W84" s="170">
        <v>101.139</v>
      </c>
      <c r="X84" s="170">
        <v>82</v>
      </c>
      <c r="Y84" s="170">
        <v>116</v>
      </c>
      <c r="Z84" s="170">
        <v>141.46100000000001</v>
      </c>
      <c r="AA84" s="170">
        <v>153.62899999999999</v>
      </c>
      <c r="AB84" s="473">
        <v>166.24799999999999</v>
      </c>
      <c r="AC84" s="473">
        <v>99</v>
      </c>
      <c r="AD84" s="473">
        <v>167</v>
      </c>
      <c r="AE84" s="217"/>
      <c r="AG84" s="109"/>
      <c r="AH84" s="109"/>
      <c r="AI84" s="109"/>
      <c r="AJ84" s="109"/>
      <c r="AK84" s="113"/>
      <c r="AL84" s="113"/>
      <c r="AM84" s="113"/>
    </row>
    <row r="85" spans="2:39" s="49" customFormat="1">
      <c r="B85" s="108" t="s">
        <v>197</v>
      </c>
      <c r="C85" s="109">
        <v>54.38</v>
      </c>
      <c r="D85" s="109">
        <v>41.448999999999998</v>
      </c>
      <c r="E85" s="109">
        <v>41.241999999999997</v>
      </c>
      <c r="F85" s="109">
        <v>48.837000000000003</v>
      </c>
      <c r="G85" s="109">
        <v>21.474</v>
      </c>
      <c r="H85" s="109">
        <v>23.077999999999999</v>
      </c>
      <c r="I85" s="109">
        <v>45.146999999999998</v>
      </c>
      <c r="J85" s="109">
        <v>49.545999999999999</v>
      </c>
      <c r="K85" s="109">
        <v>43.279000000000003</v>
      </c>
      <c r="L85" s="109">
        <v>47.78</v>
      </c>
      <c r="M85" s="109">
        <v>42.423999999999999</v>
      </c>
      <c r="N85" s="109">
        <v>68.924999999999997</v>
      </c>
      <c r="O85" s="109">
        <v>103.503</v>
      </c>
      <c r="P85" s="109">
        <v>99</v>
      </c>
      <c r="Q85" s="109">
        <v>102</v>
      </c>
      <c r="R85" s="109">
        <v>72.796999999999997</v>
      </c>
      <c r="S85" s="109">
        <v>92.344999999999999</v>
      </c>
      <c r="T85" s="109">
        <v>117</v>
      </c>
      <c r="U85" s="109">
        <v>91</v>
      </c>
      <c r="V85" s="109">
        <v>133</v>
      </c>
      <c r="W85" s="109">
        <v>82.352000000000004</v>
      </c>
      <c r="X85" s="109">
        <v>126</v>
      </c>
      <c r="Y85" s="109">
        <v>145</v>
      </c>
      <c r="Z85" s="109">
        <v>85.138000000000005</v>
      </c>
      <c r="AA85" s="109">
        <v>61.82</v>
      </c>
      <c r="AB85" s="470">
        <v>49.755000000000003</v>
      </c>
      <c r="AC85" s="470">
        <v>42</v>
      </c>
      <c r="AD85" s="470">
        <v>42.85</v>
      </c>
      <c r="AE85" s="50"/>
      <c r="AF85" s="46"/>
      <c r="AG85" s="180"/>
      <c r="AH85" s="180"/>
      <c r="AI85" s="180"/>
      <c r="AJ85" s="180"/>
      <c r="AK85" s="184"/>
      <c r="AL85" s="184"/>
      <c r="AM85" s="184"/>
    </row>
    <row r="86" spans="2:39" s="49" customFormat="1">
      <c r="B86" s="124" t="s">
        <v>396</v>
      </c>
      <c r="C86" s="126"/>
      <c r="D86" s="126"/>
      <c r="E86" s="126"/>
      <c r="F86" s="126"/>
      <c r="G86" s="126"/>
      <c r="H86" s="126"/>
      <c r="I86" s="126"/>
      <c r="J86" s="126"/>
      <c r="K86" s="126"/>
      <c r="L86" s="126"/>
      <c r="M86" s="126"/>
      <c r="N86" s="126"/>
      <c r="O86" s="126"/>
      <c r="P86" s="126"/>
      <c r="Q86" s="126"/>
      <c r="R86" s="126"/>
      <c r="S86" s="126"/>
      <c r="T86" s="126"/>
      <c r="U86" s="126"/>
      <c r="V86" s="126"/>
      <c r="W86" s="126"/>
      <c r="X86" s="126">
        <v>113</v>
      </c>
      <c r="Y86" s="126">
        <v>113</v>
      </c>
      <c r="Z86" s="126">
        <v>125.259</v>
      </c>
      <c r="AA86" s="126">
        <v>125.021</v>
      </c>
      <c r="AB86" s="476">
        <v>0</v>
      </c>
      <c r="AC86" s="476">
        <v>0</v>
      </c>
      <c r="AD86" s="476">
        <v>0</v>
      </c>
      <c r="AE86" s="50"/>
      <c r="AF86" s="46"/>
      <c r="AG86" s="180"/>
      <c r="AH86" s="180"/>
      <c r="AI86" s="180"/>
      <c r="AJ86" s="180"/>
      <c r="AK86" s="184"/>
      <c r="AL86" s="184"/>
      <c r="AM86" s="184"/>
    </row>
    <row r="87" spans="2:39" ht="14.5" thickBot="1">
      <c r="B87" s="107" t="s">
        <v>173</v>
      </c>
      <c r="C87" s="159">
        <f>SUM(C88:C96)</f>
        <v>3961.56</v>
      </c>
      <c r="D87" s="159">
        <f t="shared" ref="D87:P87" si="31">SUM(D88:D96)</f>
        <v>3246.2530000000002</v>
      </c>
      <c r="E87" s="159">
        <f t="shared" si="31"/>
        <v>3212.5699999999997</v>
      </c>
      <c r="F87" s="159">
        <f t="shared" si="31"/>
        <v>3124.6609999999996</v>
      </c>
      <c r="G87" s="159">
        <f t="shared" si="31"/>
        <v>3114.0590000000002</v>
      </c>
      <c r="H87" s="159">
        <f t="shared" si="31"/>
        <v>3146.8563711785741</v>
      </c>
      <c r="I87" s="159">
        <f t="shared" si="31"/>
        <v>3316.1998639499766</v>
      </c>
      <c r="J87" s="159">
        <f t="shared" si="31"/>
        <v>3454.0544438399997</v>
      </c>
      <c r="K87" s="159">
        <f>SUM(K88:K96)</f>
        <v>4279.4637740358821</v>
      </c>
      <c r="L87" s="159">
        <f t="shared" si="31"/>
        <v>4564.39822331911</v>
      </c>
      <c r="M87" s="159">
        <f t="shared" si="31"/>
        <v>5003.7691672495848</v>
      </c>
      <c r="N87" s="159">
        <f t="shared" si="31"/>
        <v>5480.1490000000003</v>
      </c>
      <c r="O87" s="159">
        <f t="shared" si="31"/>
        <v>5053.9840000000004</v>
      </c>
      <c r="P87" s="159">
        <f t="shared" si="31"/>
        <v>4696</v>
      </c>
      <c r="Q87" s="159">
        <f>SUM(Q88:Q96)</f>
        <v>4939</v>
      </c>
      <c r="R87" s="159">
        <f>SUM(R88:R96)</f>
        <v>5089.6120000000001</v>
      </c>
      <c r="S87" s="159">
        <f t="shared" ref="S87:U87" si="32">SUM(S88:S96)</f>
        <v>4699.7509999999993</v>
      </c>
      <c r="T87" s="159">
        <f t="shared" si="32"/>
        <v>4825.2870000000003</v>
      </c>
      <c r="U87" s="159">
        <f t="shared" si="32"/>
        <v>4867</v>
      </c>
      <c r="V87" s="159">
        <f t="shared" ref="V87:AD87" si="33">SUM(V88:V96)</f>
        <v>4763</v>
      </c>
      <c r="W87" s="159">
        <f t="shared" si="33"/>
        <v>5531.2150000000001</v>
      </c>
      <c r="X87" s="159">
        <f t="shared" si="33"/>
        <v>5763</v>
      </c>
      <c r="Y87" s="159">
        <f t="shared" si="33"/>
        <v>6294</v>
      </c>
      <c r="Z87" s="159">
        <v>6676.2860000000001</v>
      </c>
      <c r="AA87" s="159">
        <f t="shared" si="33"/>
        <v>6587.7180000000017</v>
      </c>
      <c r="AB87" s="159">
        <f t="shared" si="33"/>
        <v>7613.9260000000013</v>
      </c>
      <c r="AC87" s="159">
        <f t="shared" si="33"/>
        <v>7284</v>
      </c>
      <c r="AD87" s="159">
        <f t="shared" si="33"/>
        <v>7475.8160000000016</v>
      </c>
      <c r="AG87" s="109"/>
      <c r="AH87" s="109"/>
      <c r="AI87" s="109"/>
      <c r="AJ87" s="109"/>
      <c r="AK87" s="113"/>
      <c r="AL87" s="113"/>
      <c r="AM87" s="113"/>
    </row>
    <row r="88" spans="2:39">
      <c r="B88" s="108" t="s">
        <v>198</v>
      </c>
      <c r="C88" s="109">
        <v>2571.6379999999999</v>
      </c>
      <c r="D88" s="109">
        <v>1969.777</v>
      </c>
      <c r="E88" s="109">
        <v>1992.5550000000001</v>
      </c>
      <c r="F88" s="109">
        <v>1940.7719999999999</v>
      </c>
      <c r="G88" s="109">
        <v>1930.1010000000001</v>
      </c>
      <c r="H88" s="109">
        <v>1953.2140004</v>
      </c>
      <c r="I88" s="109">
        <v>2130.1550003999996</v>
      </c>
      <c r="J88" s="109">
        <v>2053.9435004000002</v>
      </c>
      <c r="K88" s="109">
        <v>2822.2581347951018</v>
      </c>
      <c r="L88" s="109">
        <v>2982.8553897949596</v>
      </c>
      <c r="M88" s="109">
        <v>3230.6062217404219</v>
      </c>
      <c r="N88" s="109">
        <v>2882.6660000000002</v>
      </c>
      <c r="O88" s="109">
        <v>3116.6350000000002</v>
      </c>
      <c r="P88" s="109">
        <v>2752</v>
      </c>
      <c r="Q88" s="109">
        <v>2946</v>
      </c>
      <c r="R88" s="109">
        <v>3036.6819999999998</v>
      </c>
      <c r="S88" s="109">
        <v>2637.21</v>
      </c>
      <c r="T88" s="109">
        <v>2809.8389999999999</v>
      </c>
      <c r="U88" s="109">
        <v>2917</v>
      </c>
      <c r="V88" s="109">
        <v>2861</v>
      </c>
      <c r="W88" s="109">
        <v>3510.4549999999999</v>
      </c>
      <c r="X88" s="109">
        <v>3849</v>
      </c>
      <c r="Y88" s="109">
        <v>4328</v>
      </c>
      <c r="Z88" s="109">
        <v>4241.3850000000002</v>
      </c>
      <c r="AA88" s="109">
        <v>4214.2120000000004</v>
      </c>
      <c r="AB88" s="470">
        <v>5055.1220000000003</v>
      </c>
      <c r="AC88" s="470">
        <v>4512</v>
      </c>
      <c r="AD88" s="470">
        <v>4512.0889999999999</v>
      </c>
      <c r="AG88" s="109"/>
      <c r="AH88" s="109"/>
      <c r="AI88" s="109"/>
      <c r="AJ88" s="109"/>
      <c r="AK88" s="113"/>
      <c r="AL88" s="113"/>
      <c r="AM88" s="113"/>
    </row>
    <row r="89" spans="2:39">
      <c r="B89" s="64" t="s">
        <v>175</v>
      </c>
      <c r="C89" s="126">
        <v>0</v>
      </c>
      <c r="D89" s="126">
        <v>2.1320000000000001</v>
      </c>
      <c r="E89" s="126">
        <v>0</v>
      </c>
      <c r="F89" s="126">
        <v>0</v>
      </c>
      <c r="G89" s="126">
        <v>0</v>
      </c>
      <c r="H89" s="126">
        <v>1.640370778573677</v>
      </c>
      <c r="I89" s="126">
        <v>11.287863549977075</v>
      </c>
      <c r="J89" s="126">
        <v>7.6799434400000024</v>
      </c>
      <c r="K89" s="126">
        <v>49.983639240780846</v>
      </c>
      <c r="L89" s="126">
        <v>120.22383352415054</v>
      </c>
      <c r="M89" s="126">
        <v>144.78794550916342</v>
      </c>
      <c r="N89" s="126">
        <v>905.08399999999995</v>
      </c>
      <c r="O89" s="126">
        <v>110.32899999999999</v>
      </c>
      <c r="P89" s="126">
        <v>154</v>
      </c>
      <c r="Q89" s="126">
        <v>99</v>
      </c>
      <c r="R89" s="126">
        <v>109.6</v>
      </c>
      <c r="S89" s="126">
        <v>26.306999999999999</v>
      </c>
      <c r="T89" s="126">
        <v>33.756999999999998</v>
      </c>
      <c r="U89" s="126">
        <v>30</v>
      </c>
      <c r="V89" s="126">
        <v>29</v>
      </c>
      <c r="W89" s="126">
        <v>210</v>
      </c>
      <c r="X89" s="126">
        <v>120</v>
      </c>
      <c r="Y89" s="126">
        <v>228</v>
      </c>
      <c r="Z89" s="126">
        <v>159.71</v>
      </c>
      <c r="AA89" s="126">
        <v>187.559</v>
      </c>
      <c r="AB89" s="476">
        <v>459.02300000000002</v>
      </c>
      <c r="AC89" s="476">
        <v>424</v>
      </c>
      <c r="AD89" s="476">
        <v>609.4</v>
      </c>
      <c r="AG89" s="109"/>
      <c r="AH89" s="109"/>
      <c r="AI89" s="109"/>
      <c r="AJ89" s="109"/>
      <c r="AK89" s="113"/>
      <c r="AL89" s="113"/>
      <c r="AM89" s="113"/>
    </row>
    <row r="90" spans="2:39">
      <c r="B90" s="65" t="s">
        <v>186</v>
      </c>
      <c r="C90" s="126">
        <v>0</v>
      </c>
      <c r="D90" s="126">
        <v>0</v>
      </c>
      <c r="E90" s="126">
        <v>0</v>
      </c>
      <c r="F90" s="126">
        <v>0</v>
      </c>
      <c r="G90" s="126">
        <v>14.226000000000001</v>
      </c>
      <c r="H90" s="126">
        <v>9.61</v>
      </c>
      <c r="I90" s="126">
        <v>7.9850000000000003</v>
      </c>
      <c r="J90" s="126">
        <v>6.5060000000000002</v>
      </c>
      <c r="K90" s="126">
        <v>5.593</v>
      </c>
      <c r="L90" s="126">
        <v>4.7300000000000004</v>
      </c>
      <c r="M90" s="126">
        <v>6.1280000000000001</v>
      </c>
      <c r="N90" s="126">
        <v>7.11</v>
      </c>
      <c r="O90" s="126">
        <v>9.8940000000000001</v>
      </c>
      <c r="P90" s="126">
        <v>21</v>
      </c>
      <c r="Q90" s="126">
        <v>22</v>
      </c>
      <c r="R90" s="126">
        <v>17.562999999999999</v>
      </c>
      <c r="S90" s="126">
        <v>13.712</v>
      </c>
      <c r="T90" s="126">
        <v>16.111000000000001</v>
      </c>
      <c r="U90" s="126">
        <v>11</v>
      </c>
      <c r="V90" s="126">
        <v>15</v>
      </c>
      <c r="W90" s="126">
        <v>14.233000000000001</v>
      </c>
      <c r="X90" s="126">
        <v>16</v>
      </c>
      <c r="Y90" s="126">
        <v>19</v>
      </c>
      <c r="Z90" s="126">
        <v>27.890999999999998</v>
      </c>
      <c r="AA90" s="126">
        <v>23.706</v>
      </c>
      <c r="AB90" s="476">
        <v>21.385999999999999</v>
      </c>
      <c r="AC90" s="476">
        <v>30</v>
      </c>
      <c r="AD90" s="476">
        <v>141.435</v>
      </c>
      <c r="AG90" s="109"/>
      <c r="AH90" s="109"/>
      <c r="AI90" s="109"/>
      <c r="AJ90" s="109"/>
      <c r="AK90" s="113"/>
      <c r="AL90" s="113"/>
      <c r="AM90" s="113"/>
    </row>
    <row r="91" spans="2:39">
      <c r="B91" s="65" t="s">
        <v>195</v>
      </c>
      <c r="C91" s="126">
        <v>259.80900000000003</v>
      </c>
      <c r="D91" s="126">
        <v>127.246</v>
      </c>
      <c r="E91" s="126">
        <v>69.284000000000006</v>
      </c>
      <c r="F91" s="126">
        <v>13.287000000000001</v>
      </c>
      <c r="G91" s="126">
        <v>10.994</v>
      </c>
      <c r="H91" s="126">
        <v>9.8819999999999997</v>
      </c>
      <c r="I91" s="126">
        <v>2.33</v>
      </c>
      <c r="J91" s="126">
        <v>2.33</v>
      </c>
      <c r="K91" s="126">
        <v>3.1179999999999999</v>
      </c>
      <c r="L91" s="126">
        <v>25.452999999999999</v>
      </c>
      <c r="M91" s="126">
        <v>25.367000000000001</v>
      </c>
      <c r="N91" s="126">
        <v>2.0339999999999998</v>
      </c>
      <c r="O91" s="126">
        <v>14.1</v>
      </c>
      <c r="P91" s="126">
        <v>3</v>
      </c>
      <c r="Q91" s="126">
        <v>59</v>
      </c>
      <c r="R91" s="126">
        <v>61.8</v>
      </c>
      <c r="S91" s="126">
        <v>65.754999999999995</v>
      </c>
      <c r="T91" s="126">
        <v>68.962000000000003</v>
      </c>
      <c r="U91" s="126">
        <v>71</v>
      </c>
      <c r="V91" s="126">
        <v>73</v>
      </c>
      <c r="W91" s="126">
        <v>63.334000000000003</v>
      </c>
      <c r="X91" s="126">
        <v>62</v>
      </c>
      <c r="Y91" s="126">
        <v>63</v>
      </c>
      <c r="Z91" s="126">
        <v>65.384</v>
      </c>
      <c r="AA91" s="126">
        <v>52.52</v>
      </c>
      <c r="AB91" s="476">
        <v>51</v>
      </c>
      <c r="AC91" s="476">
        <v>68</v>
      </c>
      <c r="AD91" s="476">
        <v>72.344999999999999</v>
      </c>
      <c r="AG91" s="109"/>
      <c r="AH91" s="109"/>
      <c r="AI91" s="109"/>
      <c r="AJ91" s="109"/>
      <c r="AK91" s="113"/>
      <c r="AL91" s="113"/>
      <c r="AM91" s="113"/>
    </row>
    <row r="92" spans="2:39">
      <c r="B92" s="65" t="s">
        <v>196</v>
      </c>
      <c r="C92" s="126">
        <v>479.68</v>
      </c>
      <c r="D92" s="126">
        <v>477.63400000000001</v>
      </c>
      <c r="E92" s="126">
        <v>481.71100000000001</v>
      </c>
      <c r="F92" s="126">
        <v>475.387</v>
      </c>
      <c r="G92" s="126">
        <v>483.78300000000002</v>
      </c>
      <c r="H92" s="126">
        <v>493.03199999999998</v>
      </c>
      <c r="I92" s="126">
        <v>499.54399999999998</v>
      </c>
      <c r="J92" s="126">
        <v>683.60400000000004</v>
      </c>
      <c r="K92" s="126">
        <v>677.84699999999998</v>
      </c>
      <c r="L92" s="126">
        <v>672.84199999999998</v>
      </c>
      <c r="M92" s="126">
        <v>748.423</v>
      </c>
      <c r="N92" s="126">
        <v>760.947</v>
      </c>
      <c r="O92" s="126">
        <v>897.42100000000005</v>
      </c>
      <c r="P92" s="126">
        <v>962</v>
      </c>
      <c r="Q92" s="126">
        <v>988</v>
      </c>
      <c r="R92" s="126">
        <v>790.72900000000004</v>
      </c>
      <c r="S92" s="126">
        <v>823.00199999999995</v>
      </c>
      <c r="T92" s="126">
        <v>760.52700000000004</v>
      </c>
      <c r="U92" s="126">
        <v>730</v>
      </c>
      <c r="V92" s="126">
        <v>711</v>
      </c>
      <c r="W92" s="126">
        <v>703.10799999999995</v>
      </c>
      <c r="X92" s="126">
        <v>708</v>
      </c>
      <c r="Y92" s="126">
        <v>676</v>
      </c>
      <c r="Z92" s="126">
        <v>628.61599999999999</v>
      </c>
      <c r="AA92" s="126">
        <v>647.99099999999999</v>
      </c>
      <c r="AB92" s="476">
        <v>683.83500000000004</v>
      </c>
      <c r="AC92" s="476">
        <v>805</v>
      </c>
      <c r="AD92" s="476">
        <v>681.43</v>
      </c>
      <c r="AG92" s="109"/>
      <c r="AH92" s="109"/>
      <c r="AI92" s="109"/>
      <c r="AJ92" s="109"/>
      <c r="AK92" s="113"/>
      <c r="AL92" s="113"/>
      <c r="AM92" s="113"/>
    </row>
    <row r="93" spans="2:39">
      <c r="B93" s="64" t="s">
        <v>193</v>
      </c>
      <c r="C93" s="109">
        <v>538.63599999999997</v>
      </c>
      <c r="D93" s="109">
        <v>558.95600000000002</v>
      </c>
      <c r="E93" s="109">
        <v>573.64599999999996</v>
      </c>
      <c r="F93" s="109">
        <v>559.43200000000002</v>
      </c>
      <c r="G93" s="109">
        <v>568.45799999999997</v>
      </c>
      <c r="H93" s="109">
        <v>577.91200000000003</v>
      </c>
      <c r="I93" s="109">
        <v>569.90200000000004</v>
      </c>
      <c r="J93" s="109">
        <v>580.08000000000004</v>
      </c>
      <c r="K93" s="109">
        <v>585.60500000000002</v>
      </c>
      <c r="L93" s="109">
        <v>597.19600000000003</v>
      </c>
      <c r="M93" s="109">
        <v>658.53599999999994</v>
      </c>
      <c r="N93" s="109">
        <v>715.71299999999997</v>
      </c>
      <c r="O93" s="109">
        <v>707.49300000000005</v>
      </c>
      <c r="P93" s="109">
        <v>749</v>
      </c>
      <c r="Q93" s="109">
        <v>758</v>
      </c>
      <c r="R93" s="109">
        <v>943.8</v>
      </c>
      <c r="S93" s="109">
        <v>967.80700000000002</v>
      </c>
      <c r="T93" s="109">
        <v>994.40899999999999</v>
      </c>
      <c r="U93" s="109">
        <v>990</v>
      </c>
      <c r="V93" s="109">
        <v>975</v>
      </c>
      <c r="W93" s="109">
        <v>957.91499999999996</v>
      </c>
      <c r="X93" s="109">
        <v>944</v>
      </c>
      <c r="Y93" s="109">
        <v>921</v>
      </c>
      <c r="Z93" s="109">
        <v>955.12599999999998</v>
      </c>
      <c r="AA93" s="126">
        <v>945.29499999999996</v>
      </c>
      <c r="AB93" s="476">
        <v>947.93899999999996</v>
      </c>
      <c r="AC93" s="476">
        <v>955</v>
      </c>
      <c r="AD93" s="476">
        <v>968.78800000000001</v>
      </c>
      <c r="AG93" s="109"/>
      <c r="AH93" s="109"/>
      <c r="AI93" s="109"/>
      <c r="AJ93" s="109"/>
      <c r="AK93" s="113"/>
      <c r="AL93" s="113"/>
      <c r="AM93" s="113"/>
    </row>
    <row r="94" spans="2:39">
      <c r="B94" s="65" t="s">
        <v>194</v>
      </c>
      <c r="C94" s="126">
        <v>49.95</v>
      </c>
      <c r="D94" s="126">
        <v>47.392000000000003</v>
      </c>
      <c r="E94" s="126">
        <v>32.805</v>
      </c>
      <c r="F94" s="126">
        <v>82.284000000000006</v>
      </c>
      <c r="G94" s="126">
        <v>54.71</v>
      </c>
      <c r="H94" s="126">
        <v>49.158999999999999</v>
      </c>
      <c r="I94" s="126">
        <v>42.274000000000001</v>
      </c>
      <c r="J94" s="126">
        <v>76.641999999999996</v>
      </c>
      <c r="K94" s="126">
        <v>94.578000000000003</v>
      </c>
      <c r="L94" s="126">
        <v>109.947</v>
      </c>
      <c r="M94" s="126">
        <v>136.63300000000001</v>
      </c>
      <c r="N94" s="126">
        <v>153.01</v>
      </c>
      <c r="O94" s="126">
        <v>145.143</v>
      </c>
      <c r="P94" s="126">
        <v>3</v>
      </c>
      <c r="Q94" s="126">
        <v>13</v>
      </c>
      <c r="R94" s="126">
        <v>24.253</v>
      </c>
      <c r="S94" s="126">
        <v>39.463999999999999</v>
      </c>
      <c r="T94" s="126">
        <v>35.185000000000002</v>
      </c>
      <c r="U94" s="126">
        <v>28</v>
      </c>
      <c r="V94" s="126">
        <v>27</v>
      </c>
      <c r="W94" s="126">
        <v>0</v>
      </c>
      <c r="X94" s="126">
        <v>0</v>
      </c>
      <c r="Y94" s="126">
        <v>0</v>
      </c>
      <c r="Z94" s="126">
        <v>555.66800000000001</v>
      </c>
      <c r="AA94" s="126">
        <v>473.55399999999997</v>
      </c>
      <c r="AB94" s="476">
        <v>356.90300000000002</v>
      </c>
      <c r="AC94" s="476">
        <v>446</v>
      </c>
      <c r="AD94" s="476">
        <v>437.577</v>
      </c>
      <c r="AG94" s="109"/>
      <c r="AH94" s="109"/>
      <c r="AI94" s="109"/>
      <c r="AJ94" s="109"/>
      <c r="AK94" s="113"/>
      <c r="AL94" s="113"/>
      <c r="AM94" s="113"/>
    </row>
    <row r="95" spans="2:39">
      <c r="B95" s="65" t="s">
        <v>176</v>
      </c>
      <c r="C95" s="126">
        <v>0</v>
      </c>
      <c r="D95" s="126">
        <v>0</v>
      </c>
      <c r="E95" s="126">
        <v>0</v>
      </c>
      <c r="F95" s="126">
        <v>0</v>
      </c>
      <c r="G95" s="126">
        <v>0</v>
      </c>
      <c r="H95" s="126">
        <v>0</v>
      </c>
      <c r="I95" s="126">
        <v>0</v>
      </c>
      <c r="J95" s="126">
        <v>0</v>
      </c>
      <c r="K95" s="126">
        <v>0</v>
      </c>
      <c r="L95" s="126">
        <v>0</v>
      </c>
      <c r="M95" s="126">
        <v>0</v>
      </c>
      <c r="N95" s="126">
        <v>0</v>
      </c>
      <c r="O95" s="126">
        <v>0</v>
      </c>
      <c r="P95" s="126">
        <v>0</v>
      </c>
      <c r="Q95" s="126">
        <v>0</v>
      </c>
      <c r="R95" s="126">
        <v>39.636000000000003</v>
      </c>
      <c r="S95" s="126">
        <v>40.253999999999998</v>
      </c>
      <c r="T95" s="126">
        <v>40.71</v>
      </c>
      <c r="U95" s="126">
        <v>41</v>
      </c>
      <c r="V95" s="126">
        <v>13</v>
      </c>
      <c r="W95" s="126">
        <v>12.894</v>
      </c>
      <c r="X95" s="126">
        <v>13</v>
      </c>
      <c r="Y95" s="126">
        <v>12</v>
      </c>
      <c r="Z95" s="126">
        <v>11.888</v>
      </c>
      <c r="AA95" s="126">
        <v>11.657999999999999</v>
      </c>
      <c r="AB95" s="476">
        <v>11.401999999999999</v>
      </c>
      <c r="AC95" s="476">
        <v>11</v>
      </c>
      <c r="AD95" s="476">
        <v>16.402999999999999</v>
      </c>
      <c r="AG95" s="109"/>
      <c r="AH95" s="109"/>
      <c r="AI95" s="109"/>
      <c r="AJ95" s="109"/>
      <c r="AK95" s="113"/>
      <c r="AL95" s="113"/>
      <c r="AM95" s="113"/>
    </row>
    <row r="96" spans="2:39" s="49" customFormat="1">
      <c r="B96" s="65" t="s">
        <v>197</v>
      </c>
      <c r="C96" s="126">
        <v>61.847000000000001</v>
      </c>
      <c r="D96" s="126">
        <v>63.116</v>
      </c>
      <c r="E96" s="126">
        <v>62.569000000000003</v>
      </c>
      <c r="F96" s="126">
        <v>53.499000000000002</v>
      </c>
      <c r="G96" s="126">
        <v>51.786999999999999</v>
      </c>
      <c r="H96" s="126">
        <v>52.406999999999996</v>
      </c>
      <c r="I96" s="126">
        <v>52.722000000000001</v>
      </c>
      <c r="J96" s="126">
        <v>43.268999999999998</v>
      </c>
      <c r="K96" s="126">
        <v>40.481000000000002</v>
      </c>
      <c r="L96" s="126">
        <v>51.151000000000003</v>
      </c>
      <c r="M96" s="126">
        <v>53.287999999999997</v>
      </c>
      <c r="N96" s="126">
        <v>53.585000000000001</v>
      </c>
      <c r="O96" s="126">
        <v>52.969000000000001</v>
      </c>
      <c r="P96" s="126">
        <v>52</v>
      </c>
      <c r="Q96" s="126">
        <v>54</v>
      </c>
      <c r="R96" s="126">
        <v>65.549000000000007</v>
      </c>
      <c r="S96" s="126">
        <v>86.24</v>
      </c>
      <c r="T96" s="126">
        <v>65.787000000000006</v>
      </c>
      <c r="U96" s="126">
        <v>49</v>
      </c>
      <c r="V96" s="126">
        <v>59</v>
      </c>
      <c r="W96" s="126">
        <v>59.276000000000003</v>
      </c>
      <c r="X96" s="126">
        <v>51</v>
      </c>
      <c r="Y96" s="126">
        <v>47</v>
      </c>
      <c r="Z96" s="126">
        <v>30.617999999999999</v>
      </c>
      <c r="AA96" s="126">
        <v>31.222999999999999</v>
      </c>
      <c r="AB96" s="476">
        <v>27.315999999999999</v>
      </c>
      <c r="AC96" s="476">
        <v>33</v>
      </c>
      <c r="AD96" s="476">
        <v>36.348999999999997</v>
      </c>
      <c r="AE96" s="50"/>
      <c r="AF96" s="46"/>
      <c r="AG96" s="180"/>
      <c r="AH96" s="180"/>
      <c r="AI96" s="180"/>
      <c r="AJ96" s="180"/>
      <c r="AK96" s="184"/>
      <c r="AL96" s="184"/>
      <c r="AM96" s="184"/>
    </row>
    <row r="97" spans="2:39" ht="14.5" thickBot="1">
      <c r="B97" s="107" t="s">
        <v>199</v>
      </c>
      <c r="C97" s="159">
        <f>SUM(C102:C103)</f>
        <v>5834.0039999999999</v>
      </c>
      <c r="D97" s="159">
        <f>SUM(D102:D103)</f>
        <v>4992.6120000000001</v>
      </c>
      <c r="E97" s="159">
        <f t="shared" ref="E97:P97" si="34">SUM(E102:E103)</f>
        <v>5062.6740000000009</v>
      </c>
      <c r="F97" s="159">
        <f t="shared" si="34"/>
        <v>5246.5290000000005</v>
      </c>
      <c r="G97" s="159">
        <f t="shared" si="34"/>
        <v>5242.7490000000007</v>
      </c>
      <c r="H97" s="159">
        <f t="shared" si="34"/>
        <v>5126.682044565252</v>
      </c>
      <c r="I97" s="159">
        <f t="shared" si="34"/>
        <v>4997.5561690251197</v>
      </c>
      <c r="J97" s="159">
        <f t="shared" si="34"/>
        <v>5128.3670573454847</v>
      </c>
      <c r="K97" s="159">
        <f t="shared" si="34"/>
        <v>4706.5738883841268</v>
      </c>
      <c r="L97" s="159">
        <f t="shared" si="34"/>
        <v>4540.6730547684974</v>
      </c>
      <c r="M97" s="159">
        <f>SUM(M102:M103)</f>
        <v>3928.7104883230513</v>
      </c>
      <c r="N97" s="159">
        <f t="shared" si="34"/>
        <v>3740.1330000000003</v>
      </c>
      <c r="O97" s="159">
        <f t="shared" si="34"/>
        <v>2924.8159999999998</v>
      </c>
      <c r="P97" s="159">
        <f t="shared" si="34"/>
        <v>3576</v>
      </c>
      <c r="Q97" s="159">
        <f>SUM(Q102:Q103)</f>
        <v>4022</v>
      </c>
      <c r="R97" s="159">
        <f>SUM(R102:R103)</f>
        <v>4715.9809999999998</v>
      </c>
      <c r="S97" s="159">
        <f t="shared" ref="S97:U97" si="35">SUM(S102:S103)</f>
        <v>5417.9650000000001</v>
      </c>
      <c r="T97" s="159">
        <f t="shared" si="35"/>
        <v>5661</v>
      </c>
      <c r="U97" s="159">
        <f t="shared" si="35"/>
        <v>5726</v>
      </c>
      <c r="V97" s="159">
        <f t="shared" ref="V97:AD97" si="36">SUM(V102:V103)</f>
        <v>5324</v>
      </c>
      <c r="W97" s="159">
        <f t="shared" si="36"/>
        <v>5427.2190000000001</v>
      </c>
      <c r="X97" s="159">
        <f t="shared" si="36"/>
        <v>5392</v>
      </c>
      <c r="Y97" s="159">
        <f t="shared" si="36"/>
        <v>5027</v>
      </c>
      <c r="Z97" s="159">
        <v>4704.152</v>
      </c>
      <c r="AA97" s="159">
        <f t="shared" si="36"/>
        <v>4587.0940000000001</v>
      </c>
      <c r="AB97" s="159">
        <f t="shared" si="36"/>
        <v>4175.2370000000001</v>
      </c>
      <c r="AC97" s="159">
        <f t="shared" si="36"/>
        <v>4271</v>
      </c>
      <c r="AD97" s="159">
        <f t="shared" si="36"/>
        <v>4011</v>
      </c>
      <c r="AE97" s="217"/>
      <c r="AG97" s="109"/>
      <c r="AH97" s="109"/>
      <c r="AI97" s="109"/>
      <c r="AJ97" s="109"/>
      <c r="AK97" s="113"/>
      <c r="AL97" s="113"/>
      <c r="AM97" s="113"/>
    </row>
    <row r="98" spans="2:39">
      <c r="B98" s="116" t="s">
        <v>200</v>
      </c>
      <c r="C98" s="109">
        <v>5637.299</v>
      </c>
      <c r="D98" s="109">
        <v>4950.0950000000003</v>
      </c>
      <c r="E98" s="109">
        <v>4950.0950000000003</v>
      </c>
      <c r="F98" s="109">
        <v>4950.0950000000003</v>
      </c>
      <c r="G98" s="109">
        <v>4950.0950000000003</v>
      </c>
      <c r="H98" s="109">
        <v>4950.0950000000003</v>
      </c>
      <c r="I98" s="109">
        <v>4950.0950000000003</v>
      </c>
      <c r="J98" s="109">
        <v>4950.0950000000003</v>
      </c>
      <c r="K98" s="109">
        <v>4950.0950000000003</v>
      </c>
      <c r="L98" s="109">
        <v>4950.0950000000003</v>
      </c>
      <c r="M98" s="109">
        <v>4950.0950000000003</v>
      </c>
      <c r="N98" s="109">
        <v>4950.0950000000003</v>
      </c>
      <c r="O98" s="109">
        <v>4049.46</v>
      </c>
      <c r="P98" s="109">
        <v>4049</v>
      </c>
      <c r="Q98" s="109">
        <v>4706</v>
      </c>
      <c r="R98" s="109">
        <v>4705.3090000000002</v>
      </c>
      <c r="S98" s="109">
        <v>4705.2569999999996</v>
      </c>
      <c r="T98" s="109">
        <v>4705</v>
      </c>
      <c r="U98" s="109">
        <v>4705</v>
      </c>
      <c r="V98" s="109">
        <v>4705</v>
      </c>
      <c r="W98" s="109">
        <v>4705.0469999999996</v>
      </c>
      <c r="X98" s="109">
        <v>4705</v>
      </c>
      <c r="Y98" s="109">
        <v>4705</v>
      </c>
      <c r="Z98" s="109">
        <v>4890.2190000000001</v>
      </c>
      <c r="AA98" s="109">
        <v>4911.09</v>
      </c>
      <c r="AB98" s="470">
        <v>4911.09</v>
      </c>
      <c r="AC98" s="470">
        <v>4911.09</v>
      </c>
      <c r="AD98" s="470">
        <v>4911</v>
      </c>
      <c r="AE98" s="217"/>
      <c r="AG98" s="109"/>
      <c r="AH98" s="109"/>
      <c r="AI98" s="109"/>
      <c r="AJ98" s="109"/>
      <c r="AK98" s="113"/>
      <c r="AL98" s="113"/>
      <c r="AM98" s="113"/>
    </row>
    <row r="99" spans="2:39">
      <c r="B99" s="65" t="s">
        <v>201</v>
      </c>
      <c r="C99" s="126"/>
      <c r="D99" s="126"/>
      <c r="E99" s="126"/>
      <c r="F99" s="126"/>
      <c r="G99" s="126"/>
      <c r="H99" s="126"/>
      <c r="I99" s="126"/>
      <c r="J99" s="126"/>
      <c r="K99" s="126"/>
      <c r="L99" s="126"/>
      <c r="M99" s="126"/>
      <c r="N99" s="126"/>
      <c r="O99" s="126"/>
      <c r="P99" s="126"/>
      <c r="Q99" s="126"/>
      <c r="R99" s="126">
        <v>183.38399999999999</v>
      </c>
      <c r="S99" s="126">
        <v>183.38399999999999</v>
      </c>
      <c r="T99" s="126">
        <v>69</v>
      </c>
      <c r="U99" s="126">
        <v>69</v>
      </c>
      <c r="V99" s="126">
        <v>674</v>
      </c>
      <c r="W99" s="126">
        <v>673.53099999999995</v>
      </c>
      <c r="X99" s="126">
        <v>674</v>
      </c>
      <c r="Y99" s="126">
        <v>674</v>
      </c>
      <c r="Z99" s="126">
        <v>0</v>
      </c>
      <c r="AA99" s="126">
        <v>0</v>
      </c>
      <c r="AB99" s="476">
        <v>0</v>
      </c>
      <c r="AC99" s="476">
        <v>0</v>
      </c>
      <c r="AD99" s="476"/>
      <c r="AE99" s="217"/>
      <c r="AG99" s="109"/>
      <c r="AH99" s="109"/>
      <c r="AI99" s="109"/>
      <c r="AJ99" s="109"/>
      <c r="AK99" s="113"/>
      <c r="AL99" s="113"/>
      <c r="AM99" s="113"/>
    </row>
    <row r="100" spans="2:39">
      <c r="B100" s="65" t="s">
        <v>202</v>
      </c>
      <c r="C100" s="126">
        <v>68.61</v>
      </c>
      <c r="D100" s="126">
        <v>-45.506</v>
      </c>
      <c r="E100" s="126">
        <v>-8.1789999999999985</v>
      </c>
      <c r="F100" s="126">
        <v>36.927999999999997</v>
      </c>
      <c r="G100" s="126">
        <v>56.086999999999996</v>
      </c>
      <c r="H100" s="126">
        <v>-118.178</v>
      </c>
      <c r="I100" s="126">
        <v>-175.34200000000001</v>
      </c>
      <c r="J100" s="126">
        <v>-58.073</v>
      </c>
      <c r="K100" s="126">
        <v>-156.24199999999999</v>
      </c>
      <c r="L100" s="126">
        <v>-144.98400000000001</v>
      </c>
      <c r="M100" s="126">
        <v>-618.58199999999999</v>
      </c>
      <c r="N100" s="126">
        <v>-985.90099999999995</v>
      </c>
      <c r="O100" s="126">
        <v>-652.97500000000002</v>
      </c>
      <c r="P100" s="126">
        <v>-268</v>
      </c>
      <c r="Q100" s="126">
        <v>-316</v>
      </c>
      <c r="R100" s="126"/>
      <c r="S100" s="126">
        <v>406.17500000000001</v>
      </c>
      <c r="T100" s="126">
        <v>895</v>
      </c>
      <c r="U100" s="126">
        <v>974</v>
      </c>
      <c r="V100" s="126"/>
      <c r="W100" s="126">
        <v>67.040000000000006</v>
      </c>
      <c r="X100" s="126">
        <v>6</v>
      </c>
      <c r="Y100" s="126">
        <v>-283</v>
      </c>
      <c r="Z100" s="126">
        <v>-234.10599999999999</v>
      </c>
      <c r="AA100" s="126">
        <v>-290.50599999999997</v>
      </c>
      <c r="AB100" s="476">
        <v>-392.49799999999999</v>
      </c>
      <c r="AC100" s="476">
        <v>-335</v>
      </c>
      <c r="AD100" s="476">
        <v>-401</v>
      </c>
      <c r="AE100" s="217"/>
      <c r="AG100" s="109"/>
      <c r="AH100" s="109"/>
      <c r="AI100" s="109"/>
      <c r="AJ100" s="109"/>
      <c r="AK100" s="113"/>
      <c r="AL100" s="113"/>
      <c r="AM100" s="113"/>
    </row>
    <row r="101" spans="2:39">
      <c r="B101" s="62" t="s">
        <v>203</v>
      </c>
      <c r="C101" s="109">
        <v>15.868</v>
      </c>
      <c r="D101" s="109">
        <v>-88.704999999999998</v>
      </c>
      <c r="E101" s="109">
        <v>-53.975999999999999</v>
      </c>
      <c r="F101" s="109">
        <v>77.393000000000001</v>
      </c>
      <c r="G101" s="109">
        <v>44.061999999999998</v>
      </c>
      <c r="H101" s="109">
        <v>105.54304456525215</v>
      </c>
      <c r="I101" s="109">
        <v>25.063169025118928</v>
      </c>
      <c r="J101" s="109">
        <v>50.411057345484949</v>
      </c>
      <c r="K101" s="109">
        <v>-284.79311161587384</v>
      </c>
      <c r="L101" s="109">
        <v>-427.13594523150277</v>
      </c>
      <c r="M101" s="109">
        <v>-579.47551167694894</v>
      </c>
      <c r="N101" s="109">
        <v>-400.79500000000002</v>
      </c>
      <c r="O101" s="109">
        <v>-664.82</v>
      </c>
      <c r="P101" s="109">
        <v>-376</v>
      </c>
      <c r="Q101" s="109">
        <v>-547</v>
      </c>
      <c r="R101" s="109">
        <v>-387.89400000000001</v>
      </c>
      <c r="S101" s="109">
        <v>-135.30699999999999</v>
      </c>
      <c r="T101" s="109">
        <v>-220</v>
      </c>
      <c r="U101" s="109">
        <v>-256</v>
      </c>
      <c r="V101" s="109">
        <v>-283</v>
      </c>
      <c r="W101" s="109">
        <v>-268.58499999999998</v>
      </c>
      <c r="X101" s="109">
        <v>-209</v>
      </c>
      <c r="Y101" s="109">
        <v>-311</v>
      </c>
      <c r="Z101" s="109">
        <v>-197.678</v>
      </c>
      <c r="AA101" s="109">
        <v>-288.87599999999998</v>
      </c>
      <c r="AB101" s="470">
        <v>-573.18799999999999</v>
      </c>
      <c r="AC101" s="470">
        <v>-564</v>
      </c>
      <c r="AD101" s="470">
        <v>-656</v>
      </c>
      <c r="AG101" s="109"/>
      <c r="AH101" s="109"/>
      <c r="AI101" s="109"/>
      <c r="AJ101" s="109"/>
      <c r="AK101" s="113"/>
      <c r="AL101" s="113"/>
      <c r="AM101" s="113"/>
    </row>
    <row r="102" spans="2:39">
      <c r="B102" s="125" t="s">
        <v>204</v>
      </c>
      <c r="C102" s="126">
        <f t="shared" ref="C102:Q102" si="37">SUM(C98:C101)</f>
        <v>5721.777</v>
      </c>
      <c r="D102" s="126">
        <f t="shared" si="37"/>
        <v>4815.884</v>
      </c>
      <c r="E102" s="126">
        <f t="shared" si="37"/>
        <v>4887.9400000000005</v>
      </c>
      <c r="F102" s="126">
        <f t="shared" si="37"/>
        <v>5064.4160000000002</v>
      </c>
      <c r="G102" s="126">
        <f t="shared" si="37"/>
        <v>5050.2440000000006</v>
      </c>
      <c r="H102" s="126">
        <f t="shared" si="37"/>
        <v>4937.4600445652522</v>
      </c>
      <c r="I102" s="126">
        <f t="shared" si="37"/>
        <v>4799.81616902512</v>
      </c>
      <c r="J102" s="126">
        <f t="shared" si="37"/>
        <v>4942.4330573454845</v>
      </c>
      <c r="K102" s="126">
        <f t="shared" si="37"/>
        <v>4509.0598883841267</v>
      </c>
      <c r="L102" s="126">
        <f t="shared" si="37"/>
        <v>4377.9750547684971</v>
      </c>
      <c r="M102" s="126">
        <f t="shared" si="37"/>
        <v>3752.0374883230511</v>
      </c>
      <c r="N102" s="126">
        <f t="shared" si="37"/>
        <v>3563.3990000000003</v>
      </c>
      <c r="O102" s="126">
        <f t="shared" si="37"/>
        <v>2731.665</v>
      </c>
      <c r="P102" s="126">
        <f t="shared" si="37"/>
        <v>3405</v>
      </c>
      <c r="Q102" s="126">
        <f t="shared" si="37"/>
        <v>3843</v>
      </c>
      <c r="R102" s="126">
        <v>4500.799</v>
      </c>
      <c r="S102" s="126">
        <v>5159.509</v>
      </c>
      <c r="T102" s="126">
        <f>SUM(T98:T101)</f>
        <v>5449</v>
      </c>
      <c r="U102" s="126">
        <f>SUM(U98:U101)</f>
        <v>5492</v>
      </c>
      <c r="V102" s="126">
        <f>SUM(V98:V101)</f>
        <v>5096</v>
      </c>
      <c r="W102" s="126">
        <v>5177.0330000000004</v>
      </c>
      <c r="X102" s="126">
        <v>5176</v>
      </c>
      <c r="Y102" s="126">
        <f>SUM(Y98:Y101)</f>
        <v>4785</v>
      </c>
      <c r="Z102" s="126">
        <v>4458.4350000000004</v>
      </c>
      <c r="AA102" s="126">
        <v>4331.7079999999996</v>
      </c>
      <c r="AB102" s="476">
        <v>3945.404</v>
      </c>
      <c r="AC102" s="476">
        <v>4012</v>
      </c>
      <c r="AD102" s="476">
        <v>3784</v>
      </c>
      <c r="AE102" s="217"/>
      <c r="AG102" s="109"/>
      <c r="AH102" s="109"/>
      <c r="AI102" s="109"/>
      <c r="AJ102" s="109"/>
      <c r="AK102" s="113"/>
      <c r="AL102" s="113"/>
      <c r="AM102" s="113"/>
    </row>
    <row r="103" spans="2:39" s="49" customFormat="1">
      <c r="B103" s="116" t="s">
        <v>205</v>
      </c>
      <c r="C103" s="109">
        <v>112.227</v>
      </c>
      <c r="D103" s="109">
        <v>176.72800000000001</v>
      </c>
      <c r="E103" s="109">
        <v>174.73400000000001</v>
      </c>
      <c r="F103" s="109">
        <v>182.113</v>
      </c>
      <c r="G103" s="109">
        <v>192.505</v>
      </c>
      <c r="H103" s="109">
        <v>189.22200000000001</v>
      </c>
      <c r="I103" s="109">
        <v>197.74</v>
      </c>
      <c r="J103" s="109">
        <v>185.934</v>
      </c>
      <c r="K103" s="109">
        <v>197.51400000000001</v>
      </c>
      <c r="L103" s="109">
        <v>162.69800000000001</v>
      </c>
      <c r="M103" s="109">
        <v>176.673</v>
      </c>
      <c r="N103" s="109">
        <v>176.73400000000001</v>
      </c>
      <c r="O103" s="109">
        <v>193.15100000000001</v>
      </c>
      <c r="P103" s="109">
        <v>171</v>
      </c>
      <c r="Q103" s="109">
        <v>179</v>
      </c>
      <c r="R103" s="109">
        <v>215.18199999999999</v>
      </c>
      <c r="S103" s="109">
        <v>258.45600000000002</v>
      </c>
      <c r="T103" s="109">
        <v>212</v>
      </c>
      <c r="U103" s="109">
        <v>234</v>
      </c>
      <c r="V103" s="109">
        <v>228</v>
      </c>
      <c r="W103" s="109">
        <v>250.18600000000001</v>
      </c>
      <c r="X103" s="109">
        <v>216</v>
      </c>
      <c r="Y103" s="109">
        <v>242</v>
      </c>
      <c r="Z103" s="109">
        <v>245.71700000000001</v>
      </c>
      <c r="AA103" s="109">
        <v>255.386</v>
      </c>
      <c r="AB103" s="470">
        <v>229.833</v>
      </c>
      <c r="AC103" s="470">
        <v>259</v>
      </c>
      <c r="AD103" s="470">
        <v>227</v>
      </c>
      <c r="AE103" s="50"/>
      <c r="AF103" s="46"/>
      <c r="AG103" s="180"/>
      <c r="AH103" s="180"/>
      <c r="AI103" s="180"/>
      <c r="AJ103" s="180"/>
      <c r="AK103" s="184"/>
      <c r="AL103" s="184"/>
      <c r="AM103" s="184"/>
    </row>
    <row r="104" spans="2:39" ht="14.5" thickBot="1">
      <c r="B104" s="107" t="s">
        <v>206</v>
      </c>
      <c r="C104" s="159">
        <v>11223.437</v>
      </c>
      <c r="D104" s="159">
        <v>9732.2369999999992</v>
      </c>
      <c r="E104" s="159">
        <v>9781.4920000000002</v>
      </c>
      <c r="F104" s="159">
        <v>9703.6550000000007</v>
      </c>
      <c r="G104" s="159">
        <v>9575.6570000000011</v>
      </c>
      <c r="H104" s="159">
        <v>9674.899881706011</v>
      </c>
      <c r="I104" s="159">
        <v>9703.6654095961403</v>
      </c>
      <c r="J104" s="159">
        <v>9816.3160757989917</v>
      </c>
      <c r="K104" s="159">
        <v>10610.285909144251</v>
      </c>
      <c r="L104" s="159">
        <v>10652.629224133405</v>
      </c>
      <c r="M104" s="159">
        <v>10682.171137132847</v>
      </c>
      <c r="N104" s="159">
        <v>11210.945000000002</v>
      </c>
      <c r="O104" s="159">
        <v>10241.478000000001</v>
      </c>
      <c r="P104" s="159">
        <v>10504</v>
      </c>
      <c r="Q104" s="159">
        <f>SUM(Q97,Q87,Q70)</f>
        <v>11290</v>
      </c>
      <c r="R104" s="159">
        <v>11965.227000000001</v>
      </c>
      <c r="S104" s="159">
        <f>SUM(S97,S87,S70)</f>
        <v>11896.356</v>
      </c>
      <c r="T104" s="159">
        <f>SUM(T97,T87,T70)</f>
        <v>12240.287</v>
      </c>
      <c r="U104" s="159">
        <f>SUM(U97,U87,U70)</f>
        <v>12615.572</v>
      </c>
      <c r="V104" s="159">
        <f>SUM(V97,V87,V70)</f>
        <v>12275</v>
      </c>
      <c r="W104" s="159">
        <f t="shared" ref="W104" si="38">SUM(W97,W87,W70)</f>
        <v>13163.446</v>
      </c>
      <c r="X104" s="159">
        <f>SUM(X97,X87,X70)</f>
        <v>13606</v>
      </c>
      <c r="Y104" s="159">
        <f>SUM(Y97,Y87,Y70)</f>
        <v>13495</v>
      </c>
      <c r="Z104" s="159">
        <v>13561.932000000001</v>
      </c>
      <c r="AA104" s="159">
        <f>SUM(AA97,AA87,AA70)</f>
        <v>13332.733000000002</v>
      </c>
      <c r="AB104" s="159">
        <f t="shared" ref="AB104:AD104" si="39">SUM(AB97,AB87,AB70)</f>
        <v>13776.828000000001</v>
      </c>
      <c r="AC104" s="159">
        <f t="shared" si="39"/>
        <v>13557</v>
      </c>
      <c r="AD104" s="159">
        <f t="shared" si="39"/>
        <v>13832.597000000002</v>
      </c>
      <c r="AE104" s="217"/>
      <c r="AG104" s="127"/>
      <c r="AH104" s="127"/>
      <c r="AI104" s="127"/>
      <c r="AJ104" s="127"/>
      <c r="AK104" s="113"/>
      <c r="AL104" s="113"/>
      <c r="AM104" s="113"/>
    </row>
    <row r="105" spans="2:39" s="78" customFormat="1" ht="14.5">
      <c r="B105" s="117"/>
      <c r="C105" s="109">
        <f t="shared" ref="C105:U105" si="40">ROUND(C104-C67,0)</f>
        <v>0</v>
      </c>
      <c r="D105" s="109">
        <f t="shared" si="40"/>
        <v>0</v>
      </c>
      <c r="E105" s="109">
        <f t="shared" si="40"/>
        <v>0</v>
      </c>
      <c r="F105" s="109">
        <f t="shared" si="40"/>
        <v>0</v>
      </c>
      <c r="G105" s="109">
        <f t="shared" si="40"/>
        <v>0</v>
      </c>
      <c r="H105" s="109">
        <f t="shared" si="40"/>
        <v>0</v>
      </c>
      <c r="I105" s="109">
        <f t="shared" si="40"/>
        <v>0</v>
      </c>
      <c r="J105" s="109">
        <f t="shared" si="40"/>
        <v>0</v>
      </c>
      <c r="K105" s="109">
        <f t="shared" si="40"/>
        <v>0</v>
      </c>
      <c r="L105" s="109">
        <f t="shared" si="40"/>
        <v>0</v>
      </c>
      <c r="M105" s="109">
        <f t="shared" si="40"/>
        <v>0</v>
      </c>
      <c r="N105" s="109">
        <f t="shared" si="40"/>
        <v>0</v>
      </c>
      <c r="O105" s="109">
        <f t="shared" si="40"/>
        <v>0</v>
      </c>
      <c r="P105" s="127">
        <f t="shared" si="40"/>
        <v>0</v>
      </c>
      <c r="Q105" s="127">
        <f t="shared" si="40"/>
        <v>0</v>
      </c>
      <c r="R105" s="127">
        <f t="shared" si="40"/>
        <v>0</v>
      </c>
      <c r="S105" s="127">
        <f t="shared" ref="S105" si="41">ROUND(S104-S67,0)</f>
        <v>0</v>
      </c>
      <c r="T105" s="127">
        <f t="shared" si="40"/>
        <v>0</v>
      </c>
      <c r="U105" s="127">
        <f t="shared" si="40"/>
        <v>0</v>
      </c>
      <c r="V105" s="127">
        <f t="shared" ref="V105" si="42">ROUND(V104-V67,0)</f>
        <v>0</v>
      </c>
      <c r="W105" s="127"/>
      <c r="X105" s="127"/>
      <c r="Y105" s="127"/>
      <c r="Z105" s="127"/>
      <c r="AA105" s="127"/>
      <c r="AB105" s="127"/>
      <c r="AC105" s="127"/>
      <c r="AD105" s="127"/>
    </row>
    <row r="106" spans="2:39" s="78" customFormat="1" ht="14.5">
      <c r="B106" s="128" t="s">
        <v>207</v>
      </c>
      <c r="C106" s="129">
        <v>3.2433000000000001</v>
      </c>
      <c r="D106" s="129">
        <v>3.6055999999999999</v>
      </c>
      <c r="E106" s="129">
        <v>3.9504999999999999</v>
      </c>
      <c r="F106" s="129">
        <v>3.8083999999999998</v>
      </c>
      <c r="G106" s="129">
        <v>3.7684000000000002</v>
      </c>
      <c r="H106" s="129">
        <v>3.92</v>
      </c>
      <c r="I106" s="129">
        <v>3.97</v>
      </c>
      <c r="J106" s="129">
        <v>4.1158000000000001</v>
      </c>
      <c r="K106" s="129">
        <v>4.4657</v>
      </c>
      <c r="L106" s="129">
        <v>5.3853999999999997</v>
      </c>
      <c r="M106" s="129">
        <v>5.3772000000000002</v>
      </c>
      <c r="N106" s="129">
        <v>5.3921000000000001</v>
      </c>
      <c r="O106" s="129">
        <v>5.4832999999999998</v>
      </c>
      <c r="P106" s="129">
        <v>5.2907241935483889</v>
      </c>
      <c r="Q106" s="129">
        <v>5.23</v>
      </c>
      <c r="R106" s="129">
        <v>5.59</v>
      </c>
      <c r="S106" s="129">
        <v>5.23</v>
      </c>
      <c r="T106" s="129">
        <f>'10 - Resultados por negócio'!T47</f>
        <v>4.9265612903225815</v>
      </c>
      <c r="U106" s="129">
        <f>'10 - Resultados por negócio'!U47</f>
        <v>5.2461723076923077</v>
      </c>
      <c r="V106" s="129">
        <v>5.255362903225806</v>
      </c>
      <c r="W106" s="129">
        <v>5.2</v>
      </c>
      <c r="X106" s="129">
        <v>4.95</v>
      </c>
      <c r="Y106" s="129">
        <v>4.88</v>
      </c>
      <c r="Z106" s="129">
        <f>'10 - Resultados por negócio'!Z47</f>
        <v>4.9518616666666668</v>
      </c>
      <c r="AA106" s="129">
        <v>4.9516333333333336</v>
      </c>
      <c r="AB106" s="129">
        <v>5.21</v>
      </c>
      <c r="AC106" s="129">
        <v>5.5454166666666662</v>
      </c>
      <c r="AD106" s="129">
        <v>5.842133333333333</v>
      </c>
      <c r="AG106" s="129">
        <v>3.6557843999999999</v>
      </c>
      <c r="AH106" s="129">
        <v>3.9461185770751004</v>
      </c>
      <c r="AI106" s="129">
        <v>5.157772908366538</v>
      </c>
      <c r="AJ106" s="129">
        <v>5.3955605577689232</v>
      </c>
      <c r="AK106" s="129">
        <v>5.17</v>
      </c>
      <c r="AL106" s="129">
        <v>4.994497770275216</v>
      </c>
      <c r="AM106" s="129">
        <v>5.388891666666666</v>
      </c>
    </row>
    <row r="107" spans="2:39" s="78" customFormat="1" ht="14.5">
      <c r="B107" s="128" t="s">
        <v>208</v>
      </c>
      <c r="C107" s="130">
        <v>3.3237999999999999</v>
      </c>
      <c r="D107" s="130">
        <v>3.8557999999999999</v>
      </c>
      <c r="E107" s="130">
        <v>4.0038999999999998</v>
      </c>
      <c r="F107" s="130">
        <v>3.8748</v>
      </c>
      <c r="G107" s="130">
        <v>3.8967000000000001</v>
      </c>
      <c r="H107" s="130">
        <v>3.83</v>
      </c>
      <c r="I107" s="130">
        <v>4.16</v>
      </c>
      <c r="J107" s="130">
        <v>4.0307000000000004</v>
      </c>
      <c r="K107" s="130">
        <v>5.1986999999999997</v>
      </c>
      <c r="L107" s="130">
        <v>5.476</v>
      </c>
      <c r="M107" s="130">
        <v>5.6406999999999998</v>
      </c>
      <c r="N107" s="130">
        <v>5.1966999999999999</v>
      </c>
      <c r="O107" s="130">
        <v>5.6973000000000003</v>
      </c>
      <c r="P107" s="130">
        <v>5.0022000000000002</v>
      </c>
      <c r="Q107" s="130">
        <v>5.44</v>
      </c>
      <c r="R107" s="130">
        <v>5.58</v>
      </c>
      <c r="S107" s="130">
        <v>4.74</v>
      </c>
      <c r="T107" s="130">
        <f>'10 - Resultados por negócio'!T48</f>
        <v>5.2380000000000004</v>
      </c>
      <c r="U107" s="130">
        <f>'10 - Resultados por negócio'!U48</f>
        <v>5.4066000000000001</v>
      </c>
      <c r="V107" s="130">
        <v>5.22</v>
      </c>
      <c r="W107" s="130">
        <v>5.08</v>
      </c>
      <c r="X107" s="130">
        <v>4.82</v>
      </c>
      <c r="Y107" s="130">
        <v>5.01</v>
      </c>
      <c r="Z107" s="130">
        <v>4.84</v>
      </c>
      <c r="AA107" s="130">
        <v>4.9962</v>
      </c>
      <c r="AB107" s="130">
        <v>5.5589000000000004</v>
      </c>
      <c r="AC107" s="130">
        <v>5.4481000000000002</v>
      </c>
      <c r="AD107" s="130">
        <v>6.1923000000000004</v>
      </c>
      <c r="AG107" s="130">
        <v>3.8748</v>
      </c>
      <c r="AH107" s="130">
        <v>4.0307000000000004</v>
      </c>
      <c r="AI107" s="130">
        <v>5.1966999999999999</v>
      </c>
      <c r="AJ107" s="130">
        <v>5.58</v>
      </c>
      <c r="AK107" s="130">
        <v>5.22</v>
      </c>
      <c r="AL107" s="130">
        <f>Z107</f>
        <v>4.84</v>
      </c>
      <c r="AM107" s="130">
        <v>6.1923000000000004</v>
      </c>
    </row>
    <row r="108" spans="2:39" ht="14.5">
      <c r="B108" s="131" t="s">
        <v>209</v>
      </c>
      <c r="C108" s="186">
        <v>2159.1190476190477</v>
      </c>
      <c r="D108" s="186">
        <v>2259.2822580645161</v>
      </c>
      <c r="E108" s="186">
        <v>2056.8359375</v>
      </c>
      <c r="F108" s="186">
        <v>1970.53125</v>
      </c>
      <c r="G108" s="186">
        <v>1859.0079365079366</v>
      </c>
      <c r="H108" s="186">
        <v>1792.5081967213114</v>
      </c>
      <c r="I108" s="186">
        <v>1762.0923076923077</v>
      </c>
      <c r="J108" s="186">
        <v>1752.4921875</v>
      </c>
      <c r="K108" s="186">
        <v>1689.6875</v>
      </c>
      <c r="L108" s="186">
        <v>1496.516393442623</v>
      </c>
      <c r="M108" s="186">
        <v>1704.3153846153846</v>
      </c>
      <c r="N108" s="186">
        <v>1915.8203125</v>
      </c>
      <c r="O108" s="186">
        <v>2096.4206349206347</v>
      </c>
      <c r="P108" s="186">
        <v>2399.64</v>
      </c>
      <c r="Q108" s="186">
        <v>2648</v>
      </c>
      <c r="R108" s="186">
        <v>2762</v>
      </c>
      <c r="S108" s="186">
        <v>3280</v>
      </c>
      <c r="T108" s="186">
        <v>2874.7833333333333</v>
      </c>
      <c r="U108" s="186">
        <f>'10 - Resultados por negócio'!U49</f>
        <v>2353.5384615384614</v>
      </c>
      <c r="V108" s="186">
        <v>2323.531746031746</v>
      </c>
      <c r="W108" s="186">
        <v>2395</v>
      </c>
      <c r="X108" s="186">
        <v>2258</v>
      </c>
      <c r="Y108" s="186">
        <v>2154</v>
      </c>
      <c r="Z108" s="186">
        <f>'10 - Resultados por negócio'!Z49</f>
        <v>2189.5055821371607</v>
      </c>
      <c r="AA108" s="186">
        <v>2199</v>
      </c>
      <c r="AB108" s="186">
        <v>2519.9</v>
      </c>
      <c r="AC108" s="186">
        <v>2382.1384615384613</v>
      </c>
      <c r="AD108" s="186">
        <v>2575</v>
      </c>
      <c r="AG108" s="186">
        <v>2110.084980237154</v>
      </c>
      <c r="AH108" s="186">
        <v>1791.1304347826087</v>
      </c>
      <c r="AI108" s="186">
        <v>1704.017716535433</v>
      </c>
      <c r="AJ108" s="186">
        <v>2479.620553359684</v>
      </c>
      <c r="AK108" s="186">
        <v>2703</v>
      </c>
      <c r="AL108" s="186">
        <v>2251.5628114794563</v>
      </c>
      <c r="AM108" s="186">
        <v>2419</v>
      </c>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7 R97 AJ5:AJ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tabColor rgb="FF00B050"/>
    <pageSetUpPr fitToPage="1"/>
  </sheetPr>
  <dimension ref="A1:AN51"/>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D14" sqref="AD14"/>
    </sheetView>
  </sheetViews>
  <sheetFormatPr defaultColWidth="9.1796875" defaultRowHeight="14" outlineLevelCol="1"/>
  <cols>
    <col min="1" max="1" width="2.1796875" style="39" customWidth="1"/>
    <col min="2" max="2" width="37.1796875" style="39" customWidth="1"/>
    <col min="3" max="22" width="9.81640625" style="39" hidden="1" customWidth="1" outlineLevel="1"/>
    <col min="23" max="23" width="8.81640625" style="39" bestFit="1" customWidth="1" collapsed="1"/>
    <col min="24" max="30" width="8.81640625" style="39" bestFit="1" customWidth="1"/>
    <col min="31" max="31" width="9.1796875" style="39"/>
    <col min="32" max="32" width="11.1796875" style="272" bestFit="1" customWidth="1"/>
    <col min="33" max="36" width="0" style="39" hidden="1" customWidth="1" outlineLevel="1"/>
    <col min="37" max="37" width="9.1796875" style="39" hidden="1" customWidth="1" outlineLevel="1"/>
    <col min="38" max="38" width="9.1796875" style="39" collapsed="1"/>
    <col min="39" max="16384" width="9.1796875" style="39"/>
  </cols>
  <sheetData>
    <row r="1" spans="1:40" ht="14.25" customHeight="1"/>
    <row r="2" spans="1:40" ht="14.25" customHeight="1"/>
    <row r="3" spans="1:40" ht="14.25" customHeight="1"/>
    <row r="4" spans="1:40" ht="14.25" customHeight="1"/>
    <row r="5" spans="1:40" ht="14.25" customHeight="1">
      <c r="A5" s="47"/>
      <c r="B5" s="47"/>
    </row>
    <row r="6" spans="1:40" s="270" customFormat="1" ht="14.25" customHeight="1" thickBot="1">
      <c r="B6" s="271" t="s">
        <v>210</v>
      </c>
      <c r="C6" s="271" t="s">
        <v>84</v>
      </c>
      <c r="D6" s="271" t="s">
        <v>85</v>
      </c>
      <c r="E6" s="271" t="s">
        <v>86</v>
      </c>
      <c r="F6" s="271" t="s">
        <v>87</v>
      </c>
      <c r="G6" s="271" t="s">
        <v>88</v>
      </c>
      <c r="H6" s="271" t="s">
        <v>89</v>
      </c>
      <c r="I6" s="271" t="s">
        <v>90</v>
      </c>
      <c r="J6" s="271" t="s">
        <v>91</v>
      </c>
      <c r="K6" s="271" t="s">
        <v>92</v>
      </c>
      <c r="L6" s="271" t="s">
        <v>93</v>
      </c>
      <c r="M6" s="271" t="s">
        <v>94</v>
      </c>
      <c r="N6" s="271" t="s">
        <v>95</v>
      </c>
      <c r="O6" s="271" t="s">
        <v>96</v>
      </c>
      <c r="P6" s="271" t="s">
        <v>97</v>
      </c>
      <c r="Q6" s="271" t="s">
        <v>98</v>
      </c>
      <c r="R6" s="271" t="s">
        <v>99</v>
      </c>
      <c r="S6" s="271" t="s">
        <v>100</v>
      </c>
      <c r="T6" s="271" t="s">
        <v>101</v>
      </c>
      <c r="U6" s="271" t="s">
        <v>342</v>
      </c>
      <c r="V6" s="271" t="s">
        <v>348</v>
      </c>
      <c r="W6" s="271" t="s">
        <v>363</v>
      </c>
      <c r="X6" s="271" t="s">
        <v>392</v>
      </c>
      <c r="Y6" s="271" t="s">
        <v>404</v>
      </c>
      <c r="Z6" s="271" t="s">
        <v>405</v>
      </c>
      <c r="AA6" s="271" t="s">
        <v>478</v>
      </c>
      <c r="AB6" s="271" t="s">
        <v>483</v>
      </c>
      <c r="AC6" s="271" t="s">
        <v>488</v>
      </c>
      <c r="AD6" s="271" t="s">
        <v>490</v>
      </c>
      <c r="AF6" s="273"/>
      <c r="AG6" s="271">
        <v>2018</v>
      </c>
      <c r="AH6" s="271">
        <v>2019</v>
      </c>
      <c r="AI6" s="271">
        <v>2020</v>
      </c>
      <c r="AJ6" s="271">
        <v>2021</v>
      </c>
      <c r="AK6" s="271">
        <v>2022</v>
      </c>
      <c r="AL6" s="271">
        <v>2023</v>
      </c>
      <c r="AM6" s="271">
        <v>2024</v>
      </c>
    </row>
    <row r="7" spans="1:40"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G7" s="48"/>
      <c r="AH7" s="48"/>
      <c r="AI7" s="48"/>
      <c r="AJ7" s="48"/>
      <c r="AK7" s="48"/>
      <c r="AL7" s="48"/>
      <c r="AM7" s="48"/>
    </row>
    <row r="8" spans="1:40" ht="14.5" customHeight="1" thickBot="1">
      <c r="A8" s="47"/>
      <c r="B8" s="63" t="s">
        <v>211</v>
      </c>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G8" s="132"/>
      <c r="AH8" s="132"/>
      <c r="AI8" s="132"/>
      <c r="AJ8" s="132"/>
      <c r="AK8" s="132"/>
      <c r="AL8" s="132"/>
      <c r="AM8" s="132"/>
    </row>
    <row r="9" spans="1:40" s="62" customFormat="1">
      <c r="B9" s="65" t="s">
        <v>212</v>
      </c>
      <c r="C9" s="134">
        <f t="shared" ref="C9:Q9" si="0">SUM(C19,C33,C41)</f>
        <v>1203</v>
      </c>
      <c r="D9" s="134">
        <f t="shared" si="0"/>
        <v>1355</v>
      </c>
      <c r="E9" s="134">
        <f t="shared" si="0"/>
        <v>1520</v>
      </c>
      <c r="F9" s="134">
        <f t="shared" si="0"/>
        <v>1556.4760000000001</v>
      </c>
      <c r="G9" s="134">
        <f t="shared" si="0"/>
        <v>1381</v>
      </c>
      <c r="H9" s="134">
        <f t="shared" si="0"/>
        <v>1435</v>
      </c>
      <c r="I9" s="134">
        <f t="shared" si="0"/>
        <v>1400</v>
      </c>
      <c r="J9" s="134">
        <f t="shared" si="0"/>
        <v>1355.3220000000001</v>
      </c>
      <c r="K9" s="134">
        <f t="shared" si="0"/>
        <v>1321.163</v>
      </c>
      <c r="L9" s="134">
        <f t="shared" si="0"/>
        <v>1173.9360026610798</v>
      </c>
      <c r="M9" s="134">
        <f t="shared" si="0"/>
        <v>1570.8990000000003</v>
      </c>
      <c r="N9" s="134">
        <f t="shared" si="0"/>
        <v>1650.3906564189203</v>
      </c>
      <c r="O9" s="134">
        <f t="shared" si="0"/>
        <v>1871.433</v>
      </c>
      <c r="P9" s="134">
        <f t="shared" si="0"/>
        <v>1989.5149999999999</v>
      </c>
      <c r="Q9" s="134">
        <f t="shared" si="0"/>
        <v>2398.6770000000001</v>
      </c>
      <c r="R9" s="134">
        <v>2511.0509999999999</v>
      </c>
      <c r="S9" s="134">
        <f>SUM(S19,S33,S41)</f>
        <v>2375.3920000000003</v>
      </c>
      <c r="T9" s="134">
        <f>SUM(T19,T33,T41)</f>
        <v>2420</v>
      </c>
      <c r="U9" s="134">
        <f>SUM(U19,U33,U41)</f>
        <v>2345</v>
      </c>
      <c r="V9" s="134">
        <f>SUM(V19,V33,V41)</f>
        <v>2073.6079999999997</v>
      </c>
      <c r="W9" s="134">
        <v>1957.386450310235</v>
      </c>
      <c r="X9" s="134">
        <f t="shared" ref="X9:AD9" si="1">SUM(X19,X33,X41)</f>
        <v>1706</v>
      </c>
      <c r="Y9" s="134">
        <f t="shared" si="1"/>
        <v>1906.7746129188006</v>
      </c>
      <c r="Z9" s="134">
        <f t="shared" si="1"/>
        <v>1942.4952068980749</v>
      </c>
      <c r="AA9" s="134">
        <f t="shared" si="1"/>
        <v>1716.6409464899998</v>
      </c>
      <c r="AB9" s="134">
        <f t="shared" si="1"/>
        <v>2088.4468428510245</v>
      </c>
      <c r="AC9" s="134">
        <f t="shared" si="1"/>
        <v>2161</v>
      </c>
      <c r="AD9" s="134">
        <f t="shared" si="1"/>
        <v>2304.53570408</v>
      </c>
      <c r="AE9" s="222"/>
      <c r="AF9" s="274"/>
      <c r="AG9" s="134">
        <f>SUM(C9:F9)</f>
        <v>5634.4760000000006</v>
      </c>
      <c r="AH9" s="134">
        <f>SUM(G9:J9)</f>
        <v>5571.3220000000001</v>
      </c>
      <c r="AI9" s="134">
        <f>SUM(K9:N9)</f>
        <v>5716.3886590800003</v>
      </c>
      <c r="AJ9" s="134">
        <f>SUM(O9:R9)</f>
        <v>8770.6759999999995</v>
      </c>
      <c r="AK9" s="134">
        <f>SUM(S9:V9)</f>
        <v>9214</v>
      </c>
      <c r="AL9" s="134">
        <f>SUM(W9:Z9)</f>
        <v>7512.6562701271105</v>
      </c>
      <c r="AM9" s="134">
        <f>SUM(AA9:AD9)</f>
        <v>8270.6234934210242</v>
      </c>
      <c r="AN9" s="395"/>
    </row>
    <row r="10" spans="1:40" s="62" customFormat="1">
      <c r="B10" s="221" t="s">
        <v>282</v>
      </c>
      <c r="C10" s="126">
        <f>C11-C9</f>
        <v>-37.912000000000035</v>
      </c>
      <c r="D10" s="126">
        <f t="shared" ref="D10:P10" si="2">D11-D9</f>
        <v>-38.005000000000109</v>
      </c>
      <c r="E10" s="126">
        <f>E11-E9</f>
        <v>-81.163999999999987</v>
      </c>
      <c r="F10" s="126">
        <f t="shared" si="2"/>
        <v>-59.919000000000779</v>
      </c>
      <c r="G10" s="126">
        <f t="shared" si="2"/>
        <v>-53.921000000000049</v>
      </c>
      <c r="H10" s="126">
        <f t="shared" si="2"/>
        <v>-69.046000000000049</v>
      </c>
      <c r="I10" s="126">
        <f t="shared" si="2"/>
        <v>-86.748000000000502</v>
      </c>
      <c r="J10" s="126">
        <f t="shared" si="2"/>
        <v>-97.922999999998865</v>
      </c>
      <c r="K10" s="126">
        <f t="shared" si="2"/>
        <v>-68.424999999999955</v>
      </c>
      <c r="L10" s="126">
        <f t="shared" si="2"/>
        <v>-72.01800266107989</v>
      </c>
      <c r="M10" s="126">
        <f t="shared" si="2"/>
        <v>-85.278000000000475</v>
      </c>
      <c r="N10" s="126">
        <f t="shared" si="2"/>
        <v>-79.285656418920325</v>
      </c>
      <c r="O10" s="126">
        <f t="shared" si="2"/>
        <v>-78.609000000000151</v>
      </c>
      <c r="P10" s="126">
        <f t="shared" si="2"/>
        <v>-76.431000000000267</v>
      </c>
      <c r="Q10" s="126">
        <f>Q11-Q9</f>
        <v>-98.632999999999356</v>
      </c>
      <c r="R10" s="126">
        <v>-93.87099999999964</v>
      </c>
      <c r="S10" s="126">
        <f>-83781/1000</f>
        <v>-83.781000000000006</v>
      </c>
      <c r="T10" s="126">
        <v>-89</v>
      </c>
      <c r="U10" s="126">
        <v>-100</v>
      </c>
      <c r="V10" s="126">
        <v>-115</v>
      </c>
      <c r="W10" s="126">
        <v>-41</v>
      </c>
      <c r="X10" s="126">
        <f t="shared" ref="X10" si="3">X11-X9</f>
        <v>-41</v>
      </c>
      <c r="Y10" s="126">
        <f t="shared" ref="Y10:Z10" si="4">Y11-Y9</f>
        <v>-42.774612918800585</v>
      </c>
      <c r="Z10" s="126">
        <f t="shared" si="4"/>
        <v>-38.495206898074912</v>
      </c>
      <c r="AA10" s="126">
        <f t="shared" ref="AA10:AB10" si="5">AA11-AA9</f>
        <v>-22.77494648999982</v>
      </c>
      <c r="AB10" s="126">
        <f t="shared" si="5"/>
        <v>-23.446842851024485</v>
      </c>
      <c r="AC10" s="126">
        <v>-26</v>
      </c>
      <c r="AD10" s="126">
        <v>-24.11699999999999</v>
      </c>
      <c r="AE10" s="222"/>
      <c r="AF10" s="274"/>
      <c r="AG10" s="126">
        <f>SUM(C10:F10)</f>
        <v>-217.00000000000091</v>
      </c>
      <c r="AH10" s="126">
        <f>SUM(G10:J10)</f>
        <v>-307.63799999999947</v>
      </c>
      <c r="AI10" s="126">
        <f>SUM(K10:N10)</f>
        <v>-305.00665908000065</v>
      </c>
      <c r="AJ10" s="126">
        <f>SUM(O10:R10)</f>
        <v>-347.54399999999941</v>
      </c>
      <c r="AK10" s="126">
        <f>SUM(S10:V10)</f>
        <v>-387.78100000000001</v>
      </c>
      <c r="AL10" s="126">
        <f>SUM(W10:Z10)</f>
        <v>-163.2698198168755</v>
      </c>
      <c r="AM10" s="126">
        <f t="shared" ref="AM10:AM15" si="6">SUM(AA10:AD10)</f>
        <v>-96.338789341024295</v>
      </c>
    </row>
    <row r="11" spans="1:40">
      <c r="B11" s="65" t="s">
        <v>214</v>
      </c>
      <c r="C11" s="134">
        <f>'9 - Demonstrativos Financeiros'!C7</f>
        <v>1165.088</v>
      </c>
      <c r="D11" s="134">
        <f>'9 - Demonstrativos Financeiros'!D7</f>
        <v>1316.9949999999999</v>
      </c>
      <c r="E11" s="134">
        <f>'9 - Demonstrativos Financeiros'!E7</f>
        <v>1438.836</v>
      </c>
      <c r="F11" s="134">
        <f>'9 - Demonstrativos Financeiros'!F7</f>
        <v>1496.5569999999993</v>
      </c>
      <c r="G11" s="134">
        <f>'9 - Demonstrativos Financeiros'!G7</f>
        <v>1327.079</v>
      </c>
      <c r="H11" s="134">
        <f>'9 - Demonstrativos Financeiros'!H7</f>
        <v>1365.954</v>
      </c>
      <c r="I11" s="134">
        <f>'9 - Demonstrativos Financeiros'!I7</f>
        <v>1313.2519999999995</v>
      </c>
      <c r="J11" s="134">
        <f>'9 - Demonstrativos Financeiros'!J7</f>
        <v>1257.3990000000013</v>
      </c>
      <c r="K11" s="134">
        <f>'9 - Demonstrativos Financeiros'!K7</f>
        <v>1252.7380000000001</v>
      </c>
      <c r="L11" s="134">
        <f>'9 - Demonstrativos Financeiros'!L7</f>
        <v>1101.9179999999999</v>
      </c>
      <c r="M11" s="134">
        <f>'9 - Demonstrativos Financeiros'!M7</f>
        <v>1485.6209999999999</v>
      </c>
      <c r="N11" s="134">
        <f>'9 - Demonstrativos Financeiros'!N7</f>
        <v>1571.105</v>
      </c>
      <c r="O11" s="134">
        <f>'9 - Demonstrativos Financeiros'!O7</f>
        <v>1792.8239999999998</v>
      </c>
      <c r="P11" s="134">
        <f>'9 - Demonstrativos Financeiros'!P7</f>
        <v>1913.0839999999996</v>
      </c>
      <c r="Q11" s="134">
        <f>'9 - Demonstrativos Financeiros'!Q7</f>
        <v>2300.0440000000008</v>
      </c>
      <c r="R11" s="134">
        <f>'9 - Demonstrativos Financeiros'!R7</f>
        <v>2417.2279999999996</v>
      </c>
      <c r="S11" s="134">
        <f>'9 - Demonstrativos Financeiros'!S7</f>
        <v>2291.665</v>
      </c>
      <c r="T11" s="134">
        <f>'9 - Demonstrativos Financeiros'!T7</f>
        <v>2331</v>
      </c>
      <c r="U11" s="134">
        <f>'9 - Demonstrativos Financeiros'!U7</f>
        <v>2245</v>
      </c>
      <c r="V11" s="134">
        <f>'9 - Demonstrativos Financeiros'!V7</f>
        <v>1957</v>
      </c>
      <c r="W11" s="134">
        <f>'9 - Demonstrativos Financeiros'!W7</f>
        <v>1915.819</v>
      </c>
      <c r="X11" s="134">
        <f>'9 - Demonstrativos Financeiros'!X7</f>
        <v>1665</v>
      </c>
      <c r="Y11" s="134">
        <f>'9 - Demonstrativos Financeiros'!Y7</f>
        <v>1864</v>
      </c>
      <c r="Z11" s="134">
        <f>'9 - Demonstrativos Financeiros'!Z7</f>
        <v>1904</v>
      </c>
      <c r="AA11" s="134">
        <f>'9 - Demonstrativos Financeiros'!AA7</f>
        <v>1693.866</v>
      </c>
      <c r="AB11" s="134">
        <f>'9 - Demonstrativos Financeiros'!AB7</f>
        <v>2065</v>
      </c>
      <c r="AC11" s="134">
        <f>'9 - Demonstrativos Financeiros'!AC7</f>
        <v>2135</v>
      </c>
      <c r="AD11" s="134">
        <f>SUM(AD9:AD10)</f>
        <v>2280.4187040799998</v>
      </c>
      <c r="AE11" s="222"/>
      <c r="AG11" s="134">
        <f>SUM(C11:F11)</f>
        <v>5417.4759999999987</v>
      </c>
      <c r="AH11" s="134">
        <f>SUM(G11:J11)</f>
        <v>5263.6840000000011</v>
      </c>
      <c r="AI11" s="134">
        <f>SUM(K11:N11)</f>
        <v>5411.3819999999996</v>
      </c>
      <c r="AJ11" s="134">
        <f>SUM(O11:R11)</f>
        <v>8423.18</v>
      </c>
      <c r="AK11" s="134">
        <f>SUM(S11:V11)</f>
        <v>8824.6650000000009</v>
      </c>
      <c r="AL11" s="134">
        <v>7348</v>
      </c>
      <c r="AM11" s="134">
        <f t="shared" si="6"/>
        <v>8174.2847040799998</v>
      </c>
      <c r="AN11" s="92"/>
    </row>
    <row r="12" spans="1:40">
      <c r="B12" s="116" t="s">
        <v>372</v>
      </c>
      <c r="C12" s="223">
        <v>-946.53800000000001</v>
      </c>
      <c r="D12" s="223">
        <v>-1050.942</v>
      </c>
      <c r="E12" s="223">
        <v>-1173.325</v>
      </c>
      <c r="F12" s="223">
        <v>-1297.2389999999996</v>
      </c>
      <c r="G12" s="223">
        <v>-1119.2809999999999</v>
      </c>
      <c r="H12" s="223">
        <v>-1176.6790000000001</v>
      </c>
      <c r="I12" s="223">
        <v>-1171.9339999999997</v>
      </c>
      <c r="J12" s="223">
        <v>-1138.2230000000004</v>
      </c>
      <c r="K12" s="223">
        <v>-1104.5940000000001</v>
      </c>
      <c r="L12" s="223">
        <v>-1037.9650000000001</v>
      </c>
      <c r="M12" s="223">
        <v>-1296.9539999999997</v>
      </c>
      <c r="N12" s="223">
        <v>-1391.62</v>
      </c>
      <c r="O12" s="223">
        <v>-1349.038</v>
      </c>
      <c r="P12" s="223">
        <v>-1526.962</v>
      </c>
      <c r="Q12" s="223">
        <v>-1990</v>
      </c>
      <c r="R12" s="223">
        <v>-1933.4719999999998</v>
      </c>
      <c r="S12" s="223">
        <v>-1737.7149999999999</v>
      </c>
      <c r="T12" s="223">
        <v>-1668.7820000000002</v>
      </c>
      <c r="U12" s="223">
        <v>-1914</v>
      </c>
      <c r="V12" s="223">
        <v>-1854</v>
      </c>
      <c r="W12" s="223">
        <v>-1855.8040000000001</v>
      </c>
      <c r="X12" s="223">
        <v>-1638</v>
      </c>
      <c r="Y12" s="223">
        <f>SUM(Y26,Y34,Y42)</f>
        <v>-1924.316</v>
      </c>
      <c r="Z12" s="223">
        <f>SUM(Z26,Z34,Z42)</f>
        <v>-1934.8810000000001</v>
      </c>
      <c r="AA12" s="223">
        <v>-1615.3649999999998</v>
      </c>
      <c r="AB12" s="223">
        <v>-1807.2760000000003</v>
      </c>
      <c r="AC12" s="223">
        <v>-1771.4499999999998</v>
      </c>
      <c r="AD12" s="223">
        <v>-2120.2050000000004</v>
      </c>
      <c r="AE12" s="222"/>
      <c r="AG12" s="223">
        <f t="shared" ref="AG12:AK12" si="7">AG13-AG11</f>
        <v>-4468.043999999999</v>
      </c>
      <c r="AH12" s="223">
        <f t="shared" si="7"/>
        <v>-4606.1170000000002</v>
      </c>
      <c r="AI12" s="223">
        <f t="shared" si="7"/>
        <v>-4831.1329999999998</v>
      </c>
      <c r="AJ12" s="223">
        <f t="shared" si="7"/>
        <v>-6799.4719999999998</v>
      </c>
      <c r="AK12" s="223">
        <f t="shared" si="7"/>
        <v>-7175.6650000000009</v>
      </c>
      <c r="AL12" s="223">
        <f>SUM(W12:Z12)</f>
        <v>-7353.0010000000002</v>
      </c>
      <c r="AM12" s="223">
        <f t="shared" si="6"/>
        <v>-7314.2960000000003</v>
      </c>
      <c r="AN12" s="92"/>
    </row>
    <row r="13" spans="1:40">
      <c r="B13" s="65" t="s">
        <v>215</v>
      </c>
      <c r="C13" s="134">
        <f>'9 - Demonstrativos Financeiros'!C9</f>
        <v>218.54999999999995</v>
      </c>
      <c r="D13" s="134">
        <f>'9 - Demonstrativos Financeiros'!D9</f>
        <v>266.05299999999988</v>
      </c>
      <c r="E13" s="134">
        <f>'9 - Demonstrativos Financeiros'!E9</f>
        <v>265.51099999999997</v>
      </c>
      <c r="F13" s="134">
        <f>'9 - Demonstrativos Financeiros'!F9</f>
        <v>199.31799999999976</v>
      </c>
      <c r="G13" s="134">
        <f>'9 - Demonstrativos Financeiros'!G9</f>
        <v>207.798</v>
      </c>
      <c r="H13" s="134">
        <f>'9 - Demonstrativos Financeiros'!H9</f>
        <v>189.27499999999986</v>
      </c>
      <c r="I13" s="134">
        <f>'9 - Demonstrativos Financeiros'!I9</f>
        <v>141.31799999999976</v>
      </c>
      <c r="J13" s="134">
        <f>'9 - Demonstrativos Financeiros'!J9</f>
        <v>119.17600000000084</v>
      </c>
      <c r="K13" s="134">
        <f>'9 - Demonstrativos Financeiros'!K9</f>
        <v>148.14400000000001</v>
      </c>
      <c r="L13" s="134">
        <f>'9 - Demonstrativos Financeiros'!L9</f>
        <v>63.952999999999747</v>
      </c>
      <c r="M13" s="134">
        <f>'9 - Demonstrativos Financeiros'!M9</f>
        <v>188.66700000000014</v>
      </c>
      <c r="N13" s="134">
        <f>'9 - Demonstrativos Financeiros'!N9</f>
        <v>179.48500000000013</v>
      </c>
      <c r="O13" s="134">
        <f>'9 - Demonstrativos Financeiros'!O9</f>
        <v>443.78599999999983</v>
      </c>
      <c r="P13" s="134">
        <f>'9 - Demonstrativos Financeiros'!P9</f>
        <v>386.12199999999962</v>
      </c>
      <c r="Q13" s="134">
        <f>'9 - Demonstrativos Financeiros'!Q9</f>
        <v>310.04400000000078</v>
      </c>
      <c r="R13" s="134">
        <f>'9 - Demonstrativos Financeiros'!R9</f>
        <v>483.75599999999986</v>
      </c>
      <c r="S13" s="134">
        <f>'9 - Demonstrativos Financeiros'!S9</f>
        <v>553.95000000000005</v>
      </c>
      <c r="T13" s="134">
        <f>'9 - Demonstrativos Financeiros'!T9</f>
        <v>662.21799999999985</v>
      </c>
      <c r="U13" s="134">
        <f>'9 - Demonstrativos Financeiros'!U9</f>
        <v>331</v>
      </c>
      <c r="V13" s="134">
        <f>'9 - Demonstrativos Financeiros'!V9</f>
        <v>103</v>
      </c>
      <c r="W13" s="134">
        <f>'9 - Demonstrativos Financeiros'!W9</f>
        <v>60.014999999999873</v>
      </c>
      <c r="X13" s="134">
        <f>'9 - Demonstrativos Financeiros'!X9</f>
        <v>27</v>
      </c>
      <c r="Y13" s="134">
        <f>'9 - Demonstrativos Financeiros'!Y9</f>
        <v>-60.195999999999913</v>
      </c>
      <c r="Z13" s="134">
        <f>'9 - Demonstrativos Financeiros'!Z9</f>
        <v>49</v>
      </c>
      <c r="AA13" s="134">
        <f>'9 - Demonstrativos Financeiros'!AA9</f>
        <v>78.501999999999953</v>
      </c>
      <c r="AB13" s="134">
        <f>'9 - Demonstrativos Financeiros'!AB9</f>
        <v>258</v>
      </c>
      <c r="AC13" s="134">
        <f>'9 - Demonstrativos Financeiros'!AC9</f>
        <v>363.5</v>
      </c>
      <c r="AD13" s="134">
        <f>'9 - Demonstrativos Financeiros'!AD9</f>
        <v>160.21370407999984</v>
      </c>
      <c r="AE13" s="222"/>
      <c r="AG13" s="134">
        <f>SUM(C13:F13)</f>
        <v>949.43199999999956</v>
      </c>
      <c r="AH13" s="134">
        <f>SUM(G13:J13)</f>
        <v>657.56700000000046</v>
      </c>
      <c r="AI13" s="134">
        <f>SUM(K13:N13)</f>
        <v>580.24900000000002</v>
      </c>
      <c r="AJ13" s="134">
        <f>SUM(O13:R13)</f>
        <v>1623.7080000000001</v>
      </c>
      <c r="AK13" s="134">
        <v>1649</v>
      </c>
      <c r="AL13" s="134">
        <f>SUM(W13:Z13)</f>
        <v>75.81899999999996</v>
      </c>
      <c r="AM13" s="134">
        <f t="shared" si="6"/>
        <v>860.2157040799998</v>
      </c>
      <c r="AN13" s="92"/>
    </row>
    <row r="14" spans="1:40" ht="14.5">
      <c r="A14" s="51"/>
      <c r="B14" s="62" t="s">
        <v>160</v>
      </c>
      <c r="C14" s="135">
        <f>'9 - Demonstrativos Financeiros'!C35</f>
        <v>239.11599999999996</v>
      </c>
      <c r="D14" s="135">
        <f>'9 - Demonstrativos Financeiros'!D35</f>
        <v>262.62899999999991</v>
      </c>
      <c r="E14" s="135">
        <f>'9 - Demonstrativos Financeiros'!E35</f>
        <v>228.79799999999992</v>
      </c>
      <c r="F14" s="135">
        <f>'9 - Demonstrativos Financeiros'!F35</f>
        <v>248.39600000000019</v>
      </c>
      <c r="G14" s="135">
        <f>'9 - Demonstrativos Financeiros'!G35</f>
        <v>229.05799999999999</v>
      </c>
      <c r="H14" s="135">
        <f>'9 - Demonstrativos Financeiros'!H35</f>
        <v>345.03099999999984</v>
      </c>
      <c r="I14" s="135">
        <f>'9 - Demonstrativos Financeiros'!I35</f>
        <v>129.21600000000026</v>
      </c>
      <c r="J14" s="135">
        <f>'9 - Demonstrativos Financeiros'!J35</f>
        <v>284.9009999999999</v>
      </c>
      <c r="K14" s="135">
        <f>'9 - Demonstrativos Financeiros'!K35</f>
        <v>161.82600000000008</v>
      </c>
      <c r="L14" s="135">
        <f>'9 - Demonstrativos Financeiros'!L35</f>
        <v>171.9899999999997</v>
      </c>
      <c r="M14" s="135">
        <f>'9 - Demonstrativos Financeiros'!M35</f>
        <v>159.11100000000044</v>
      </c>
      <c r="N14" s="135">
        <f>'9 - Demonstrativos Financeiros'!N35</f>
        <v>168.92099999999962</v>
      </c>
      <c r="O14" s="135">
        <f>'9 - Demonstrativos Financeiros'!O35</f>
        <v>360.42100000000011</v>
      </c>
      <c r="P14" s="135">
        <f>'9 - Demonstrativos Financeiros'!P35</f>
        <v>362.67900000000003</v>
      </c>
      <c r="Q14" s="135">
        <f>'9 - Demonstrativos Financeiros'!Q35</f>
        <v>313.71800000000081</v>
      </c>
      <c r="R14" s="135">
        <f>'9 - Demonstrativos Financeiros'!R35</f>
        <v>500.678</v>
      </c>
      <c r="S14" s="135">
        <f>'9 - Demonstrativos Financeiros'!S35</f>
        <v>552.33500000000004</v>
      </c>
      <c r="T14" s="135">
        <f>'9 - Demonstrativos Financeiros'!T35</f>
        <v>641</v>
      </c>
      <c r="U14" s="135">
        <f>'9 - Demonstrativos Financeiros'!U35</f>
        <v>331</v>
      </c>
      <c r="V14" s="135">
        <f>'9 - Demonstrativos Financeiros'!V35</f>
        <v>102.881</v>
      </c>
      <c r="W14" s="135">
        <f>'9 - Demonstrativos Financeiros'!W35</f>
        <v>84.31006989999986</v>
      </c>
      <c r="X14" s="135">
        <f>'9 - Demonstrativos Financeiros'!X35</f>
        <v>74</v>
      </c>
      <c r="Y14" s="135">
        <f>'9 - Demonstrativos Financeiros'!Y35</f>
        <v>45.689930099999941</v>
      </c>
      <c r="Z14" s="135">
        <f>'9 - Demonstrativos Financeiros'!Z35</f>
        <v>102.48400000000004</v>
      </c>
      <c r="AA14" s="135">
        <f>'9 - Demonstrativos Financeiros'!AA35</f>
        <v>146.19999999999999</v>
      </c>
      <c r="AB14" s="135">
        <f>'9 - Demonstrativos Financeiros'!AB35</f>
        <v>338.84199999999998</v>
      </c>
      <c r="AC14" s="135">
        <f>'9 - Demonstrativos Financeiros'!AC35</f>
        <v>409.46800000000002</v>
      </c>
      <c r="AD14" s="135">
        <f>'9 - Demonstrativos Financeiros'!AD35</f>
        <v>485.79300000000012</v>
      </c>
      <c r="AE14" s="222"/>
      <c r="AF14" s="274"/>
      <c r="AG14" s="135">
        <f>SUM(C14:F14)</f>
        <v>978.93899999999996</v>
      </c>
      <c r="AH14" s="135">
        <f>SUM(G14:J14)</f>
        <v>988.2059999999999</v>
      </c>
      <c r="AI14" s="135">
        <f>SUM(K14:N14)</f>
        <v>661.84799999999984</v>
      </c>
      <c r="AJ14" s="135">
        <f>SUM(O14:R14)</f>
        <v>1537.496000000001</v>
      </c>
      <c r="AK14" s="135">
        <v>1627</v>
      </c>
      <c r="AL14" s="135">
        <f>SUM(W14:Z14)</f>
        <v>306.48399999999981</v>
      </c>
      <c r="AM14" s="135">
        <f t="shared" si="6"/>
        <v>1380.3030000000001</v>
      </c>
      <c r="AN14" s="92"/>
    </row>
    <row r="15" spans="1:40">
      <c r="B15" s="65" t="s">
        <v>216</v>
      </c>
      <c r="C15" s="134">
        <f>'9 - Demonstrativos Financeiros'!C33</f>
        <v>74.691999999999993</v>
      </c>
      <c r="D15" s="134">
        <f>'9 - Demonstrativos Financeiros'!D33</f>
        <v>78.035000000000011</v>
      </c>
      <c r="E15" s="134">
        <f>'9 - Demonstrativos Financeiros'!E33</f>
        <v>74.794999999999987</v>
      </c>
      <c r="F15" s="134">
        <f>'9 - Demonstrativos Financeiros'!F33</f>
        <v>75.680000000000007</v>
      </c>
      <c r="G15" s="134">
        <f>'9 - Demonstrativos Financeiros'!G33</f>
        <v>96.887</v>
      </c>
      <c r="H15" s="134">
        <f>'9 - Demonstrativos Financeiros'!H33</f>
        <v>141.75299999999999</v>
      </c>
      <c r="I15" s="134">
        <f>'9 - Demonstrativos Financeiros'!I33</f>
        <v>89.732000000000028</v>
      </c>
      <c r="J15" s="134">
        <f>'9 - Demonstrativos Financeiros'!J33</f>
        <v>134.16899999999998</v>
      </c>
      <c r="K15" s="134">
        <f>'9 - Demonstrativos Financeiros'!K33</f>
        <v>91.376000000000005</v>
      </c>
      <c r="L15" s="134">
        <f>'9 - Demonstrativos Financeiros'!L33</f>
        <v>110.422</v>
      </c>
      <c r="M15" s="134">
        <f>'9 - Demonstrativos Financeiros'!M33</f>
        <v>103.39999999999998</v>
      </c>
      <c r="N15" s="134">
        <f>'9 - Demonstrativos Financeiros'!N33</f>
        <v>126.28300000000002</v>
      </c>
      <c r="O15" s="134">
        <f>'9 - Demonstrativos Financeiros'!O33</f>
        <v>113.1</v>
      </c>
      <c r="P15" s="134">
        <f>'9 - Demonstrativos Financeiros'!P33</f>
        <v>126.14100000000002</v>
      </c>
      <c r="Q15" s="134">
        <f>'9 - Demonstrativos Financeiros'!Q33</f>
        <v>137.14399999999998</v>
      </c>
      <c r="R15" s="134">
        <f>'9 - Demonstrativos Financeiros'!R33</f>
        <v>119.66000000000003</v>
      </c>
      <c r="S15" s="134">
        <f>'9 - Demonstrativos Financeiros'!S33</f>
        <v>128.72800000000001</v>
      </c>
      <c r="T15" s="134">
        <f>'9 - Demonstrativos Financeiros'!T33</f>
        <v>124</v>
      </c>
      <c r="U15" s="134">
        <f>'9 - Demonstrativos Financeiros'!U33</f>
        <v>137</v>
      </c>
      <c r="V15" s="134">
        <f>'9 - Demonstrativos Financeiros'!V33</f>
        <v>150</v>
      </c>
      <c r="W15" s="134">
        <f>'9 - Demonstrativos Financeiros'!W33</f>
        <v>134.69200000000001</v>
      </c>
      <c r="X15" s="134">
        <f>'9 - Demonstrativos Financeiros'!X33</f>
        <v>145</v>
      </c>
      <c r="Y15" s="134">
        <f>'9 - Demonstrativos Financeiros'!Y33</f>
        <v>142.30799999999999</v>
      </c>
      <c r="Z15" s="134">
        <f>'9 - Demonstrativos Financeiros'!Z33</f>
        <v>148.29200000000003</v>
      </c>
      <c r="AA15" s="134">
        <f>'9 - Demonstrativos Financeiros'!AA33</f>
        <v>144.215</v>
      </c>
      <c r="AB15" s="134">
        <f>'9 - Demonstrativos Financeiros'!AB33</f>
        <v>144.18199999999999</v>
      </c>
      <c r="AC15" s="134">
        <f>'9 - Demonstrativos Financeiros'!AC33</f>
        <v>158</v>
      </c>
      <c r="AD15" s="134">
        <f>'9 - Demonstrativos Financeiros'!AD33</f>
        <v>196.93800000000005</v>
      </c>
      <c r="AE15" s="222"/>
      <c r="AG15" s="134">
        <f>SUM(C15:F15)</f>
        <v>303.202</v>
      </c>
      <c r="AH15" s="134">
        <f>SUM(G15:J15)</f>
        <v>462.541</v>
      </c>
      <c r="AI15" s="134">
        <f>SUM(K15:N15)</f>
        <v>431.48099999999999</v>
      </c>
      <c r="AJ15" s="134">
        <f>SUM(O15:R15)</f>
        <v>496.04500000000002</v>
      </c>
      <c r="AK15" s="134">
        <f>SUM(S15:V15)</f>
        <v>539.72800000000007</v>
      </c>
      <c r="AL15" s="134">
        <f>SUM(W15:Z15)</f>
        <v>570.29200000000003</v>
      </c>
      <c r="AM15" s="134">
        <f t="shared" si="6"/>
        <v>643.33500000000004</v>
      </c>
    </row>
    <row r="16" spans="1:40" ht="14.15" customHeight="1">
      <c r="B16" s="380" t="s">
        <v>361</v>
      </c>
      <c r="C16" s="133"/>
      <c r="D16" s="133"/>
      <c r="E16" s="133"/>
      <c r="F16" s="133"/>
      <c r="G16" s="133"/>
      <c r="H16" s="133"/>
      <c r="I16" s="133"/>
      <c r="J16" s="138"/>
      <c r="K16" s="138"/>
      <c r="L16" s="133"/>
      <c r="M16" s="133"/>
      <c r="N16" s="138"/>
      <c r="O16" s="138"/>
      <c r="P16" s="138"/>
      <c r="Q16" s="138"/>
      <c r="R16" s="138"/>
      <c r="S16" s="138"/>
      <c r="T16" s="138"/>
      <c r="U16" s="138"/>
      <c r="V16" s="138"/>
      <c r="W16" s="138"/>
      <c r="X16" s="138"/>
      <c r="Y16" s="138"/>
      <c r="Z16" s="138"/>
      <c r="AA16" s="138"/>
      <c r="AB16" s="138"/>
      <c r="AC16" s="138"/>
      <c r="AD16" s="138"/>
      <c r="AE16" s="222"/>
      <c r="AG16" s="216"/>
      <c r="AH16" s="216"/>
      <c r="AI16" s="216"/>
      <c r="AJ16" s="216"/>
      <c r="AK16" s="216"/>
      <c r="AL16" s="216"/>
      <c r="AM16" s="216"/>
    </row>
    <row r="17" spans="1:40">
      <c r="B17" s="62"/>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222"/>
      <c r="AG17" s="170"/>
      <c r="AH17" s="170"/>
      <c r="AI17" s="170"/>
      <c r="AJ17" s="170"/>
      <c r="AK17" s="170"/>
      <c r="AL17" s="170"/>
      <c r="AM17" s="170"/>
      <c r="AN17" s="395"/>
    </row>
    <row r="18" spans="1:40" ht="14.5" thickBot="1">
      <c r="B18" s="63" t="s">
        <v>217</v>
      </c>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222"/>
      <c r="AG18" s="133"/>
      <c r="AH18" s="133"/>
      <c r="AI18" s="133"/>
      <c r="AJ18" s="133"/>
      <c r="AK18" s="133"/>
      <c r="AL18" s="133"/>
      <c r="AM18" s="133"/>
    </row>
    <row r="19" spans="1:40">
      <c r="B19" s="116" t="s">
        <v>214</v>
      </c>
      <c r="C19" s="189">
        <v>934</v>
      </c>
      <c r="D19" s="189">
        <v>1064</v>
      </c>
      <c r="E19" s="189">
        <v>1188</v>
      </c>
      <c r="F19" s="189">
        <v>1253</v>
      </c>
      <c r="G19" s="189">
        <v>1071</v>
      </c>
      <c r="H19" s="189">
        <v>1091</v>
      </c>
      <c r="I19" s="189">
        <v>1032</v>
      </c>
      <c r="J19" s="133">
        <v>928.64400000000023</v>
      </c>
      <c r="K19" s="133">
        <v>1053.7750000000001</v>
      </c>
      <c r="L19" s="189">
        <v>1011.3179999999998</v>
      </c>
      <c r="M19" s="189">
        <v>1385.8990000000003</v>
      </c>
      <c r="N19" s="133">
        <v>1456.9356590800003</v>
      </c>
      <c r="O19" s="133">
        <v>1679.0550000000001</v>
      </c>
      <c r="P19" s="133">
        <v>1827.3509999999999</v>
      </c>
      <c r="Q19" s="133">
        <v>2185.5420000000004</v>
      </c>
      <c r="R19" s="133">
        <f t="shared" ref="R19:Z19" si="8">SUM(R20:R25)</f>
        <v>2326.4129999999996</v>
      </c>
      <c r="S19" s="133">
        <f t="shared" si="8"/>
        <v>2220</v>
      </c>
      <c r="T19" s="133">
        <f t="shared" si="8"/>
        <v>2251</v>
      </c>
      <c r="U19" s="133">
        <f t="shared" si="8"/>
        <v>2176</v>
      </c>
      <c r="V19" s="133">
        <f t="shared" si="8"/>
        <v>1912</v>
      </c>
      <c r="W19" s="133">
        <f t="shared" si="8"/>
        <v>1816</v>
      </c>
      <c r="X19" s="133">
        <f t="shared" si="8"/>
        <v>1551</v>
      </c>
      <c r="Y19" s="133">
        <f t="shared" si="8"/>
        <v>1759.9506129188005</v>
      </c>
      <c r="Z19" s="133">
        <f t="shared" si="8"/>
        <v>1829.4362068980749</v>
      </c>
      <c r="AA19" s="133">
        <f>SUM(AA20:AA25)</f>
        <v>1641.9419464899997</v>
      </c>
      <c r="AB19" s="133">
        <f t="shared" ref="AB19:AD19" si="9">SUM(AB20:AB25)</f>
        <v>2014.3008428510248</v>
      </c>
      <c r="AC19" s="133">
        <f t="shared" si="9"/>
        <v>2090</v>
      </c>
      <c r="AD19" s="133">
        <f t="shared" si="9"/>
        <v>2193.3667040800001</v>
      </c>
      <c r="AE19" s="222"/>
      <c r="AG19" s="133">
        <f t="shared" ref="AG19:AG25" si="10">SUM(C19:F19)</f>
        <v>4439</v>
      </c>
      <c r="AH19" s="133">
        <f t="shared" ref="AH19:AH25" si="11">SUM(G19:J19)</f>
        <v>4122.6440000000002</v>
      </c>
      <c r="AI19" s="133">
        <f t="shared" ref="AI19:AI25" si="12">SUM(K19:N19)</f>
        <v>4907.92765908</v>
      </c>
      <c r="AJ19" s="133">
        <f t="shared" ref="AJ19:AJ25" si="13">SUM(O19:R19)</f>
        <v>8018.3609999999999</v>
      </c>
      <c r="AK19" s="133">
        <f t="shared" ref="AK19:AK25" si="14">SUM(S19:V19)</f>
        <v>8559</v>
      </c>
      <c r="AL19" s="133">
        <f t="shared" ref="AL19:AL29" si="15">SUM(W19:Z19)</f>
        <v>6956.3868198168748</v>
      </c>
      <c r="AM19" s="133">
        <f t="shared" ref="AM19:AM29" si="16">SUM(AA19:AD19)</f>
        <v>7939.6094934210241</v>
      </c>
      <c r="AN19" s="92"/>
    </row>
    <row r="20" spans="1:40">
      <c r="B20" s="187"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805</v>
      </c>
      <c r="AB20" s="115">
        <v>1006.4893177900001</v>
      </c>
      <c r="AC20" s="115">
        <v>1031</v>
      </c>
      <c r="AD20" s="115">
        <v>1092.2509181600001</v>
      </c>
      <c r="AE20" s="222"/>
      <c r="AG20" s="115">
        <f t="shared" si="10"/>
        <v>2287.7707194041054</v>
      </c>
      <c r="AH20" s="115">
        <f t="shared" si="11"/>
        <v>1931.7840332969167</v>
      </c>
      <c r="AI20" s="115">
        <f t="shared" si="12"/>
        <v>2467.6265986356843</v>
      </c>
      <c r="AJ20" s="115">
        <f t="shared" si="13"/>
        <v>3749.4592495781294</v>
      </c>
      <c r="AK20" s="115">
        <f t="shared" si="14"/>
        <v>3968</v>
      </c>
      <c r="AL20" s="115">
        <f t="shared" si="15"/>
        <v>3244.3610508199995</v>
      </c>
      <c r="AM20" s="115">
        <f t="shared" si="16"/>
        <v>3934.7402359500002</v>
      </c>
      <c r="AN20" s="92"/>
    </row>
    <row r="21" spans="1:40">
      <c r="B21" s="188" t="s">
        <v>105</v>
      </c>
      <c r="C21" s="137">
        <v>244.52542915447691</v>
      </c>
      <c r="D21" s="137">
        <v>251.04609711832529</v>
      </c>
      <c r="E21" s="137">
        <v>363.07774358114193</v>
      </c>
      <c r="F21" s="137">
        <v>370.13753624115282</v>
      </c>
      <c r="G21" s="137">
        <v>344.76802799711027</v>
      </c>
      <c r="H21" s="137">
        <v>307.56827956352578</v>
      </c>
      <c r="I21" s="137">
        <v>236.3104009677848</v>
      </c>
      <c r="J21" s="137">
        <v>227.78036486533057</v>
      </c>
      <c r="K21" s="137">
        <v>322.85502547547725</v>
      </c>
      <c r="L21" s="137">
        <v>373.21166363015732</v>
      </c>
      <c r="M21" s="137">
        <v>510.58879007435911</v>
      </c>
      <c r="N21" s="137">
        <v>544.81819778238605</v>
      </c>
      <c r="O21" s="137">
        <v>640.35427580787029</v>
      </c>
      <c r="P21" s="137">
        <v>694.20649913404839</v>
      </c>
      <c r="Q21" s="137">
        <v>797.67413062403568</v>
      </c>
      <c r="R21" s="137">
        <v>826.73078375000023</v>
      </c>
      <c r="S21" s="137">
        <v>839</v>
      </c>
      <c r="T21" s="137">
        <v>821</v>
      </c>
      <c r="U21" s="137">
        <v>776</v>
      </c>
      <c r="V21" s="137">
        <v>708</v>
      </c>
      <c r="W21" s="137">
        <v>702</v>
      </c>
      <c r="X21" s="137">
        <v>632</v>
      </c>
      <c r="Y21" s="137">
        <v>605.63158352000005</v>
      </c>
      <c r="Z21" s="137">
        <v>616.38123953999991</v>
      </c>
      <c r="AA21" s="137">
        <v>618.0075321999999</v>
      </c>
      <c r="AB21" s="137">
        <v>689.58252150999976</v>
      </c>
      <c r="AC21" s="137">
        <v>734</v>
      </c>
      <c r="AD21" s="137">
        <v>794.47408016000009</v>
      </c>
      <c r="AE21" s="222"/>
      <c r="AG21" s="137">
        <f t="shared" si="10"/>
        <v>1228.7868060950968</v>
      </c>
      <c r="AH21" s="137">
        <f t="shared" si="11"/>
        <v>1116.4270733937512</v>
      </c>
      <c r="AI21" s="137">
        <f t="shared" si="12"/>
        <v>1751.4736769623798</v>
      </c>
      <c r="AJ21" s="137">
        <f t="shared" si="13"/>
        <v>2958.9656893159545</v>
      </c>
      <c r="AK21" s="137">
        <f t="shared" si="14"/>
        <v>3144</v>
      </c>
      <c r="AL21" s="137">
        <f t="shared" si="15"/>
        <v>2556.0128230599998</v>
      </c>
      <c r="AM21" s="137">
        <f t="shared" si="16"/>
        <v>2836.0641338699998</v>
      </c>
      <c r="AN21" s="92"/>
    </row>
    <row r="22" spans="1:40">
      <c r="B22" s="187"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115">
        <v>222</v>
      </c>
      <c r="AD22" s="115">
        <v>192.26300000000001</v>
      </c>
      <c r="AE22" s="222"/>
      <c r="AG22" s="115">
        <f t="shared" si="10"/>
        <v>378.42660625206963</v>
      </c>
      <c r="AH22" s="115">
        <f t="shared" si="11"/>
        <v>332.40564495362571</v>
      </c>
      <c r="AI22" s="115">
        <f t="shared" si="12"/>
        <v>347.21869370704303</v>
      </c>
      <c r="AJ22" s="115">
        <f t="shared" si="13"/>
        <v>509.07733131605715</v>
      </c>
      <c r="AK22" s="115">
        <f t="shared" si="14"/>
        <v>979</v>
      </c>
      <c r="AL22" s="115">
        <f t="shared" si="15"/>
        <v>706.09598720687507</v>
      </c>
      <c r="AM22" s="115">
        <f t="shared" si="16"/>
        <v>781.20251982102502</v>
      </c>
      <c r="AN22" s="92"/>
    </row>
    <row r="23" spans="1:40">
      <c r="B23" s="188"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115">
        <v>252</v>
      </c>
      <c r="AD23" s="115">
        <v>261.59100000000001</v>
      </c>
      <c r="AE23" s="222"/>
      <c r="AG23" s="115">
        <f t="shared" si="10"/>
        <v>1003.0302960987282</v>
      </c>
      <c r="AH23" s="115">
        <f t="shared" si="11"/>
        <v>847.55017148570676</v>
      </c>
      <c r="AI23" s="115">
        <f t="shared" si="12"/>
        <v>869.66863904489333</v>
      </c>
      <c r="AJ23" s="115">
        <f t="shared" si="13"/>
        <v>1983.5544465898588</v>
      </c>
      <c r="AK23" s="115">
        <f t="shared" si="14"/>
        <v>1234</v>
      </c>
      <c r="AL23" s="115">
        <f t="shared" si="15"/>
        <v>1061.9438368400008</v>
      </c>
      <c r="AM23" s="115">
        <f t="shared" si="16"/>
        <v>956.36064206000003</v>
      </c>
      <c r="AN23" s="92"/>
    </row>
    <row r="24" spans="1:40">
      <c r="B24" s="187" t="s">
        <v>213</v>
      </c>
      <c r="C24" s="182">
        <v>-76.293474060000008</v>
      </c>
      <c r="D24" s="182">
        <v>-75.963749120000003</v>
      </c>
      <c r="E24" s="182">
        <v>-90.126640090000009</v>
      </c>
      <c r="F24" s="182">
        <v>-69.630564580000012</v>
      </c>
      <c r="G24" s="182">
        <v>-71.251389920000008</v>
      </c>
      <c r="H24" s="182">
        <v>-58.512412349999991</v>
      </c>
      <c r="I24" s="182">
        <v>-57.088202420000002</v>
      </c>
      <c r="J24" s="182">
        <v>-66.670918440000023</v>
      </c>
      <c r="K24" s="182">
        <v>-74.028900960000001</v>
      </c>
      <c r="L24" s="182">
        <v>-47.155250169999988</v>
      </c>
      <c r="M24" s="182">
        <v>-62.682487130000027</v>
      </c>
      <c r="N24" s="182">
        <v>-96.281826409999994</v>
      </c>
      <c r="O24" s="182">
        <v>-76.913868990000381</v>
      </c>
      <c r="P24" s="182">
        <v>-74.142633320000002</v>
      </c>
      <c r="Q24" s="182">
        <v>-91.204280699999984</v>
      </c>
      <c r="R24" s="182">
        <v>-102.72135132</v>
      </c>
      <c r="S24" s="182">
        <v>-150</v>
      </c>
      <c r="T24" s="115">
        <v>-154</v>
      </c>
      <c r="U24" s="115">
        <v>-163</v>
      </c>
      <c r="V24" s="115">
        <v>-160</v>
      </c>
      <c r="W24" s="115">
        <v>-152</v>
      </c>
      <c r="X24" s="115">
        <v>-216</v>
      </c>
      <c r="Y24" s="115">
        <v>-101.0268781099999</v>
      </c>
      <c r="Z24" s="115">
        <v>-143</v>
      </c>
      <c r="AA24" s="115">
        <v>-130.44799485999999</v>
      </c>
      <c r="AB24" s="115">
        <v>-142.09774918000005</v>
      </c>
      <c r="AC24" s="115">
        <v>-149</v>
      </c>
      <c r="AD24" s="115">
        <v>-147.21229423999989</v>
      </c>
      <c r="AE24" s="222"/>
      <c r="AG24" s="182">
        <f t="shared" si="10"/>
        <v>-312.01442785</v>
      </c>
      <c r="AH24" s="182">
        <f t="shared" si="11"/>
        <v>-253.52292313000004</v>
      </c>
      <c r="AI24" s="182">
        <f t="shared" si="12"/>
        <v>-280.14846467000001</v>
      </c>
      <c r="AJ24" s="182">
        <f t="shared" si="13"/>
        <v>-344.98213433000035</v>
      </c>
      <c r="AK24" s="182">
        <f t="shared" si="14"/>
        <v>-627</v>
      </c>
      <c r="AL24" s="182">
        <f t="shared" si="15"/>
        <v>-612.02687810999987</v>
      </c>
      <c r="AM24" s="182">
        <f t="shared" si="16"/>
        <v>-568.75803827999994</v>
      </c>
      <c r="AN24" s="222"/>
    </row>
    <row r="25" spans="1:40" ht="14.5">
      <c r="B25" s="356" t="s">
        <v>218</v>
      </c>
      <c r="C25" s="182">
        <v>-18</v>
      </c>
      <c r="D25" s="182">
        <v>-59</v>
      </c>
      <c r="E25" s="182">
        <v>-52</v>
      </c>
      <c r="F25" s="182">
        <v>-18</v>
      </c>
      <c r="G25" s="182">
        <v>43</v>
      </c>
      <c r="H25" s="182">
        <v>57</v>
      </c>
      <c r="I25" s="182">
        <v>39</v>
      </c>
      <c r="J25" s="182">
        <v>9</v>
      </c>
      <c r="K25" s="182">
        <v>-3.9380348399999998</v>
      </c>
      <c r="L25" s="182">
        <v>-34.088819459999996</v>
      </c>
      <c r="M25" s="182">
        <v>-84.631955980000001</v>
      </c>
      <c r="N25" s="182">
        <v>-125.25267432</v>
      </c>
      <c r="O25" s="182">
        <f>-146723/1000</f>
        <v>-146.72300000000001</v>
      </c>
      <c r="P25" s="182">
        <v>-182.00774041000003</v>
      </c>
      <c r="Q25" s="182">
        <v>-228.46880660999994</v>
      </c>
      <c r="R25" s="182">
        <v>-280.51403544999999</v>
      </c>
      <c r="S25" s="182">
        <v>-121</v>
      </c>
      <c r="T25" s="115">
        <v>-18</v>
      </c>
      <c r="U25" s="115" t="s">
        <v>393</v>
      </c>
      <c r="V25" s="115" t="s">
        <v>393</v>
      </c>
      <c r="W25" s="115" t="s">
        <v>394</v>
      </c>
      <c r="X25" s="115">
        <v>0</v>
      </c>
      <c r="Y25" s="115">
        <v>0</v>
      </c>
      <c r="Z25" s="115">
        <v>0</v>
      </c>
      <c r="AA25" s="115">
        <v>0</v>
      </c>
      <c r="AB25" s="115">
        <v>0</v>
      </c>
      <c r="AC25" s="115">
        <v>0</v>
      </c>
      <c r="AD25" s="115"/>
      <c r="AE25" s="585"/>
      <c r="AG25" s="182">
        <f t="shared" si="10"/>
        <v>-147</v>
      </c>
      <c r="AH25" s="182">
        <f t="shared" si="11"/>
        <v>148</v>
      </c>
      <c r="AI25" s="182">
        <f t="shared" si="12"/>
        <v>-247.91148459999999</v>
      </c>
      <c r="AJ25" s="182">
        <f t="shared" si="13"/>
        <v>-837.71358246999989</v>
      </c>
      <c r="AK25" s="182">
        <f t="shared" si="14"/>
        <v>-139</v>
      </c>
      <c r="AL25" s="182">
        <f t="shared" si="15"/>
        <v>0</v>
      </c>
      <c r="AM25" s="182">
        <f t="shared" si="16"/>
        <v>0</v>
      </c>
    </row>
    <row r="26" spans="1:40">
      <c r="B26" s="116" t="s">
        <v>372</v>
      </c>
      <c r="C26" s="388">
        <v>-782</v>
      </c>
      <c r="D26" s="388">
        <v>-864</v>
      </c>
      <c r="E26" s="388">
        <v>-934</v>
      </c>
      <c r="F26" s="388">
        <v>-1037</v>
      </c>
      <c r="G26" s="388">
        <v>-929</v>
      </c>
      <c r="H26" s="388">
        <v>-925</v>
      </c>
      <c r="I26" s="388">
        <v>-908</v>
      </c>
      <c r="J26" s="388">
        <v>-844.01800000000026</v>
      </c>
      <c r="K26" s="388">
        <v>-952.44200000000012</v>
      </c>
      <c r="L26" s="388">
        <v>-930.40999999999974</v>
      </c>
      <c r="M26" s="388">
        <v>-1197.0670000000005</v>
      </c>
      <c r="N26" s="388">
        <v>-1267.8586064637209</v>
      </c>
      <c r="O26" s="388">
        <v>-1387.9670000000001</v>
      </c>
      <c r="P26" s="388">
        <v>-1431.7849999999999</v>
      </c>
      <c r="Q26" s="388">
        <v>-1827.1540000000005</v>
      </c>
      <c r="R26" s="388">
        <v>-1939.6299999999994</v>
      </c>
      <c r="S26" s="388">
        <v>-1608.2380000000001</v>
      </c>
      <c r="T26" s="388">
        <v>-1573</v>
      </c>
      <c r="U26" s="388">
        <v>-1824.9459999999999</v>
      </c>
      <c r="V26" s="388">
        <v>-1750.0751578476236</v>
      </c>
      <c r="W26" s="388">
        <v>-1663.1680000000001</v>
      </c>
      <c r="X26" s="388">
        <v>-1444</v>
      </c>
      <c r="Y26" s="388">
        <v>-1724.3389999999999</v>
      </c>
      <c r="Z26" s="388">
        <v>-1696</v>
      </c>
      <c r="AA26" s="388">
        <v>-1520.2840000000001</v>
      </c>
      <c r="AB26" s="388">
        <v>-1731.9059999999999</v>
      </c>
      <c r="AC26" s="388">
        <v>-1753</v>
      </c>
      <c r="AD26" s="388">
        <v>-1799.8140000000003</v>
      </c>
      <c r="AE26" s="585"/>
      <c r="AG26" s="388">
        <f t="shared" ref="AG26:AK26" si="17">AG27-AG19</f>
        <v>-3617</v>
      </c>
      <c r="AH26" s="388">
        <f t="shared" si="17"/>
        <v>-3606.018</v>
      </c>
      <c r="AI26" s="388">
        <f t="shared" si="17"/>
        <v>-4347.777606463721</v>
      </c>
      <c r="AJ26" s="388">
        <f t="shared" si="17"/>
        <v>-6586.5360000000001</v>
      </c>
      <c r="AK26" s="388">
        <f t="shared" si="17"/>
        <v>-6758</v>
      </c>
      <c r="AL26" s="388">
        <f t="shared" si="15"/>
        <v>-6527.5069999999996</v>
      </c>
      <c r="AM26" s="388">
        <f t="shared" si="16"/>
        <v>-6805.0040000000008</v>
      </c>
    </row>
    <row r="27" spans="1:40">
      <c r="B27" s="65" t="s">
        <v>219</v>
      </c>
      <c r="C27" s="115">
        <v>152</v>
      </c>
      <c r="D27" s="115">
        <v>200</v>
      </c>
      <c r="E27" s="115">
        <v>254</v>
      </c>
      <c r="F27" s="115">
        <v>216</v>
      </c>
      <c r="G27" s="115">
        <v>142</v>
      </c>
      <c r="H27" s="115">
        <v>166</v>
      </c>
      <c r="I27" s="115">
        <v>124</v>
      </c>
      <c r="J27" s="126">
        <v>84.625999999999976</v>
      </c>
      <c r="K27" s="126">
        <v>101.333</v>
      </c>
      <c r="L27" s="115">
        <v>80.908000000000015</v>
      </c>
      <c r="M27" s="115">
        <v>188.83199999999997</v>
      </c>
      <c r="N27" s="126">
        <v>189.07705261627933</v>
      </c>
      <c r="O27" s="126">
        <v>291.08800000000002</v>
      </c>
      <c r="P27" s="126">
        <v>395.56599999999997</v>
      </c>
      <c r="Q27" s="126">
        <v>358.38799999999986</v>
      </c>
      <c r="R27" s="126">
        <v>386.78300000000013</v>
      </c>
      <c r="S27" s="126">
        <f>611762/1000</f>
        <v>611.76199999999994</v>
      </c>
      <c r="T27" s="126">
        <v>678</v>
      </c>
      <c r="U27" s="126">
        <v>351.05399999999997</v>
      </c>
      <c r="V27" s="126">
        <v>160.1840000000002</v>
      </c>
      <c r="W27" s="126">
        <v>152.83199999999999</v>
      </c>
      <c r="X27" s="126">
        <f t="shared" ref="X27:AD27" si="18">SUM(X26,X19)</f>
        <v>107</v>
      </c>
      <c r="Y27" s="126">
        <f t="shared" si="18"/>
        <v>35.611612918800574</v>
      </c>
      <c r="Z27" s="126">
        <f t="shared" si="18"/>
        <v>133.43620689807494</v>
      </c>
      <c r="AA27" s="126">
        <f t="shared" si="18"/>
        <v>121.65794648999963</v>
      </c>
      <c r="AB27" s="126">
        <f t="shared" si="18"/>
        <v>282.3948428510248</v>
      </c>
      <c r="AC27" s="126">
        <f t="shared" si="18"/>
        <v>337</v>
      </c>
      <c r="AD27" s="126">
        <f t="shared" si="18"/>
        <v>393.55270407999978</v>
      </c>
      <c r="AE27" s="585"/>
      <c r="AG27" s="126">
        <f>SUM(C27:F27)</f>
        <v>822</v>
      </c>
      <c r="AH27" s="126">
        <f>SUM(G27:J27)</f>
        <v>516.62599999999998</v>
      </c>
      <c r="AI27" s="126">
        <f>SUM(K27:N27)</f>
        <v>560.15005261627925</v>
      </c>
      <c r="AJ27" s="126">
        <f>SUM(O27:R27)</f>
        <v>1431.825</v>
      </c>
      <c r="AK27" s="126">
        <f>SUM(S27:V27)</f>
        <v>1801</v>
      </c>
      <c r="AL27" s="126">
        <f t="shared" si="15"/>
        <v>428.87981981687551</v>
      </c>
      <c r="AM27" s="126">
        <f t="shared" si="16"/>
        <v>1134.6054934210242</v>
      </c>
    </row>
    <row r="28" spans="1:40">
      <c r="B28" s="62" t="s">
        <v>160</v>
      </c>
      <c r="C28" s="137">
        <v>230</v>
      </c>
      <c r="D28" s="137">
        <v>209</v>
      </c>
      <c r="E28" s="137">
        <v>246</v>
      </c>
      <c r="F28" s="137">
        <v>208.92999999999995</v>
      </c>
      <c r="G28" s="137">
        <v>171</v>
      </c>
      <c r="H28" s="137">
        <v>353</v>
      </c>
      <c r="I28" s="137">
        <v>133</v>
      </c>
      <c r="J28" s="139">
        <v>197.80700000000002</v>
      </c>
      <c r="K28" s="139">
        <v>115.73099999999999</v>
      </c>
      <c r="L28" s="137">
        <v>189.16899999999998</v>
      </c>
      <c r="M28" s="137">
        <v>193.32900000000001</v>
      </c>
      <c r="N28" s="139">
        <v>185.32234302000001</v>
      </c>
      <c r="O28" s="139">
        <v>208.874</v>
      </c>
      <c r="P28" s="139">
        <v>389.64</v>
      </c>
      <c r="Q28" s="139">
        <f>970594/1000-SUM(O28:P28)</f>
        <v>372.08000000000004</v>
      </c>
      <c r="R28" s="139">
        <v>411.81700000000001</v>
      </c>
      <c r="S28" s="139">
        <f>615753/1000</f>
        <v>615.75300000000004</v>
      </c>
      <c r="T28" s="126">
        <v>680</v>
      </c>
      <c r="U28" s="126">
        <v>333.47800000000001</v>
      </c>
      <c r="V28" s="126">
        <v>185.76899999999978</v>
      </c>
      <c r="W28" s="126">
        <v>175.88399999999999</v>
      </c>
      <c r="X28" s="126">
        <v>110</v>
      </c>
      <c r="Y28" s="126">
        <v>89.668999999999997</v>
      </c>
      <c r="Z28" s="126">
        <v>145.62199999999996</v>
      </c>
      <c r="AA28" s="126">
        <v>153.87100000000001</v>
      </c>
      <c r="AB28" s="126">
        <v>295.125</v>
      </c>
      <c r="AC28" s="126">
        <v>343</v>
      </c>
      <c r="AD28" s="126">
        <v>425.70000000000005</v>
      </c>
      <c r="AE28" s="585"/>
      <c r="AG28" s="139">
        <f>SUM(C28:F28)</f>
        <v>893.93</v>
      </c>
      <c r="AH28" s="139">
        <f>SUM(G28:J28)</f>
        <v>854.80700000000002</v>
      </c>
      <c r="AI28" s="139">
        <f>SUM(K28:N28)</f>
        <v>683.55134301999999</v>
      </c>
      <c r="AJ28" s="139">
        <f>SUM(O28:R28)</f>
        <v>1382.4110000000001</v>
      </c>
      <c r="AK28" s="139">
        <f>SUM(S28:V28)</f>
        <v>1815</v>
      </c>
      <c r="AL28" s="139">
        <f t="shared" si="15"/>
        <v>521.17499999999995</v>
      </c>
      <c r="AM28" s="139">
        <f t="shared" si="16"/>
        <v>1217.6959999999999</v>
      </c>
    </row>
    <row r="29" spans="1:40">
      <c r="B29" s="65" t="s">
        <v>216</v>
      </c>
      <c r="C29" s="115">
        <v>69</v>
      </c>
      <c r="D29" s="115">
        <v>69</v>
      </c>
      <c r="E29" s="115">
        <v>67</v>
      </c>
      <c r="F29" s="115">
        <v>68</v>
      </c>
      <c r="G29" s="115">
        <v>90</v>
      </c>
      <c r="H29" s="115">
        <v>135</v>
      </c>
      <c r="I29" s="115">
        <v>82</v>
      </c>
      <c r="J29" s="126">
        <v>125.61099999999999</v>
      </c>
      <c r="K29" s="126">
        <v>83.760999999999996</v>
      </c>
      <c r="L29" s="115">
        <v>102.79500000000002</v>
      </c>
      <c r="M29" s="115">
        <v>95.753999999999991</v>
      </c>
      <c r="N29" s="126">
        <v>118.51225635999998</v>
      </c>
      <c r="O29" s="126">
        <v>105.289</v>
      </c>
      <c r="P29" s="126">
        <v>118.18599999999999</v>
      </c>
      <c r="Q29" s="126">
        <v>127.67300000000003</v>
      </c>
      <c r="R29" s="126">
        <v>111.28099999999995</v>
      </c>
      <c r="S29" s="126">
        <f>119971/1000</f>
        <v>119.971</v>
      </c>
      <c r="T29" s="126">
        <v>115</v>
      </c>
      <c r="U29" s="126">
        <v>127.959</v>
      </c>
      <c r="V29" s="126">
        <v>142.07</v>
      </c>
      <c r="W29" s="126">
        <v>129.27500000000001</v>
      </c>
      <c r="X29" s="126">
        <v>138</v>
      </c>
      <c r="Y29" s="126">
        <v>137.01</v>
      </c>
      <c r="Z29" s="126">
        <v>144.23099999999999</v>
      </c>
      <c r="AA29" s="126">
        <v>142.72399999999999</v>
      </c>
      <c r="AB29" s="126">
        <v>143.13300000000004</v>
      </c>
      <c r="AC29" s="126">
        <v>157</v>
      </c>
      <c r="AD29" s="126">
        <v>195.92399999999992</v>
      </c>
      <c r="AE29" s="585"/>
      <c r="AG29" s="126">
        <f>SUM(C29:F29)</f>
        <v>273</v>
      </c>
      <c r="AH29" s="126">
        <f>SUM(G29:J29)</f>
        <v>432.61099999999999</v>
      </c>
      <c r="AI29" s="126">
        <f>SUM(K29:N29)</f>
        <v>400.82225635999998</v>
      </c>
      <c r="AJ29" s="126">
        <f>SUM(O29:R29)</f>
        <v>462.42899999999997</v>
      </c>
      <c r="AK29" s="126">
        <f>SUM(S29:V29)</f>
        <v>505</v>
      </c>
      <c r="AL29" s="126">
        <f t="shared" si="15"/>
        <v>548.51599999999996</v>
      </c>
      <c r="AM29" s="126">
        <f t="shared" si="16"/>
        <v>638.78099999999995</v>
      </c>
    </row>
    <row r="30" spans="1:40" ht="7.5" customHeight="1">
      <c r="B30" s="62"/>
      <c r="C30" s="133"/>
      <c r="D30" s="133"/>
      <c r="E30" s="133"/>
      <c r="F30" s="133"/>
      <c r="G30" s="133"/>
      <c r="H30" s="133"/>
      <c r="I30" s="133"/>
      <c r="J30" s="138"/>
      <c r="K30" s="138"/>
      <c r="L30" s="133"/>
      <c r="M30" s="133"/>
      <c r="N30" s="138"/>
      <c r="O30" s="138"/>
      <c r="P30" s="138"/>
      <c r="Q30" s="138"/>
      <c r="R30" s="138"/>
      <c r="S30" s="138"/>
      <c r="T30" s="138"/>
      <c r="U30" s="138"/>
      <c r="V30" s="138"/>
      <c r="W30" s="138"/>
      <c r="X30" s="138"/>
      <c r="Y30" s="138"/>
      <c r="Z30" s="138"/>
      <c r="AA30" s="138"/>
      <c r="AB30" s="138"/>
      <c r="AC30" s="138"/>
      <c r="AD30" s="138"/>
      <c r="AE30" s="585"/>
    </row>
    <row r="31" spans="1:40">
      <c r="B31" s="62"/>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585"/>
      <c r="AG31" s="170"/>
      <c r="AH31" s="170"/>
      <c r="AI31" s="170"/>
      <c r="AJ31" s="170"/>
      <c r="AK31" s="170"/>
      <c r="AL31" s="170"/>
      <c r="AM31" s="170"/>
      <c r="AN31" s="395"/>
    </row>
    <row r="32" spans="1:40" ht="14.5" customHeight="1" thickBot="1">
      <c r="A32" s="47"/>
      <c r="B32" s="63" t="s">
        <v>220</v>
      </c>
      <c r="C32" s="132"/>
      <c r="D32" s="132"/>
      <c r="E32" s="132"/>
      <c r="F32" s="132"/>
      <c r="G32" s="132"/>
      <c r="H32" s="132"/>
      <c r="I32" s="132"/>
      <c r="J32" s="141"/>
      <c r="K32" s="141"/>
      <c r="L32" s="132"/>
      <c r="M32" s="132"/>
      <c r="N32" s="141"/>
      <c r="O32" s="141"/>
      <c r="P32" s="141"/>
      <c r="Q32" s="141"/>
      <c r="R32" s="141"/>
      <c r="S32" s="141"/>
      <c r="T32" s="141"/>
      <c r="U32" s="141"/>
      <c r="V32" s="141"/>
      <c r="W32" s="141"/>
      <c r="X32" s="141"/>
      <c r="Y32" s="141"/>
      <c r="Z32" s="141"/>
      <c r="AA32" s="141"/>
      <c r="AB32" s="141"/>
      <c r="AC32" s="141"/>
      <c r="AD32" s="586"/>
      <c r="AE32" s="585"/>
      <c r="AG32" s="141"/>
      <c r="AH32" s="141"/>
      <c r="AI32" s="141"/>
      <c r="AJ32" s="141"/>
      <c r="AK32" s="141"/>
      <c r="AL32" s="141"/>
      <c r="AM32" s="141"/>
    </row>
    <row r="33" spans="1:39" s="49" customFormat="1">
      <c r="B33" s="116" t="s">
        <v>214</v>
      </c>
      <c r="C33" s="137">
        <v>253</v>
      </c>
      <c r="D33" s="137">
        <v>281</v>
      </c>
      <c r="E33" s="137">
        <v>323</v>
      </c>
      <c r="F33" s="137">
        <v>300.47600000000011</v>
      </c>
      <c r="G33" s="137">
        <v>309</v>
      </c>
      <c r="H33" s="137">
        <v>342</v>
      </c>
      <c r="I33" s="137">
        <v>368</v>
      </c>
      <c r="J33" s="138">
        <v>421.63499999999999</v>
      </c>
      <c r="K33" s="138">
        <v>264.63499999999999</v>
      </c>
      <c r="L33" s="137">
        <v>158.01834138108001</v>
      </c>
      <c r="M33" s="137">
        <v>183.00000000000006</v>
      </c>
      <c r="N33" s="138">
        <v>189.13165861891991</v>
      </c>
      <c r="O33" s="138">
        <v>185.25</v>
      </c>
      <c r="P33" s="138">
        <v>152.04500000000002</v>
      </c>
      <c r="Q33" s="138">
        <v>206.58599999999996</v>
      </c>
      <c r="R33" s="138">
        <v>182.52500000000001</v>
      </c>
      <c r="S33" s="138">
        <f>152157/1000</f>
        <v>152.15700000000001</v>
      </c>
      <c r="T33" s="138">
        <v>156</v>
      </c>
      <c r="U33" s="138">
        <v>167</v>
      </c>
      <c r="V33" s="138">
        <v>158.84299999999996</v>
      </c>
      <c r="W33" s="138">
        <v>136</v>
      </c>
      <c r="X33" s="138">
        <v>153</v>
      </c>
      <c r="Y33" s="138">
        <v>139.62299999999999</v>
      </c>
      <c r="Z33" s="138">
        <v>109.48699999999999</v>
      </c>
      <c r="AA33" s="138">
        <v>71.620999999999995</v>
      </c>
      <c r="AB33" s="138">
        <v>62.227000000000004</v>
      </c>
      <c r="AC33" s="138">
        <v>67</v>
      </c>
      <c r="AD33" s="138">
        <v>109.71800000000002</v>
      </c>
      <c r="AE33" s="585"/>
      <c r="AF33" s="272"/>
      <c r="AG33" s="138">
        <f>SUM(C33:F33)</f>
        <v>1157.4760000000001</v>
      </c>
      <c r="AH33" s="138">
        <f>SUM(G33:J33)</f>
        <v>1440.635</v>
      </c>
      <c r="AI33" s="138">
        <f>SUM(K33:N33)</f>
        <v>794.78499999999997</v>
      </c>
      <c r="AJ33" s="138">
        <f>SUM(O33:R33)</f>
        <v>726.40599999999995</v>
      </c>
      <c r="AK33" s="138">
        <f>SUM(S33:V33)</f>
        <v>634</v>
      </c>
      <c r="AL33" s="138">
        <f>SUM(W33:Z33)</f>
        <v>538.11</v>
      </c>
      <c r="AM33" s="138">
        <f t="shared" ref="AM33:AM37" si="19">SUM(AA33:AD33)</f>
        <v>310.56600000000003</v>
      </c>
    </row>
    <row r="34" spans="1:39" s="389" customFormat="1">
      <c r="B34" s="125" t="s">
        <v>373</v>
      </c>
      <c r="C34" s="390">
        <f>C35-C33</f>
        <v>-171</v>
      </c>
      <c r="D34" s="390">
        <f t="shared" ref="D34:V34" si="20">D35-D33</f>
        <v>-207</v>
      </c>
      <c r="E34" s="390">
        <f t="shared" si="20"/>
        <v>-308</v>
      </c>
      <c r="F34" s="390">
        <f t="shared" si="20"/>
        <v>-313.04300000000012</v>
      </c>
      <c r="G34" s="390">
        <f t="shared" si="20"/>
        <v>-235</v>
      </c>
      <c r="H34" s="390">
        <f t="shared" si="20"/>
        <v>-304</v>
      </c>
      <c r="I34" s="390">
        <f t="shared" si="20"/>
        <v>-341</v>
      </c>
      <c r="J34" s="390">
        <f t="shared" si="20"/>
        <v>-377.358</v>
      </c>
      <c r="K34" s="390">
        <f t="shared" si="20"/>
        <v>-210.83799999999999</v>
      </c>
      <c r="L34" s="390">
        <f t="shared" si="20"/>
        <v>-160.81838244540398</v>
      </c>
      <c r="M34" s="390">
        <f t="shared" si="20"/>
        <v>-172.00000000000006</v>
      </c>
      <c r="N34" s="390">
        <f t="shared" si="20"/>
        <v>-188.39161755459594</v>
      </c>
      <c r="O34" s="390">
        <f>O35-O33</f>
        <v>-27.776999999999987</v>
      </c>
      <c r="P34" s="390">
        <f t="shared" si="20"/>
        <v>-156.77500000000003</v>
      </c>
      <c r="Q34" s="390">
        <f t="shared" si="20"/>
        <v>-246.17499999999995</v>
      </c>
      <c r="R34" s="390">
        <f t="shared" si="20"/>
        <v>-78.233000000000004</v>
      </c>
      <c r="S34" s="390">
        <f t="shared" si="20"/>
        <v>-201.94300000000001</v>
      </c>
      <c r="T34" s="390">
        <f t="shared" si="20"/>
        <v>-160</v>
      </c>
      <c r="U34" s="390">
        <f t="shared" si="20"/>
        <v>-179</v>
      </c>
      <c r="V34" s="390">
        <f t="shared" si="20"/>
        <v>-210.05699999999996</v>
      </c>
      <c r="W34" s="390">
        <f>W35-W33</f>
        <v>-223</v>
      </c>
      <c r="X34" s="390">
        <v>-226</v>
      </c>
      <c r="Y34" s="390">
        <f>-221.548+43</f>
        <v>-178.548</v>
      </c>
      <c r="Z34" s="390">
        <v>-227.32399999999996</v>
      </c>
      <c r="AA34" s="390">
        <v>-113.83199999999999</v>
      </c>
      <c r="AB34" s="390">
        <v>-73.506</v>
      </c>
      <c r="AC34" s="390">
        <v>-35</v>
      </c>
      <c r="AD34" s="390">
        <v>-335.53800000000001</v>
      </c>
      <c r="AE34" s="585"/>
      <c r="AF34" s="272"/>
      <c r="AG34" s="390">
        <f t="shared" ref="AG34:AI34" si="21">AG35-AG33</f>
        <v>-999.04300000000012</v>
      </c>
      <c r="AH34" s="390">
        <f t="shared" si="21"/>
        <v>-1257.3579999999999</v>
      </c>
      <c r="AI34" s="390">
        <f t="shared" si="21"/>
        <v>-732.048</v>
      </c>
      <c r="AJ34" s="390">
        <f>AJ35-AJ33</f>
        <v>-508.95999999999992</v>
      </c>
      <c r="AK34" s="390">
        <f t="shared" ref="AK34" si="22">AK35-AK33</f>
        <v>-751</v>
      </c>
      <c r="AL34" s="390">
        <f>SUM(W34:Z34)</f>
        <v>-854.87199999999996</v>
      </c>
      <c r="AM34" s="390">
        <f t="shared" si="19"/>
        <v>-557.87599999999998</v>
      </c>
    </row>
    <row r="35" spans="1:39">
      <c r="B35" s="65" t="s">
        <v>219</v>
      </c>
      <c r="C35" s="115">
        <v>82</v>
      </c>
      <c r="D35" s="115">
        <v>74</v>
      </c>
      <c r="E35" s="115">
        <v>15</v>
      </c>
      <c r="F35" s="115">
        <v>-12.567000000000007</v>
      </c>
      <c r="G35" s="115">
        <v>74</v>
      </c>
      <c r="H35" s="115">
        <v>38</v>
      </c>
      <c r="I35" s="115">
        <v>27</v>
      </c>
      <c r="J35" s="126">
        <v>44.276999999999987</v>
      </c>
      <c r="K35" s="126">
        <v>53.796999999999997</v>
      </c>
      <c r="L35" s="115">
        <v>-2.8000410643239775</v>
      </c>
      <c r="M35" s="115">
        <v>11</v>
      </c>
      <c r="N35" s="126">
        <v>0.74004106432398231</v>
      </c>
      <c r="O35" s="126">
        <v>157.47300000000001</v>
      </c>
      <c r="P35" s="126">
        <v>-4.7300000000000182</v>
      </c>
      <c r="Q35" s="126">
        <v>-39.588999999999999</v>
      </c>
      <c r="R35" s="126">
        <v>104.292</v>
      </c>
      <c r="S35" s="126">
        <f>-49786/1000</f>
        <v>-49.786000000000001</v>
      </c>
      <c r="T35" s="126">
        <v>-4</v>
      </c>
      <c r="U35" s="126">
        <v>-12</v>
      </c>
      <c r="V35" s="126">
        <v>-51.213999999999999</v>
      </c>
      <c r="W35" s="126">
        <v>-87</v>
      </c>
      <c r="X35" s="126">
        <f>SUM(X33:X34)</f>
        <v>-73</v>
      </c>
      <c r="Y35" s="126">
        <f>SUM(Y33:Y34)</f>
        <v>-38.925000000000011</v>
      </c>
      <c r="Z35" s="126">
        <f>SUM(Z33:Z34)</f>
        <v>-117.83699999999996</v>
      </c>
      <c r="AA35" s="126">
        <f t="shared" ref="AA35:AD35" si="23">SUM(AA33:AA34)</f>
        <v>-42.210999999999999</v>
      </c>
      <c r="AB35" s="126">
        <f t="shared" si="23"/>
        <v>-11.278999999999996</v>
      </c>
      <c r="AC35" s="126">
        <f t="shared" si="23"/>
        <v>32</v>
      </c>
      <c r="AD35" s="126">
        <f t="shared" si="23"/>
        <v>-225.82</v>
      </c>
      <c r="AE35" s="585"/>
      <c r="AG35" s="126">
        <f>SUM(C35:F35)</f>
        <v>158.43299999999999</v>
      </c>
      <c r="AH35" s="126">
        <f>SUM(G35:J35)</f>
        <v>183.27699999999999</v>
      </c>
      <c r="AI35" s="126">
        <f>SUM(K35:N35)</f>
        <v>62.737000000000002</v>
      </c>
      <c r="AJ35" s="126">
        <f>SUM(O35:R35)</f>
        <v>217.446</v>
      </c>
      <c r="AK35" s="126">
        <f>SUM(S35:V35)</f>
        <v>-117</v>
      </c>
      <c r="AL35" s="126">
        <f>SUM(W35:Z35)</f>
        <v>-316.76199999999994</v>
      </c>
      <c r="AM35" s="126">
        <f t="shared" si="19"/>
        <v>-247.31</v>
      </c>
    </row>
    <row r="36" spans="1:39" ht="14.5">
      <c r="A36" s="51"/>
      <c r="B36" s="62" t="s">
        <v>160</v>
      </c>
      <c r="C36" s="137">
        <v>50</v>
      </c>
      <c r="D36" s="137">
        <v>72</v>
      </c>
      <c r="E36" s="137">
        <v>0</v>
      </c>
      <c r="F36" s="137">
        <v>66</v>
      </c>
      <c r="G36" s="137">
        <v>79</v>
      </c>
      <c r="H36" s="137">
        <v>47</v>
      </c>
      <c r="I36" s="137">
        <v>35</v>
      </c>
      <c r="J36" s="139">
        <v>53</v>
      </c>
      <c r="K36" s="139">
        <v>59.456000000000003</v>
      </c>
      <c r="L36" s="137">
        <v>3.0051083134261987</v>
      </c>
      <c r="M36" s="137">
        <v>17</v>
      </c>
      <c r="N36" s="139">
        <v>2.5388916865738054</v>
      </c>
      <c r="O36" s="139">
        <v>162.88999999999999</v>
      </c>
      <c r="P36" s="139">
        <v>-3.1279999999999859</v>
      </c>
      <c r="Q36" s="139">
        <v>-47.959000000000003</v>
      </c>
      <c r="R36" s="139">
        <v>99.548000000000002</v>
      </c>
      <c r="S36" s="139">
        <f>-50249/1000</f>
        <v>-50.249000000000002</v>
      </c>
      <c r="T36" s="139">
        <v>-2</v>
      </c>
      <c r="U36" s="139">
        <v>-11</v>
      </c>
      <c r="V36" s="139">
        <v>-51.750999999999998</v>
      </c>
      <c r="W36" s="139">
        <v>-83</v>
      </c>
      <c r="X36" s="139">
        <v>-33</v>
      </c>
      <c r="Y36" s="139">
        <v>-30.963000000000001</v>
      </c>
      <c r="Z36" s="139">
        <v>-41.855999999999995</v>
      </c>
      <c r="AA36" s="139">
        <v>-41.578000000000003</v>
      </c>
      <c r="AB36" s="139">
        <v>46.026000000000003</v>
      </c>
      <c r="AC36" s="139">
        <v>72</v>
      </c>
      <c r="AD36" s="139">
        <v>92.615999999999985</v>
      </c>
      <c r="AE36" s="585"/>
      <c r="AG36" s="139">
        <f>SUM(C36:F36)</f>
        <v>188</v>
      </c>
      <c r="AH36" s="139">
        <f>SUM(G36:J36)</f>
        <v>214</v>
      </c>
      <c r="AI36" s="139">
        <f>SUM(K36:N36)</f>
        <v>82</v>
      </c>
      <c r="AJ36" s="139">
        <f>SUM(O36:R36)</f>
        <v>211.351</v>
      </c>
      <c r="AK36" s="139">
        <f>SUM(S36:V36)</f>
        <v>-115</v>
      </c>
      <c r="AL36" s="139">
        <f>SUM(W36:Z36)</f>
        <v>-188.81899999999999</v>
      </c>
      <c r="AM36" s="139">
        <f t="shared" si="19"/>
        <v>169.06399999999999</v>
      </c>
    </row>
    <row r="37" spans="1:39">
      <c r="B37" s="65" t="s">
        <v>216</v>
      </c>
      <c r="C37" s="115">
        <v>5</v>
      </c>
      <c r="D37" s="115">
        <v>9</v>
      </c>
      <c r="E37" s="115">
        <v>8</v>
      </c>
      <c r="F37" s="115">
        <v>7.2020000000000017</v>
      </c>
      <c r="G37" s="115">
        <v>7</v>
      </c>
      <c r="H37" s="115">
        <v>7</v>
      </c>
      <c r="I37" s="115">
        <v>8</v>
      </c>
      <c r="J37" s="126">
        <v>6.9420000000000002</v>
      </c>
      <c r="K37" s="126">
        <v>7.2370000000000001</v>
      </c>
      <c r="L37" s="115">
        <v>7.2406488253584804</v>
      </c>
      <c r="M37" s="115">
        <v>7.9999999999999982</v>
      </c>
      <c r="N37" s="126">
        <v>6.6383511746415209</v>
      </c>
      <c r="O37" s="126">
        <v>7.2249999999999996</v>
      </c>
      <c r="P37" s="126">
        <v>7.2420000000000009</v>
      </c>
      <c r="Q37" s="126">
        <v>8.6010000000000009</v>
      </c>
      <c r="R37" s="126">
        <v>7.3989999999999974</v>
      </c>
      <c r="S37" s="126">
        <f>7739/1000</f>
        <v>7.7389999999999999</v>
      </c>
      <c r="T37" s="126">
        <v>8</v>
      </c>
      <c r="U37" s="126">
        <v>8</v>
      </c>
      <c r="V37" s="126">
        <v>6.2609999999999992</v>
      </c>
      <c r="W37" s="126">
        <v>4.0259999999999998</v>
      </c>
      <c r="X37" s="126">
        <v>4</v>
      </c>
      <c r="Y37" s="126">
        <v>3.64</v>
      </c>
      <c r="Z37" s="126">
        <v>2.468</v>
      </c>
      <c r="AA37" s="126">
        <v>0</v>
      </c>
      <c r="AB37" s="126">
        <v>0</v>
      </c>
      <c r="AC37" s="126">
        <v>0</v>
      </c>
      <c r="AD37" s="126">
        <v>0</v>
      </c>
      <c r="AE37" s="585"/>
      <c r="AG37" s="126">
        <f>SUM(C37:F37)</f>
        <v>29.202000000000002</v>
      </c>
      <c r="AH37" s="126">
        <f>SUM(G37:J37)</f>
        <v>28.942</v>
      </c>
      <c r="AI37" s="126">
        <f>SUM(K37:N37)</f>
        <v>29.116</v>
      </c>
      <c r="AJ37" s="126">
        <f>SUM(O37:R37)</f>
        <v>30.466999999999999</v>
      </c>
      <c r="AK37" s="126">
        <f>SUM(S37:V37)</f>
        <v>30</v>
      </c>
      <c r="AL37" s="126">
        <f>SUM(W37:Z37)</f>
        <v>14.134</v>
      </c>
      <c r="AM37" s="126">
        <f t="shared" si="19"/>
        <v>0</v>
      </c>
    </row>
    <row r="38" spans="1:39">
      <c r="B38" s="391" t="s">
        <v>374</v>
      </c>
      <c r="C38" s="133"/>
      <c r="D38" s="133"/>
      <c r="E38" s="133"/>
      <c r="F38" s="133"/>
      <c r="G38" s="133"/>
      <c r="H38" s="133"/>
      <c r="I38" s="133"/>
      <c r="J38" s="138"/>
      <c r="K38" s="138"/>
      <c r="L38" s="133"/>
      <c r="M38" s="133"/>
      <c r="N38" s="138"/>
      <c r="O38" s="138"/>
      <c r="P38" s="138"/>
      <c r="Q38" s="138"/>
      <c r="R38" s="138"/>
      <c r="S38" s="138"/>
      <c r="T38" s="138"/>
      <c r="U38" s="138"/>
      <c r="V38" s="138"/>
      <c r="W38" s="138"/>
      <c r="X38" s="138"/>
      <c r="Y38" s="138"/>
      <c r="Z38" s="138"/>
      <c r="AA38" s="138"/>
      <c r="AB38" s="138"/>
      <c r="AC38" s="138"/>
      <c r="AD38" s="138"/>
      <c r="AE38" s="585"/>
      <c r="AG38" s="138"/>
      <c r="AH38" s="138"/>
      <c r="AI38" s="138"/>
      <c r="AJ38" s="138"/>
      <c r="AK38" s="138"/>
      <c r="AL38" s="138"/>
      <c r="AM38" s="138"/>
    </row>
    <row r="39" spans="1:39">
      <c r="B39" s="62"/>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587"/>
      <c r="AE39" s="585"/>
      <c r="AG39" s="140"/>
      <c r="AH39" s="140"/>
      <c r="AI39" s="140"/>
      <c r="AJ39" s="140"/>
      <c r="AK39" s="140"/>
      <c r="AL39" s="140"/>
      <c r="AM39" s="140"/>
    </row>
    <row r="40" spans="1:39" ht="14.5" customHeight="1" thickBot="1">
      <c r="A40" s="47"/>
      <c r="B40" s="63" t="s">
        <v>221</v>
      </c>
      <c r="C40" s="132"/>
      <c r="D40" s="132"/>
      <c r="E40" s="132"/>
      <c r="F40" s="132"/>
      <c r="G40" s="132"/>
      <c r="H40" s="132"/>
      <c r="I40" s="132"/>
      <c r="J40" s="141"/>
      <c r="K40" s="141"/>
      <c r="L40" s="132"/>
      <c r="M40" s="132"/>
      <c r="N40" s="141"/>
      <c r="O40" s="141"/>
      <c r="P40" s="141"/>
      <c r="Q40" s="141"/>
      <c r="R40" s="141"/>
      <c r="S40" s="141"/>
      <c r="T40" s="141"/>
      <c r="U40" s="141"/>
      <c r="V40" s="141"/>
      <c r="W40" s="141"/>
      <c r="X40" s="141"/>
      <c r="Y40" s="141"/>
      <c r="Z40" s="141"/>
      <c r="AA40" s="141"/>
      <c r="AB40" s="141"/>
      <c r="AC40" s="141"/>
      <c r="AD40" s="586"/>
      <c r="AE40" s="585"/>
      <c r="AG40" s="141"/>
      <c r="AH40" s="141"/>
      <c r="AI40" s="141"/>
      <c r="AJ40" s="141"/>
      <c r="AK40" s="141"/>
      <c r="AL40" s="141"/>
      <c r="AM40" s="141"/>
    </row>
    <row r="41" spans="1:39" s="49" customFormat="1">
      <c r="B41" s="116" t="s">
        <v>214</v>
      </c>
      <c r="C41" s="137">
        <v>16</v>
      </c>
      <c r="D41" s="137">
        <v>10</v>
      </c>
      <c r="E41" s="137">
        <v>9</v>
      </c>
      <c r="F41" s="137">
        <v>3</v>
      </c>
      <c r="G41" s="137">
        <v>1</v>
      </c>
      <c r="H41" s="137">
        <v>2</v>
      </c>
      <c r="I41" s="137">
        <v>0</v>
      </c>
      <c r="J41" s="138">
        <v>5.0429999999999993</v>
      </c>
      <c r="K41" s="138">
        <v>2.7530000000000001</v>
      </c>
      <c r="L41" s="137">
        <v>4.5996612800000003</v>
      </c>
      <c r="M41" s="137">
        <v>1.9999999999999991</v>
      </c>
      <c r="N41" s="138">
        <v>4.3233387200000006</v>
      </c>
      <c r="O41" s="138">
        <v>7.1280000000000001</v>
      </c>
      <c r="P41" s="138">
        <v>10.119</v>
      </c>
      <c r="Q41" s="138">
        <v>6.5489999999999995</v>
      </c>
      <c r="R41" s="138">
        <v>2.1129999999999995</v>
      </c>
      <c r="S41" s="138">
        <f>3235/1000</f>
        <v>3.2349999999999999</v>
      </c>
      <c r="T41" s="138">
        <v>13</v>
      </c>
      <c r="U41" s="138">
        <v>2</v>
      </c>
      <c r="V41" s="138">
        <v>2.7650000000000006</v>
      </c>
      <c r="W41" s="138">
        <v>5</v>
      </c>
      <c r="X41" s="138">
        <v>2</v>
      </c>
      <c r="Y41" s="138">
        <v>7.2009999999999996</v>
      </c>
      <c r="Z41" s="138">
        <v>3.5720000000000005</v>
      </c>
      <c r="AA41" s="138">
        <v>3.0779999999999998</v>
      </c>
      <c r="AB41" s="138">
        <v>11.919</v>
      </c>
      <c r="AC41" s="138">
        <v>4</v>
      </c>
      <c r="AD41" s="138">
        <v>1.4510000000000005</v>
      </c>
      <c r="AE41" s="585"/>
      <c r="AF41" s="272"/>
      <c r="AG41" s="138">
        <f>SUM(C41:F41)</f>
        <v>38</v>
      </c>
      <c r="AH41" s="138">
        <f>SUM(G41:J41)</f>
        <v>8.0429999999999993</v>
      </c>
      <c r="AI41" s="138">
        <f>SUM(K41:N41)</f>
        <v>13.676</v>
      </c>
      <c r="AJ41" s="138">
        <f>SUM(O41:R41)</f>
        <v>25.908999999999999</v>
      </c>
      <c r="AK41" s="138">
        <f>SUM(S41:V41)</f>
        <v>21</v>
      </c>
      <c r="AL41" s="138">
        <f>SUM(W41:Z41)</f>
        <v>17.773</v>
      </c>
      <c r="AM41" s="138">
        <f t="shared" ref="AM41:AM45" si="24">SUM(AA41:AD41)</f>
        <v>20.448</v>
      </c>
    </row>
    <row r="42" spans="1:39" s="389" customFormat="1">
      <c r="B42" s="125" t="s">
        <v>372</v>
      </c>
      <c r="C42" s="390">
        <f>C43-C41</f>
        <v>-31</v>
      </c>
      <c r="D42" s="390">
        <f t="shared" ref="D42:W42" si="25">D43-D41</f>
        <v>-18</v>
      </c>
      <c r="E42" s="390">
        <f t="shared" si="25"/>
        <v>-12</v>
      </c>
      <c r="F42" s="390">
        <f t="shared" si="25"/>
        <v>-8</v>
      </c>
      <c r="G42" s="390">
        <f t="shared" si="25"/>
        <v>-8</v>
      </c>
      <c r="H42" s="390">
        <f t="shared" si="25"/>
        <v>-18</v>
      </c>
      <c r="I42" s="390">
        <f t="shared" si="25"/>
        <v>-10</v>
      </c>
      <c r="J42" s="390">
        <f t="shared" si="25"/>
        <v>-14.378999999999998</v>
      </c>
      <c r="K42" s="390">
        <f t="shared" si="25"/>
        <v>-9.7390000000000008</v>
      </c>
      <c r="L42" s="390">
        <f t="shared" si="25"/>
        <v>-18.973427769999997</v>
      </c>
      <c r="M42" s="390">
        <f t="shared" si="25"/>
        <v>-11</v>
      </c>
      <c r="N42" s="390">
        <f t="shared" si="25"/>
        <v>-16.180572230000003</v>
      </c>
      <c r="O42" s="390">
        <f t="shared" si="25"/>
        <v>-11.903</v>
      </c>
      <c r="P42" s="390">
        <f t="shared" si="25"/>
        <v>-14.597999999999999</v>
      </c>
      <c r="Q42" s="390">
        <f t="shared" si="25"/>
        <v>-15.382</v>
      </c>
      <c r="R42" s="390">
        <f t="shared" si="25"/>
        <v>-9.5889999999999986</v>
      </c>
      <c r="S42" s="390">
        <f t="shared" si="25"/>
        <v>-11.260999999999999</v>
      </c>
      <c r="T42" s="390">
        <f t="shared" si="25"/>
        <v>-25</v>
      </c>
      <c r="U42" s="390">
        <f t="shared" si="25"/>
        <v>-11</v>
      </c>
      <c r="V42" s="390">
        <f t="shared" si="25"/>
        <v>-7.7390000000000008</v>
      </c>
      <c r="W42" s="390">
        <f t="shared" si="25"/>
        <v>-10.86</v>
      </c>
      <c r="X42" s="390">
        <v>-9</v>
      </c>
      <c r="Y42" s="390">
        <v>-21.428999999999998</v>
      </c>
      <c r="Z42" s="390">
        <v>-11.556999999999995</v>
      </c>
      <c r="AA42" s="390">
        <v>-4.157</v>
      </c>
      <c r="AB42" s="390">
        <v>-25.613999999999997</v>
      </c>
      <c r="AC42" s="390">
        <v>-10</v>
      </c>
      <c r="AD42" s="390">
        <v>-8.970000000000006</v>
      </c>
      <c r="AE42" s="585"/>
      <c r="AF42" s="272"/>
      <c r="AG42" s="390">
        <f t="shared" ref="AG42:AK42" si="26">AG43-AG41</f>
        <v>-69</v>
      </c>
      <c r="AH42" s="390">
        <f t="shared" si="26"/>
        <v>-50.378999999999998</v>
      </c>
      <c r="AI42" s="390">
        <f t="shared" si="26"/>
        <v>-55.893000000000001</v>
      </c>
      <c r="AJ42" s="390">
        <f t="shared" si="26"/>
        <v>-51.471999999999994</v>
      </c>
      <c r="AK42" s="390">
        <f t="shared" si="26"/>
        <v>-55</v>
      </c>
      <c r="AL42" s="390">
        <f>SUM(W42:Z42)</f>
        <v>-52.845999999999997</v>
      </c>
      <c r="AM42" s="390">
        <f t="shared" si="24"/>
        <v>-48.741000000000007</v>
      </c>
    </row>
    <row r="43" spans="1:39">
      <c r="B43" s="65" t="s">
        <v>219</v>
      </c>
      <c r="C43" s="115">
        <v>-15</v>
      </c>
      <c r="D43" s="115">
        <v>-8</v>
      </c>
      <c r="E43" s="115">
        <v>-3</v>
      </c>
      <c r="F43" s="115">
        <v>-5</v>
      </c>
      <c r="G43" s="115">
        <v>-7</v>
      </c>
      <c r="H43" s="115">
        <v>-16</v>
      </c>
      <c r="I43" s="115">
        <v>-10</v>
      </c>
      <c r="J43" s="126">
        <v>-9.3359999999999985</v>
      </c>
      <c r="K43" s="126">
        <v>-6.9859999999999998</v>
      </c>
      <c r="L43" s="115">
        <v>-14.373766489999998</v>
      </c>
      <c r="M43" s="115">
        <v>-9</v>
      </c>
      <c r="N43" s="126">
        <v>-11.85723351</v>
      </c>
      <c r="O43" s="126">
        <v>-4.7750000000000004</v>
      </c>
      <c r="P43" s="126">
        <v>-4.4789999999999992</v>
      </c>
      <c r="Q43" s="126">
        <v>-8.8330000000000002</v>
      </c>
      <c r="R43" s="126">
        <v>-7.4759999999999991</v>
      </c>
      <c r="S43" s="126">
        <f>-8026/1000</f>
        <v>-8.0259999999999998</v>
      </c>
      <c r="T43" s="126">
        <v>-12</v>
      </c>
      <c r="U43" s="126">
        <v>-9</v>
      </c>
      <c r="V43" s="126">
        <v>-4.9740000000000002</v>
      </c>
      <c r="W43" s="126">
        <v>-5.86</v>
      </c>
      <c r="X43" s="126">
        <f>SUM(X41:X42)</f>
        <v>-7</v>
      </c>
      <c r="Y43" s="126">
        <f>SUM(Y41:Y42)</f>
        <v>-14.227999999999998</v>
      </c>
      <c r="Z43" s="126">
        <f>SUM(Z41:Z42)</f>
        <v>-7.9849999999999941</v>
      </c>
      <c r="AA43" s="126">
        <f>SUM(AA41:AA42)</f>
        <v>-1.0790000000000002</v>
      </c>
      <c r="AB43" s="126">
        <f t="shared" ref="AB43:AD43" si="27">SUM(AB41:AB42)</f>
        <v>-13.694999999999997</v>
      </c>
      <c r="AC43" s="126">
        <f t="shared" si="27"/>
        <v>-6</v>
      </c>
      <c r="AD43" s="126">
        <f t="shared" si="27"/>
        <v>-7.5190000000000055</v>
      </c>
      <c r="AE43" s="585"/>
      <c r="AG43" s="126">
        <f>SUM(C43:F43)</f>
        <v>-31</v>
      </c>
      <c r="AH43" s="126">
        <f>SUM(G43:J43)</f>
        <v>-42.335999999999999</v>
      </c>
      <c r="AI43" s="126">
        <f>SUM(K43:N43)</f>
        <v>-42.216999999999999</v>
      </c>
      <c r="AJ43" s="126">
        <f>SUM(O43:R43)</f>
        <v>-25.562999999999999</v>
      </c>
      <c r="AK43" s="126">
        <f>SUM(S43:V43)</f>
        <v>-34</v>
      </c>
      <c r="AL43" s="126">
        <f>SUM(W43:Z43)</f>
        <v>-35.072999999999993</v>
      </c>
      <c r="AM43" s="126">
        <f t="shared" si="24"/>
        <v>-28.293000000000003</v>
      </c>
    </row>
    <row r="44" spans="1:39" ht="14.5">
      <c r="A44" s="51"/>
      <c r="B44" s="62" t="s">
        <v>160</v>
      </c>
      <c r="C44" s="137">
        <v>-41</v>
      </c>
      <c r="D44" s="137">
        <v>-18</v>
      </c>
      <c r="E44" s="137">
        <v>-17</v>
      </c>
      <c r="F44" s="137">
        <v>-26.727000000000004</v>
      </c>
      <c r="G44" s="137">
        <v>-20</v>
      </c>
      <c r="H44" s="137">
        <v>-55</v>
      </c>
      <c r="I44" s="137">
        <v>-39</v>
      </c>
      <c r="J44" s="139">
        <v>34.388000000000005</v>
      </c>
      <c r="K44" s="139">
        <v>-13.361000000000001</v>
      </c>
      <c r="L44" s="137">
        <v>-20.219407809999996</v>
      </c>
      <c r="M44" s="137">
        <v>-51</v>
      </c>
      <c r="N44" s="139">
        <v>-18.754592189999997</v>
      </c>
      <c r="O44" s="139">
        <v>-11.343</v>
      </c>
      <c r="P44" s="139">
        <v>-23.138000000000002</v>
      </c>
      <c r="Q44" s="139">
        <v>-10.479999999999997</v>
      </c>
      <c r="R44" s="139">
        <v>-11.844000000000001</v>
      </c>
      <c r="S44" s="139">
        <f>-13169/1000</f>
        <v>-13.169</v>
      </c>
      <c r="T44" s="139">
        <v>-37</v>
      </c>
      <c r="U44" s="139">
        <f>-15+23</f>
        <v>8</v>
      </c>
      <c r="V44" s="139">
        <v>-30.831000000000003</v>
      </c>
      <c r="W44" s="139">
        <v>-8.4670000000000005</v>
      </c>
      <c r="X44" s="139">
        <v>-3</v>
      </c>
      <c r="Y44" s="139">
        <v>-12.816000000000001</v>
      </c>
      <c r="Z44" s="139">
        <v>-1.4609999999999985</v>
      </c>
      <c r="AA44" s="139">
        <v>33.905999999999999</v>
      </c>
      <c r="AB44" s="139">
        <v>-2.5699999999999976</v>
      </c>
      <c r="AC44" s="139">
        <v>-6</v>
      </c>
      <c r="AD44" s="139">
        <v>-31.918000000000003</v>
      </c>
      <c r="AE44" s="585"/>
      <c r="AG44" s="139">
        <f>SUM(C44:F44)</f>
        <v>-102.727</v>
      </c>
      <c r="AH44" s="139">
        <f>SUM(G44:J44)</f>
        <v>-79.611999999999995</v>
      </c>
      <c r="AI44" s="139">
        <f>SUM(K44:N44)</f>
        <v>-103.33499999999999</v>
      </c>
      <c r="AJ44" s="139">
        <f>SUM(O44:R44)</f>
        <v>-56.805</v>
      </c>
      <c r="AK44" s="139">
        <f>SUM(S44:V44)</f>
        <v>-73</v>
      </c>
      <c r="AL44" s="139">
        <f>SUM(W44:Z44)</f>
        <v>-25.744</v>
      </c>
      <c r="AM44" s="139">
        <f t="shared" si="24"/>
        <v>-6.5820000000000007</v>
      </c>
    </row>
    <row r="45" spans="1:39">
      <c r="B45" s="65" t="s">
        <v>216</v>
      </c>
      <c r="C45" s="115">
        <v>1</v>
      </c>
      <c r="D45" s="115">
        <v>0</v>
      </c>
      <c r="E45" s="115">
        <v>0</v>
      </c>
      <c r="F45" s="115">
        <v>0</v>
      </c>
      <c r="G45" s="115">
        <v>0</v>
      </c>
      <c r="H45" s="115">
        <v>0</v>
      </c>
      <c r="I45" s="115">
        <v>0</v>
      </c>
      <c r="J45" s="126">
        <v>1.008</v>
      </c>
      <c r="K45" s="126">
        <v>0.378</v>
      </c>
      <c r="L45" s="115">
        <v>0</v>
      </c>
      <c r="M45" s="115">
        <v>0</v>
      </c>
      <c r="N45" s="126">
        <v>1.907</v>
      </c>
      <c r="O45" s="126">
        <v>0.58599999999999997</v>
      </c>
      <c r="P45" s="126">
        <v>0.71299999999999997</v>
      </c>
      <c r="Q45" s="126">
        <v>0.87</v>
      </c>
      <c r="R45" s="126">
        <v>0.98</v>
      </c>
      <c r="S45" s="126">
        <f>1018/1000</f>
        <v>1.018</v>
      </c>
      <c r="T45" s="126">
        <v>1</v>
      </c>
      <c r="U45" s="126">
        <v>2</v>
      </c>
      <c r="V45" s="126">
        <v>0.98200000000000021</v>
      </c>
      <c r="W45" s="126">
        <v>1.391</v>
      </c>
      <c r="X45" s="126">
        <v>3</v>
      </c>
      <c r="Y45" s="126">
        <v>1.88</v>
      </c>
      <c r="Z45" s="126">
        <v>1.3710000000000004</v>
      </c>
      <c r="AA45" s="126">
        <v>1.4910000000000001</v>
      </c>
      <c r="AB45" s="126">
        <v>1.0489999999999999</v>
      </c>
      <c r="AC45" s="126">
        <v>1</v>
      </c>
      <c r="AD45" s="126">
        <v>1.0140000000000002</v>
      </c>
      <c r="AE45" s="585"/>
      <c r="AG45" s="126">
        <f>SUM(C45:F45)</f>
        <v>1</v>
      </c>
      <c r="AH45" s="126">
        <f>SUM(G45:J45)</f>
        <v>1.008</v>
      </c>
      <c r="AI45" s="126">
        <f>SUM(K45:N45)</f>
        <v>2.2850000000000001</v>
      </c>
      <c r="AJ45" s="126">
        <f>SUM(O45:R45)</f>
        <v>3.149</v>
      </c>
      <c r="AK45" s="126">
        <f>SUM(S45:V45)</f>
        <v>5</v>
      </c>
      <c r="AL45" s="126">
        <f>SUM(W45:Z45)</f>
        <v>7.6420000000000003</v>
      </c>
      <c r="AM45" s="126">
        <f t="shared" si="24"/>
        <v>4.5540000000000003</v>
      </c>
    </row>
    <row r="46" spans="1:39">
      <c r="B46" s="62"/>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585"/>
    </row>
    <row r="47" spans="1:39" s="52" customFormat="1" ht="14.15" customHeight="1">
      <c r="B47" s="142" t="s">
        <v>207</v>
      </c>
      <c r="C47" s="129">
        <v>3.2433000000000001</v>
      </c>
      <c r="D47" s="129">
        <v>3.6055999999999999</v>
      </c>
      <c r="E47" s="129">
        <v>3.9504999999999999</v>
      </c>
      <c r="F47" s="129">
        <v>3.8083999999999998</v>
      </c>
      <c r="G47" s="129">
        <v>3.7684000000000002</v>
      </c>
      <c r="H47" s="129">
        <v>3.92</v>
      </c>
      <c r="I47" s="129">
        <v>3.97</v>
      </c>
      <c r="J47" s="129">
        <v>4.1158000000000001</v>
      </c>
      <c r="K47" s="129">
        <v>4.4657</v>
      </c>
      <c r="L47" s="129">
        <v>5.3853999999999997</v>
      </c>
      <c r="M47" s="129">
        <v>5.3772000000000002</v>
      </c>
      <c r="N47" s="129">
        <v>5.3921000000000001</v>
      </c>
      <c r="O47" s="129">
        <v>5.4832999999999998</v>
      </c>
      <c r="P47" s="129">
        <v>5.2907241935483889</v>
      </c>
      <c r="Q47" s="129">
        <v>5.23</v>
      </c>
      <c r="R47" s="129">
        <v>5.59</v>
      </c>
      <c r="S47" s="129">
        <v>5.23</v>
      </c>
      <c r="T47" s="129">
        <v>4.9265612903225815</v>
      </c>
      <c r="U47" s="129">
        <v>5.2461723076923077</v>
      </c>
      <c r="V47" s="129">
        <v>5.255362903225806</v>
      </c>
      <c r="W47" s="129">
        <v>5.2</v>
      </c>
      <c r="X47" s="129">
        <v>4.95</v>
      </c>
      <c r="Y47" s="129">
        <v>4.88</v>
      </c>
      <c r="Z47" s="129">
        <v>4.9518616666666668</v>
      </c>
      <c r="AA47" s="129">
        <v>4.9516333333333336</v>
      </c>
      <c r="AB47" s="129">
        <v>5.21</v>
      </c>
      <c r="AC47" s="129">
        <v>5.5454166666666662</v>
      </c>
      <c r="AD47" s="129">
        <v>5.842133333333333</v>
      </c>
      <c r="AE47" s="222"/>
      <c r="AF47" s="275"/>
      <c r="AG47" s="129">
        <v>3.6557843999999999</v>
      </c>
      <c r="AH47" s="129">
        <v>3.9461185770751004</v>
      </c>
      <c r="AI47" s="129">
        <v>5.157772908366538</v>
      </c>
      <c r="AJ47" s="129">
        <v>5.3955605577689196</v>
      </c>
      <c r="AK47" s="129">
        <f>'9 - Demonstrativos Financeiros'!AK106</f>
        <v>5.17</v>
      </c>
      <c r="AL47" s="129">
        <f>'9 - Demonstrativos Financeiros'!AL106</f>
        <v>4.994497770275216</v>
      </c>
      <c r="AM47" s="129">
        <f>'9 - Demonstrativos Financeiros'!AM106</f>
        <v>5.388891666666666</v>
      </c>
    </row>
    <row r="48" spans="1:39" s="91" customFormat="1" ht="14.5">
      <c r="B48" s="142" t="s">
        <v>208</v>
      </c>
      <c r="C48" s="129">
        <v>3.3237999999999999</v>
      </c>
      <c r="D48" s="129">
        <v>3.8557999999999999</v>
      </c>
      <c r="E48" s="129">
        <v>4.0038999999999998</v>
      </c>
      <c r="F48" s="129">
        <v>3.8748</v>
      </c>
      <c r="G48" s="129">
        <v>3.8967000000000001</v>
      </c>
      <c r="H48" s="129">
        <v>3.83</v>
      </c>
      <c r="I48" s="129">
        <v>4.16</v>
      </c>
      <c r="J48" s="129">
        <v>4.0307000000000004</v>
      </c>
      <c r="K48" s="129">
        <v>5.1986999999999997</v>
      </c>
      <c r="L48" s="129">
        <v>5.476</v>
      </c>
      <c r="M48" s="129">
        <v>5.6406999999999998</v>
      </c>
      <c r="N48" s="129">
        <v>5.1966999999999999</v>
      </c>
      <c r="O48" s="129">
        <v>5.6973000000000003</v>
      </c>
      <c r="P48" s="129">
        <v>5.0022000000000002</v>
      </c>
      <c r="Q48" s="129">
        <v>5.44</v>
      </c>
      <c r="R48" s="129">
        <v>5.58</v>
      </c>
      <c r="S48" s="129">
        <v>4.74</v>
      </c>
      <c r="T48" s="129">
        <v>5.2380000000000004</v>
      </c>
      <c r="U48" s="129">
        <v>5.4066000000000001</v>
      </c>
      <c r="V48" s="129">
        <v>5.22</v>
      </c>
      <c r="W48" s="129">
        <v>5.08</v>
      </c>
      <c r="X48" s="130">
        <v>4.82</v>
      </c>
      <c r="Y48" s="130">
        <v>5.01</v>
      </c>
      <c r="Z48" s="130">
        <v>4.84</v>
      </c>
      <c r="AA48" s="130">
        <v>4.9962</v>
      </c>
      <c r="AB48" s="130">
        <v>5.5589000000000004</v>
      </c>
      <c r="AC48" s="130">
        <v>5.4481000000000002</v>
      </c>
      <c r="AD48" s="130">
        <v>6.1923000000000004</v>
      </c>
      <c r="AE48" s="222"/>
      <c r="AF48" s="276"/>
      <c r="AG48" s="129">
        <v>3.8748</v>
      </c>
      <c r="AH48" s="129">
        <v>4.0307000000000004</v>
      </c>
      <c r="AI48" s="129">
        <v>5.1966999999999999</v>
      </c>
      <c r="AJ48" s="129">
        <v>5.58</v>
      </c>
      <c r="AK48" s="129">
        <f>'9 - Demonstrativos Financeiros'!AK107</f>
        <v>5.22</v>
      </c>
      <c r="AL48" s="129">
        <f>'9 - Demonstrativos Financeiros'!AL107</f>
        <v>4.84</v>
      </c>
      <c r="AM48" s="129">
        <f>AD48</f>
        <v>6.1923000000000004</v>
      </c>
    </row>
    <row r="49" spans="2:39" s="91" customFormat="1" ht="14.5">
      <c r="B49" s="143" t="s">
        <v>209</v>
      </c>
      <c r="C49" s="186">
        <v>2159.1190476190477</v>
      </c>
      <c r="D49" s="186">
        <v>2259.2822580645161</v>
      </c>
      <c r="E49" s="186">
        <v>2056.8359375</v>
      </c>
      <c r="F49" s="186">
        <v>1970.53125</v>
      </c>
      <c r="G49" s="186">
        <v>1859.0079365079366</v>
      </c>
      <c r="H49" s="186">
        <v>1792.5081967213114</v>
      </c>
      <c r="I49" s="186">
        <v>1762.0923076923077</v>
      </c>
      <c r="J49" s="186">
        <v>1752.4921875</v>
      </c>
      <c r="K49" s="186">
        <v>1689.6875</v>
      </c>
      <c r="L49" s="186">
        <v>1496.516393442623</v>
      </c>
      <c r="M49" s="186">
        <v>1704.3153846153846</v>
      </c>
      <c r="N49" s="186">
        <v>1915.8203125</v>
      </c>
      <c r="O49" s="186">
        <v>2096.4206349206347</v>
      </c>
      <c r="P49" s="186">
        <v>2399.64</v>
      </c>
      <c r="Q49" s="186">
        <v>2648</v>
      </c>
      <c r="R49" s="186">
        <v>2762</v>
      </c>
      <c r="S49" s="186">
        <v>3280</v>
      </c>
      <c r="T49" s="186">
        <v>2874.7833333333333</v>
      </c>
      <c r="U49" s="186">
        <v>2353.5384615384614</v>
      </c>
      <c r="V49" s="186">
        <v>2323.531746031746</v>
      </c>
      <c r="W49" s="186">
        <v>2395</v>
      </c>
      <c r="X49" s="186">
        <v>2258</v>
      </c>
      <c r="Y49" s="186">
        <v>2154</v>
      </c>
      <c r="Z49" s="186">
        <v>2189.5055821371607</v>
      </c>
      <c r="AA49" s="186">
        <v>2199</v>
      </c>
      <c r="AB49" s="186">
        <v>2519.9</v>
      </c>
      <c r="AC49" s="186">
        <v>2382.1384615384613</v>
      </c>
      <c r="AD49" s="186">
        <v>2575</v>
      </c>
      <c r="AE49" s="536"/>
      <c r="AF49" s="276"/>
      <c r="AG49" s="186">
        <v>2110.084980237154</v>
      </c>
      <c r="AH49" s="186">
        <v>1791.1304347826087</v>
      </c>
      <c r="AI49" s="186">
        <v>1704.017716535433</v>
      </c>
      <c r="AJ49" s="186">
        <v>2479.620553359684</v>
      </c>
      <c r="AK49" s="406">
        <f>'9 - Demonstrativos Financeiros'!AK108</f>
        <v>2703</v>
      </c>
      <c r="AL49" s="406">
        <f>'9 - Demonstrativos Financeiros'!AL108</f>
        <v>2251.5628114794563</v>
      </c>
      <c r="AM49" s="406">
        <f>'9 - Demonstrativos Financeiros'!AM108</f>
        <v>2419</v>
      </c>
    </row>
    <row r="50" spans="2:39">
      <c r="C50" s="62"/>
      <c r="D50" s="62"/>
      <c r="E50" s="62"/>
    </row>
    <row r="51" spans="2:39">
      <c r="C51" s="92"/>
      <c r="D51" s="92"/>
      <c r="E51" s="92"/>
      <c r="F51" s="92"/>
      <c r="G51" s="92"/>
      <c r="H51" s="92"/>
      <c r="I51" s="92"/>
      <c r="J51" s="92"/>
      <c r="K51" s="92"/>
      <c r="L51" s="92"/>
      <c r="M51" s="92"/>
      <c r="N51" s="92"/>
      <c r="O51" s="92"/>
      <c r="P51" s="92"/>
      <c r="Q51" s="92"/>
      <c r="R51" s="92"/>
      <c r="S51" s="92"/>
      <c r="T51" s="219"/>
      <c r="U51" s="219"/>
      <c r="V51" s="219"/>
      <c r="W51" s="219"/>
      <c r="X51" s="219"/>
      <c r="Y51" s="219"/>
      <c r="Z51" s="219"/>
      <c r="AA51" s="219"/>
      <c r="AB51" s="219"/>
      <c r="AC51" s="219"/>
      <c r="AD51" s="219"/>
    </row>
  </sheetData>
  <pageMargins left="0.25" right="0.24" top="0.984251969" bottom="0.984251969" header="0.49212598499999999" footer="0.49212598499999999"/>
  <pageSetup paperSize="9" scale="77" orientation="landscape" r:id="rId1"/>
  <headerFooter alignWithMargins="0"/>
  <ignoredErrors>
    <ignoredError sqref="AG27:AJ29 AG43:AJ45 AG19:AJ25 AG33:AJ33 AG35:AJ41 S19:AC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tabColor rgb="FF00B050"/>
    <pageSetUpPr fitToPage="1"/>
  </sheetPr>
  <dimension ref="A1:Y88"/>
  <sheetViews>
    <sheetView showGridLines="0" topLeftCell="A4" zoomScale="85" zoomScaleNormal="85" zoomScaleSheetLayoutView="90" workbookViewId="0">
      <selection activeCell="V40" sqref="V40:V41"/>
    </sheetView>
  </sheetViews>
  <sheetFormatPr defaultColWidth="9.1796875" defaultRowHeight="12.5" outlineLevelCol="1"/>
  <cols>
    <col min="1" max="1" width="2.1796875" style="277" customWidth="1"/>
    <col min="2" max="2" width="40.81640625" style="277" bestFit="1" customWidth="1"/>
    <col min="3" max="14" width="10.1796875" style="277" hidden="1" customWidth="1" outlineLevel="1"/>
    <col min="15" max="15" width="10.453125" style="277" customWidth="1" collapsed="1"/>
    <col min="16" max="22" width="10.1796875" style="277" customWidth="1"/>
    <col min="23" max="23" width="10.81640625" style="277" bestFit="1" customWidth="1"/>
    <col min="24" max="16384" width="9.1796875" style="277"/>
  </cols>
  <sheetData>
    <row r="1" spans="1:25">
      <c r="A1" s="279"/>
      <c r="B1" s="294"/>
    </row>
    <row r="2" spans="1:25">
      <c r="A2" s="279"/>
      <c r="B2" s="294"/>
    </row>
    <row r="3" spans="1:25">
      <c r="A3" s="279"/>
      <c r="B3" s="294"/>
    </row>
    <row r="4" spans="1:25" ht="21" customHeight="1">
      <c r="A4" s="279"/>
      <c r="B4" s="295"/>
    </row>
    <row r="5" spans="1:25" ht="13">
      <c r="B5" s="296"/>
      <c r="C5" s="297"/>
      <c r="D5" s="297"/>
      <c r="E5" s="297"/>
      <c r="F5" s="297"/>
      <c r="G5" s="297"/>
      <c r="H5" s="297"/>
      <c r="I5" s="297"/>
      <c r="J5" s="297"/>
    </row>
    <row r="6" spans="1:25" s="298" customFormat="1" ht="14.25" customHeight="1" thickBot="1">
      <c r="B6" s="280" t="s">
        <v>226</v>
      </c>
      <c r="C6" s="299" t="s">
        <v>92</v>
      </c>
      <c r="D6" s="299" t="s">
        <v>93</v>
      </c>
      <c r="E6" s="299" t="s">
        <v>94</v>
      </c>
      <c r="F6" s="299" t="s">
        <v>95</v>
      </c>
      <c r="G6" s="299" t="s">
        <v>96</v>
      </c>
      <c r="H6" s="299" t="s">
        <v>97</v>
      </c>
      <c r="I6" s="299" t="s">
        <v>98</v>
      </c>
      <c r="J6" s="299" t="s">
        <v>99</v>
      </c>
      <c r="K6" s="299" t="s">
        <v>100</v>
      </c>
      <c r="L6" s="299" t="s">
        <v>101</v>
      </c>
      <c r="M6" s="299" t="s">
        <v>342</v>
      </c>
      <c r="N6" s="299" t="s">
        <v>348</v>
      </c>
      <c r="O6" s="299" t="s">
        <v>363</v>
      </c>
      <c r="P6" s="299" t="s">
        <v>392</v>
      </c>
      <c r="Q6" s="299" t="s">
        <v>404</v>
      </c>
      <c r="R6" s="299" t="s">
        <v>405</v>
      </c>
      <c r="S6" s="299" t="s">
        <v>478</v>
      </c>
      <c r="T6" s="299" t="s">
        <v>483</v>
      </c>
      <c r="U6" s="299" t="s">
        <v>488</v>
      </c>
      <c r="V6" s="299" t="s">
        <v>490</v>
      </c>
    </row>
    <row r="7" spans="1:25" ht="14.25" customHeight="1" thickTop="1">
      <c r="B7" s="300"/>
      <c r="D7" s="301"/>
      <c r="R7" s="297"/>
      <c r="S7" s="297"/>
      <c r="T7" s="297"/>
      <c r="U7" s="297"/>
      <c r="W7" s="297"/>
      <c r="Y7" s="302"/>
    </row>
    <row r="8" spans="1:25" ht="14.25" customHeight="1" thickBot="1">
      <c r="B8" s="289" t="s">
        <v>227</v>
      </c>
      <c r="C8" s="59">
        <f t="shared" ref="C8" si="0">SUM(C9:C14)</f>
        <v>6299.1521599968</v>
      </c>
      <c r="D8" s="59">
        <f t="shared" ref="D8:U8" si="1">SUM(D9:D14)</f>
        <v>6656.3298933347087</v>
      </c>
      <c r="E8" s="59">
        <f t="shared" si="1"/>
        <v>6925.1271216895448</v>
      </c>
      <c r="F8" s="59">
        <f t="shared" si="1"/>
        <v>7365.0042710935559</v>
      </c>
      <c r="G8" s="59">
        <f t="shared" si="1"/>
        <v>7033.1031063665368</v>
      </c>
      <c r="H8" s="59">
        <f t="shared" si="1"/>
        <v>7382.2246150528581</v>
      </c>
      <c r="I8" s="59">
        <f t="shared" si="1"/>
        <v>8729.5719868550459</v>
      </c>
      <c r="J8" s="59">
        <f t="shared" si="1"/>
        <v>9096.126943351228</v>
      </c>
      <c r="K8" s="59">
        <f t="shared" si="1"/>
        <v>8895.9399474776619</v>
      </c>
      <c r="L8" s="59">
        <f t="shared" si="1"/>
        <v>9801.493175396281</v>
      </c>
      <c r="M8" s="59">
        <f t="shared" si="1"/>
        <v>11231.687817351461</v>
      </c>
      <c r="N8" s="59">
        <f t="shared" si="1"/>
        <v>11696.060101154852</v>
      </c>
      <c r="O8" s="59">
        <f t="shared" si="1"/>
        <v>11320.515529078099</v>
      </c>
      <c r="P8" s="59">
        <f t="shared" si="1"/>
        <v>11290.482750944222</v>
      </c>
      <c r="Q8" s="59">
        <f t="shared" si="1"/>
        <v>10629.99666441405</v>
      </c>
      <c r="R8" s="59">
        <f t="shared" si="1"/>
        <v>10160.475931142417</v>
      </c>
      <c r="S8" s="59">
        <f t="shared" si="1"/>
        <v>9897.3246713737863</v>
      </c>
      <c r="T8" s="59">
        <f t="shared" si="1"/>
        <v>10478.322253761082</v>
      </c>
      <c r="U8" s="59">
        <f t="shared" si="1"/>
        <v>10820</v>
      </c>
      <c r="V8" s="59">
        <v>11328.443984586842</v>
      </c>
      <c r="W8" s="394"/>
      <c r="X8" s="297"/>
    </row>
    <row r="9" spans="1:25" ht="14">
      <c r="B9" s="303"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58">
        <v>3690</v>
      </c>
      <c r="V9" s="58">
        <v>3831.1134752453295</v>
      </c>
      <c r="W9" s="393"/>
      <c r="X9" s="297"/>
    </row>
    <row r="10" spans="1:25" ht="14">
      <c r="B10" s="304" t="s">
        <v>228</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U10" s="60">
        <v>1914</v>
      </c>
      <c r="V10" s="60">
        <v>2004.0572850046844</v>
      </c>
      <c r="X10" s="297"/>
    </row>
    <row r="11" spans="1:25" ht="14">
      <c r="B11" s="304" t="s">
        <v>229</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U11" s="60">
        <v>2402</v>
      </c>
      <c r="V11" s="60">
        <v>2418.9973004962885</v>
      </c>
      <c r="X11" s="297"/>
    </row>
    <row r="12" spans="1:25" ht="14">
      <c r="B12" s="304" t="s">
        <v>230</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60">
        <v>423</v>
      </c>
      <c r="V12" s="60">
        <v>426.47164330139788</v>
      </c>
      <c r="W12" s="305"/>
      <c r="X12" s="297"/>
    </row>
    <row r="13" spans="1:25" ht="14">
      <c r="B13" s="304" t="s">
        <v>231</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60">
        <v>1222</v>
      </c>
      <c r="V13" s="60">
        <v>1309.9008045802602</v>
      </c>
      <c r="W13" s="305"/>
      <c r="X13" s="297"/>
    </row>
    <row r="14" spans="1:25" ht="14">
      <c r="B14" s="304" t="s">
        <v>223</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U14" s="60">
        <v>1169</v>
      </c>
      <c r="V14" s="60">
        <v>1337.9034759588812</v>
      </c>
      <c r="X14" s="297"/>
    </row>
    <row r="15" spans="1:25" ht="14.5" thickBot="1">
      <c r="B15" s="289" t="s">
        <v>102</v>
      </c>
      <c r="C15" s="59">
        <f t="shared" ref="C15" si="2">SUM(C16:C20)</f>
        <v>7293.1681516866356</v>
      </c>
      <c r="D15" s="59">
        <f t="shared" ref="D15:U15" si="3">SUM(D16:D20)</f>
        <v>7221.6231371067188</v>
      </c>
      <c r="E15" s="59">
        <f t="shared" si="3"/>
        <v>7529.0293614029752</v>
      </c>
      <c r="F15" s="59">
        <f t="shared" si="3"/>
        <v>8086.5073291608223</v>
      </c>
      <c r="G15" s="59">
        <f t="shared" si="3"/>
        <v>8138.8161433581936</v>
      </c>
      <c r="H15" s="59">
        <f t="shared" si="3"/>
        <v>8891.8907820241038</v>
      </c>
      <c r="I15" s="59">
        <f t="shared" si="3"/>
        <v>9785.6565983827677</v>
      </c>
      <c r="J15" s="59">
        <f t="shared" si="3"/>
        <v>10565.82305442381</v>
      </c>
      <c r="K15" s="59">
        <f t="shared" si="3"/>
        <v>10434.629665614139</v>
      </c>
      <c r="L15" s="59">
        <f t="shared" si="3"/>
        <v>10894.504433525095</v>
      </c>
      <c r="M15" s="59">
        <f t="shared" si="3"/>
        <v>12194.47082931815</v>
      </c>
      <c r="N15" s="59">
        <f t="shared" si="3"/>
        <v>13141.451784527617</v>
      </c>
      <c r="O15" s="59">
        <f t="shared" si="3"/>
        <v>13328.796962332179</v>
      </c>
      <c r="P15" s="59">
        <f t="shared" si="3"/>
        <v>12932.022751898032</v>
      </c>
      <c r="Q15" s="59">
        <f t="shared" si="3"/>
        <v>12079.831523360923</v>
      </c>
      <c r="R15" s="59">
        <f t="shared" si="3"/>
        <v>11418.091324536354</v>
      </c>
      <c r="S15" s="59">
        <f t="shared" si="3"/>
        <v>11252.206176253339</v>
      </c>
      <c r="T15" s="59">
        <f t="shared" si="3"/>
        <v>11618.70396665523</v>
      </c>
      <c r="U15" s="59">
        <f t="shared" si="3"/>
        <v>12398</v>
      </c>
      <c r="V15" s="59">
        <v>12454.42998268524</v>
      </c>
      <c r="X15" s="297"/>
    </row>
    <row r="16" spans="1:25" ht="14">
      <c r="B16" s="303" t="s">
        <v>227</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U16" s="58">
        <v>8308</v>
      </c>
      <c r="V16" s="58">
        <v>8710.8770815203588</v>
      </c>
      <c r="X16" s="297"/>
    </row>
    <row r="17" spans="2:24" ht="14">
      <c r="B17" s="304" t="s">
        <v>232</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60">
        <v>2322</v>
      </c>
      <c r="V17" s="60">
        <v>1752.4985431996406</v>
      </c>
      <c r="W17" s="394"/>
      <c r="X17" s="297"/>
    </row>
    <row r="18" spans="2:24" ht="14">
      <c r="B18" s="304" t="s">
        <v>233</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U18" s="60">
        <v>326</v>
      </c>
      <c r="V18" s="60">
        <v>343.2550740020381</v>
      </c>
      <c r="X18" s="297"/>
    </row>
    <row r="19" spans="2:24" ht="14">
      <c r="B19" s="304" t="s">
        <v>234</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U19" s="60">
        <v>324</v>
      </c>
      <c r="V19" s="60">
        <v>355.26261470015561</v>
      </c>
      <c r="X19" s="297"/>
    </row>
    <row r="20" spans="2:24" ht="14">
      <c r="B20" s="304" t="s">
        <v>223</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U20" s="60">
        <v>1118</v>
      </c>
      <c r="V20" s="60">
        <v>1292.5366692630464</v>
      </c>
      <c r="X20" s="297"/>
    </row>
    <row r="21" spans="2:24" ht="14.5" thickBot="1">
      <c r="B21" s="289" t="s">
        <v>105</v>
      </c>
      <c r="C21" s="59">
        <f t="shared" ref="C21" si="4">SUM(C22:C26)</f>
        <v>13088.285413827907</v>
      </c>
      <c r="D21" s="59">
        <f t="shared" ref="D21:U21" si="5">SUM(D22:D26)</f>
        <v>13155.473572396235</v>
      </c>
      <c r="E21" s="59">
        <f t="shared" si="5"/>
        <v>13006.839445989628</v>
      </c>
      <c r="F21" s="59">
        <f t="shared" si="5"/>
        <v>13340.788389252823</v>
      </c>
      <c r="G21" s="59">
        <f t="shared" si="5"/>
        <v>13722.636907328157</v>
      </c>
      <c r="H21" s="59">
        <f t="shared" si="5"/>
        <v>14208.544063842999</v>
      </c>
      <c r="I21" s="59">
        <f t="shared" si="5"/>
        <v>15757.234814378156</v>
      </c>
      <c r="J21" s="59">
        <f t="shared" si="5"/>
        <v>17109.143993479422</v>
      </c>
      <c r="K21" s="59">
        <f t="shared" si="5"/>
        <v>18650.903508733201</v>
      </c>
      <c r="L21" s="59">
        <f t="shared" si="5"/>
        <v>19152.88875926816</v>
      </c>
      <c r="M21" s="59">
        <f t="shared" si="5"/>
        <v>20238.779966298422</v>
      </c>
      <c r="N21" s="59">
        <f t="shared" si="5"/>
        <v>20404.899105776392</v>
      </c>
      <c r="O21" s="59">
        <f t="shared" si="5"/>
        <v>19845.80344539143</v>
      </c>
      <c r="P21" s="59">
        <f t="shared" si="5"/>
        <v>19204.834353828966</v>
      </c>
      <c r="Q21" s="59">
        <f t="shared" si="5"/>
        <v>18983.288409848879</v>
      </c>
      <c r="R21" s="59">
        <f t="shared" si="5"/>
        <v>18523.51916945626</v>
      </c>
      <c r="S21" s="59">
        <f t="shared" si="5"/>
        <v>18103.485814975822</v>
      </c>
      <c r="T21" s="59">
        <f t="shared" si="5"/>
        <v>18146.532916635071</v>
      </c>
      <c r="U21" s="59">
        <f t="shared" si="5"/>
        <v>18854</v>
      </c>
      <c r="V21" s="59">
        <v>19632.458352830312</v>
      </c>
      <c r="X21" s="297"/>
    </row>
    <row r="22" spans="2:24" ht="14">
      <c r="B22" s="303" t="s">
        <v>227</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U22" s="60">
        <v>5833</v>
      </c>
      <c r="V22" s="60">
        <v>6350.0475407596359</v>
      </c>
      <c r="X22" s="297"/>
    </row>
    <row r="23" spans="2:24" ht="14">
      <c r="B23" s="304" t="s">
        <v>232</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60">
        <v>6218</v>
      </c>
      <c r="V23" s="60">
        <v>6017.3099765371271</v>
      </c>
      <c r="W23" s="394"/>
      <c r="X23" s="297"/>
    </row>
    <row r="24" spans="2:24" ht="14">
      <c r="B24" s="304" t="s">
        <v>233</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U24" s="60">
        <v>2418</v>
      </c>
      <c r="V24" s="60">
        <v>2552.1122190467499</v>
      </c>
      <c r="X24" s="297"/>
    </row>
    <row r="25" spans="2:24" ht="14">
      <c r="B25" s="304" t="s">
        <v>234</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U25" s="60">
        <v>3034</v>
      </c>
      <c r="V25" s="60">
        <v>3165.9784664774088</v>
      </c>
      <c r="X25" s="297"/>
    </row>
    <row r="26" spans="2:24" ht="14">
      <c r="B26" s="304" t="s">
        <v>223</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U26" s="60">
        <v>1351</v>
      </c>
      <c r="V26" s="60">
        <v>1547.0101500093886</v>
      </c>
      <c r="X26" s="297"/>
    </row>
    <row r="27" spans="2:24" ht="14">
      <c r="B27" s="304"/>
      <c r="C27" s="60"/>
      <c r="D27" s="60"/>
      <c r="E27" s="60"/>
      <c r="F27" s="60"/>
      <c r="G27" s="60"/>
      <c r="H27" s="60"/>
      <c r="I27" s="60"/>
      <c r="J27" s="60"/>
      <c r="K27" s="60"/>
      <c r="L27" s="60"/>
      <c r="M27" s="60"/>
      <c r="N27" s="60"/>
      <c r="O27" s="60"/>
      <c r="P27" s="60"/>
      <c r="Q27" s="60"/>
      <c r="R27" s="60"/>
      <c r="S27" s="60"/>
      <c r="T27" s="60"/>
      <c r="U27" s="60" t="s">
        <v>489</v>
      </c>
      <c r="V27" s="60"/>
    </row>
    <row r="28" spans="2:24" ht="14.5" thickBot="1">
      <c r="B28" s="289" t="s">
        <v>235</v>
      </c>
      <c r="C28" s="59">
        <f t="shared" ref="C28" si="6">SUM(C29:C31)</f>
        <v>161.27436600000001</v>
      </c>
      <c r="D28" s="59">
        <f t="shared" ref="D28:U28" si="7">SUM(D29:D31)</f>
        <v>161.376162502</v>
      </c>
      <c r="E28" s="59">
        <f t="shared" si="7"/>
        <v>181.64663899999999</v>
      </c>
      <c r="F28" s="59">
        <f t="shared" si="7"/>
        <v>193.447865111</v>
      </c>
      <c r="G28" s="59">
        <f t="shared" si="7"/>
        <v>196.21373000100002</v>
      </c>
      <c r="H28" s="59">
        <f t="shared" si="7"/>
        <v>202.10549281900001</v>
      </c>
      <c r="I28" s="59">
        <f t="shared" si="7"/>
        <v>199.22940149300001</v>
      </c>
      <c r="J28" s="59">
        <f t="shared" si="7"/>
        <v>196.31945432499998</v>
      </c>
      <c r="K28" s="59">
        <f t="shared" si="7"/>
        <v>182.447001443</v>
      </c>
      <c r="L28" s="59">
        <f t="shared" si="7"/>
        <v>184.84109272000001</v>
      </c>
      <c r="M28" s="59">
        <f t="shared" si="7"/>
        <v>196.530335159</v>
      </c>
      <c r="N28" s="59">
        <f t="shared" si="7"/>
        <v>190.2891425819999</v>
      </c>
      <c r="O28" s="59">
        <f t="shared" si="7"/>
        <v>176.061848075</v>
      </c>
      <c r="P28" s="59">
        <f t="shared" si="7"/>
        <v>177.59957083400002</v>
      </c>
      <c r="Q28" s="59">
        <f t="shared" si="7"/>
        <v>188.261334342</v>
      </c>
      <c r="R28" s="59">
        <f t="shared" si="7"/>
        <v>197.82499554000003</v>
      </c>
      <c r="S28" s="59">
        <f t="shared" si="7"/>
        <v>193.80223609113</v>
      </c>
      <c r="T28" s="59">
        <f t="shared" si="7"/>
        <v>206.70591785060998</v>
      </c>
      <c r="U28" s="59">
        <f t="shared" si="7"/>
        <v>211</v>
      </c>
      <c r="V28" s="59">
        <v>208.58821916253004</v>
      </c>
    </row>
    <row r="29" spans="2:24" ht="14">
      <c r="B29" s="303" t="s">
        <v>227</v>
      </c>
      <c r="C29" s="190">
        <v>72.272445000000005</v>
      </c>
      <c r="D29" s="190">
        <v>72.227784501999992</v>
      </c>
      <c r="E29" s="190">
        <v>79.473219999999998</v>
      </c>
      <c r="F29" s="190">
        <v>83.346918111000008</v>
      </c>
      <c r="G29" s="190">
        <v>84.548930001000002</v>
      </c>
      <c r="H29" s="190">
        <v>86.888590002000001</v>
      </c>
      <c r="I29" s="190">
        <v>87.091770006000004</v>
      </c>
      <c r="J29" s="190">
        <v>86.400676505999996</v>
      </c>
      <c r="K29" s="190">
        <v>83.667260000000013</v>
      </c>
      <c r="L29" s="190">
        <v>85.175390499999992</v>
      </c>
      <c r="M29" s="190">
        <v>91.339854502999998</v>
      </c>
      <c r="N29" s="190">
        <v>87.168257002999894</v>
      </c>
      <c r="O29" s="190">
        <v>79.028820004000011</v>
      </c>
      <c r="P29" s="190">
        <v>80.075796003000008</v>
      </c>
      <c r="Q29" s="190">
        <v>83.937843002999998</v>
      </c>
      <c r="R29" s="190">
        <v>86.502492001000007</v>
      </c>
      <c r="S29" s="190">
        <v>87.68945500800001</v>
      </c>
      <c r="T29" s="190">
        <v>90.507502504000001</v>
      </c>
      <c r="U29" s="190">
        <v>93</v>
      </c>
      <c r="V29" s="190">
        <v>93.322045052999997</v>
      </c>
      <c r="W29" s="297"/>
    </row>
    <row r="30" spans="2:24" ht="14">
      <c r="B30" s="304" t="s">
        <v>102</v>
      </c>
      <c r="C30" s="190">
        <v>63.037610000000001</v>
      </c>
      <c r="D30" s="190">
        <v>62.985299000000005</v>
      </c>
      <c r="E30" s="190">
        <v>68.960170000000005</v>
      </c>
      <c r="F30" s="190">
        <v>73.689449999999994</v>
      </c>
      <c r="G30" s="190">
        <v>72.463149999999999</v>
      </c>
      <c r="H30" s="190">
        <v>75.94041</v>
      </c>
      <c r="I30" s="190">
        <v>73.380390000000006</v>
      </c>
      <c r="J30" s="190">
        <v>73.417880000000011</v>
      </c>
      <c r="K30" s="190">
        <v>64.611249360000002</v>
      </c>
      <c r="L30" s="190">
        <v>64.368763999999999</v>
      </c>
      <c r="M30" s="190">
        <v>70.215000000000003</v>
      </c>
      <c r="N30" s="190">
        <v>69.278499999999994</v>
      </c>
      <c r="O30" s="190">
        <v>62.527000000000001</v>
      </c>
      <c r="P30" s="190">
        <v>65.203000000000003</v>
      </c>
      <c r="Q30" s="190">
        <v>73.047714963000004</v>
      </c>
      <c r="R30" s="190">
        <v>80.094974555999997</v>
      </c>
      <c r="S30" s="190">
        <v>74.63741892713</v>
      </c>
      <c r="T30" s="190">
        <v>82.688686902609987</v>
      </c>
      <c r="U30" s="190">
        <v>82</v>
      </c>
      <c r="V30" s="190">
        <v>80.298310205530015</v>
      </c>
      <c r="W30" s="297"/>
      <c r="X30" s="394"/>
    </row>
    <row r="31" spans="2:24" ht="14">
      <c r="B31" s="306" t="s">
        <v>105</v>
      </c>
      <c r="C31" s="191">
        <v>25.964311000000002</v>
      </c>
      <c r="D31" s="191">
        <v>26.163078999999996</v>
      </c>
      <c r="E31" s="191">
        <v>33.213248999999998</v>
      </c>
      <c r="F31" s="191">
        <v>36.411497000000004</v>
      </c>
      <c r="G31" s="191">
        <v>39.201650000000001</v>
      </c>
      <c r="H31" s="191">
        <v>39.276492817000005</v>
      </c>
      <c r="I31" s="191">
        <v>38.757241487000002</v>
      </c>
      <c r="J31" s="191">
        <v>36.500897819000002</v>
      </c>
      <c r="K31" s="191">
        <v>34.168492082999997</v>
      </c>
      <c r="L31" s="191">
        <v>35.296938220000001</v>
      </c>
      <c r="M31" s="191">
        <v>34.975480656000002</v>
      </c>
      <c r="N31" s="191">
        <v>33.842385579000002</v>
      </c>
      <c r="O31" s="191">
        <v>34.506028071000003</v>
      </c>
      <c r="P31" s="191">
        <v>32.320774831000001</v>
      </c>
      <c r="Q31" s="191">
        <v>31.275776376000003</v>
      </c>
      <c r="R31" s="191">
        <v>31.227528983000003</v>
      </c>
      <c r="S31" s="191">
        <v>31.475362156000003</v>
      </c>
      <c r="T31" s="191">
        <v>33.509728444000004</v>
      </c>
      <c r="U31" s="191">
        <v>36</v>
      </c>
      <c r="V31" s="191">
        <v>34.967863903999998</v>
      </c>
    </row>
    <row r="32" spans="2:24" ht="14">
      <c r="B32" s="307"/>
      <c r="C32" s="58"/>
      <c r="D32" s="58"/>
      <c r="E32" s="58"/>
      <c r="F32" s="58"/>
      <c r="G32" s="58"/>
      <c r="H32" s="58"/>
      <c r="I32" s="58"/>
      <c r="J32" s="58"/>
      <c r="K32" s="58"/>
      <c r="L32" s="58"/>
      <c r="M32" s="58"/>
      <c r="N32" s="58"/>
      <c r="O32" s="58"/>
      <c r="P32" s="58"/>
      <c r="Q32" s="360"/>
      <c r="R32" s="360"/>
      <c r="S32" s="360"/>
      <c r="T32" s="360"/>
      <c r="U32" s="360"/>
      <c r="V32" s="58"/>
    </row>
    <row r="33" spans="1:22" ht="14">
      <c r="B33" s="303"/>
      <c r="C33" s="58"/>
      <c r="D33" s="58"/>
      <c r="E33" s="58"/>
      <c r="F33" s="58"/>
      <c r="G33" s="58"/>
      <c r="H33" s="58"/>
      <c r="I33" s="58"/>
      <c r="J33" s="58"/>
      <c r="K33" s="58"/>
      <c r="L33" s="58"/>
      <c r="M33" s="58"/>
      <c r="N33" s="58"/>
      <c r="O33" s="58"/>
      <c r="P33" s="58"/>
      <c r="Q33" s="58"/>
      <c r="R33" s="58"/>
      <c r="S33" s="58"/>
      <c r="T33" s="58"/>
      <c r="U33" s="58"/>
      <c r="V33" s="58"/>
    </row>
    <row r="34" spans="1:22" ht="14.5" thickBot="1">
      <c r="B34" s="308" t="s">
        <v>210</v>
      </c>
      <c r="C34" s="299" t="s">
        <v>92</v>
      </c>
      <c r="D34" s="299" t="s">
        <v>93</v>
      </c>
      <c r="E34" s="299" t="s">
        <v>94</v>
      </c>
      <c r="F34" s="299" t="s">
        <v>95</v>
      </c>
      <c r="G34" s="299" t="s">
        <v>96</v>
      </c>
      <c r="H34" s="299" t="s">
        <v>97</v>
      </c>
      <c r="I34" s="299" t="s">
        <v>98</v>
      </c>
      <c r="J34" s="299" t="s">
        <v>99</v>
      </c>
      <c r="K34" s="299" t="s">
        <v>100</v>
      </c>
      <c r="L34" s="299" t="str">
        <f>L6</f>
        <v>2T22</v>
      </c>
      <c r="M34" s="299" t="s">
        <v>342</v>
      </c>
      <c r="N34" s="299" t="s">
        <v>348</v>
      </c>
      <c r="O34" s="299" t="s">
        <v>363</v>
      </c>
      <c r="P34" s="299" t="s">
        <v>392</v>
      </c>
      <c r="Q34" s="299" t="s">
        <v>404</v>
      </c>
      <c r="R34" s="299" t="s">
        <v>405</v>
      </c>
      <c r="S34" s="299" t="s">
        <v>478</v>
      </c>
      <c r="T34" s="299" t="s">
        <v>483</v>
      </c>
      <c r="U34" s="299" t="str">
        <f>U6</f>
        <v>3T24</v>
      </c>
      <c r="V34" s="299" t="s">
        <v>490</v>
      </c>
    </row>
    <row r="35" spans="1:22" ht="14.25" customHeight="1" thickTop="1">
      <c r="B35" s="300"/>
      <c r="D35" s="301"/>
    </row>
    <row r="36" spans="1:22" s="298" customFormat="1" ht="14.5" thickBot="1">
      <c r="B36" s="289" t="s">
        <v>74</v>
      </c>
      <c r="C36" s="59">
        <f t="shared" ref="C36:Q36" si="8">SUM(C37:C38)</f>
        <v>256.43430085394277</v>
      </c>
      <c r="D36" s="59">
        <f t="shared" si="8"/>
        <v>234.74784324783266</v>
      </c>
      <c r="E36" s="59">
        <f t="shared" si="8"/>
        <v>288.98157277411218</v>
      </c>
      <c r="F36" s="59">
        <f t="shared" si="8"/>
        <v>374.18744450970667</v>
      </c>
      <c r="G36" s="59">
        <f t="shared" si="8"/>
        <v>415.49275442486294</v>
      </c>
      <c r="H36" s="59">
        <f t="shared" si="8"/>
        <v>414.26863949214714</v>
      </c>
      <c r="I36" s="59">
        <f t="shared" si="8"/>
        <v>666.72318004768749</v>
      </c>
      <c r="J36" s="59">
        <f t="shared" si="8"/>
        <v>711.47393628483201</v>
      </c>
      <c r="K36" s="59">
        <f t="shared" si="8"/>
        <v>557.7215562676987</v>
      </c>
      <c r="L36" s="59">
        <f t="shared" si="8"/>
        <v>657.73795070698907</v>
      </c>
      <c r="M36" s="59">
        <f t="shared" si="8"/>
        <v>477.75029220920021</v>
      </c>
      <c r="N36" s="59">
        <f t="shared" si="8"/>
        <v>400.2897317348428</v>
      </c>
      <c r="O36" s="59">
        <f t="shared" si="8"/>
        <v>473.43832657283099</v>
      </c>
      <c r="P36" s="59">
        <f t="shared" si="8"/>
        <v>409.58742932244843</v>
      </c>
      <c r="Q36" s="59">
        <f t="shared" si="8"/>
        <v>420.95584013340795</v>
      </c>
      <c r="R36" s="59">
        <v>390.65117507567061</v>
      </c>
      <c r="S36" s="59">
        <v>327.61873620391395</v>
      </c>
      <c r="T36" s="59">
        <v>397.34824753504233</v>
      </c>
      <c r="U36" s="59">
        <v>457</v>
      </c>
      <c r="V36" s="59">
        <v>394.14021523071312</v>
      </c>
    </row>
    <row r="37" spans="1:22" ht="14.5" thickBot="1">
      <c r="B37" s="309"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c r="U37" s="77">
        <v>225</v>
      </c>
      <c r="V37" s="77">
        <v>171.85693097424257</v>
      </c>
    </row>
    <row r="38" spans="1:22" ht="14.5" thickBot="1">
      <c r="B38" s="289" t="s">
        <v>112</v>
      </c>
      <c r="C38" s="59">
        <f t="shared" ref="C38" si="9">SUM(C39:C41)</f>
        <v>175</v>
      </c>
      <c r="D38" s="59">
        <f t="shared" ref="D38:Q38" si="10">SUM(D39:D41)</f>
        <v>184</v>
      </c>
      <c r="E38" s="59">
        <f t="shared" si="10"/>
        <v>201</v>
      </c>
      <c r="F38" s="59">
        <f t="shared" si="10"/>
        <v>270</v>
      </c>
      <c r="G38" s="59">
        <f t="shared" si="10"/>
        <v>323</v>
      </c>
      <c r="H38" s="59">
        <f t="shared" si="10"/>
        <v>315</v>
      </c>
      <c r="I38" s="59">
        <f t="shared" si="10"/>
        <v>548</v>
      </c>
      <c r="J38" s="59">
        <f t="shared" si="10"/>
        <v>578</v>
      </c>
      <c r="K38" s="59">
        <f t="shared" si="10"/>
        <v>370</v>
      </c>
      <c r="L38" s="59">
        <f t="shared" si="10"/>
        <v>450.38207957595552</v>
      </c>
      <c r="M38" s="59">
        <f t="shared" si="10"/>
        <v>224.47205046369982</v>
      </c>
      <c r="N38" s="59">
        <f t="shared" si="10"/>
        <v>179.32835196879242</v>
      </c>
      <c r="O38" s="59">
        <f t="shared" si="10"/>
        <v>275.95870260383072</v>
      </c>
      <c r="P38" s="59">
        <f t="shared" si="10"/>
        <v>237.58722464473203</v>
      </c>
      <c r="Q38" s="59">
        <f t="shared" si="10"/>
        <v>267.89763962885195</v>
      </c>
      <c r="R38" s="59">
        <v>233.85009904508891</v>
      </c>
      <c r="S38" s="59">
        <v>161.13435657771004</v>
      </c>
      <c r="T38" s="59">
        <v>242.23511454690257</v>
      </c>
      <c r="U38" s="59">
        <v>232</v>
      </c>
      <c r="V38" s="59">
        <v>222.28328425647052</v>
      </c>
    </row>
    <row r="39" spans="1:22" ht="14">
      <c r="B39" s="310" t="s">
        <v>236</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c r="U39" s="61">
        <v>26</v>
      </c>
      <c r="V39" s="61">
        <v>0</v>
      </c>
    </row>
    <row r="40" spans="1:22" s="279" customFormat="1" ht="14">
      <c r="B40" s="310" t="s">
        <v>346</v>
      </c>
      <c r="C40" s="61">
        <v>37</v>
      </c>
      <c r="D40" s="61">
        <v>65</v>
      </c>
      <c r="E40" s="61">
        <v>69</v>
      </c>
      <c r="F40" s="61" t="s">
        <v>391</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c r="U40" s="61">
        <v>92</v>
      </c>
      <c r="V40" s="61">
        <v>92.535044720000002</v>
      </c>
    </row>
    <row r="41" spans="1:22" ht="14">
      <c r="B41" s="310"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c r="U41" s="61">
        <v>113</v>
      </c>
      <c r="V41" s="61">
        <v>129.74823953647052</v>
      </c>
    </row>
    <row r="42" spans="1:22">
      <c r="B42" s="192"/>
      <c r="C42" s="297"/>
      <c r="D42" s="297"/>
      <c r="E42" s="297"/>
      <c r="F42" s="297"/>
      <c r="G42" s="297"/>
      <c r="H42" s="297"/>
      <c r="I42" s="297"/>
      <c r="J42" s="297"/>
    </row>
    <row r="43" spans="1:22" ht="14.5" thickBot="1">
      <c r="B43" s="348" t="s">
        <v>224</v>
      </c>
      <c r="C43" s="348"/>
      <c r="D43" s="348"/>
      <c r="E43" s="348"/>
      <c r="F43" s="348"/>
      <c r="G43" s="348"/>
      <c r="H43" s="348"/>
      <c r="I43" s="348"/>
      <c r="J43" s="348"/>
      <c r="K43" s="348"/>
      <c r="L43" s="348"/>
      <c r="M43" s="348"/>
      <c r="N43" s="348"/>
      <c r="O43" s="348"/>
      <c r="P43" s="348"/>
      <c r="Q43" s="348"/>
      <c r="R43" s="348"/>
      <c r="S43" s="348"/>
      <c r="T43" s="348"/>
      <c r="U43" s="348"/>
      <c r="V43" s="117"/>
    </row>
    <row r="44" spans="1:22" ht="14.5" thickTop="1">
      <c r="B44" s="349" t="s">
        <v>237</v>
      </c>
      <c r="C44" s="350"/>
      <c r="D44" s="351"/>
      <c r="E44" s="351"/>
      <c r="F44" s="351"/>
      <c r="G44" s="351"/>
      <c r="H44" s="351"/>
      <c r="I44" s="351"/>
      <c r="J44" s="351"/>
      <c r="K44" s="351"/>
      <c r="L44" s="351"/>
      <c r="M44" s="351"/>
      <c r="N44" s="351"/>
      <c r="O44" s="351"/>
      <c r="P44" s="351"/>
      <c r="Q44" s="351"/>
      <c r="R44" s="351"/>
      <c r="S44" s="351"/>
      <c r="T44" s="351"/>
      <c r="U44" s="351"/>
      <c r="V44" s="351"/>
    </row>
    <row r="45" spans="1:22" s="311" customFormat="1" ht="14.25" customHeight="1">
      <c r="A45" s="277"/>
      <c r="B45" s="463" t="s">
        <v>238</v>
      </c>
      <c r="C45" s="584" t="s">
        <v>384</v>
      </c>
      <c r="D45" s="584"/>
      <c r="E45" s="584"/>
      <c r="F45" s="584"/>
      <c r="G45" s="584"/>
      <c r="H45" s="584"/>
      <c r="I45" s="584"/>
      <c r="J45" s="584"/>
      <c r="K45" s="584"/>
      <c r="L45" s="584"/>
      <c r="M45" s="584"/>
      <c r="N45" s="584"/>
      <c r="O45" s="584"/>
      <c r="P45" s="584"/>
      <c r="Q45" s="584"/>
      <c r="R45" s="584"/>
      <c r="S45" s="584"/>
      <c r="T45" s="584"/>
      <c r="U45" s="481"/>
      <c r="V45" s="481"/>
    </row>
    <row r="46" spans="1:22" s="311" customFormat="1" ht="14">
      <c r="A46" s="277"/>
      <c r="B46" s="463"/>
      <c r="C46" s="584"/>
      <c r="D46" s="584"/>
      <c r="E46" s="584"/>
      <c r="F46" s="584"/>
      <c r="G46" s="584"/>
      <c r="H46" s="584"/>
      <c r="I46" s="584"/>
      <c r="J46" s="584"/>
      <c r="K46" s="584"/>
      <c r="L46" s="584"/>
      <c r="M46" s="584"/>
      <c r="N46" s="584"/>
      <c r="O46" s="584"/>
      <c r="P46" s="584"/>
      <c r="Q46" s="584"/>
      <c r="R46" s="584"/>
      <c r="S46" s="584"/>
      <c r="T46" s="584"/>
      <c r="U46" s="481"/>
      <c r="V46" s="481"/>
    </row>
    <row r="47" spans="1:22" ht="14">
      <c r="B47" s="463"/>
      <c r="C47" s="584"/>
      <c r="D47" s="584"/>
      <c r="E47" s="584"/>
      <c r="F47" s="584"/>
      <c r="G47" s="584"/>
      <c r="H47" s="584"/>
      <c r="I47" s="584"/>
      <c r="J47" s="584"/>
      <c r="K47" s="584"/>
      <c r="L47" s="584"/>
      <c r="M47" s="584"/>
      <c r="N47" s="584"/>
      <c r="O47" s="584"/>
      <c r="P47" s="584"/>
      <c r="Q47" s="584"/>
      <c r="R47" s="584"/>
      <c r="S47" s="584"/>
      <c r="T47" s="584"/>
      <c r="U47" s="481"/>
      <c r="V47" s="481"/>
    </row>
    <row r="48" spans="1:22" ht="14">
      <c r="B48" s="463" t="s">
        <v>239</v>
      </c>
      <c r="C48" s="464" t="s">
        <v>240</v>
      </c>
      <c r="D48" s="463"/>
      <c r="E48" s="463"/>
      <c r="F48" s="463"/>
      <c r="G48" s="463"/>
      <c r="H48" s="463"/>
      <c r="I48" s="463"/>
      <c r="J48" s="463"/>
      <c r="K48" s="463"/>
      <c r="L48" s="463"/>
      <c r="M48" s="463"/>
      <c r="N48" s="463"/>
      <c r="O48" s="463"/>
      <c r="P48" s="463"/>
      <c r="Q48" s="463"/>
      <c r="R48" s="463"/>
      <c r="S48" s="463"/>
      <c r="T48" s="463"/>
      <c r="U48" s="463"/>
      <c r="V48" s="463"/>
    </row>
    <row r="49" spans="2:22" ht="14">
      <c r="B49" s="464" t="s">
        <v>241</v>
      </c>
      <c r="C49" s="464" t="s">
        <v>242</v>
      </c>
      <c r="D49" s="464"/>
      <c r="E49" s="464"/>
      <c r="F49" s="464"/>
      <c r="G49" s="464"/>
      <c r="H49" s="464"/>
      <c r="I49" s="464"/>
      <c r="J49" s="464"/>
      <c r="K49" s="464"/>
      <c r="L49" s="464"/>
      <c r="M49" s="464"/>
      <c r="N49" s="464"/>
      <c r="O49" s="464"/>
      <c r="P49" s="464"/>
      <c r="Q49" s="464"/>
      <c r="R49" s="464"/>
      <c r="S49" s="464"/>
      <c r="T49" s="464"/>
      <c r="U49" s="464"/>
      <c r="V49" s="464"/>
    </row>
    <row r="50" spans="2:22" ht="14">
      <c r="B50" s="463" t="s">
        <v>243</v>
      </c>
      <c r="C50" s="464" t="s">
        <v>244</v>
      </c>
      <c r="D50" s="463"/>
      <c r="E50" s="463"/>
      <c r="F50" s="463"/>
      <c r="G50" s="463"/>
      <c r="H50" s="463"/>
      <c r="I50" s="463"/>
      <c r="J50" s="463"/>
      <c r="K50" s="463"/>
      <c r="L50" s="463"/>
      <c r="M50" s="463"/>
      <c r="N50" s="463"/>
      <c r="O50" s="463"/>
      <c r="P50" s="463"/>
      <c r="Q50" s="463"/>
      <c r="R50" s="463"/>
      <c r="S50" s="463"/>
      <c r="T50" s="463"/>
      <c r="U50" s="463"/>
      <c r="V50" s="463"/>
    </row>
    <row r="51" spans="2:22" ht="14">
      <c r="B51" s="463" t="s">
        <v>245</v>
      </c>
      <c r="C51" s="464" t="s">
        <v>246</v>
      </c>
      <c r="D51" s="463"/>
      <c r="E51" s="463"/>
      <c r="F51" s="463"/>
      <c r="G51" s="463"/>
      <c r="H51" s="463"/>
      <c r="I51" s="463"/>
      <c r="J51" s="463"/>
      <c r="K51" s="463"/>
      <c r="L51" s="463"/>
      <c r="M51" s="463"/>
      <c r="N51" s="463"/>
      <c r="O51" s="463"/>
      <c r="P51" s="463"/>
      <c r="Q51" s="463"/>
      <c r="R51" s="463"/>
      <c r="S51" s="463"/>
      <c r="T51" s="463"/>
      <c r="U51" s="463"/>
      <c r="V51" s="463"/>
    </row>
    <row r="52" spans="2:22" ht="14">
      <c r="B52" s="463" t="s">
        <v>247</v>
      </c>
      <c r="C52" s="464" t="s">
        <v>248</v>
      </c>
      <c r="D52" s="463"/>
      <c r="E52" s="463"/>
      <c r="F52" s="463"/>
      <c r="G52" s="463"/>
      <c r="H52" s="463"/>
      <c r="I52" s="463"/>
      <c r="J52" s="463"/>
      <c r="K52" s="463"/>
      <c r="L52" s="463"/>
      <c r="M52" s="463"/>
      <c r="N52" s="463"/>
      <c r="O52" s="463"/>
      <c r="P52" s="463"/>
      <c r="Q52" s="463"/>
      <c r="R52" s="463"/>
      <c r="S52" s="463"/>
      <c r="T52" s="463"/>
      <c r="U52" s="463"/>
      <c r="V52" s="463"/>
    </row>
    <row r="53" spans="2:22" ht="14">
      <c r="B53" s="351"/>
      <c r="C53" s="350"/>
      <c r="D53" s="351"/>
      <c r="E53" s="351"/>
      <c r="F53" s="351"/>
      <c r="G53" s="351"/>
      <c r="H53" s="351"/>
      <c r="I53" s="351"/>
      <c r="J53" s="351"/>
      <c r="K53" s="351"/>
      <c r="L53" s="351"/>
      <c r="M53" s="351"/>
      <c r="N53" s="351"/>
      <c r="O53" s="351"/>
      <c r="P53" s="351"/>
      <c r="Q53" s="351"/>
      <c r="R53" s="351"/>
      <c r="S53" s="351"/>
      <c r="T53" s="351"/>
      <c r="U53" s="351"/>
      <c r="V53" s="351"/>
    </row>
    <row r="54" spans="2:22" ht="14">
      <c r="B54" s="351"/>
      <c r="C54" s="350"/>
      <c r="D54" s="351"/>
      <c r="E54" s="351"/>
      <c r="F54" s="351"/>
      <c r="G54" s="351"/>
      <c r="H54" s="351"/>
      <c r="I54" s="351"/>
      <c r="J54" s="351"/>
      <c r="K54" s="351"/>
      <c r="L54" s="351"/>
      <c r="M54" s="351"/>
      <c r="N54" s="351"/>
      <c r="O54" s="351"/>
      <c r="P54" s="351"/>
      <c r="Q54" s="351"/>
      <c r="R54" s="351"/>
      <c r="S54" s="351"/>
      <c r="T54" s="351"/>
      <c r="U54" s="351"/>
      <c r="V54" s="351"/>
    </row>
    <row r="55" spans="2:22" ht="14">
      <c r="B55" s="349" t="s">
        <v>102</v>
      </c>
      <c r="C55" s="350"/>
      <c r="D55" s="351"/>
      <c r="E55" s="351"/>
      <c r="F55" s="351"/>
      <c r="G55" s="351"/>
      <c r="H55" s="351"/>
      <c r="I55" s="351"/>
      <c r="J55" s="351"/>
      <c r="K55" s="351"/>
      <c r="L55" s="351"/>
      <c r="M55" s="351"/>
      <c r="N55" s="351"/>
      <c r="O55" s="351"/>
      <c r="P55" s="351"/>
      <c r="Q55" s="351"/>
      <c r="R55" s="351"/>
      <c r="S55" s="351"/>
      <c r="T55" s="351"/>
      <c r="U55" s="351"/>
      <c r="V55" s="351"/>
    </row>
    <row r="56" spans="2:22" ht="14.25" customHeight="1">
      <c r="B56" s="351" t="s">
        <v>249</v>
      </c>
      <c r="C56" s="582" t="s">
        <v>250</v>
      </c>
      <c r="D56" s="582"/>
      <c r="E56" s="582"/>
      <c r="F56" s="582"/>
      <c r="G56" s="582"/>
      <c r="H56" s="582"/>
      <c r="I56" s="582"/>
      <c r="J56" s="582"/>
      <c r="K56" s="582"/>
      <c r="L56" s="582"/>
      <c r="M56" s="582"/>
      <c r="N56" s="582"/>
      <c r="O56" s="582"/>
      <c r="P56" s="582"/>
      <c r="Q56" s="582"/>
      <c r="R56" s="582"/>
      <c r="S56" s="582"/>
      <c r="T56" s="582"/>
      <c r="U56" s="479"/>
      <c r="V56" s="479"/>
    </row>
    <row r="57" spans="2:22" ht="14">
      <c r="B57" s="351" t="s">
        <v>251</v>
      </c>
      <c r="C57" s="350" t="s">
        <v>252</v>
      </c>
      <c r="D57" s="350"/>
      <c r="E57" s="350"/>
      <c r="F57" s="350"/>
      <c r="G57" s="350"/>
      <c r="H57" s="350"/>
      <c r="I57" s="350"/>
      <c r="J57" s="350"/>
      <c r="K57" s="350"/>
      <c r="L57" s="350"/>
      <c r="M57" s="350"/>
      <c r="N57" s="350"/>
      <c r="O57" s="350"/>
      <c r="P57" s="350"/>
      <c r="Q57" s="350"/>
      <c r="R57" s="350"/>
      <c r="S57" s="350"/>
      <c r="T57" s="350"/>
      <c r="U57" s="350"/>
      <c r="V57" s="350"/>
    </row>
    <row r="58" spans="2:22" ht="14">
      <c r="B58" s="351" t="s">
        <v>243</v>
      </c>
      <c r="C58" s="350" t="s">
        <v>253</v>
      </c>
      <c r="D58" s="350"/>
      <c r="E58" s="350"/>
      <c r="F58" s="350"/>
      <c r="G58" s="350"/>
      <c r="H58" s="350"/>
      <c r="I58" s="350"/>
      <c r="J58" s="350"/>
      <c r="K58" s="350"/>
      <c r="L58" s="350"/>
      <c r="M58" s="350"/>
      <c r="N58" s="350"/>
      <c r="O58" s="350"/>
      <c r="P58" s="350"/>
      <c r="Q58" s="350"/>
      <c r="R58" s="350"/>
      <c r="S58" s="350"/>
      <c r="T58" s="350"/>
      <c r="U58" s="350"/>
      <c r="V58" s="350"/>
    </row>
    <row r="59" spans="2:22" ht="14">
      <c r="B59" s="351" t="s">
        <v>254</v>
      </c>
      <c r="C59" s="350" t="s">
        <v>255</v>
      </c>
      <c r="D59" s="350"/>
      <c r="E59" s="350"/>
      <c r="F59" s="350"/>
      <c r="G59" s="350"/>
      <c r="H59" s="350"/>
      <c r="I59" s="350"/>
      <c r="J59" s="350"/>
      <c r="K59" s="350"/>
      <c r="L59" s="350"/>
      <c r="M59" s="350"/>
      <c r="N59" s="350"/>
      <c r="O59" s="350"/>
      <c r="P59" s="350"/>
      <c r="Q59" s="350"/>
      <c r="R59" s="350"/>
      <c r="S59" s="350"/>
      <c r="T59" s="350"/>
      <c r="U59" s="350"/>
      <c r="V59" s="350"/>
    </row>
    <row r="60" spans="2:22" s="279" customFormat="1" ht="14">
      <c r="B60" s="350" t="s">
        <v>256</v>
      </c>
      <c r="C60" s="350" t="s">
        <v>257</v>
      </c>
      <c r="D60" s="350"/>
      <c r="E60" s="350"/>
      <c r="F60" s="350"/>
      <c r="G60" s="350"/>
      <c r="H60" s="350"/>
      <c r="I60" s="350"/>
      <c r="J60" s="350"/>
      <c r="K60" s="350"/>
      <c r="L60" s="350"/>
      <c r="M60" s="350"/>
      <c r="N60" s="350"/>
      <c r="O60" s="350"/>
      <c r="P60" s="350"/>
      <c r="Q60" s="350"/>
      <c r="R60" s="350"/>
      <c r="S60" s="350"/>
      <c r="T60" s="350"/>
      <c r="U60" s="350"/>
      <c r="V60" s="350"/>
    </row>
    <row r="61" spans="2:22" ht="14">
      <c r="B61" s="351"/>
      <c r="C61" s="350"/>
      <c r="D61" s="350"/>
      <c r="E61" s="350"/>
      <c r="F61" s="350"/>
      <c r="G61" s="350"/>
      <c r="H61" s="350"/>
      <c r="I61" s="350"/>
      <c r="J61" s="350"/>
      <c r="K61" s="350"/>
      <c r="L61" s="350"/>
      <c r="M61" s="350"/>
      <c r="N61" s="350"/>
      <c r="O61" s="350"/>
      <c r="P61" s="350"/>
      <c r="Q61" s="350"/>
      <c r="R61" s="350"/>
      <c r="S61" s="350"/>
      <c r="T61" s="350"/>
      <c r="U61" s="350"/>
      <c r="V61" s="350"/>
    </row>
    <row r="62" spans="2:22" ht="14">
      <c r="B62" s="349" t="s">
        <v>105</v>
      </c>
      <c r="C62" s="350"/>
      <c r="D62" s="350"/>
      <c r="E62" s="350"/>
      <c r="F62" s="350"/>
      <c r="G62" s="350"/>
      <c r="H62" s="350"/>
      <c r="I62" s="350"/>
      <c r="J62" s="350"/>
      <c r="K62" s="350"/>
      <c r="L62" s="350"/>
      <c r="M62" s="350"/>
      <c r="N62" s="350"/>
      <c r="O62" s="350"/>
      <c r="P62" s="350"/>
      <c r="Q62" s="350"/>
      <c r="R62" s="350"/>
      <c r="S62" s="350"/>
      <c r="T62" s="350"/>
      <c r="U62" s="350"/>
      <c r="V62" s="350"/>
    </row>
    <row r="63" spans="2:22" ht="14.25" customHeight="1">
      <c r="B63" s="351" t="s">
        <v>249</v>
      </c>
      <c r="C63" s="582" t="s">
        <v>258</v>
      </c>
      <c r="D63" s="582"/>
      <c r="E63" s="582"/>
      <c r="F63" s="582"/>
      <c r="G63" s="582"/>
      <c r="H63" s="582"/>
      <c r="I63" s="582"/>
      <c r="J63" s="582"/>
      <c r="K63" s="582"/>
      <c r="L63" s="582"/>
      <c r="M63" s="582"/>
      <c r="N63" s="582"/>
      <c r="O63" s="582"/>
      <c r="P63" s="582"/>
      <c r="Q63" s="582"/>
      <c r="R63" s="582"/>
      <c r="S63" s="582"/>
      <c r="T63" s="582"/>
      <c r="U63" s="479"/>
      <c r="V63" s="479"/>
    </row>
    <row r="64" spans="2:22" ht="14">
      <c r="B64" s="351" t="s">
        <v>251</v>
      </c>
      <c r="C64" s="350" t="s">
        <v>252</v>
      </c>
      <c r="D64" s="352"/>
      <c r="E64" s="352"/>
      <c r="F64" s="352"/>
      <c r="G64" s="352"/>
      <c r="H64" s="352"/>
      <c r="I64" s="352"/>
      <c r="J64" s="352"/>
      <c r="K64" s="352"/>
      <c r="L64" s="352"/>
      <c r="M64" s="352"/>
      <c r="N64" s="352"/>
      <c r="O64" s="352"/>
      <c r="P64" s="352"/>
      <c r="Q64" s="352"/>
      <c r="R64" s="352"/>
      <c r="S64" s="352"/>
      <c r="T64" s="352"/>
      <c r="U64" s="352"/>
      <c r="V64" s="352"/>
    </row>
    <row r="65" spans="2:22" ht="14">
      <c r="B65" s="351" t="s">
        <v>243</v>
      </c>
      <c r="C65" s="350" t="s">
        <v>259</v>
      </c>
      <c r="D65" s="351"/>
      <c r="E65" s="351"/>
      <c r="F65" s="351"/>
      <c r="G65" s="351"/>
      <c r="H65" s="351"/>
      <c r="I65" s="351"/>
      <c r="J65" s="351"/>
      <c r="K65" s="351"/>
      <c r="L65" s="351"/>
      <c r="M65" s="351"/>
      <c r="N65" s="351"/>
      <c r="O65" s="351"/>
      <c r="P65" s="351"/>
      <c r="Q65" s="351"/>
      <c r="R65" s="351"/>
      <c r="S65" s="351"/>
      <c r="T65" s="351"/>
      <c r="U65" s="351"/>
      <c r="V65" s="351"/>
    </row>
    <row r="66" spans="2:22" ht="14">
      <c r="B66" s="351" t="s">
        <v>254</v>
      </c>
      <c r="C66" s="350" t="s">
        <v>260</v>
      </c>
      <c r="D66" s="351"/>
      <c r="E66" s="351"/>
      <c r="F66" s="351"/>
      <c r="G66" s="351"/>
      <c r="H66" s="351"/>
      <c r="I66" s="351"/>
      <c r="J66" s="351"/>
      <c r="K66" s="351"/>
      <c r="L66" s="351"/>
      <c r="M66" s="351"/>
      <c r="N66" s="351"/>
      <c r="O66" s="351"/>
      <c r="P66" s="351"/>
      <c r="Q66" s="351"/>
      <c r="R66" s="351"/>
      <c r="S66" s="351"/>
      <c r="T66" s="351"/>
      <c r="U66" s="351"/>
      <c r="V66" s="351"/>
    </row>
    <row r="67" spans="2:22" s="279" customFormat="1" ht="14">
      <c r="B67" s="350" t="s">
        <v>256</v>
      </c>
      <c r="C67" s="350" t="s">
        <v>257</v>
      </c>
      <c r="D67" s="350"/>
      <c r="E67" s="350"/>
      <c r="F67" s="350"/>
      <c r="G67" s="350"/>
      <c r="H67" s="350"/>
      <c r="I67" s="350"/>
      <c r="J67" s="350"/>
      <c r="K67" s="350"/>
      <c r="L67" s="350"/>
      <c r="M67" s="350"/>
      <c r="N67" s="350"/>
      <c r="O67" s="350"/>
      <c r="P67" s="350"/>
      <c r="Q67" s="350"/>
      <c r="R67" s="350"/>
      <c r="S67" s="350"/>
      <c r="T67" s="350"/>
      <c r="U67" s="350"/>
      <c r="V67" s="350"/>
    </row>
    <row r="68" spans="2:22" ht="14">
      <c r="B68" s="351"/>
      <c r="C68" s="350"/>
      <c r="D68" s="351"/>
      <c r="E68" s="351"/>
      <c r="F68" s="351"/>
      <c r="G68" s="351"/>
      <c r="H68" s="351"/>
      <c r="I68" s="351"/>
      <c r="J68" s="351"/>
      <c r="K68" s="351"/>
      <c r="L68" s="351"/>
      <c r="M68" s="351"/>
      <c r="N68" s="351"/>
      <c r="O68" s="351"/>
      <c r="P68" s="351"/>
      <c r="Q68" s="351"/>
      <c r="R68" s="351"/>
      <c r="S68" s="351"/>
      <c r="T68" s="351"/>
      <c r="U68" s="351"/>
      <c r="V68" s="351"/>
    </row>
    <row r="69" spans="2:22" ht="14">
      <c r="B69" s="349" t="s">
        <v>109</v>
      </c>
      <c r="C69" s="350"/>
      <c r="D69" s="351"/>
      <c r="E69" s="351"/>
      <c r="F69" s="351"/>
      <c r="G69" s="351"/>
      <c r="H69" s="351"/>
      <c r="I69" s="351"/>
      <c r="J69" s="351"/>
      <c r="K69" s="351"/>
      <c r="L69" s="351"/>
      <c r="M69" s="351"/>
      <c r="N69" s="351"/>
      <c r="O69" s="351"/>
      <c r="P69" s="351"/>
      <c r="Q69" s="351"/>
      <c r="R69" s="351"/>
      <c r="S69" s="351"/>
      <c r="T69" s="351"/>
      <c r="U69" s="351"/>
      <c r="V69" s="351"/>
    </row>
    <row r="70" spans="2:22" ht="14">
      <c r="B70" s="351" t="s">
        <v>261</v>
      </c>
      <c r="C70" s="350" t="s">
        <v>262</v>
      </c>
      <c r="D70" s="351"/>
      <c r="E70" s="351"/>
      <c r="F70" s="351"/>
      <c r="G70" s="351"/>
      <c r="H70" s="351"/>
      <c r="I70" s="351"/>
      <c r="J70" s="351"/>
      <c r="K70" s="351"/>
      <c r="L70" s="351"/>
      <c r="M70" s="351"/>
      <c r="N70" s="351"/>
      <c r="O70" s="351"/>
      <c r="P70" s="351"/>
      <c r="Q70" s="351"/>
      <c r="R70" s="351"/>
      <c r="S70" s="351"/>
      <c r="T70" s="351"/>
      <c r="U70" s="351"/>
      <c r="V70" s="351"/>
    </row>
    <row r="71" spans="2:22" ht="14">
      <c r="B71" s="351"/>
      <c r="C71" s="350"/>
      <c r="D71" s="351"/>
      <c r="E71" s="351"/>
      <c r="F71" s="351"/>
      <c r="G71" s="351"/>
      <c r="H71" s="351"/>
      <c r="I71" s="351"/>
      <c r="J71" s="351"/>
      <c r="K71" s="351"/>
      <c r="L71" s="351"/>
      <c r="M71" s="351"/>
      <c r="N71" s="351"/>
      <c r="O71" s="351"/>
      <c r="P71" s="351"/>
      <c r="Q71" s="351"/>
      <c r="R71" s="351"/>
      <c r="S71" s="351"/>
      <c r="T71" s="351"/>
      <c r="U71" s="351"/>
      <c r="V71" s="351"/>
    </row>
    <row r="72" spans="2:22" ht="14">
      <c r="B72" s="349" t="s">
        <v>112</v>
      </c>
      <c r="C72" s="350"/>
      <c r="D72" s="351"/>
      <c r="E72" s="351"/>
      <c r="F72" s="351"/>
      <c r="G72" s="351"/>
      <c r="H72" s="351"/>
      <c r="I72" s="351"/>
      <c r="J72" s="351"/>
      <c r="K72" s="351"/>
      <c r="L72" s="351"/>
      <c r="M72" s="351"/>
      <c r="N72" s="351"/>
      <c r="O72" s="351"/>
      <c r="P72" s="351"/>
      <c r="Q72" s="351"/>
      <c r="R72" s="351"/>
      <c r="S72" s="351"/>
      <c r="T72" s="351"/>
      <c r="U72" s="351"/>
      <c r="V72" s="351"/>
    </row>
    <row r="73" spans="2:22" ht="14">
      <c r="B73" s="351" t="s">
        <v>263</v>
      </c>
      <c r="C73" s="350" t="s">
        <v>264</v>
      </c>
      <c r="D73" s="351"/>
      <c r="E73" s="351"/>
      <c r="F73" s="351"/>
      <c r="G73" s="351"/>
      <c r="H73" s="351"/>
      <c r="I73" s="351"/>
      <c r="J73" s="351"/>
      <c r="K73" s="351"/>
      <c r="L73" s="351"/>
      <c r="M73" s="351"/>
      <c r="N73" s="351"/>
      <c r="O73" s="351"/>
      <c r="P73" s="351"/>
      <c r="Q73" s="351"/>
      <c r="R73" s="351"/>
      <c r="S73" s="351"/>
      <c r="T73" s="351"/>
      <c r="U73" s="351"/>
      <c r="V73" s="351"/>
    </row>
    <row r="74" spans="2:22" ht="14.5">
      <c r="B74" s="351" t="s">
        <v>265</v>
      </c>
      <c r="C74" s="350" t="s">
        <v>266</v>
      </c>
      <c r="D74" s="351"/>
      <c r="E74" s="351"/>
      <c r="F74" s="351"/>
      <c r="G74" s="351"/>
      <c r="H74" s="351"/>
      <c r="I74" s="351"/>
      <c r="J74" s="351"/>
      <c r="K74" s="351"/>
      <c r="L74" s="351"/>
      <c r="M74" s="351"/>
      <c r="N74" s="351"/>
      <c r="O74" s="351"/>
      <c r="P74" s="351"/>
      <c r="Q74" s="351"/>
      <c r="R74" s="351"/>
      <c r="S74" s="351"/>
      <c r="T74" s="351"/>
      <c r="U74" s="351"/>
      <c r="V74" s="351"/>
    </row>
    <row r="75" spans="2:22">
      <c r="B75" s="353"/>
      <c r="C75" s="353"/>
      <c r="D75" s="353"/>
      <c r="E75" s="353"/>
      <c r="F75" s="353"/>
      <c r="G75" s="353"/>
      <c r="H75" s="353"/>
      <c r="I75" s="353"/>
      <c r="J75" s="353"/>
      <c r="K75" s="353"/>
      <c r="L75" s="353"/>
      <c r="M75" s="353"/>
      <c r="N75" s="353"/>
      <c r="O75" s="353"/>
      <c r="P75" s="353"/>
      <c r="Q75" s="353"/>
      <c r="R75" s="353"/>
      <c r="S75" s="353"/>
      <c r="T75" s="353"/>
      <c r="U75" s="353"/>
      <c r="V75" s="353"/>
    </row>
    <row r="78" spans="2:22" ht="15">
      <c r="B78" s="465"/>
    </row>
    <row r="79" spans="2:22" ht="15">
      <c r="B79" s="465"/>
    </row>
    <row r="80" spans="2:22" ht="15">
      <c r="B80" s="465"/>
    </row>
    <row r="81" spans="2:22" ht="15">
      <c r="B81" s="465"/>
    </row>
    <row r="82" spans="2:22" ht="15">
      <c r="B82" s="465"/>
    </row>
    <row r="83" spans="2:22" ht="14">
      <c r="B83" s="351"/>
      <c r="C83" s="583"/>
      <c r="D83" s="583"/>
      <c r="E83" s="583"/>
      <c r="F83" s="583"/>
      <c r="G83" s="583"/>
      <c r="H83" s="583"/>
      <c r="I83" s="583"/>
      <c r="J83" s="583"/>
      <c r="K83" s="583"/>
      <c r="L83" s="583"/>
      <c r="M83" s="583"/>
      <c r="N83" s="583"/>
      <c r="O83" s="583"/>
      <c r="P83" s="583"/>
      <c r="Q83" s="583"/>
      <c r="R83" s="583"/>
      <c r="S83" s="583"/>
      <c r="T83" s="583"/>
      <c r="U83" s="480"/>
      <c r="V83" s="480"/>
    </row>
    <row r="84" spans="2:22" ht="14">
      <c r="B84" s="351"/>
      <c r="C84" s="583"/>
      <c r="D84" s="583"/>
      <c r="E84" s="583"/>
      <c r="F84" s="583"/>
      <c r="G84" s="583"/>
      <c r="H84" s="583"/>
      <c r="I84" s="583"/>
      <c r="J84" s="583"/>
      <c r="K84" s="583"/>
      <c r="L84" s="583"/>
      <c r="M84" s="583"/>
      <c r="N84" s="583"/>
      <c r="O84" s="583"/>
      <c r="P84" s="583"/>
      <c r="Q84" s="583"/>
      <c r="R84" s="583"/>
      <c r="S84" s="583"/>
      <c r="T84" s="583"/>
      <c r="U84" s="480"/>
      <c r="V84" s="480"/>
    </row>
    <row r="85" spans="2:22" ht="14">
      <c r="B85" s="351"/>
      <c r="C85" s="350"/>
      <c r="D85" s="351"/>
      <c r="E85" s="351"/>
      <c r="F85" s="351"/>
      <c r="G85" s="351"/>
      <c r="H85" s="351"/>
      <c r="I85" s="351"/>
      <c r="J85" s="351"/>
      <c r="K85" s="351"/>
      <c r="L85" s="351"/>
      <c r="M85" s="351"/>
      <c r="N85" s="351"/>
      <c r="O85" s="351"/>
      <c r="P85" s="351"/>
      <c r="Q85" s="351"/>
      <c r="R85" s="351"/>
      <c r="S85" s="351"/>
      <c r="T85" s="351"/>
      <c r="U85" s="351"/>
      <c r="V85" s="351"/>
    </row>
    <row r="86" spans="2:22" ht="14">
      <c r="B86" s="350"/>
      <c r="C86" s="350"/>
      <c r="D86" s="350"/>
      <c r="E86" s="350"/>
      <c r="F86" s="350"/>
      <c r="G86" s="350"/>
      <c r="H86" s="350"/>
      <c r="I86" s="350"/>
      <c r="J86" s="350"/>
      <c r="K86" s="350"/>
      <c r="L86" s="350"/>
      <c r="M86" s="350"/>
      <c r="N86" s="350"/>
      <c r="O86" s="350"/>
      <c r="P86" s="350"/>
      <c r="Q86" s="350"/>
      <c r="R86" s="350"/>
      <c r="S86" s="350"/>
      <c r="T86" s="350"/>
      <c r="U86" s="350"/>
      <c r="V86" s="350"/>
    </row>
    <row r="87" spans="2:22" ht="14">
      <c r="B87" s="350"/>
      <c r="C87" s="350"/>
      <c r="D87" s="350"/>
      <c r="E87" s="350"/>
      <c r="F87" s="350"/>
      <c r="G87" s="350"/>
      <c r="H87" s="350"/>
      <c r="I87" s="350"/>
      <c r="J87" s="350"/>
      <c r="K87" s="350"/>
      <c r="L87" s="350"/>
      <c r="M87" s="350"/>
      <c r="N87" s="350"/>
      <c r="O87" s="350"/>
      <c r="P87" s="350"/>
      <c r="Q87" s="350"/>
      <c r="R87" s="350"/>
      <c r="S87" s="350"/>
      <c r="T87" s="350"/>
      <c r="U87" s="350"/>
      <c r="V87" s="350"/>
    </row>
    <row r="88" spans="2:22" ht="14">
      <c r="B88" s="351"/>
      <c r="C88" s="350"/>
      <c r="D88" s="351"/>
      <c r="E88" s="351"/>
      <c r="F88" s="351"/>
      <c r="G88" s="351"/>
      <c r="H88" s="351"/>
      <c r="I88" s="351"/>
      <c r="J88" s="351"/>
      <c r="K88" s="351"/>
      <c r="L88" s="351"/>
      <c r="M88" s="351"/>
      <c r="N88" s="351"/>
      <c r="O88" s="351"/>
      <c r="P88" s="351"/>
      <c r="Q88" s="351"/>
      <c r="R88" s="351"/>
      <c r="S88" s="351"/>
      <c r="T88" s="351"/>
      <c r="U88" s="351"/>
      <c r="V88" s="351"/>
    </row>
  </sheetData>
  <mergeCells count="4">
    <mergeCell ref="C63:T63"/>
    <mergeCell ref="C83:T84"/>
    <mergeCell ref="C45:T47"/>
    <mergeCell ref="C56:T56"/>
  </mergeCells>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tabColor rgb="FF00B050"/>
    <pageSetUpPr fitToPage="1"/>
  </sheetPr>
  <dimension ref="B2:AM14"/>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G1" sqref="AG1:AK1048576"/>
    </sheetView>
  </sheetViews>
  <sheetFormatPr defaultColWidth="9.1796875" defaultRowHeight="12.5" outlineLevelCol="1"/>
  <cols>
    <col min="1" max="1" width="2.1796875" style="277" customWidth="1"/>
    <col min="2" max="2" width="32.1796875" style="277" customWidth="1"/>
    <col min="3" max="5" width="9.453125" style="277" hidden="1" customWidth="1" outlineLevel="1"/>
    <col min="6" max="6" width="10.81640625" style="277" hidden="1" customWidth="1" outlineLevel="1"/>
    <col min="7" max="9" width="9.453125" style="277" hidden="1" customWidth="1" outlineLevel="1"/>
    <col min="10" max="10" width="10.81640625" style="277" hidden="1" customWidth="1" outlineLevel="1"/>
    <col min="11" max="13" width="9.453125" style="277" hidden="1" customWidth="1" outlineLevel="1"/>
    <col min="14" max="14" width="10.81640625" style="277" hidden="1" customWidth="1" outlineLevel="1"/>
    <col min="15" max="16" width="9.453125" style="277" hidden="1" customWidth="1" outlineLevel="1"/>
    <col min="17" max="22" width="10.81640625" style="277" hidden="1" customWidth="1" outlineLevel="1"/>
    <col min="23" max="23" width="10.81640625" style="277" customWidth="1" collapsed="1"/>
    <col min="24" max="28" width="10.81640625" style="277" customWidth="1"/>
    <col min="29" max="29" width="12.54296875" style="277" bestFit="1" customWidth="1"/>
    <col min="30" max="30" width="12.54296875" style="277" customWidth="1"/>
    <col min="31" max="31" width="11.81640625" style="277" bestFit="1" customWidth="1"/>
    <col min="32" max="32" width="9.1796875" style="277"/>
    <col min="33" max="36" width="10.81640625" style="277" hidden="1" customWidth="1" outlineLevel="1"/>
    <col min="37" max="37" width="12.453125" style="277" hidden="1" customWidth="1" outlineLevel="1"/>
    <col min="38" max="38" width="12.453125" style="277" bestFit="1" customWidth="1" collapsed="1"/>
    <col min="39" max="39" width="12.453125" style="277" bestFit="1" customWidth="1"/>
    <col min="40" max="16384" width="9.1796875" style="277"/>
  </cols>
  <sheetData>
    <row r="2" spans="2:39" ht="13.5" customHeight="1"/>
    <row r="4" spans="2:39" ht="20.25" customHeight="1"/>
    <row r="5" spans="2:39" ht="13">
      <c r="B5" s="278"/>
    </row>
    <row r="6" spans="2:39" s="279" customFormat="1" ht="14.25" customHeight="1" thickBot="1">
      <c r="B6" s="280" t="s">
        <v>267</v>
      </c>
      <c r="C6" s="281" t="s">
        <v>84</v>
      </c>
      <c r="D6" s="281" t="s">
        <v>85</v>
      </c>
      <c r="E6" s="281" t="s">
        <v>86</v>
      </c>
      <c r="F6" s="281" t="s">
        <v>87</v>
      </c>
      <c r="G6" s="281" t="s">
        <v>88</v>
      </c>
      <c r="H6" s="281" t="s">
        <v>89</v>
      </c>
      <c r="I6" s="281" t="s">
        <v>90</v>
      </c>
      <c r="J6" s="281" t="s">
        <v>91</v>
      </c>
      <c r="K6" s="281" t="s">
        <v>92</v>
      </c>
      <c r="L6" s="281" t="s">
        <v>93</v>
      </c>
      <c r="M6" s="281" t="s">
        <v>94</v>
      </c>
      <c r="N6" s="281" t="s">
        <v>95</v>
      </c>
      <c r="O6" s="281" t="s">
        <v>96</v>
      </c>
      <c r="P6" s="281" t="s">
        <v>97</v>
      </c>
      <c r="Q6" s="281" t="s">
        <v>98</v>
      </c>
      <c r="R6" s="281" t="s">
        <v>99</v>
      </c>
      <c r="S6" s="281" t="s">
        <v>100</v>
      </c>
      <c r="T6" s="281" t="s">
        <v>101</v>
      </c>
      <c r="U6" s="281" t="s">
        <v>342</v>
      </c>
      <c r="V6" s="281" t="s">
        <v>348</v>
      </c>
      <c r="W6" s="281" t="s">
        <v>363</v>
      </c>
      <c r="X6" s="281" t="s">
        <v>392</v>
      </c>
      <c r="Y6" s="281" t="s">
        <v>404</v>
      </c>
      <c r="Z6" s="281" t="s">
        <v>405</v>
      </c>
      <c r="AA6" s="281" t="s">
        <v>478</v>
      </c>
      <c r="AB6" s="281" t="s">
        <v>483</v>
      </c>
      <c r="AC6" s="281" t="s">
        <v>488</v>
      </c>
      <c r="AD6" s="281" t="s">
        <v>490</v>
      </c>
      <c r="AG6" s="299">
        <v>2018</v>
      </c>
      <c r="AH6" s="299">
        <v>2019</v>
      </c>
      <c r="AI6" s="299">
        <v>2020</v>
      </c>
      <c r="AJ6" s="299">
        <v>2021</v>
      </c>
      <c r="AK6" s="299">
        <v>2022</v>
      </c>
      <c r="AL6" s="299">
        <v>2023</v>
      </c>
      <c r="AM6" s="299">
        <v>2024</v>
      </c>
    </row>
    <row r="7" spans="2:39" s="279" customFormat="1" ht="14.25" customHeight="1" thickTop="1">
      <c r="B7" s="290" t="s">
        <v>268</v>
      </c>
      <c r="C7" s="223">
        <v>3475.1692026476303</v>
      </c>
      <c r="D7" s="223">
        <v>1999.8556016330122</v>
      </c>
      <c r="E7" s="223">
        <v>5643.7309160939622</v>
      </c>
      <c r="F7" s="223">
        <v>36811.23227962535</v>
      </c>
      <c r="G7" s="223">
        <v>5711.3846610599976</v>
      </c>
      <c r="H7" s="223">
        <v>6621.8033512799993</v>
      </c>
      <c r="I7" s="223">
        <v>9864.8503189080002</v>
      </c>
      <c r="J7" s="223">
        <v>42464.33455846399</v>
      </c>
      <c r="K7" s="223">
        <v>15570.548193095998</v>
      </c>
      <c r="L7" s="223">
        <v>20261.394220988001</v>
      </c>
      <c r="M7" s="223">
        <v>18181.756396284007</v>
      </c>
      <c r="N7" s="223">
        <v>12685.462189631999</v>
      </c>
      <c r="O7" s="223">
        <v>11376.9548</v>
      </c>
      <c r="P7" s="223">
        <v>13302.90792</v>
      </c>
      <c r="Q7" s="223">
        <v>18972.104629999998</v>
      </c>
      <c r="R7" s="223">
        <v>53376.798699999999</v>
      </c>
      <c r="S7" s="223">
        <v>66194.416310000015</v>
      </c>
      <c r="T7" s="223">
        <v>114957</v>
      </c>
      <c r="U7" s="223">
        <v>144557.45674350005</v>
      </c>
      <c r="V7" s="223">
        <v>214212.83257438801</v>
      </c>
      <c r="W7" s="223">
        <v>131953.87991121953</v>
      </c>
      <c r="X7" s="223">
        <v>88019.173840000047</v>
      </c>
      <c r="Y7" s="223">
        <v>136038.58650770539</v>
      </c>
      <c r="Z7" s="223">
        <v>59619.070445265039</v>
      </c>
      <c r="AA7" s="223">
        <v>154031.83561550398</v>
      </c>
      <c r="AB7" s="223">
        <v>110146</v>
      </c>
      <c r="AC7" s="476">
        <f>60084.55328+986</f>
        <v>61070.55328</v>
      </c>
      <c r="AD7" s="476">
        <v>79638.078024634116</v>
      </c>
      <c r="AE7" s="502"/>
      <c r="AG7" s="223">
        <f>SUM(C7:F7)</f>
        <v>47929.987999999954</v>
      </c>
      <c r="AH7" s="223">
        <f>SUM(G7:J7)</f>
        <v>64662.372889711987</v>
      </c>
      <c r="AI7" s="223">
        <f>SUM(K7:N7)</f>
        <v>66699.161000000007</v>
      </c>
      <c r="AJ7" s="223">
        <f>SUM(O7:R7)</f>
        <v>97028.766049999991</v>
      </c>
      <c r="AK7" s="223">
        <f>SUM(S7:V7)</f>
        <v>539921.70562788809</v>
      </c>
      <c r="AL7" s="223">
        <f>SUM(W7:Z7)</f>
        <v>415630.71070419002</v>
      </c>
      <c r="AM7" s="223">
        <f>SUM(AB7:AD7)</f>
        <v>250854.63130463409</v>
      </c>
    </row>
    <row r="8" spans="2:39" s="279" customFormat="1" ht="14.25" customHeight="1">
      <c r="B8" s="286" t="s">
        <v>222</v>
      </c>
      <c r="C8" s="223">
        <v>17235.073036531809</v>
      </c>
      <c r="D8" s="223">
        <v>22282.829516112808</v>
      </c>
      <c r="E8" s="223">
        <v>35744.262024069874</v>
      </c>
      <c r="F8" s="223">
        <v>53327.498033285476</v>
      </c>
      <c r="G8" s="223">
        <v>32104.058741162517</v>
      </c>
      <c r="H8" s="223">
        <v>33177.024944685742</v>
      </c>
      <c r="I8" s="223">
        <v>34298.031829075917</v>
      </c>
      <c r="J8" s="223">
        <v>103255.28785478818</v>
      </c>
      <c r="K8" s="223">
        <v>21975.299440442395</v>
      </c>
      <c r="L8" s="223">
        <v>15282.6962855736</v>
      </c>
      <c r="M8" s="223">
        <v>42164.805361829196</v>
      </c>
      <c r="N8" s="223">
        <v>84283.850912154987</v>
      </c>
      <c r="O8" s="223">
        <v>19888.411315999994</v>
      </c>
      <c r="P8" s="223">
        <v>25346.336642000002</v>
      </c>
      <c r="Q8" s="223">
        <v>43119.176951999994</v>
      </c>
      <c r="R8" s="223">
        <v>111279.60913435367</v>
      </c>
      <c r="S8" s="223">
        <v>33503.709909999998</v>
      </c>
      <c r="T8" s="223">
        <v>33197</v>
      </c>
      <c r="U8" s="223">
        <v>64762.408183499989</v>
      </c>
      <c r="V8" s="223">
        <v>143903.48204195118</v>
      </c>
      <c r="W8" s="223">
        <v>63653.660490000002</v>
      </c>
      <c r="X8" s="223">
        <v>36061.507099999995</v>
      </c>
      <c r="Y8" s="223">
        <v>41025.282149999999</v>
      </c>
      <c r="Z8" s="223">
        <v>59260.924262926834</v>
      </c>
      <c r="AA8" s="223">
        <v>51841.392088000001</v>
      </c>
      <c r="AB8" s="223">
        <v>40793</v>
      </c>
      <c r="AC8" s="476">
        <v>50537.179861999997</v>
      </c>
      <c r="AD8" s="476">
        <v>89046.344587999993</v>
      </c>
      <c r="AE8" s="502"/>
      <c r="AG8" s="223">
        <f t="shared" ref="AG8:AG10" si="0">SUM(C8:F8)</f>
        <v>128589.66260999997</v>
      </c>
      <c r="AH8" s="223">
        <f t="shared" ref="AH8:AH10" si="1">SUM(G8:J8)</f>
        <v>202834.40336971235</v>
      </c>
      <c r="AI8" s="223">
        <f t="shared" ref="AI8:AI9" si="2">SUM(K8:N8)</f>
        <v>163706.65200000018</v>
      </c>
      <c r="AJ8" s="223">
        <f t="shared" ref="AJ8:AJ10" si="3">SUM(O8:R8)</f>
        <v>199633.53404435364</v>
      </c>
      <c r="AK8" s="223">
        <f>SUM(S8:V8)</f>
        <v>275366.60013545118</v>
      </c>
      <c r="AL8" s="223">
        <f t="shared" ref="AL8:AL9" si="4">SUM(W8:Z8)</f>
        <v>200001.37400292684</v>
      </c>
      <c r="AM8" s="223">
        <f t="shared" ref="AM8:AM10" si="5">SUM(AB8:AD8)</f>
        <v>180376.52444999997</v>
      </c>
    </row>
    <row r="9" spans="2:39" s="279" customFormat="1" ht="14.25" customHeight="1">
      <c r="B9" s="286" t="s">
        <v>269</v>
      </c>
      <c r="C9" s="225">
        <v>11336.325279395029</v>
      </c>
      <c r="D9" s="225">
        <v>15449.04884947541</v>
      </c>
      <c r="E9" s="225">
        <v>25361.631329043586</v>
      </c>
      <c r="F9" s="225">
        <v>31665.303932085983</v>
      </c>
      <c r="G9" s="225">
        <v>17591.243292947984</v>
      </c>
      <c r="H9" s="225">
        <v>30067.678797780012</v>
      </c>
      <c r="I9" s="225">
        <v>41291.312696400004</v>
      </c>
      <c r="J9" s="225">
        <v>22752.917732871982</v>
      </c>
      <c r="K9" s="225">
        <v>21799.665828095996</v>
      </c>
      <c r="L9" s="225">
        <v>28188.455677824</v>
      </c>
      <c r="M9" s="225">
        <v>23055.789278495991</v>
      </c>
      <c r="N9" s="225">
        <v>48270.269215583983</v>
      </c>
      <c r="O9" s="223">
        <v>17213.225599999994</v>
      </c>
      <c r="P9" s="223">
        <v>53864.744979999959</v>
      </c>
      <c r="Q9" s="223">
        <v>65632.899650000007</v>
      </c>
      <c r="R9" s="223">
        <v>36316.183140000045</v>
      </c>
      <c r="S9" s="223">
        <v>46435.458849999981</v>
      </c>
      <c r="T9" s="223">
        <v>60091</v>
      </c>
      <c r="U9" s="223">
        <v>65804.275630000018</v>
      </c>
      <c r="V9" s="223">
        <v>32133.518459999948</v>
      </c>
      <c r="W9" s="223">
        <v>38279.459800000011</v>
      </c>
      <c r="X9" s="223">
        <v>61207.461649999874</v>
      </c>
      <c r="Y9" s="223">
        <v>20300.820870000043</v>
      </c>
      <c r="Z9" s="223">
        <v>25473.324360000017</v>
      </c>
      <c r="AA9" s="223">
        <v>54307.288249999998</v>
      </c>
      <c r="AB9" s="223">
        <v>17829</v>
      </c>
      <c r="AC9" s="476">
        <v>24181.452369999988</v>
      </c>
      <c r="AD9" s="476">
        <v>37362.720570000005</v>
      </c>
      <c r="AE9" s="502"/>
      <c r="AG9" s="223">
        <f t="shared" si="0"/>
        <v>83812.309390000009</v>
      </c>
      <c r="AH9" s="223">
        <f t="shared" si="1"/>
        <v>111703.15251999997</v>
      </c>
      <c r="AI9" s="223">
        <f t="shared" si="2"/>
        <v>121314.17999999996</v>
      </c>
      <c r="AJ9" s="223">
        <f t="shared" si="3"/>
        <v>173027.05336999998</v>
      </c>
      <c r="AK9" s="223">
        <f>SUM(S9:V9)</f>
        <v>204464.25293999992</v>
      </c>
      <c r="AL9" s="223">
        <f t="shared" si="4"/>
        <v>145261.06667999993</v>
      </c>
      <c r="AM9" s="223">
        <f t="shared" si="5"/>
        <v>79373.172939999989</v>
      </c>
    </row>
    <row r="10" spans="2:39" ht="14.5" thickBot="1">
      <c r="B10" s="312" t="s">
        <v>270</v>
      </c>
      <c r="C10" s="313">
        <f t="shared" ref="C10:V10" si="6">SUM(C7:C9)</f>
        <v>32046.567518574469</v>
      </c>
      <c r="D10" s="313">
        <f t="shared" si="6"/>
        <v>39731.733967221226</v>
      </c>
      <c r="E10" s="313">
        <f t="shared" si="6"/>
        <v>66749.624269207416</v>
      </c>
      <c r="F10" s="313">
        <f t="shared" si="6"/>
        <v>121804.03424499682</v>
      </c>
      <c r="G10" s="313">
        <f t="shared" si="6"/>
        <v>55406.686695170501</v>
      </c>
      <c r="H10" s="313">
        <f t="shared" si="6"/>
        <v>69866.507093745749</v>
      </c>
      <c r="I10" s="313">
        <f t="shared" si="6"/>
        <v>85454.194844383921</v>
      </c>
      <c r="J10" s="313">
        <f t="shared" si="6"/>
        <v>168472.54014612417</v>
      </c>
      <c r="K10" s="313">
        <f t="shared" si="6"/>
        <v>59345.513461634386</v>
      </c>
      <c r="L10" s="313">
        <f t="shared" si="6"/>
        <v>63732.546184385603</v>
      </c>
      <c r="M10" s="313">
        <f t="shared" si="6"/>
        <v>83402.351036609194</v>
      </c>
      <c r="N10" s="313">
        <f t="shared" si="6"/>
        <v>145239.58231737098</v>
      </c>
      <c r="O10" s="313">
        <f t="shared" si="6"/>
        <v>48478.591715999988</v>
      </c>
      <c r="P10" s="313">
        <f t="shared" si="6"/>
        <v>92513.989541999967</v>
      </c>
      <c r="Q10" s="313">
        <f t="shared" si="6"/>
        <v>127724.181232</v>
      </c>
      <c r="R10" s="313">
        <f t="shared" si="6"/>
        <v>200972.59097435372</v>
      </c>
      <c r="S10" s="313">
        <f t="shared" si="6"/>
        <v>146133.58506999997</v>
      </c>
      <c r="T10" s="313">
        <f t="shared" si="6"/>
        <v>208245</v>
      </c>
      <c r="U10" s="313">
        <f t="shared" si="6"/>
        <v>275124.14055700006</v>
      </c>
      <c r="V10" s="313">
        <f t="shared" si="6"/>
        <v>390249.8330763391</v>
      </c>
      <c r="W10" s="313">
        <f t="shared" ref="W10:AC10" si="7">SUM(W7:W9)</f>
        <v>233887.00020121955</v>
      </c>
      <c r="X10" s="313">
        <f t="shared" si="7"/>
        <v>185288.14258999992</v>
      </c>
      <c r="Y10" s="313">
        <f t="shared" si="7"/>
        <v>197364.68952770543</v>
      </c>
      <c r="Z10" s="313">
        <f t="shared" si="7"/>
        <v>144353.31906819189</v>
      </c>
      <c r="AA10" s="313">
        <f t="shared" si="7"/>
        <v>260180.51595350396</v>
      </c>
      <c r="AB10" s="313">
        <f t="shared" si="7"/>
        <v>168768</v>
      </c>
      <c r="AC10" s="313">
        <f t="shared" si="7"/>
        <v>135789.185512</v>
      </c>
      <c r="AD10" s="313">
        <f t="shared" ref="AD10" si="8">SUM(AD7:AD9)</f>
        <v>206047.14318263411</v>
      </c>
      <c r="AE10" s="394"/>
      <c r="AG10" s="313">
        <f t="shared" si="0"/>
        <v>260331.95999999993</v>
      </c>
      <c r="AH10" s="313">
        <f t="shared" si="1"/>
        <v>379199.92877942434</v>
      </c>
      <c r="AI10" s="313">
        <f>SUM(K10:N10)</f>
        <v>351719.99300000013</v>
      </c>
      <c r="AJ10" s="313">
        <f t="shared" si="3"/>
        <v>469689.35346435371</v>
      </c>
      <c r="AK10" s="313">
        <f>SUM(S10:V10)</f>
        <v>1019752.5587033391</v>
      </c>
      <c r="AL10" s="313">
        <f>SUM(W10:Z10)</f>
        <v>760893.15138711676</v>
      </c>
      <c r="AM10" s="313">
        <f t="shared" si="5"/>
        <v>510604.32869463414</v>
      </c>
    </row>
    <row r="11" spans="2:39" ht="14">
      <c r="B11" s="314"/>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493"/>
      <c r="AD11" s="493"/>
    </row>
    <row r="12" spans="2:39">
      <c r="W12" s="297"/>
      <c r="AC12" s="494"/>
      <c r="AD12" s="494"/>
    </row>
    <row r="14" spans="2:39">
      <c r="AE14" s="492"/>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G7:AK9 AG10:AH10 AJ10:AK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sheetPr>
    <tabColor rgb="FF00B050"/>
  </sheetPr>
  <dimension ref="A1:AK22"/>
  <sheetViews>
    <sheetView showGridLines="0" zoomScale="80" zoomScaleNormal="80" workbookViewId="0">
      <pane xSplit="2" ySplit="7" topLeftCell="E8" activePane="bottomRight" state="frozen"/>
      <selection activeCell="AG27" sqref="AG27"/>
      <selection pane="topRight" activeCell="AG27" sqref="AG27"/>
      <selection pane="bottomLeft" activeCell="AG27" sqref="AG27"/>
      <selection pane="bottomRight" activeCell="AD20" sqref="AD20"/>
    </sheetView>
  </sheetViews>
  <sheetFormatPr defaultColWidth="9.1796875" defaultRowHeight="12.5" outlineLevelCol="1"/>
  <cols>
    <col min="1" max="1" width="1.81640625" style="288" customWidth="1"/>
    <col min="2" max="2" width="32.1796875" style="288" bestFit="1" customWidth="1"/>
    <col min="3" max="14" width="9.1796875" style="288" hidden="1" customWidth="1" outlineLevel="1"/>
    <col min="15" max="22" width="0" style="288" hidden="1" customWidth="1" outlineLevel="1"/>
    <col min="23" max="23" width="9.1796875" style="288" collapsed="1"/>
    <col min="24" max="27" width="9.1796875" style="288"/>
    <col min="28" max="29" width="10.81640625" style="288" bestFit="1" customWidth="1"/>
    <col min="30" max="30" width="10.81640625" style="288" customWidth="1"/>
    <col min="31" max="33" width="9.1796875" style="288"/>
    <col min="34" max="34" width="10.81640625" style="288" bestFit="1" customWidth="1"/>
    <col min="35" max="16384" width="9.1796875" style="288"/>
  </cols>
  <sheetData>
    <row r="1" spans="1:37" s="277" customFormat="1"/>
    <row r="2" spans="1:37" s="277" customFormat="1" ht="13.5" customHeight="1"/>
    <row r="3" spans="1:37" s="277" customFormat="1"/>
    <row r="4" spans="1:37" s="277" customFormat="1" ht="20.25" customHeight="1"/>
    <row r="5" spans="1:37" s="277" customFormat="1" ht="13">
      <c r="B5" s="278"/>
    </row>
    <row r="6" spans="1:37" s="279" customFormat="1" ht="14.25" customHeight="1" thickBot="1">
      <c r="B6" s="280" t="s">
        <v>271</v>
      </c>
      <c r="C6" s="281" t="s">
        <v>84</v>
      </c>
      <c r="D6" s="281" t="s">
        <v>85</v>
      </c>
      <c r="E6" s="281" t="s">
        <v>86</v>
      </c>
      <c r="F6" s="281" t="s">
        <v>87</v>
      </c>
      <c r="G6" s="281" t="s">
        <v>88</v>
      </c>
      <c r="H6" s="281" t="s">
        <v>89</v>
      </c>
      <c r="I6" s="281" t="s">
        <v>90</v>
      </c>
      <c r="J6" s="281" t="s">
        <v>91</v>
      </c>
      <c r="K6" s="281" t="s">
        <v>92</v>
      </c>
      <c r="L6" s="281" t="s">
        <v>93</v>
      </c>
      <c r="M6" s="281" t="s">
        <v>94</v>
      </c>
      <c r="N6" s="281" t="s">
        <v>95</v>
      </c>
      <c r="O6" s="281" t="s">
        <v>96</v>
      </c>
      <c r="P6" s="281" t="s">
        <v>97</v>
      </c>
      <c r="Q6" s="281" t="s">
        <v>98</v>
      </c>
      <c r="R6" s="281" t="s">
        <v>99</v>
      </c>
      <c r="S6" s="281" t="s">
        <v>100</v>
      </c>
      <c r="T6" s="281" t="s">
        <v>101</v>
      </c>
      <c r="U6" s="281" t="s">
        <v>342</v>
      </c>
      <c r="V6" s="281" t="s">
        <v>348</v>
      </c>
      <c r="W6" s="281" t="s">
        <v>363</v>
      </c>
      <c r="X6" s="281" t="s">
        <v>392</v>
      </c>
      <c r="Y6" s="281" t="s">
        <v>404</v>
      </c>
      <c r="Z6" s="281" t="s">
        <v>405</v>
      </c>
      <c r="AA6" s="281" t="s">
        <v>478</v>
      </c>
      <c r="AB6" s="281" t="s">
        <v>483</v>
      </c>
      <c r="AC6" s="281" t="s">
        <v>488</v>
      </c>
      <c r="AD6" s="504" t="s">
        <v>490</v>
      </c>
    </row>
    <row r="7" spans="1:37" s="285" customFormat="1" ht="4.5" customHeight="1" thickTop="1">
      <c r="A7" s="282"/>
      <c r="B7" s="283"/>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G7" s="284"/>
      <c r="AH7" s="284"/>
      <c r="AI7" s="284"/>
      <c r="AJ7" s="284"/>
      <c r="AK7" s="284"/>
    </row>
    <row r="8" spans="1:37" ht="14">
      <c r="B8" s="290" t="s">
        <v>272</v>
      </c>
      <c r="C8" s="223">
        <v>396.54200000000003</v>
      </c>
      <c r="D8" s="223">
        <v>430.05449999999996</v>
      </c>
      <c r="E8" s="223">
        <v>490.70650000000001</v>
      </c>
      <c r="F8" s="223">
        <v>510.18899999999996</v>
      </c>
      <c r="G8" s="223">
        <v>507.40100000000007</v>
      </c>
      <c r="H8" s="223">
        <v>561.96749999999997</v>
      </c>
      <c r="I8" s="223">
        <v>550.31500000000005</v>
      </c>
      <c r="J8" s="223">
        <v>453.04250000000002</v>
      </c>
      <c r="K8" s="223">
        <v>474.18700000000001</v>
      </c>
      <c r="L8" s="223">
        <v>527.654</v>
      </c>
      <c r="M8" s="223">
        <v>561.26499999999999</v>
      </c>
      <c r="N8" s="223">
        <v>543.00749999999994</v>
      </c>
      <c r="O8" s="223">
        <v>559.25400000000002</v>
      </c>
      <c r="P8" s="223">
        <v>655.39650000000006</v>
      </c>
      <c r="Q8" s="223">
        <v>712.5</v>
      </c>
      <c r="R8" s="223">
        <v>728.12450000000001</v>
      </c>
      <c r="S8" s="223">
        <v>691.59850000000006</v>
      </c>
      <c r="T8" s="223">
        <v>627.97399999999993</v>
      </c>
      <c r="U8" s="223">
        <v>548.81400000000008</v>
      </c>
      <c r="V8" s="223">
        <f>AVERAGE('9 - Demonstrativos Financeiros'!V45,'9 - Demonstrativos Financeiros'!U45)</f>
        <v>511.31400000000002</v>
      </c>
      <c r="W8" s="223">
        <f>AVERAGE('9 - Demonstrativos Financeiros'!W45,'9 - Demonstrativos Financeiros'!V45)</f>
        <v>520.41750000000002</v>
      </c>
      <c r="X8" s="223">
        <f>AVERAGE('9 - Demonstrativos Financeiros'!X45,'9 - Demonstrativos Financeiros'!W45)</f>
        <v>531.41750000000002</v>
      </c>
      <c r="Y8" s="223">
        <f>AVERAGE('9 - Demonstrativos Financeiros'!Y45,'9 - Demonstrativos Financeiros'!X45)</f>
        <v>510</v>
      </c>
      <c r="Z8" s="223">
        <f>AVERAGE('9 - Demonstrativos Financeiros'!Z45,'9 - Demonstrativos Financeiros'!Y45)</f>
        <v>442.22149999999999</v>
      </c>
      <c r="AA8" s="223">
        <f>AVERAGE('9 - Demonstrativos Financeiros'!AA45,'9 - Demonstrativos Financeiros'!Z45)</f>
        <v>405.82899999999995</v>
      </c>
      <c r="AB8" s="223">
        <f>AVERAGE('9 - Demonstrativos Financeiros'!AB45,'9 - Demonstrativos Financeiros'!AA45)</f>
        <v>446.19499999999999</v>
      </c>
      <c r="AC8" s="223">
        <f>AVERAGE('9 - Demonstrativos Financeiros'!AC45,'9 - Demonstrativos Financeiros'!AB45)</f>
        <v>490.58749999999998</v>
      </c>
      <c r="AD8" s="223">
        <f>AVERAGE('9 - Demonstrativos Financeiros'!AD45,'9 - Demonstrativos Financeiros'!AC45)</f>
        <v>505.76750000000004</v>
      </c>
    </row>
    <row r="9" spans="1:37" ht="14">
      <c r="B9" s="286" t="s">
        <v>168</v>
      </c>
      <c r="C9" s="223">
        <v>660.74400000000003</v>
      </c>
      <c r="D9" s="223">
        <v>715.02200000000005</v>
      </c>
      <c r="E9" s="223">
        <v>849.06150000000002</v>
      </c>
      <c r="F9" s="223">
        <v>878.72399999999993</v>
      </c>
      <c r="G9" s="223">
        <v>807.81449999999995</v>
      </c>
      <c r="H9" s="223">
        <v>842.29250000000002</v>
      </c>
      <c r="I9" s="223">
        <v>913.51600000000008</v>
      </c>
      <c r="J9" s="223">
        <v>929.3755000000001</v>
      </c>
      <c r="K9" s="223">
        <v>1018.22</v>
      </c>
      <c r="L9" s="223">
        <v>1134.9279999999999</v>
      </c>
      <c r="M9" s="223">
        <v>1098.9675</v>
      </c>
      <c r="N9" s="223">
        <v>1053.1285</v>
      </c>
      <c r="O9" s="223">
        <v>1156.904</v>
      </c>
      <c r="P9" s="223">
        <v>1411.4639999999999</v>
      </c>
      <c r="Q9" s="223">
        <v>1605</v>
      </c>
      <c r="R9" s="223">
        <v>1611.6559999999999</v>
      </c>
      <c r="S9" s="223">
        <v>1616.5875000000001</v>
      </c>
      <c r="T9" s="223">
        <v>1718.9315000000001</v>
      </c>
      <c r="U9" s="223">
        <v>1831.1165000000001</v>
      </c>
      <c r="V9" s="223">
        <f>AVERAGE('9 - Demonstrativos Financeiros'!V46,'9 - Demonstrativos Financeiros'!U46)</f>
        <v>1873.1165000000001</v>
      </c>
      <c r="W9" s="223">
        <f>AVERAGE('9 - Demonstrativos Financeiros'!W46,'9 - Demonstrativos Financeiros'!V46)</f>
        <v>1984.8025</v>
      </c>
      <c r="X9" s="223">
        <f>AVERAGE('9 - Demonstrativos Financeiros'!X46,'9 - Demonstrativos Financeiros'!W46)</f>
        <v>2205.3024999999998</v>
      </c>
      <c r="Y9" s="223">
        <f>AVERAGE('9 - Demonstrativos Financeiros'!Y46,'9 - Demonstrativos Financeiros'!X46)</f>
        <v>2229.5</v>
      </c>
      <c r="Z9" s="223">
        <f>AVERAGE('9 - Demonstrativos Financeiros'!Z46,'9 - Demonstrativos Financeiros'!Y46)</f>
        <v>2037.127</v>
      </c>
      <c r="AA9" s="223">
        <f>AVERAGE('9 - Demonstrativos Financeiros'!AA46,'9 - Demonstrativos Financeiros'!Z46)</f>
        <v>1928.7165</v>
      </c>
      <c r="AB9" s="223">
        <f>AVERAGE('9 - Demonstrativos Financeiros'!AB46,'9 - Demonstrativos Financeiros'!AA46)</f>
        <v>1892.837</v>
      </c>
      <c r="AC9" s="223">
        <f>AVERAGE('9 - Demonstrativos Financeiros'!AC46,'9 - Demonstrativos Financeiros'!AB46)</f>
        <v>1902.7474999999999</v>
      </c>
      <c r="AD9" s="223">
        <f>AVERAGE('9 - Demonstrativos Financeiros'!AD46,'9 - Demonstrativos Financeiros'!AC46)</f>
        <v>2051.2984999999999</v>
      </c>
    </row>
    <row r="10" spans="1:37" ht="14">
      <c r="B10" s="286" t="s">
        <v>188</v>
      </c>
      <c r="C10" s="223">
        <v>438.75200000000001</v>
      </c>
      <c r="D10" s="223">
        <v>509.4425</v>
      </c>
      <c r="E10" s="223">
        <v>548.95799999999997</v>
      </c>
      <c r="F10" s="223">
        <v>462.34399999999994</v>
      </c>
      <c r="G10" s="223">
        <v>393.85050000000001</v>
      </c>
      <c r="H10" s="223">
        <v>410.18</v>
      </c>
      <c r="I10" s="223">
        <v>423.87149999999997</v>
      </c>
      <c r="J10" s="223">
        <v>415.74149999999997</v>
      </c>
      <c r="K10" s="223">
        <v>462.99099999999999</v>
      </c>
      <c r="L10" s="223">
        <v>480.82900000000006</v>
      </c>
      <c r="M10" s="223">
        <v>451.50450000000001</v>
      </c>
      <c r="N10" s="223">
        <v>443.03449999999998</v>
      </c>
      <c r="O10" s="223">
        <v>468.62099999999998</v>
      </c>
      <c r="P10" s="223">
        <v>517.14549999999997</v>
      </c>
      <c r="Q10" s="223">
        <v>581.5</v>
      </c>
      <c r="R10" s="223">
        <v>647.81299999999999</v>
      </c>
      <c r="S10" s="223">
        <v>651.30449999999996</v>
      </c>
      <c r="T10" s="223">
        <v>697.49149999999997</v>
      </c>
      <c r="U10" s="223">
        <v>838.57349999999997</v>
      </c>
      <c r="V10" s="223">
        <f>AVERAGE('9 - Demonstrativos Financeiros'!V75,'9 - Demonstrativos Financeiros'!U75)</f>
        <v>969.07349999999997</v>
      </c>
      <c r="W10" s="223">
        <f>AVERAGE('9 - Demonstrativos Financeiros'!W75,'9 - Demonstrativos Financeiros'!V75)</f>
        <v>1011.1315</v>
      </c>
      <c r="X10" s="223">
        <f>AVERAGE('9 - Demonstrativos Financeiros'!X75,'9 - Demonstrativos Financeiros'!W75)</f>
        <v>1001.1315</v>
      </c>
      <c r="Y10" s="223">
        <f>AVERAGE('9 - Demonstrativos Financeiros'!Y75,'9 - Demonstrativos Financeiros'!X75)</f>
        <v>935</v>
      </c>
      <c r="Z10" s="223">
        <f>AVERAGE('9 - Demonstrativos Financeiros'!Z75,'9 - Demonstrativos Financeiros'!Y75)</f>
        <v>918.94049999999993</v>
      </c>
      <c r="AA10" s="223">
        <f>AVERAGE('9 - Demonstrativos Financeiros'!AA75,'9 - Demonstrativos Financeiros'!Z75)</f>
        <v>923.09799999999996</v>
      </c>
      <c r="AB10" s="223">
        <f>AVERAGE('9 - Demonstrativos Financeiros'!AB75,'9 - Demonstrativos Financeiros'!AA75)</f>
        <v>842.7645</v>
      </c>
      <c r="AC10" s="223">
        <f>AVERAGE('9 - Demonstrativos Financeiros'!AC75,'9 - Demonstrativos Financeiros'!AB75)</f>
        <v>877.10699999999997</v>
      </c>
      <c r="AD10" s="223">
        <f>AVERAGE('9 - Demonstrativos Financeiros'!AD75,'9 - Demonstrativos Financeiros'!AC75)</f>
        <v>1040.9969999999998</v>
      </c>
    </row>
    <row r="11" spans="1:37" ht="14">
      <c r="B11" s="290" t="s">
        <v>273</v>
      </c>
      <c r="C11" s="223">
        <v>41.402500000000003</v>
      </c>
      <c r="D11" s="223">
        <v>36.216999999999999</v>
      </c>
      <c r="E11" s="223">
        <v>93.34</v>
      </c>
      <c r="F11" s="223">
        <v>207.63149999999999</v>
      </c>
      <c r="G11" s="223">
        <v>258.60000000000002</v>
      </c>
      <c r="H11" s="223">
        <v>323.82799999999997</v>
      </c>
      <c r="I11" s="223">
        <v>373.71449999999999</v>
      </c>
      <c r="J11" s="223">
        <v>347.72899999999998</v>
      </c>
      <c r="K11" s="223">
        <v>375.964</v>
      </c>
      <c r="L11" s="223">
        <v>382.10500000000002</v>
      </c>
      <c r="M11" s="223">
        <v>380.07349999999997</v>
      </c>
      <c r="N11" s="223">
        <v>503.65800000000002</v>
      </c>
      <c r="O11" s="223">
        <v>592.23</v>
      </c>
      <c r="P11" s="223">
        <v>601.93949999999995</v>
      </c>
      <c r="Q11" s="223">
        <v>500.5</v>
      </c>
      <c r="R11" s="223">
        <v>472.50850000000003</v>
      </c>
      <c r="S11" s="223">
        <v>415.44800000000004</v>
      </c>
      <c r="T11" s="223">
        <v>190.93950000000001</v>
      </c>
      <c r="U11" s="223">
        <v>114.71250000000001</v>
      </c>
      <c r="V11" s="223">
        <f>AVERAGE('9 - Demonstrativos Financeiros'!V74,'9 - Demonstrativos Financeiros'!U74)</f>
        <v>165.21250000000001</v>
      </c>
      <c r="W11" s="223">
        <f>AVERAGE('9 - Demonstrativos Financeiros'!W74,'9 - Demonstrativos Financeiros'!V74)</f>
        <v>242.828</v>
      </c>
      <c r="X11" s="223">
        <f>AVERAGE('9 - Demonstrativos Financeiros'!X74,'9 - Demonstrativos Financeiros'!W74)</f>
        <v>271.32799999999997</v>
      </c>
      <c r="Y11" s="223">
        <f>AVERAGE('9 - Demonstrativos Financeiros'!Y74,'9 - Demonstrativos Financeiros'!X74)</f>
        <v>192.5</v>
      </c>
      <c r="Z11" s="223">
        <f>AVERAGE('9 - Demonstrativos Financeiros'!Z74,'9 - Demonstrativos Financeiros'!Y74)</f>
        <v>183.40600000000001</v>
      </c>
      <c r="AA11" s="223">
        <f>AVERAGE('9 - Demonstrativos Financeiros'!AA74,'9 - Demonstrativos Financeiros'!Z74)</f>
        <v>191.48250000000002</v>
      </c>
      <c r="AB11" s="223">
        <f>AVERAGE('9 - Demonstrativos Financeiros'!AB74,'9 - Demonstrativos Financeiros'!AA74)</f>
        <v>142.29050000000001</v>
      </c>
      <c r="AC11" s="223">
        <f>AVERAGE('9 - Demonstrativos Financeiros'!AC74,'9 - Demonstrativos Financeiros'!AB74)</f>
        <v>124.214</v>
      </c>
      <c r="AD11" s="223">
        <f>AVERAGE('9 - Demonstrativos Financeiros'!AD74,'9 - Demonstrativos Financeiros'!AC74)</f>
        <v>138.23349999999999</v>
      </c>
    </row>
    <row r="12" spans="1:37" ht="14">
      <c r="B12" s="316" t="s">
        <v>344</v>
      </c>
      <c r="C12" s="317">
        <v>577.13150000000007</v>
      </c>
      <c r="D12" s="317">
        <v>599.41700000000014</v>
      </c>
      <c r="E12" s="317">
        <v>697.47</v>
      </c>
      <c r="F12" s="317">
        <v>718.93750000000011</v>
      </c>
      <c r="G12" s="317">
        <v>662.76499999999999</v>
      </c>
      <c r="H12" s="317">
        <v>670.25199999999995</v>
      </c>
      <c r="I12" s="317">
        <v>666.24500000000012</v>
      </c>
      <c r="J12" s="317">
        <v>618.94750000000022</v>
      </c>
      <c r="K12" s="317">
        <v>653.45200000000023</v>
      </c>
      <c r="L12" s="317">
        <v>799.64799999999968</v>
      </c>
      <c r="M12" s="317">
        <v>828.6545000000001</v>
      </c>
      <c r="N12" s="317">
        <v>649.44349999999997</v>
      </c>
      <c r="O12" s="317">
        <v>655.30699999999979</v>
      </c>
      <c r="P12" s="317">
        <v>947.77549999999974</v>
      </c>
      <c r="Q12" s="317">
        <v>1235.5</v>
      </c>
      <c r="R12" s="317">
        <v>1219.4589999999998</v>
      </c>
      <c r="S12" s="317">
        <v>1241.4335000000001</v>
      </c>
      <c r="T12" s="317">
        <v>1458.4744999999998</v>
      </c>
      <c r="U12" s="317">
        <v>1426.6445000000003</v>
      </c>
      <c r="V12" s="317">
        <f t="shared" ref="V12:AA12" si="0">V9+V8-V10-V11</f>
        <v>1250.1444999999999</v>
      </c>
      <c r="W12" s="317">
        <f t="shared" si="0"/>
        <v>1251.2605000000003</v>
      </c>
      <c r="X12" s="317">
        <f t="shared" si="0"/>
        <v>1464.2604999999999</v>
      </c>
      <c r="Y12" s="317">
        <f t="shared" si="0"/>
        <v>1612</v>
      </c>
      <c r="Z12" s="317">
        <f t="shared" si="0"/>
        <v>1377.0020000000002</v>
      </c>
      <c r="AA12" s="317">
        <f t="shared" si="0"/>
        <v>1219.9650000000001</v>
      </c>
      <c r="AB12" s="317">
        <f t="shared" ref="AB12:AC12" si="1">AB9+AB8-AB10-AB11</f>
        <v>1353.9770000000001</v>
      </c>
      <c r="AC12" s="317">
        <f t="shared" si="1"/>
        <v>1392.0140000000001</v>
      </c>
      <c r="AD12" s="317">
        <f t="shared" ref="AD12" si="2">AD9+AD8-AD10-AD11</f>
        <v>1377.8354999999999</v>
      </c>
    </row>
    <row r="13" spans="1:37" ht="14">
      <c r="B13" s="286" t="s">
        <v>111</v>
      </c>
      <c r="C13" s="223">
        <v>1165.088</v>
      </c>
      <c r="D13" s="223">
        <v>1316.9949999999999</v>
      </c>
      <c r="E13" s="223">
        <v>1438.836</v>
      </c>
      <c r="F13" s="223">
        <v>1496.5569999999993</v>
      </c>
      <c r="G13" s="223">
        <v>1327.079</v>
      </c>
      <c r="H13" s="223">
        <v>1365.954</v>
      </c>
      <c r="I13" s="223">
        <v>1313.2519999999995</v>
      </c>
      <c r="J13" s="223">
        <v>1257.3990000000013</v>
      </c>
      <c r="K13" s="223">
        <v>1252.7380000000001</v>
      </c>
      <c r="L13" s="223">
        <v>1101.9179999999999</v>
      </c>
      <c r="M13" s="223">
        <v>1485.6209999999999</v>
      </c>
      <c r="N13" s="223">
        <v>1571.105</v>
      </c>
      <c r="O13" s="223">
        <v>1792.8239999999998</v>
      </c>
      <c r="P13" s="223">
        <v>1913.0839999999996</v>
      </c>
      <c r="Q13" s="223">
        <v>2300.0440000000008</v>
      </c>
      <c r="R13" s="223">
        <v>2417.2279999999996</v>
      </c>
      <c r="S13" s="223">
        <v>2291.665</v>
      </c>
      <c r="T13" s="223">
        <v>2331</v>
      </c>
      <c r="U13" s="223">
        <v>2245</v>
      </c>
      <c r="V13" s="223">
        <f>'9 - Demonstrativos Financeiros'!V7</f>
        <v>1957</v>
      </c>
      <c r="W13" s="223">
        <f>'9 - Demonstrativos Financeiros'!W7</f>
        <v>1915.819</v>
      </c>
      <c r="X13" s="223">
        <f>'9 - Demonstrativos Financeiros'!X7</f>
        <v>1665</v>
      </c>
      <c r="Y13" s="223">
        <f>'9 - Demonstrativos Financeiros'!Y7</f>
        <v>1864</v>
      </c>
      <c r="Z13" s="223">
        <f>'9 - Demonstrativos Financeiros'!Z7</f>
        <v>1904</v>
      </c>
      <c r="AA13" s="223">
        <f>'9 - Demonstrativos Financeiros'!AA7</f>
        <v>1693.866</v>
      </c>
      <c r="AB13" s="223">
        <f>'9 - Demonstrativos Financeiros'!AB7</f>
        <v>2065</v>
      </c>
      <c r="AC13" s="223">
        <f>'9 - Demonstrativos Financeiros'!AC7</f>
        <v>2135</v>
      </c>
      <c r="AD13" s="223">
        <f>'9 - Demonstrativos Financeiros'!AD7</f>
        <v>2280.4187040800002</v>
      </c>
      <c r="AH13" s="357"/>
    </row>
    <row r="14" spans="1:37" ht="14.5" thickBot="1">
      <c r="B14" s="318" t="s">
        <v>274</v>
      </c>
      <c r="C14" s="319">
        <v>90</v>
      </c>
      <c r="D14" s="319">
        <v>91</v>
      </c>
      <c r="E14" s="319">
        <v>92</v>
      </c>
      <c r="F14" s="319">
        <v>92</v>
      </c>
      <c r="G14" s="319">
        <v>90</v>
      </c>
      <c r="H14" s="319">
        <v>91</v>
      </c>
      <c r="I14" s="319">
        <v>92</v>
      </c>
      <c r="J14" s="319">
        <v>92</v>
      </c>
      <c r="K14" s="319">
        <v>91</v>
      </c>
      <c r="L14" s="319">
        <v>91</v>
      </c>
      <c r="M14" s="319">
        <v>92</v>
      </c>
      <c r="N14" s="319">
        <v>92</v>
      </c>
      <c r="O14" s="320">
        <v>90</v>
      </c>
      <c r="P14" s="319">
        <v>91</v>
      </c>
      <c r="Q14" s="319">
        <v>92</v>
      </c>
      <c r="R14" s="319">
        <v>92</v>
      </c>
      <c r="S14" s="319">
        <v>90</v>
      </c>
      <c r="T14" s="319">
        <v>91</v>
      </c>
      <c r="U14" s="319">
        <v>92</v>
      </c>
      <c r="V14" s="319">
        <f>31+30+31</f>
        <v>92</v>
      </c>
      <c r="W14" s="319">
        <v>90</v>
      </c>
      <c r="X14" s="319">
        <v>91</v>
      </c>
      <c r="Y14" s="319">
        <v>92</v>
      </c>
      <c r="Z14" s="319">
        <v>92</v>
      </c>
      <c r="AA14" s="319">
        <v>91</v>
      </c>
      <c r="AB14" s="319">
        <v>91</v>
      </c>
      <c r="AC14" s="319">
        <v>91</v>
      </c>
      <c r="AD14" s="319">
        <v>91</v>
      </c>
      <c r="AH14" s="357"/>
    </row>
    <row r="15" spans="1:37" ht="14.5" thickBot="1">
      <c r="B15" s="321" t="s">
        <v>275</v>
      </c>
      <c r="C15" s="322">
        <v>44.581898534702965</v>
      </c>
      <c r="D15" s="322">
        <v>41.417732793214874</v>
      </c>
      <c r="E15" s="322">
        <v>44.596632277757855</v>
      </c>
      <c r="F15" s="322">
        <v>44.196278524640256</v>
      </c>
      <c r="G15" s="322">
        <v>44.947474867735835</v>
      </c>
      <c r="H15" s="322">
        <v>44.652259153675743</v>
      </c>
      <c r="I15" s="322">
        <v>46.673860005543517</v>
      </c>
      <c r="J15" s="322">
        <v>45.286476289546883</v>
      </c>
      <c r="K15" s="322">
        <v>47.467333153460672</v>
      </c>
      <c r="L15" s="322">
        <v>66.037552703558674</v>
      </c>
      <c r="M15" s="322">
        <v>51.316058402513164</v>
      </c>
      <c r="N15" s="322">
        <v>38.029795589728245</v>
      </c>
      <c r="O15" s="322">
        <v>32.896497369513121</v>
      </c>
      <c r="P15" s="322">
        <v>45.083002366858949</v>
      </c>
      <c r="Q15" s="322">
        <v>49.419054591999092</v>
      </c>
      <c r="R15" s="322">
        <v>46.41276205637201</v>
      </c>
      <c r="S15" s="322">
        <v>48.754514730556174</v>
      </c>
      <c r="T15" s="322">
        <v>56.93744294294293</v>
      </c>
      <c r="U15" s="322">
        <v>58.463828062360811</v>
      </c>
      <c r="V15" s="322">
        <f t="shared" ref="V15:AC15" si="3">(V12*V14)/V13</f>
        <v>58.770206438426158</v>
      </c>
      <c r="W15" s="322">
        <f t="shared" si="3"/>
        <v>58.780837333798253</v>
      </c>
      <c r="X15" s="322">
        <f t="shared" si="3"/>
        <v>80.028651951951943</v>
      </c>
      <c r="Y15" s="322">
        <f t="shared" si="3"/>
        <v>79.562231759656655</v>
      </c>
      <c r="Z15" s="322">
        <f t="shared" si="3"/>
        <v>66.535810924369756</v>
      </c>
      <c r="AA15" s="322">
        <f t="shared" si="3"/>
        <v>65.540494348431352</v>
      </c>
      <c r="AB15" s="322">
        <f t="shared" si="3"/>
        <v>59.666783050847464</v>
      </c>
      <c r="AC15" s="322">
        <f t="shared" si="3"/>
        <v>59.331744262295082</v>
      </c>
      <c r="AD15" s="322">
        <f t="shared" ref="AD15" si="4">(AD12*AD14)/AD13</f>
        <v>54.982460140180194</v>
      </c>
    </row>
    <row r="17" spans="21:30">
      <c r="U17"/>
      <c r="AB17" s="357"/>
      <c r="AC17" s="357"/>
      <c r="AD17" s="357"/>
    </row>
    <row r="18" spans="21:30">
      <c r="U18"/>
      <c r="AB18" s="357"/>
      <c r="AC18" s="357"/>
      <c r="AD18" s="357"/>
    </row>
    <row r="19" spans="21:30">
      <c r="U19"/>
    </row>
    <row r="20" spans="21:30">
      <c r="U20"/>
    </row>
    <row r="21" spans="21:30">
      <c r="U21"/>
    </row>
    <row r="22" spans="21:30">
      <c r="U22"/>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sheetPr>
    <tabColor rgb="FF00B050"/>
  </sheetPr>
  <dimension ref="A1:AK20"/>
  <sheetViews>
    <sheetView showGridLines="0" zoomScale="80" zoomScaleNormal="80" workbookViewId="0">
      <selection activeCell="R14" sqref="R14"/>
    </sheetView>
  </sheetViews>
  <sheetFormatPr defaultColWidth="9.1796875" defaultRowHeight="12.5" outlineLevelCol="1"/>
  <cols>
    <col min="1" max="1" width="2.1796875" style="288" customWidth="1"/>
    <col min="2" max="2" width="23.54296875" style="288" bestFit="1" customWidth="1"/>
    <col min="3" max="10" width="9.1796875" style="288" hidden="1" customWidth="1" outlineLevel="1"/>
    <col min="11" max="11" width="9.1796875" style="288" customWidth="1" collapsed="1"/>
    <col min="12" max="16384" width="9.1796875" style="288"/>
  </cols>
  <sheetData>
    <row r="1" spans="1:37" s="277" customFormat="1"/>
    <row r="2" spans="1:37" s="277" customFormat="1" ht="13.5" customHeight="1"/>
    <row r="3" spans="1:37" s="277" customFormat="1"/>
    <row r="4" spans="1:37" s="277" customFormat="1" ht="20.25" customHeight="1"/>
    <row r="5" spans="1:37" s="277" customFormat="1" ht="13">
      <c r="B5" s="278"/>
    </row>
    <row r="6" spans="1:37" s="279" customFormat="1" ht="14.25" customHeight="1" thickBot="1">
      <c r="B6" s="280" t="s">
        <v>276</v>
      </c>
      <c r="C6" s="281" t="s">
        <v>96</v>
      </c>
      <c r="D6" s="281" t="s">
        <v>97</v>
      </c>
      <c r="E6" s="281" t="s">
        <v>98</v>
      </c>
      <c r="F6" s="281" t="s">
        <v>99</v>
      </c>
      <c r="G6" s="281" t="s">
        <v>100</v>
      </c>
      <c r="H6" s="281" t="s">
        <v>101</v>
      </c>
      <c r="I6" s="281" t="s">
        <v>342</v>
      </c>
      <c r="J6" s="281" t="s">
        <v>348</v>
      </c>
      <c r="K6" s="281" t="s">
        <v>363</v>
      </c>
      <c r="L6" s="281" t="s">
        <v>392</v>
      </c>
      <c r="M6" s="281" t="s">
        <v>404</v>
      </c>
      <c r="N6" s="281" t="s">
        <v>405</v>
      </c>
      <c r="O6" s="281" t="s">
        <v>478</v>
      </c>
      <c r="P6" s="281" t="s">
        <v>483</v>
      </c>
      <c r="Q6" s="281" t="s">
        <v>488</v>
      </c>
      <c r="R6" s="281" t="s">
        <v>490</v>
      </c>
      <c r="S6" s="288"/>
      <c r="T6" s="288"/>
    </row>
    <row r="7" spans="1:37" s="285" customFormat="1" ht="4.5" customHeight="1" thickTop="1">
      <c r="A7" s="282"/>
      <c r="B7" s="283"/>
      <c r="C7" s="284"/>
      <c r="D7" s="284"/>
      <c r="E7" s="284"/>
      <c r="F7" s="284"/>
      <c r="G7" s="284"/>
      <c r="H7" s="284"/>
      <c r="I7" s="284"/>
      <c r="J7" s="284"/>
      <c r="K7" s="284"/>
      <c r="L7" s="284"/>
      <c r="M7" s="284"/>
      <c r="N7" s="284"/>
      <c r="O7" s="284"/>
      <c r="P7" s="284"/>
      <c r="Q7" s="284"/>
      <c r="R7" s="284"/>
      <c r="S7" s="466"/>
      <c r="T7" s="466"/>
      <c r="U7" s="288"/>
      <c r="V7" s="288"/>
      <c r="W7" s="284"/>
      <c r="X7" s="284"/>
      <c r="Y7" s="284"/>
      <c r="Z7" s="284"/>
      <c r="AA7" s="284"/>
      <c r="AB7" s="284"/>
      <c r="AC7" s="284"/>
      <c r="AD7" s="284"/>
      <c r="AG7" s="284"/>
      <c r="AH7" s="284"/>
      <c r="AI7" s="284"/>
      <c r="AJ7" s="284"/>
      <c r="AK7" s="284"/>
    </row>
    <row r="8" spans="1:37" s="277" customFormat="1" ht="14.25" customHeight="1" thickBot="1">
      <c r="B8" s="289" t="s">
        <v>160</v>
      </c>
      <c r="C8" s="59">
        <v>360.42100000000011</v>
      </c>
      <c r="D8" s="59">
        <v>362.67900000000003</v>
      </c>
      <c r="E8" s="59">
        <v>313.71800000000081</v>
      </c>
      <c r="F8" s="59">
        <v>500.678</v>
      </c>
      <c r="G8" s="59">
        <v>552.33500000000004</v>
      </c>
      <c r="H8" s="59">
        <v>641</v>
      </c>
      <c r="I8" s="59">
        <v>330</v>
      </c>
      <c r="J8" s="59">
        <v>102.697</v>
      </c>
      <c r="K8" s="59">
        <f>'9 - Demonstrativos Financeiros'!W35</f>
        <v>84.31006989999986</v>
      </c>
      <c r="L8" s="59">
        <f>'9 - Demonstrativos Financeiros'!X35</f>
        <v>74</v>
      </c>
      <c r="M8" s="59">
        <f>'9 - Demonstrativos Financeiros'!Y35</f>
        <v>45.689930099999941</v>
      </c>
      <c r="N8" s="59">
        <f>'9 - Demonstrativos Financeiros'!Z35</f>
        <v>102.48400000000004</v>
      </c>
      <c r="O8" s="59">
        <f>'9 - Demonstrativos Financeiros'!AA35</f>
        <v>146.19999999999999</v>
      </c>
      <c r="P8" s="59">
        <f>'9 - Demonstrativos Financeiros'!AB35</f>
        <v>338.84199999999998</v>
      </c>
      <c r="Q8" s="59">
        <f>'9 - Demonstrativos Financeiros'!AC35</f>
        <v>409.46800000000002</v>
      </c>
      <c r="R8" s="505">
        <v>486</v>
      </c>
      <c r="S8" s="466"/>
      <c r="T8" s="466"/>
      <c r="U8" s="466"/>
      <c r="V8" s="288"/>
    </row>
    <row r="9" spans="1:37" ht="14">
      <c r="B9" s="286" t="s">
        <v>277</v>
      </c>
      <c r="C9" s="223">
        <v>-195</v>
      </c>
      <c r="D9" s="223">
        <v>-254</v>
      </c>
      <c r="E9" s="223">
        <v>51</v>
      </c>
      <c r="F9" s="223">
        <v>179.5</v>
      </c>
      <c r="G9" s="223">
        <v>-308.79700000000003</v>
      </c>
      <c r="H9" s="223">
        <v>-191.24038703999963</v>
      </c>
      <c r="I9" s="223">
        <v>114.34292782000004</v>
      </c>
      <c r="J9" s="223">
        <v>-58</v>
      </c>
      <c r="K9" s="223">
        <v>-313.20699999999994</v>
      </c>
      <c r="L9" s="223">
        <v>-202</v>
      </c>
      <c r="M9" s="223">
        <v>21.455999999999932</v>
      </c>
      <c r="N9" s="223">
        <v>532.45769427999994</v>
      </c>
      <c r="O9" s="223">
        <v>-162.49400000000009</v>
      </c>
      <c r="P9" s="223">
        <v>-89.650999999999897</v>
      </c>
      <c r="Q9" s="223">
        <v>60.197000000000173</v>
      </c>
      <c r="R9" s="476">
        <v>1.0493757299998947</v>
      </c>
      <c r="S9" s="466"/>
      <c r="T9" s="466"/>
      <c r="U9" s="466"/>
    </row>
    <row r="10" spans="1:37" ht="14">
      <c r="B10" s="286" t="s">
        <v>278</v>
      </c>
      <c r="C10" s="223">
        <v>-50</v>
      </c>
      <c r="D10" s="223">
        <v>0</v>
      </c>
      <c r="E10" s="223">
        <v>-72</v>
      </c>
      <c r="F10" s="223">
        <v>-19.5</v>
      </c>
      <c r="G10" s="223">
        <v>-77.283000000000001</v>
      </c>
      <c r="H10" s="223">
        <v>-94.908000000000001</v>
      </c>
      <c r="I10" s="223">
        <v>-72.405000000000001</v>
      </c>
      <c r="J10" s="223">
        <v>-10</v>
      </c>
      <c r="K10" s="223">
        <v>-12.263999999999999</v>
      </c>
      <c r="L10" s="223">
        <v>-8</v>
      </c>
      <c r="M10" s="223">
        <v>-8.0449999999999999</v>
      </c>
      <c r="N10" s="223">
        <v>-2.9</v>
      </c>
      <c r="O10" s="476">
        <v>-2.29</v>
      </c>
      <c r="P10" s="223">
        <v>-4.1760000000000002</v>
      </c>
      <c r="Q10" s="223">
        <v>-5.1239999999999997</v>
      </c>
      <c r="R10" s="476">
        <v>-10.746</v>
      </c>
      <c r="S10" s="495"/>
      <c r="T10" s="466"/>
      <c r="U10" s="466"/>
    </row>
    <row r="11" spans="1:37" ht="14">
      <c r="B11" s="290" t="s">
        <v>267</v>
      </c>
      <c r="C11" s="223">
        <v>-84</v>
      </c>
      <c r="D11" s="223">
        <v>-106</v>
      </c>
      <c r="E11" s="223">
        <v>-185</v>
      </c>
      <c r="F11" s="223">
        <v>-185</v>
      </c>
      <c r="G11" s="223">
        <v>-148.566</v>
      </c>
      <c r="H11" s="223">
        <v>-177.45099999999999</v>
      </c>
      <c r="I11" s="223">
        <v>-287.84100000000001</v>
      </c>
      <c r="J11" s="223">
        <v>-339</v>
      </c>
      <c r="K11" s="223">
        <v>-276.67700000000002</v>
      </c>
      <c r="L11" s="223">
        <v>-281</v>
      </c>
      <c r="M11" s="223">
        <v>-213.59200000000001</v>
      </c>
      <c r="N11" s="223">
        <v>-195.643</v>
      </c>
      <c r="O11" s="476">
        <v>-261.54599999999999</v>
      </c>
      <c r="P11" s="223">
        <v>-168.99</v>
      </c>
      <c r="Q11" s="476">
        <v>-135.786</v>
      </c>
      <c r="R11" s="476">
        <v>-211</v>
      </c>
      <c r="S11" s="466"/>
      <c r="T11" s="466"/>
      <c r="U11" s="466"/>
    </row>
    <row r="12" spans="1:37" ht="14">
      <c r="B12" s="290" t="s">
        <v>480</v>
      </c>
      <c r="C12" s="223">
        <v>-16</v>
      </c>
      <c r="D12" s="223">
        <v>-57</v>
      </c>
      <c r="E12" s="223">
        <v>-44</v>
      </c>
      <c r="F12" s="223">
        <v>-86.5</v>
      </c>
      <c r="G12" s="223">
        <v>-86.14100000000002</v>
      </c>
      <c r="H12" s="223">
        <v>-1.0580000000000043</v>
      </c>
      <c r="I12" s="223">
        <v>-36.755000000000017</v>
      </c>
      <c r="J12" s="223">
        <v>-68</v>
      </c>
      <c r="K12" s="223">
        <v>-25.553000000000033</v>
      </c>
      <c r="L12" s="223">
        <v>-52</v>
      </c>
      <c r="M12" s="223">
        <v>-36.945000000000064</v>
      </c>
      <c r="N12" s="223">
        <v>-20.921000000000042</v>
      </c>
      <c r="O12" s="223">
        <v>-11</v>
      </c>
      <c r="P12" s="223">
        <v>-34.506999999999969</v>
      </c>
      <c r="Q12" s="223">
        <v>-105.04900000000001</v>
      </c>
      <c r="R12" s="476">
        <v>-106.21099999999998</v>
      </c>
      <c r="S12" s="466"/>
      <c r="T12" s="466"/>
      <c r="U12" s="466"/>
    </row>
    <row r="13" spans="1:37" ht="14">
      <c r="B13" s="286" t="s">
        <v>279</v>
      </c>
      <c r="C13" s="223">
        <v>-380.5</v>
      </c>
      <c r="D13" s="223">
        <v>-33</v>
      </c>
      <c r="E13" s="223">
        <v>-11</v>
      </c>
      <c r="F13" s="223">
        <v>0</v>
      </c>
      <c r="G13" s="223">
        <v>0</v>
      </c>
      <c r="H13" s="223">
        <v>-217.24107218000006</v>
      </c>
      <c r="I13" s="223">
        <v>0</v>
      </c>
      <c r="J13" s="223">
        <v>-107</v>
      </c>
      <c r="K13" s="223">
        <v>0</v>
      </c>
      <c r="L13" s="223">
        <v>0</v>
      </c>
      <c r="M13" s="223"/>
      <c r="N13" s="223">
        <v>-82.845694279999989</v>
      </c>
      <c r="O13" s="476">
        <v>0</v>
      </c>
      <c r="P13" s="223">
        <v>0</v>
      </c>
      <c r="Q13" s="223">
        <v>-58.831000000000003</v>
      </c>
      <c r="R13" s="476">
        <v>12.396000000000015</v>
      </c>
      <c r="S13" s="466"/>
      <c r="T13" s="466"/>
      <c r="U13" s="466"/>
    </row>
    <row r="14" spans="1:37" ht="14">
      <c r="B14" s="323" t="s">
        <v>494</v>
      </c>
      <c r="C14" s="223">
        <v>0</v>
      </c>
      <c r="D14" s="223">
        <v>-37</v>
      </c>
      <c r="E14" s="223">
        <v>0</v>
      </c>
      <c r="F14" s="223">
        <v>0</v>
      </c>
      <c r="G14" s="223">
        <v>-129.61399999999998</v>
      </c>
      <c r="H14" s="223">
        <v>0</v>
      </c>
      <c r="I14" s="223">
        <v>46.164999999999999</v>
      </c>
      <c r="J14" s="223">
        <v>-2</v>
      </c>
      <c r="K14" s="223">
        <v>-83.584000000000003</v>
      </c>
      <c r="L14" s="223">
        <v>50</v>
      </c>
      <c r="M14" s="223">
        <v>-66.222999999999999</v>
      </c>
      <c r="N14" s="223">
        <v>42.936</v>
      </c>
      <c r="O14" s="476">
        <v>13.034000000000001</v>
      </c>
      <c r="P14" s="223">
        <v>-8.702</v>
      </c>
      <c r="Q14" s="223">
        <v>11.801</v>
      </c>
      <c r="R14" s="476">
        <v>238.46299999999999</v>
      </c>
      <c r="S14" s="466"/>
      <c r="T14" s="466"/>
      <c r="U14" s="466"/>
    </row>
    <row r="15" spans="1:37" ht="14.5" hidden="1" thickBot="1">
      <c r="B15" s="318" t="s">
        <v>280</v>
      </c>
      <c r="C15" s="320">
        <v>0</v>
      </c>
      <c r="D15" s="320">
        <v>0</v>
      </c>
      <c r="E15" s="320">
        <v>657</v>
      </c>
      <c r="F15" s="320">
        <v>0</v>
      </c>
      <c r="G15" s="320">
        <v>0</v>
      </c>
      <c r="H15" s="320">
        <v>0</v>
      </c>
      <c r="I15" s="320">
        <v>0</v>
      </c>
      <c r="J15" s="320">
        <v>0</v>
      </c>
      <c r="K15" s="320">
        <v>0</v>
      </c>
      <c r="L15" s="320"/>
      <c r="M15" s="320"/>
      <c r="N15" s="320"/>
      <c r="O15" s="320">
        <v>0</v>
      </c>
      <c r="P15" s="320">
        <v>0</v>
      </c>
      <c r="Q15" s="320">
        <v>0</v>
      </c>
      <c r="R15" s="506">
        <v>0</v>
      </c>
      <c r="S15" s="466"/>
      <c r="T15" s="466"/>
      <c r="U15" s="466"/>
    </row>
    <row r="16" spans="1:37" s="277" customFormat="1" ht="14.25" customHeight="1" thickBot="1">
      <c r="B16" s="289" t="s">
        <v>281</v>
      </c>
      <c r="C16" s="59">
        <v>-365.07899999999989</v>
      </c>
      <c r="D16" s="59">
        <v>-124.32099999999997</v>
      </c>
      <c r="E16" s="59">
        <v>709.71800000000076</v>
      </c>
      <c r="F16" s="59">
        <v>389.178</v>
      </c>
      <c r="G16" s="59">
        <v>-198.066</v>
      </c>
      <c r="H16" s="59">
        <v>-40.898459219999694</v>
      </c>
      <c r="I16" s="59">
        <v>93.506927820000001</v>
      </c>
      <c r="J16" s="59">
        <f>SUM(J8:J15)</f>
        <v>-481.303</v>
      </c>
      <c r="K16" s="59">
        <f t="shared" ref="K16:R16" si="0">SUM(K8:K15)</f>
        <v>-626.97493010000017</v>
      </c>
      <c r="L16" s="59">
        <f t="shared" si="0"/>
        <v>-419</v>
      </c>
      <c r="M16" s="59">
        <f t="shared" si="0"/>
        <v>-257.65906990000019</v>
      </c>
      <c r="N16" s="59">
        <f t="shared" si="0"/>
        <v>375.56799999999993</v>
      </c>
      <c r="O16" s="59">
        <f t="shared" si="0"/>
        <v>-278.09600000000012</v>
      </c>
      <c r="P16" s="59">
        <f t="shared" si="0"/>
        <v>32.816000000000123</v>
      </c>
      <c r="Q16" s="59">
        <f t="shared" si="0"/>
        <v>176.67600000000016</v>
      </c>
      <c r="R16" s="59">
        <f t="shared" si="0"/>
        <v>409.95137572999994</v>
      </c>
      <c r="S16" s="466"/>
      <c r="T16" s="466"/>
      <c r="U16" s="466"/>
      <c r="V16" s="288"/>
    </row>
    <row r="17" spans="2:18">
      <c r="R17" s="361"/>
    </row>
    <row r="18" spans="2:18" ht="14">
      <c r="B18" s="461" t="s">
        <v>495</v>
      </c>
      <c r="R18" s="361"/>
    </row>
    <row r="19" spans="2:18" ht="14">
      <c r="B19" s="461" t="s">
        <v>496</v>
      </c>
      <c r="R19" s="361"/>
    </row>
    <row r="20" spans="2:18" ht="14">
      <c r="B20" s="461"/>
      <c r="R20" s="361"/>
    </row>
  </sheetData>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sheetPr>
    <tabColor rgb="FF00B050"/>
  </sheetPr>
  <dimension ref="A1:AF120"/>
  <sheetViews>
    <sheetView showGridLines="0" zoomScale="80" zoomScaleNormal="80" workbookViewId="0">
      <pane xSplit="2" ySplit="6" topLeftCell="W7" activePane="bottomRight" state="frozen"/>
      <selection activeCell="AB15" sqref="AB15"/>
      <selection pane="topRight" activeCell="AB15" sqref="AB15"/>
      <selection pane="bottomLeft" activeCell="AB15" sqref="AB15"/>
      <selection pane="bottomRight" activeCell="AN85" sqref="AN85"/>
    </sheetView>
  </sheetViews>
  <sheetFormatPr defaultColWidth="9.1796875" defaultRowHeight="14" outlineLevelCol="1"/>
  <cols>
    <col min="1" max="1" width="3.81640625" style="292" customWidth="1"/>
    <col min="2" max="2" width="78.54296875" style="292" bestFit="1" customWidth="1"/>
    <col min="3" max="22" width="10.81640625" style="292" hidden="1" customWidth="1" outlineLevel="1"/>
    <col min="23" max="23" width="10.81640625" style="292" customWidth="1" collapsed="1"/>
    <col min="24" max="30" width="10.81640625" style="292" customWidth="1"/>
    <col min="31" max="31" width="13.81640625" style="292" customWidth="1"/>
    <col min="32" max="32" width="1.81640625" style="292" customWidth="1"/>
    <col min="33" max="16384" width="9.1796875" style="292"/>
  </cols>
  <sheetData>
    <row r="1" spans="1:32" s="324" customFormat="1">
      <c r="U1" s="324" t="s">
        <v>350</v>
      </c>
    </row>
    <row r="2" spans="1:32" s="324" customFormat="1" ht="13.5" customHeight="1"/>
    <row r="3" spans="1:32" s="324" customFormat="1"/>
    <row r="4" spans="1:32" s="324" customFormat="1" ht="20.25" customHeight="1"/>
    <row r="5" spans="1:32" s="324" customFormat="1">
      <c r="B5" s="325"/>
      <c r="C5" s="325"/>
      <c r="D5" s="325"/>
      <c r="E5" s="325"/>
      <c r="F5" s="325"/>
      <c r="G5" s="325"/>
      <c r="H5" s="325"/>
      <c r="I5" s="325"/>
      <c r="J5" s="325"/>
      <c r="K5" s="325"/>
      <c r="L5" s="325"/>
      <c r="M5" s="325"/>
      <c r="N5" s="325"/>
    </row>
    <row r="6" spans="1:32" ht="14.25" customHeight="1" thickBot="1">
      <c r="B6" s="280" t="s">
        <v>283</v>
      </c>
      <c r="C6" s="281" t="s">
        <v>84</v>
      </c>
      <c r="D6" s="281" t="s">
        <v>85</v>
      </c>
      <c r="E6" s="281" t="s">
        <v>86</v>
      </c>
      <c r="F6" s="281" t="s">
        <v>87</v>
      </c>
      <c r="G6" s="281" t="s">
        <v>88</v>
      </c>
      <c r="H6" s="281" t="s">
        <v>89</v>
      </c>
      <c r="I6" s="281" t="s">
        <v>90</v>
      </c>
      <c r="J6" s="281" t="s">
        <v>91</v>
      </c>
      <c r="K6" s="281" t="s">
        <v>92</v>
      </c>
      <c r="L6" s="281" t="s">
        <v>93</v>
      </c>
      <c r="M6" s="281" t="s">
        <v>94</v>
      </c>
      <c r="N6" s="281" t="s">
        <v>95</v>
      </c>
      <c r="O6" s="281" t="s">
        <v>96</v>
      </c>
      <c r="P6" s="281" t="s">
        <v>97</v>
      </c>
      <c r="Q6" s="281" t="s">
        <v>98</v>
      </c>
      <c r="R6" s="281" t="s">
        <v>99</v>
      </c>
      <c r="S6" s="281" t="s">
        <v>100</v>
      </c>
      <c r="T6" s="281" t="s">
        <v>101</v>
      </c>
      <c r="U6" s="281" t="s">
        <v>342</v>
      </c>
      <c r="V6" s="281" t="s">
        <v>348</v>
      </c>
      <c r="W6" s="281" t="s">
        <v>363</v>
      </c>
      <c r="X6" s="281" t="s">
        <v>392</v>
      </c>
      <c r="Y6" s="281" t="s">
        <v>404</v>
      </c>
      <c r="Z6" s="281" t="s">
        <v>405</v>
      </c>
      <c r="AA6" s="281" t="s">
        <v>478</v>
      </c>
      <c r="AB6" s="281" t="s">
        <v>483</v>
      </c>
      <c r="AC6" s="281" t="s">
        <v>488</v>
      </c>
      <c r="AD6" s="281" t="s">
        <v>490</v>
      </c>
    </row>
    <row r="7" spans="1:32" s="285" customFormat="1" ht="4.5" customHeight="1" thickTop="1">
      <c r="A7" s="282"/>
      <c r="B7" s="283"/>
      <c r="C7" s="283"/>
      <c r="D7" s="283"/>
      <c r="E7" s="283"/>
      <c r="F7" s="283"/>
      <c r="G7" s="283"/>
      <c r="H7" s="283"/>
      <c r="I7" s="283"/>
      <c r="J7" s="283"/>
      <c r="K7" s="283"/>
      <c r="L7" s="283"/>
      <c r="M7" s="283"/>
      <c r="N7" s="283"/>
      <c r="O7" s="284"/>
      <c r="P7" s="284"/>
      <c r="Q7" s="284"/>
      <c r="R7" s="284"/>
      <c r="S7" s="284"/>
      <c r="T7" s="284"/>
      <c r="U7" s="284"/>
      <c r="V7" s="284"/>
      <c r="W7" s="284"/>
      <c r="X7" s="284"/>
      <c r="Y7" s="284"/>
      <c r="Z7" s="284"/>
      <c r="AA7" s="284"/>
      <c r="AB7" s="284"/>
      <c r="AC7" s="284"/>
      <c r="AD7" s="284"/>
      <c r="AE7" s="292"/>
    </row>
    <row r="8" spans="1:32" s="326" customFormat="1" ht="14.15" customHeight="1" thickBot="1">
      <c r="B8" s="289" t="s">
        <v>284</v>
      </c>
      <c r="C8" s="289"/>
      <c r="D8" s="289"/>
      <c r="E8" s="289"/>
      <c r="F8" s="289"/>
      <c r="G8" s="289"/>
      <c r="H8" s="289"/>
      <c r="I8" s="289"/>
      <c r="J8" s="289"/>
      <c r="K8" s="289"/>
      <c r="L8" s="289"/>
      <c r="M8" s="289"/>
      <c r="N8" s="289"/>
      <c r="O8" s="59"/>
      <c r="P8" s="59"/>
      <c r="Q8" s="59"/>
      <c r="R8" s="59"/>
      <c r="S8" s="59"/>
      <c r="T8" s="59"/>
      <c r="U8" s="59"/>
      <c r="V8" s="59"/>
      <c r="W8" s="59"/>
      <c r="X8" s="59"/>
      <c r="Y8" s="59"/>
      <c r="Z8" s="59"/>
      <c r="AA8" s="59"/>
      <c r="AB8" s="59"/>
      <c r="AC8" s="59"/>
      <c r="AD8" s="505"/>
      <c r="AE8" s="314"/>
    </row>
    <row r="9" spans="1:32">
      <c r="B9" s="327"/>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9"/>
    </row>
    <row r="10" spans="1:32" s="314" customFormat="1">
      <c r="B10" s="316" t="s">
        <v>285</v>
      </c>
      <c r="C10" s="330">
        <v>108.297</v>
      </c>
      <c r="D10" s="330">
        <v>-50.103000000000002</v>
      </c>
      <c r="E10" s="330">
        <v>-13.071</v>
      </c>
      <c r="F10" s="330">
        <v>83.028000000000006</v>
      </c>
      <c r="G10" s="330">
        <v>50.384</v>
      </c>
      <c r="H10" s="330">
        <v>0.60499999999999998</v>
      </c>
      <c r="I10" s="330">
        <v>-80.798000000000002</v>
      </c>
      <c r="J10" s="330">
        <v>26.710999999999999</v>
      </c>
      <c r="K10" s="330">
        <v>117.611</v>
      </c>
      <c r="L10" s="330">
        <v>21.783999999999999</v>
      </c>
      <c r="M10" s="330">
        <v>-170.96199999999999</v>
      </c>
      <c r="N10" s="330">
        <v>-29.965</v>
      </c>
      <c r="O10" s="330">
        <v>-126.777</v>
      </c>
      <c r="P10" s="330">
        <v>578.04999999999995</v>
      </c>
      <c r="Q10" s="330">
        <v>-87.432000000000002</v>
      </c>
      <c r="R10" s="330">
        <v>493.56700000000001</v>
      </c>
      <c r="S10" s="330">
        <v>582.38</v>
      </c>
      <c r="T10" s="330">
        <v>545.79499999999996</v>
      </c>
      <c r="U10" s="330">
        <v>157</v>
      </c>
      <c r="V10" s="330">
        <v>-154.84899999999993</v>
      </c>
      <c r="W10" s="330">
        <v>121.965</v>
      </c>
      <c r="X10" s="330">
        <v>-3</v>
      </c>
      <c r="Y10" s="330">
        <f>'9 - Demonstrativos Financeiros'!Y23</f>
        <v>-318.14599999999984</v>
      </c>
      <c r="Z10" s="330">
        <f>'9 - Demonstrativos Financeiros'!Z23-1</f>
        <v>-782.10799999999995</v>
      </c>
      <c r="AA10" s="330">
        <f>'9 - Demonstrativos Financeiros'!AA23-1+1</f>
        <v>0.80999999999995964</v>
      </c>
      <c r="AB10" s="330">
        <f>'9 - Demonstrativos Financeiros'!AB23</f>
        <v>-127.44399999999996</v>
      </c>
      <c r="AC10" s="330">
        <f>'9 - Demonstrativos Financeiros'!AC23</f>
        <v>41.631999999999991</v>
      </c>
      <c r="AD10" s="330">
        <f>'9 - Demonstrativos Financeiros'!AD23</f>
        <v>-273.5922959200002</v>
      </c>
      <c r="AE10" s="331"/>
      <c r="AF10" s="331"/>
    </row>
    <row r="11" spans="1:32">
      <c r="B11" s="286"/>
      <c r="C11" s="332"/>
      <c r="D11" s="332"/>
      <c r="E11" s="332"/>
      <c r="F11" s="332"/>
      <c r="G11" s="332"/>
      <c r="H11" s="332"/>
      <c r="I11" s="332"/>
      <c r="J11" s="332"/>
      <c r="K11" s="316"/>
      <c r="L11" s="332"/>
      <c r="M11" s="332"/>
      <c r="N11" s="332"/>
      <c r="O11" s="316"/>
      <c r="P11" s="332"/>
      <c r="Q11" s="332"/>
      <c r="R11" s="332"/>
      <c r="S11" s="332"/>
      <c r="T11" s="332"/>
      <c r="U11" s="332"/>
      <c r="V11" s="332"/>
      <c r="W11" s="332"/>
      <c r="X11" s="332"/>
      <c r="Y11" s="332"/>
      <c r="Z11" s="332"/>
      <c r="AA11" s="332"/>
      <c r="AB11" s="332"/>
      <c r="AC11" s="332"/>
      <c r="AD11" s="332"/>
      <c r="AE11" s="331"/>
      <c r="AF11" s="331"/>
    </row>
    <row r="12" spans="1:32">
      <c r="B12" s="286" t="s">
        <v>287</v>
      </c>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1"/>
      <c r="AF12" s="331"/>
    </row>
    <row r="13" spans="1:32">
      <c r="B13" s="333" t="s">
        <v>288</v>
      </c>
      <c r="C13" s="332">
        <v>79.298000000000002</v>
      </c>
      <c r="D13" s="332">
        <v>315.541</v>
      </c>
      <c r="E13" s="332">
        <v>162.523</v>
      </c>
      <c r="F13" s="332">
        <v>-107.462</v>
      </c>
      <c r="G13" s="332">
        <v>46.779000000000003</v>
      </c>
      <c r="H13" s="332">
        <v>27.838000000000001</v>
      </c>
      <c r="I13" s="332">
        <v>78.855999999999995</v>
      </c>
      <c r="J13" s="332">
        <v>114.05200000000001</v>
      </c>
      <c r="K13" s="332">
        <v>203.49299999999999</v>
      </c>
      <c r="L13" s="332">
        <v>77.408000000000001</v>
      </c>
      <c r="M13" s="332">
        <v>138.536</v>
      </c>
      <c r="N13" s="332">
        <v>12.472</v>
      </c>
      <c r="O13" s="332">
        <v>149.56899999999999</v>
      </c>
      <c r="P13" s="332">
        <v>-50.171999999999997</v>
      </c>
      <c r="Q13" s="332">
        <v>183.036</v>
      </c>
      <c r="R13" s="332">
        <v>134.57400000000001</v>
      </c>
      <c r="S13" s="332">
        <v>29.379000000000001</v>
      </c>
      <c r="T13" s="332">
        <v>98.695999999999998</v>
      </c>
      <c r="U13" s="332">
        <v>59</v>
      </c>
      <c r="V13" s="332">
        <v>-17.268999999999977</v>
      </c>
      <c r="W13" s="332">
        <v>17.359000000000002</v>
      </c>
      <c r="X13" s="332">
        <v>-15</v>
      </c>
      <c r="Y13" s="332">
        <f>227-SUM(W13:X13)</f>
        <v>224.64099999999999</v>
      </c>
      <c r="Z13" s="332">
        <v>54.03</v>
      </c>
      <c r="AA13" s="332">
        <f>153498/1000</f>
        <v>153.49799999999999</v>
      </c>
      <c r="AB13" s="332">
        <v>205.108</v>
      </c>
      <c r="AC13" s="332">
        <v>81</v>
      </c>
      <c r="AD13" s="332">
        <v>424.92200000000003</v>
      </c>
      <c r="AE13" s="331"/>
      <c r="AF13" s="331"/>
    </row>
    <row r="14" spans="1:32">
      <c r="B14" s="333" t="s">
        <v>289</v>
      </c>
      <c r="C14" s="332">
        <v>-1.3029999999999999</v>
      </c>
      <c r="D14" s="332">
        <v>19.989999999999998</v>
      </c>
      <c r="E14" s="332">
        <v>8.3290000000000006</v>
      </c>
      <c r="F14" s="332">
        <v>2.1000000000000001E-2</v>
      </c>
      <c r="G14" s="332">
        <v>0.35099999999999998</v>
      </c>
      <c r="H14" s="332">
        <v>-4.992</v>
      </c>
      <c r="I14" s="332">
        <v>-1.9610000000000001</v>
      </c>
      <c r="J14" s="332">
        <v>-7.8949999999999996</v>
      </c>
      <c r="K14" s="332">
        <v>26.245000000000001</v>
      </c>
      <c r="L14" s="332">
        <v>-7.7720000000000002</v>
      </c>
      <c r="M14" s="332">
        <v>-5.1269999999999998</v>
      </c>
      <c r="N14" s="332">
        <v>-10.3</v>
      </c>
      <c r="O14" s="332">
        <v>17.169</v>
      </c>
      <c r="P14" s="332">
        <v>-17.065000000000001</v>
      </c>
      <c r="Q14" s="332">
        <v>17.646999999999998</v>
      </c>
      <c r="R14" s="332">
        <v>-30.475000000000001</v>
      </c>
      <c r="S14" s="332">
        <v>-19.192</v>
      </c>
      <c r="T14" s="332">
        <v>14.773999999999999</v>
      </c>
      <c r="U14" s="332">
        <v>10</v>
      </c>
      <c r="V14" s="332">
        <v>7.2830000000000013</v>
      </c>
      <c r="W14" s="332">
        <v>-18.428000000000001</v>
      </c>
      <c r="X14" s="332">
        <v>-26</v>
      </c>
      <c r="Y14" s="332">
        <f>-56-SUM(W14:X14)</f>
        <v>-11.572000000000003</v>
      </c>
      <c r="Z14" s="332">
        <v>-11.407999999999999</v>
      </c>
      <c r="AA14" s="332">
        <v>-32.139000000000003</v>
      </c>
      <c r="AB14" s="332">
        <v>-31.561999999999998</v>
      </c>
      <c r="AC14" s="332">
        <v>-34</v>
      </c>
      <c r="AD14" s="332">
        <v>-31.518000000000001</v>
      </c>
      <c r="AE14" s="331"/>
      <c r="AF14" s="331"/>
    </row>
    <row r="15" spans="1:32">
      <c r="B15" s="333" t="s">
        <v>225</v>
      </c>
      <c r="C15" s="332">
        <v>74.691999999999993</v>
      </c>
      <c r="D15" s="332">
        <v>78.034999999999997</v>
      </c>
      <c r="E15" s="332">
        <v>74.795000000000002</v>
      </c>
      <c r="F15" s="332">
        <v>75.680000000000007</v>
      </c>
      <c r="G15" s="332">
        <v>96.887</v>
      </c>
      <c r="H15" s="332">
        <v>141.75299999999999</v>
      </c>
      <c r="I15" s="332">
        <v>89.731999999999999</v>
      </c>
      <c r="J15" s="332">
        <v>134.18899999999999</v>
      </c>
      <c r="K15" s="332">
        <v>91.376000000000005</v>
      </c>
      <c r="L15" s="332">
        <v>110.422</v>
      </c>
      <c r="M15" s="332">
        <v>103.4</v>
      </c>
      <c r="N15" s="332">
        <v>126.283</v>
      </c>
      <c r="O15" s="332">
        <v>113.1</v>
      </c>
      <c r="P15" s="332">
        <v>126.14100000000001</v>
      </c>
      <c r="Q15" s="332">
        <v>137.14400000000001</v>
      </c>
      <c r="R15" s="332">
        <v>119.66</v>
      </c>
      <c r="S15" s="332">
        <v>128.72800000000001</v>
      </c>
      <c r="T15" s="332">
        <v>123.63800000000001</v>
      </c>
      <c r="U15" s="332">
        <v>137</v>
      </c>
      <c r="V15" s="332">
        <v>150.14499999999998</v>
      </c>
      <c r="W15" s="332">
        <v>134.69200000000001</v>
      </c>
      <c r="X15" s="332">
        <v>145</v>
      </c>
      <c r="Y15" s="332">
        <f>422-SUM(W15:X15)</f>
        <v>142.30799999999999</v>
      </c>
      <c r="Z15" s="332">
        <v>148.05699999999999</v>
      </c>
      <c r="AA15" s="332">
        <f>144215/1000</f>
        <v>144.215</v>
      </c>
      <c r="AB15" s="332">
        <v>144.18199999999999</v>
      </c>
      <c r="AC15" s="332">
        <v>158</v>
      </c>
      <c r="AD15" s="332">
        <v>196.93800000000005</v>
      </c>
      <c r="AE15" s="331"/>
      <c r="AF15" s="331"/>
    </row>
    <row r="16" spans="1:32">
      <c r="B16" s="333" t="s">
        <v>194</v>
      </c>
      <c r="C16" s="332">
        <v>0</v>
      </c>
      <c r="D16" s="332">
        <v>0</v>
      </c>
      <c r="E16" s="332">
        <v>0</v>
      </c>
      <c r="F16" s="332">
        <v>0</v>
      </c>
      <c r="G16" s="332">
        <v>0</v>
      </c>
      <c r="H16" s="332">
        <v>0</v>
      </c>
      <c r="I16" s="332">
        <v>0</v>
      </c>
      <c r="J16" s="332">
        <v>127.169</v>
      </c>
      <c r="K16" s="332">
        <v>12.266</v>
      </c>
      <c r="L16" s="332">
        <v>27.07</v>
      </c>
      <c r="M16" s="332">
        <v>40.185000000000002</v>
      </c>
      <c r="N16" s="332">
        <v>45.701000000000001</v>
      </c>
      <c r="O16" s="332">
        <v>-10.72</v>
      </c>
      <c r="P16" s="332">
        <v>-202.61799999999999</v>
      </c>
      <c r="Q16" s="332">
        <v>14.486000000000001</v>
      </c>
      <c r="R16" s="332">
        <v>15.747</v>
      </c>
      <c r="S16" s="332">
        <v>24.39</v>
      </c>
      <c r="T16" s="332">
        <v>22.529</v>
      </c>
      <c r="U16" s="332">
        <v>40</v>
      </c>
      <c r="V16" s="332">
        <v>-0.51599999999999113</v>
      </c>
      <c r="W16" s="332">
        <v>-0.105</v>
      </c>
      <c r="X16" s="332">
        <v>52</v>
      </c>
      <c r="Y16" s="332">
        <f>-51-SUM(W16:X16)</f>
        <v>-102.89500000000001</v>
      </c>
      <c r="Z16" s="332">
        <v>639.02800000000002</v>
      </c>
      <c r="AA16" s="332">
        <f>-112101/1000</f>
        <v>-112.101</v>
      </c>
      <c r="AB16" s="332">
        <v>-152.06299999999999</v>
      </c>
      <c r="AC16" s="332">
        <v>56</v>
      </c>
      <c r="AD16" s="332">
        <v>48.942999999999984</v>
      </c>
      <c r="AE16" s="331"/>
      <c r="AF16" s="331"/>
    </row>
    <row r="17" spans="2:32">
      <c r="B17" s="333" t="s">
        <v>484</v>
      </c>
      <c r="C17" s="332">
        <v>0</v>
      </c>
      <c r="D17" s="332">
        <v>0</v>
      </c>
      <c r="E17" s="332">
        <v>0</v>
      </c>
      <c r="F17" s="332">
        <v>0</v>
      </c>
      <c r="G17" s="332">
        <v>0</v>
      </c>
      <c r="H17" s="332">
        <v>0</v>
      </c>
      <c r="I17" s="332">
        <v>0</v>
      </c>
      <c r="J17" s="332">
        <v>0</v>
      </c>
      <c r="K17" s="332">
        <v>0</v>
      </c>
      <c r="L17" s="332">
        <v>0</v>
      </c>
      <c r="M17" s="332">
        <v>0</v>
      </c>
      <c r="N17" s="332">
        <v>0</v>
      </c>
      <c r="O17" s="332">
        <v>0</v>
      </c>
      <c r="P17" s="332">
        <v>0</v>
      </c>
      <c r="Q17" s="332">
        <v>0</v>
      </c>
      <c r="R17" s="332">
        <v>-29</v>
      </c>
      <c r="S17" s="332">
        <v>0</v>
      </c>
      <c r="T17" s="332">
        <v>0</v>
      </c>
      <c r="U17" s="332">
        <v>0</v>
      </c>
      <c r="V17" s="332">
        <v>0</v>
      </c>
      <c r="W17" s="332">
        <v>0</v>
      </c>
      <c r="X17" s="332">
        <v>0</v>
      </c>
      <c r="Y17" s="332">
        <v>0</v>
      </c>
      <c r="Z17" s="332">
        <v>0</v>
      </c>
      <c r="AA17" s="332">
        <v>-26.597000000000001</v>
      </c>
      <c r="AB17" s="332">
        <v>65.100999999999999</v>
      </c>
      <c r="AC17" s="332">
        <v>-4</v>
      </c>
      <c r="AD17" s="332">
        <v>-42.302999999999997</v>
      </c>
      <c r="AE17" s="331"/>
      <c r="AF17" s="331"/>
    </row>
    <row r="18" spans="2:32">
      <c r="B18" s="333" t="s">
        <v>491</v>
      </c>
      <c r="C18" s="332"/>
      <c r="D18" s="332"/>
      <c r="E18" s="332"/>
      <c r="F18" s="332"/>
      <c r="G18" s="332"/>
      <c r="H18" s="332"/>
      <c r="I18" s="332"/>
      <c r="J18" s="332"/>
      <c r="K18" s="332"/>
      <c r="L18" s="332"/>
      <c r="M18" s="332"/>
      <c r="N18" s="332"/>
      <c r="O18" s="332"/>
      <c r="P18" s="332"/>
      <c r="Q18" s="332"/>
      <c r="R18" s="332"/>
      <c r="S18" s="332"/>
      <c r="T18" s="332"/>
      <c r="U18" s="332"/>
      <c r="V18" s="332"/>
      <c r="W18" s="332">
        <v>0</v>
      </c>
      <c r="X18" s="332">
        <v>0</v>
      </c>
      <c r="Y18" s="332">
        <v>0</v>
      </c>
      <c r="Z18" s="332">
        <v>0</v>
      </c>
      <c r="AA18" s="332">
        <v>0</v>
      </c>
      <c r="AB18" s="332">
        <v>0</v>
      </c>
      <c r="AC18" s="332">
        <v>0</v>
      </c>
      <c r="AD18" s="332">
        <v>-128.251</v>
      </c>
      <c r="AE18" s="331"/>
      <c r="AF18" s="331"/>
    </row>
    <row r="19" spans="2:32">
      <c r="B19" s="333" t="s">
        <v>175</v>
      </c>
      <c r="C19" s="332">
        <v>0</v>
      </c>
      <c r="D19" s="332">
        <v>0</v>
      </c>
      <c r="E19" s="332">
        <v>0</v>
      </c>
      <c r="F19" s="332">
        <v>0</v>
      </c>
      <c r="G19" s="332">
        <v>0</v>
      </c>
      <c r="H19" s="332">
        <v>0</v>
      </c>
      <c r="I19" s="332">
        <v>0</v>
      </c>
      <c r="J19" s="332">
        <v>-147.37200000000001</v>
      </c>
      <c r="K19" s="332">
        <v>0</v>
      </c>
      <c r="L19" s="332">
        <v>0</v>
      </c>
      <c r="M19" s="332">
        <v>0</v>
      </c>
      <c r="N19" s="332">
        <v>204.30500000000001</v>
      </c>
      <c r="O19" s="332">
        <v>239.08199999999999</v>
      </c>
      <c r="P19" s="332">
        <v>78.819999999999993</v>
      </c>
      <c r="Q19" s="332">
        <v>-317.90199999999999</v>
      </c>
      <c r="R19" s="332">
        <v>912.33199999999999</v>
      </c>
      <c r="S19" s="332">
        <v>-76.239999999999995</v>
      </c>
      <c r="T19" s="332">
        <v>45.515999999999998</v>
      </c>
      <c r="U19" s="332">
        <v>-15</v>
      </c>
      <c r="V19" s="332">
        <v>-10.260000000000005</v>
      </c>
      <c r="W19" s="332">
        <v>-43</v>
      </c>
      <c r="X19" s="332">
        <v>-197</v>
      </c>
      <c r="Y19" s="332">
        <f>-288-SUM(W19:X19)</f>
        <v>-48</v>
      </c>
      <c r="Z19" s="332">
        <v>-47.5</v>
      </c>
      <c r="AA19" s="332">
        <f>11873/1000</f>
        <v>11.872999999999999</v>
      </c>
      <c r="AB19" s="332">
        <v>87.040999999999997</v>
      </c>
      <c r="AC19" s="332">
        <v>-2</v>
      </c>
      <c r="AD19" s="332">
        <v>173.48400000000004</v>
      </c>
      <c r="AE19" s="331"/>
      <c r="AF19" s="331"/>
    </row>
    <row r="20" spans="2:32">
      <c r="B20" s="333" t="s">
        <v>485</v>
      </c>
      <c r="C20" s="332">
        <v>0</v>
      </c>
      <c r="D20" s="332">
        <v>0</v>
      </c>
      <c r="E20" s="332">
        <v>0</v>
      </c>
      <c r="F20" s="332">
        <v>0</v>
      </c>
      <c r="G20" s="332">
        <v>0</v>
      </c>
      <c r="H20" s="332">
        <v>0</v>
      </c>
      <c r="I20" s="332">
        <v>0</v>
      </c>
      <c r="J20" s="332">
        <v>0</v>
      </c>
      <c r="K20" s="332">
        <v>0</v>
      </c>
      <c r="L20" s="332">
        <v>0</v>
      </c>
      <c r="M20" s="332">
        <v>0</v>
      </c>
      <c r="N20" s="332">
        <v>0</v>
      </c>
      <c r="O20" s="332">
        <v>0</v>
      </c>
      <c r="P20" s="332">
        <v>0</v>
      </c>
      <c r="Q20" s="332">
        <v>0</v>
      </c>
      <c r="R20" s="332">
        <v>0</v>
      </c>
      <c r="S20" s="332">
        <v>0</v>
      </c>
      <c r="T20" s="332">
        <v>0</v>
      </c>
      <c r="U20" s="332">
        <v>0</v>
      </c>
      <c r="V20" s="332">
        <v>0</v>
      </c>
      <c r="W20" s="332">
        <v>0</v>
      </c>
      <c r="X20" s="332">
        <v>0</v>
      </c>
      <c r="Y20" s="332">
        <v>0</v>
      </c>
      <c r="Z20" s="332">
        <v>0</v>
      </c>
      <c r="AA20" s="332">
        <v>0</v>
      </c>
      <c r="AB20" s="332">
        <v>127.81399999999999</v>
      </c>
      <c r="AC20" s="332">
        <v>40</v>
      </c>
      <c r="AD20" s="332">
        <v>-157.42599999999999</v>
      </c>
      <c r="AE20" s="331"/>
      <c r="AF20" s="331"/>
    </row>
    <row r="21" spans="2:32">
      <c r="B21" s="333" t="s">
        <v>493</v>
      </c>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99.343000000000004</v>
      </c>
      <c r="AE21" s="331"/>
      <c r="AF21" s="331"/>
    </row>
    <row r="22" spans="2:32">
      <c r="B22" s="333" t="s">
        <v>290</v>
      </c>
      <c r="C22" s="332">
        <v>29.088999999999999</v>
      </c>
      <c r="D22" s="332">
        <v>28.228000000000002</v>
      </c>
      <c r="E22" s="332">
        <v>29.576000000000001</v>
      </c>
      <c r="F22" s="332">
        <v>29.222000000000001</v>
      </c>
      <c r="G22" s="332">
        <v>27.516999999999999</v>
      </c>
      <c r="H22" s="332">
        <v>25.667999999999999</v>
      </c>
      <c r="I22" s="332">
        <v>25.864999999999998</v>
      </c>
      <c r="J22" s="332">
        <v>-79.05</v>
      </c>
      <c r="K22" s="332">
        <v>0</v>
      </c>
      <c r="L22" s="332">
        <v>0</v>
      </c>
      <c r="M22" s="332">
        <v>0</v>
      </c>
      <c r="N22" s="332">
        <v>0</v>
      </c>
      <c r="O22" s="332">
        <v>0</v>
      </c>
      <c r="P22" s="332">
        <v>0</v>
      </c>
      <c r="Q22" s="332">
        <v>0</v>
      </c>
      <c r="R22" s="332">
        <v>0</v>
      </c>
      <c r="S22" s="332">
        <v>0</v>
      </c>
      <c r="T22" s="332">
        <v>0</v>
      </c>
      <c r="U22" s="332">
        <v>0</v>
      </c>
      <c r="V22" s="332">
        <v>0</v>
      </c>
      <c r="W22" s="332">
        <v>0</v>
      </c>
      <c r="X22" s="332">
        <v>0</v>
      </c>
      <c r="Y22" s="332">
        <v>0</v>
      </c>
      <c r="Z22" s="332">
        <v>0</v>
      </c>
      <c r="AA22" s="332">
        <v>0</v>
      </c>
      <c r="AB22" s="332">
        <v>0</v>
      </c>
      <c r="AC22" s="332">
        <v>0</v>
      </c>
      <c r="AD22" s="332">
        <v>0</v>
      </c>
      <c r="AE22" s="331"/>
      <c r="AF22" s="331"/>
    </row>
    <row r="23" spans="2:32">
      <c r="B23" s="333" t="s">
        <v>291</v>
      </c>
      <c r="C23" s="332">
        <v>2.4689999999999999</v>
      </c>
      <c r="D23" s="332">
        <v>-5.5910000000000002</v>
      </c>
      <c r="E23" s="332">
        <v>10.67</v>
      </c>
      <c r="F23" s="332">
        <v>1.7929999999999999</v>
      </c>
      <c r="G23" s="332">
        <v>2.552</v>
      </c>
      <c r="H23" s="332">
        <v>6.24</v>
      </c>
      <c r="I23" s="332">
        <v>2.8969999999999998</v>
      </c>
      <c r="J23" s="332">
        <v>-11.689</v>
      </c>
      <c r="K23" s="332">
        <v>0</v>
      </c>
      <c r="L23" s="332">
        <v>0</v>
      </c>
      <c r="M23" s="332">
        <v>0</v>
      </c>
      <c r="N23" s="332">
        <v>0</v>
      </c>
      <c r="O23" s="332">
        <v>0</v>
      </c>
      <c r="P23" s="332">
        <v>0</v>
      </c>
      <c r="Q23" s="332">
        <v>0</v>
      </c>
      <c r="R23" s="332">
        <v>0</v>
      </c>
      <c r="S23" s="332">
        <v>0</v>
      </c>
      <c r="T23" s="332">
        <v>0</v>
      </c>
      <c r="U23" s="332">
        <v>0</v>
      </c>
      <c r="V23" s="332">
        <v>0</v>
      </c>
      <c r="W23" s="332">
        <v>0</v>
      </c>
      <c r="X23" s="332">
        <v>0</v>
      </c>
      <c r="Y23" s="332">
        <v>0</v>
      </c>
      <c r="Z23" s="332">
        <v>0</v>
      </c>
      <c r="AA23" s="332">
        <v>0</v>
      </c>
      <c r="AB23" s="332">
        <v>0</v>
      </c>
      <c r="AC23" s="332">
        <v>0</v>
      </c>
      <c r="AD23" s="332">
        <v>0</v>
      </c>
      <c r="AE23" s="331"/>
      <c r="AF23" s="331"/>
    </row>
    <row r="24" spans="2:32">
      <c r="B24" s="333" t="s">
        <v>292</v>
      </c>
      <c r="C24" s="332">
        <v>-4.1870000000000003</v>
      </c>
      <c r="D24" s="332">
        <v>8.8379999999999992</v>
      </c>
      <c r="E24" s="332">
        <v>-7.6589999999999998</v>
      </c>
      <c r="F24" s="332">
        <v>25.727</v>
      </c>
      <c r="G24" s="332">
        <v>-34.777000000000001</v>
      </c>
      <c r="H24" s="332">
        <v>6.5579999999999998</v>
      </c>
      <c r="I24" s="332">
        <v>-6.3559999999999999</v>
      </c>
      <c r="J24" s="332">
        <v>34.575000000000003</v>
      </c>
      <c r="K24" s="332">
        <v>0</v>
      </c>
      <c r="L24" s="332">
        <v>0</v>
      </c>
      <c r="M24" s="332">
        <v>0</v>
      </c>
      <c r="N24" s="332">
        <v>0</v>
      </c>
      <c r="O24" s="332">
        <v>0</v>
      </c>
      <c r="P24" s="332">
        <v>0</v>
      </c>
      <c r="Q24" s="332">
        <v>0</v>
      </c>
      <c r="R24" s="332">
        <v>0</v>
      </c>
      <c r="S24" s="332">
        <v>0</v>
      </c>
      <c r="T24" s="332">
        <v>0</v>
      </c>
      <c r="U24" s="332">
        <v>0</v>
      </c>
      <c r="V24" s="332">
        <v>0</v>
      </c>
      <c r="W24" s="332">
        <v>0</v>
      </c>
      <c r="X24" s="332">
        <v>0</v>
      </c>
      <c r="Y24" s="332">
        <v>0</v>
      </c>
      <c r="Z24" s="332">
        <v>0</v>
      </c>
      <c r="AA24" s="332">
        <v>0</v>
      </c>
      <c r="AB24" s="332">
        <v>0</v>
      </c>
      <c r="AC24" s="332">
        <v>0</v>
      </c>
      <c r="AD24" s="332">
        <v>0</v>
      </c>
      <c r="AE24" s="331"/>
      <c r="AF24" s="331"/>
    </row>
    <row r="25" spans="2:32">
      <c r="B25" s="333" t="s">
        <v>293</v>
      </c>
      <c r="C25" s="332">
        <v>10.19</v>
      </c>
      <c r="D25" s="332">
        <v>-21.640999999999998</v>
      </c>
      <c r="E25" s="332">
        <v>-12.103</v>
      </c>
      <c r="F25" s="332">
        <v>21.893999999999998</v>
      </c>
      <c r="G25" s="332">
        <v>5.0570000000000004</v>
      </c>
      <c r="H25" s="332">
        <v>-0.71799999999999997</v>
      </c>
      <c r="I25" s="332">
        <v>0.64300000000000002</v>
      </c>
      <c r="J25" s="332">
        <v>-4.9820000000000002</v>
      </c>
      <c r="K25" s="332">
        <v>0</v>
      </c>
      <c r="L25" s="332">
        <v>0</v>
      </c>
      <c r="M25" s="332">
        <v>0</v>
      </c>
      <c r="N25" s="332">
        <v>0</v>
      </c>
      <c r="O25" s="332">
        <v>0</v>
      </c>
      <c r="P25" s="332">
        <v>0</v>
      </c>
      <c r="Q25" s="332">
        <v>0</v>
      </c>
      <c r="R25" s="332">
        <v>0</v>
      </c>
      <c r="S25" s="332">
        <v>0</v>
      </c>
      <c r="T25" s="332">
        <v>0</v>
      </c>
      <c r="U25" s="332">
        <v>0</v>
      </c>
      <c r="V25" s="332">
        <v>0</v>
      </c>
      <c r="W25" s="332">
        <v>0</v>
      </c>
      <c r="X25" s="332">
        <v>0</v>
      </c>
      <c r="Y25" s="332">
        <v>0</v>
      </c>
      <c r="Z25" s="332">
        <v>0</v>
      </c>
      <c r="AA25" s="332">
        <v>0</v>
      </c>
      <c r="AB25" s="332">
        <v>0</v>
      </c>
      <c r="AC25" s="332">
        <v>0</v>
      </c>
      <c r="AD25" s="332">
        <v>0</v>
      </c>
      <c r="AE25" s="331"/>
      <c r="AF25" s="331"/>
    </row>
    <row r="26" spans="2:32">
      <c r="B26" s="333" t="s">
        <v>294</v>
      </c>
      <c r="C26" s="332">
        <v>-0.42699999999999999</v>
      </c>
      <c r="D26" s="332">
        <v>-1.411</v>
      </c>
      <c r="E26" s="332">
        <v>2.024</v>
      </c>
      <c r="F26" s="332">
        <v>1.96</v>
      </c>
      <c r="G26" s="332">
        <v>-1.028</v>
      </c>
      <c r="H26" s="332">
        <v>23.655000000000001</v>
      </c>
      <c r="I26" s="332">
        <v>1E-3</v>
      </c>
      <c r="J26" s="332">
        <v>34.9</v>
      </c>
      <c r="K26" s="332">
        <v>0.99399999999999999</v>
      </c>
      <c r="L26" s="332">
        <v>12.071999999999999</v>
      </c>
      <c r="M26" s="332">
        <v>23.373999999999999</v>
      </c>
      <c r="N26" s="332">
        <v>6.9130000000000003</v>
      </c>
      <c r="O26" s="332">
        <v>0</v>
      </c>
      <c r="P26" s="332">
        <v>0</v>
      </c>
      <c r="Q26" s="332">
        <v>5.0490000000000004</v>
      </c>
      <c r="R26" s="332">
        <v>528.84</v>
      </c>
      <c r="S26" s="332">
        <v>1.7789999999999999</v>
      </c>
      <c r="T26" s="332">
        <v>-0.29499999999999998</v>
      </c>
      <c r="U26" s="332">
        <v>5</v>
      </c>
      <c r="V26" s="332">
        <v>0.18299999999999983</v>
      </c>
      <c r="W26" s="332">
        <v>11.348000000000001</v>
      </c>
      <c r="X26" s="332">
        <v>1</v>
      </c>
      <c r="Y26" s="332">
        <v>0</v>
      </c>
      <c r="Z26" s="332">
        <v>-5.73</v>
      </c>
      <c r="AA26" s="332">
        <v>0</v>
      </c>
      <c r="AB26" s="332">
        <v>0</v>
      </c>
      <c r="AC26" s="332">
        <v>0</v>
      </c>
      <c r="AD26" s="332">
        <v>0</v>
      </c>
      <c r="AE26" s="331"/>
      <c r="AF26" s="331"/>
    </row>
    <row r="27" spans="2:32">
      <c r="B27" s="333" t="s">
        <v>295</v>
      </c>
      <c r="C27" s="332">
        <v>0</v>
      </c>
      <c r="D27" s="332">
        <v>0</v>
      </c>
      <c r="E27" s="332">
        <v>0</v>
      </c>
      <c r="F27" s="332">
        <v>0</v>
      </c>
      <c r="G27" s="332">
        <v>0</v>
      </c>
      <c r="H27" s="332">
        <v>0</v>
      </c>
      <c r="I27" s="332">
        <v>0</v>
      </c>
      <c r="J27" s="332">
        <v>0</v>
      </c>
      <c r="K27" s="332">
        <v>-365.99900000000002</v>
      </c>
      <c r="L27" s="332">
        <v>0</v>
      </c>
      <c r="M27" s="332">
        <v>0</v>
      </c>
      <c r="N27" s="332">
        <v>0</v>
      </c>
      <c r="O27" s="332">
        <v>0</v>
      </c>
      <c r="P27" s="332">
        <v>0</v>
      </c>
      <c r="Q27" s="332">
        <v>-17.143000000000001</v>
      </c>
      <c r="R27" s="332">
        <v>0</v>
      </c>
      <c r="S27" s="332">
        <v>0</v>
      </c>
      <c r="T27" s="332">
        <v>0</v>
      </c>
      <c r="U27" s="332">
        <v>0</v>
      </c>
      <c r="V27" s="332">
        <v>0</v>
      </c>
      <c r="W27" s="332">
        <v>0</v>
      </c>
      <c r="X27" s="332">
        <v>0</v>
      </c>
      <c r="Y27" s="332">
        <v>0</v>
      </c>
      <c r="Z27" s="332">
        <v>0</v>
      </c>
      <c r="AA27" s="332">
        <v>0</v>
      </c>
      <c r="AB27" s="332">
        <v>0</v>
      </c>
      <c r="AC27" s="332">
        <v>0</v>
      </c>
      <c r="AD27" s="332">
        <v>0</v>
      </c>
      <c r="AE27" s="331"/>
      <c r="AF27" s="331"/>
    </row>
    <row r="28" spans="2:32">
      <c r="B28" s="333" t="s">
        <v>351</v>
      </c>
      <c r="C28" s="332"/>
      <c r="D28" s="332"/>
      <c r="E28" s="332"/>
      <c r="F28" s="332"/>
      <c r="G28" s="332"/>
      <c r="H28" s="332"/>
      <c r="I28" s="332"/>
      <c r="J28" s="332"/>
      <c r="K28" s="332"/>
      <c r="L28" s="332"/>
      <c r="M28" s="332"/>
      <c r="N28" s="332"/>
      <c r="O28" s="332"/>
      <c r="P28" s="332"/>
      <c r="Q28" s="332"/>
      <c r="R28" s="332"/>
      <c r="S28" s="332"/>
      <c r="T28" s="332"/>
      <c r="U28" s="332"/>
      <c r="V28" s="332">
        <v>47.521999999999998</v>
      </c>
      <c r="W28" s="332">
        <v>0</v>
      </c>
      <c r="X28" s="332">
        <v>0</v>
      </c>
      <c r="Y28" s="332">
        <v>0</v>
      </c>
      <c r="Z28" s="332">
        <v>0</v>
      </c>
      <c r="AA28" s="332">
        <v>0</v>
      </c>
      <c r="AB28" s="332">
        <v>0</v>
      </c>
      <c r="AC28" s="332">
        <v>0</v>
      </c>
      <c r="AD28" s="332">
        <v>0</v>
      </c>
      <c r="AE28" s="331"/>
      <c r="AF28" s="331"/>
    </row>
    <row r="29" spans="2:32">
      <c r="B29" s="333" t="s">
        <v>296</v>
      </c>
      <c r="C29" s="332">
        <v>-1.056</v>
      </c>
      <c r="D29" s="332">
        <v>-0.85599999999999998</v>
      </c>
      <c r="E29" s="332">
        <v>-0.96399999999999997</v>
      </c>
      <c r="F29" s="332">
        <v>-37.850999999999999</v>
      </c>
      <c r="G29" s="332">
        <v>-0.63100000000000001</v>
      </c>
      <c r="H29" s="332">
        <v>-8.9190000000000005</v>
      </c>
      <c r="I29" s="332">
        <v>-0.63200000000000001</v>
      </c>
      <c r="J29" s="332">
        <v>155.09899999999999</v>
      </c>
      <c r="K29" s="332">
        <v>-0.78900000000000003</v>
      </c>
      <c r="L29" s="332">
        <v>0.23200000000000001</v>
      </c>
      <c r="M29" s="332">
        <v>16.835000000000001</v>
      </c>
      <c r="N29" s="332">
        <v>1.5289999999999999</v>
      </c>
      <c r="O29" s="332">
        <v>122.943</v>
      </c>
      <c r="P29" s="332">
        <v>16.757000000000001</v>
      </c>
      <c r="Q29" s="332">
        <v>-5.8159999999999998</v>
      </c>
      <c r="R29" s="332">
        <v>-737.82899999999995</v>
      </c>
      <c r="S29" s="332">
        <v>-1.2390000000000001</v>
      </c>
      <c r="T29" s="332">
        <v>-190.41800000000001</v>
      </c>
      <c r="U29" s="332">
        <v>-41</v>
      </c>
      <c r="V29" s="332">
        <v>6.6500000000000057</v>
      </c>
      <c r="W29" s="332">
        <v>-156.83199999999999</v>
      </c>
      <c r="X29" s="332">
        <v>44</v>
      </c>
      <c r="Y29" s="332">
        <f>-103-SUM(W29:X29)</f>
        <v>9.8319999999999936</v>
      </c>
      <c r="Z29" s="332">
        <v>61.915999999999997</v>
      </c>
      <c r="AA29" s="332">
        <f>1057/1000</f>
        <v>1.0569999999999999</v>
      </c>
      <c r="AB29" s="332">
        <v>0</v>
      </c>
      <c r="AC29" s="332">
        <v>0</v>
      </c>
      <c r="AD29" s="332">
        <v>0</v>
      </c>
      <c r="AE29" s="331"/>
      <c r="AF29" s="331"/>
    </row>
    <row r="30" spans="2:32">
      <c r="B30" s="333" t="s">
        <v>352</v>
      </c>
      <c r="C30" s="332"/>
      <c r="D30" s="332"/>
      <c r="E30" s="332"/>
      <c r="F30" s="332"/>
      <c r="G30" s="332"/>
      <c r="H30" s="332"/>
      <c r="I30" s="332"/>
      <c r="J30" s="332"/>
      <c r="K30" s="332"/>
      <c r="L30" s="332"/>
      <c r="M30" s="332"/>
      <c r="N30" s="332"/>
      <c r="O30" s="332"/>
      <c r="P30" s="332"/>
      <c r="Q30" s="332"/>
      <c r="R30" s="332"/>
      <c r="S30" s="332"/>
      <c r="T30" s="332"/>
      <c r="U30" s="332"/>
      <c r="V30" s="332">
        <v>15.444000000000001</v>
      </c>
      <c r="W30" s="332">
        <v>0</v>
      </c>
      <c r="X30" s="332">
        <v>0</v>
      </c>
      <c r="Y30" s="332">
        <v>0</v>
      </c>
      <c r="Z30" s="332">
        <v>0</v>
      </c>
      <c r="AA30" s="332">
        <v>-0.35399999999999998</v>
      </c>
      <c r="AB30" s="332">
        <v>0</v>
      </c>
      <c r="AC30" s="332">
        <v>0</v>
      </c>
      <c r="AD30" s="332">
        <v>0</v>
      </c>
      <c r="AE30" s="331"/>
      <c r="AF30" s="331"/>
    </row>
    <row r="31" spans="2:32">
      <c r="B31" s="333" t="s">
        <v>297</v>
      </c>
      <c r="C31" s="332">
        <v>0</v>
      </c>
      <c r="D31" s="332">
        <v>-111.07</v>
      </c>
      <c r="E31" s="332">
        <v>0</v>
      </c>
      <c r="F31" s="332">
        <v>0</v>
      </c>
      <c r="G31" s="332">
        <v>0</v>
      </c>
      <c r="H31" s="332">
        <v>0</v>
      </c>
      <c r="I31" s="332">
        <v>0</v>
      </c>
      <c r="J31" s="332">
        <v>0</v>
      </c>
      <c r="K31" s="332">
        <v>0</v>
      </c>
      <c r="L31" s="332">
        <v>0</v>
      </c>
      <c r="M31" s="332">
        <v>0</v>
      </c>
      <c r="N31" s="332">
        <v>0</v>
      </c>
      <c r="O31" s="332">
        <v>0</v>
      </c>
      <c r="P31" s="332">
        <v>0</v>
      </c>
      <c r="Q31" s="332">
        <v>0</v>
      </c>
      <c r="R31" s="332">
        <v>0</v>
      </c>
      <c r="S31" s="332">
        <v>0</v>
      </c>
      <c r="T31" s="332">
        <v>0</v>
      </c>
      <c r="U31" s="332">
        <v>0</v>
      </c>
      <c r="V31" s="332">
        <v>0</v>
      </c>
      <c r="W31" s="332">
        <v>0</v>
      </c>
      <c r="X31" s="332">
        <v>0</v>
      </c>
      <c r="Y31" s="332">
        <v>0</v>
      </c>
      <c r="Z31" s="332">
        <v>0</v>
      </c>
      <c r="AA31" s="332">
        <v>0</v>
      </c>
      <c r="AB31" s="332">
        <v>0</v>
      </c>
      <c r="AC31" s="332">
        <v>0</v>
      </c>
      <c r="AD31" s="332">
        <v>0</v>
      </c>
      <c r="AE31" s="331"/>
      <c r="AF31" s="331"/>
    </row>
    <row r="32" spans="2:32">
      <c r="B32" s="333" t="s">
        <v>298</v>
      </c>
      <c r="C32" s="332">
        <v>0</v>
      </c>
      <c r="D32" s="332">
        <v>0</v>
      </c>
      <c r="E32" s="332">
        <v>0</v>
      </c>
      <c r="F32" s="332">
        <v>0</v>
      </c>
      <c r="G32" s="332">
        <v>0</v>
      </c>
      <c r="H32" s="332">
        <v>0</v>
      </c>
      <c r="I32" s="332">
        <v>-170.85300000000001</v>
      </c>
      <c r="J32" s="332">
        <v>-104.94499999999999</v>
      </c>
      <c r="K32" s="332">
        <v>0</v>
      </c>
      <c r="L32" s="332">
        <v>0</v>
      </c>
      <c r="M32" s="332">
        <v>0</v>
      </c>
      <c r="N32" s="332">
        <v>0</v>
      </c>
      <c r="O32" s="332">
        <v>0</v>
      </c>
      <c r="P32" s="332">
        <v>0</v>
      </c>
      <c r="Q32" s="332">
        <v>0</v>
      </c>
      <c r="R32" s="332">
        <v>0</v>
      </c>
      <c r="S32" s="332">
        <v>0</v>
      </c>
      <c r="T32" s="332">
        <v>0</v>
      </c>
      <c r="U32" s="332">
        <v>0</v>
      </c>
      <c r="V32" s="332">
        <v>0</v>
      </c>
      <c r="W32" s="332">
        <v>0</v>
      </c>
      <c r="X32" s="332">
        <v>0</v>
      </c>
      <c r="Y32" s="332">
        <v>0</v>
      </c>
      <c r="Z32" s="332">
        <v>0</v>
      </c>
      <c r="AA32" s="332">
        <v>0</v>
      </c>
      <c r="AB32" s="332">
        <v>0</v>
      </c>
      <c r="AC32" s="332">
        <v>0</v>
      </c>
      <c r="AD32" s="332">
        <v>0</v>
      </c>
      <c r="AE32" s="331"/>
      <c r="AF32" s="331"/>
    </row>
    <row r="33" spans="2:32">
      <c r="B33" s="333" t="s">
        <v>347</v>
      </c>
      <c r="C33" s="332"/>
      <c r="D33" s="332"/>
      <c r="E33" s="332"/>
      <c r="F33" s="332"/>
      <c r="G33" s="332"/>
      <c r="H33" s="332"/>
      <c r="I33" s="332"/>
      <c r="J33" s="332"/>
      <c r="K33" s="332"/>
      <c r="L33" s="332"/>
      <c r="M33" s="332"/>
      <c r="N33" s="332"/>
      <c r="O33" s="332"/>
      <c r="P33" s="332"/>
      <c r="Q33" s="332">
        <v>0</v>
      </c>
      <c r="R33" s="332">
        <v>0</v>
      </c>
      <c r="S33" s="332">
        <v>0</v>
      </c>
      <c r="T33" s="332">
        <v>0</v>
      </c>
      <c r="U33" s="332">
        <v>-8</v>
      </c>
      <c r="V33" s="332">
        <v>4.0000000000000036E-2</v>
      </c>
      <c r="W33" s="332">
        <v>0</v>
      </c>
      <c r="X33" s="332">
        <v>0</v>
      </c>
      <c r="Y33" s="332">
        <v>0</v>
      </c>
      <c r="Z33" s="332">
        <v>0</v>
      </c>
      <c r="AA33" s="332">
        <v>0</v>
      </c>
      <c r="AB33" s="332">
        <v>0</v>
      </c>
      <c r="AC33" s="332">
        <v>0</v>
      </c>
      <c r="AD33" s="332">
        <v>0</v>
      </c>
      <c r="AE33" s="331"/>
      <c r="AF33" s="331"/>
    </row>
    <row r="34" spans="2:32">
      <c r="B34" s="333" t="s">
        <v>299</v>
      </c>
      <c r="C34" s="332">
        <v>-91.701999999999998</v>
      </c>
      <c r="D34" s="332">
        <v>-1.292</v>
      </c>
      <c r="E34" s="332">
        <v>-0.47599999999999998</v>
      </c>
      <c r="F34" s="332">
        <v>7.07</v>
      </c>
      <c r="G34" s="332">
        <v>16.89</v>
      </c>
      <c r="H34" s="332">
        <v>-80.995999999999995</v>
      </c>
      <c r="I34" s="332">
        <v>-15.044</v>
      </c>
      <c r="J34" s="332">
        <v>71.445999999999998</v>
      </c>
      <c r="K34" s="332">
        <v>11.086</v>
      </c>
      <c r="L34" s="332">
        <v>2.476</v>
      </c>
      <c r="M34" s="332">
        <v>35.395000000000003</v>
      </c>
      <c r="N34" s="332">
        <v>7.9509999999999996</v>
      </c>
      <c r="O34" s="332">
        <v>12.103</v>
      </c>
      <c r="P34" s="332">
        <v>47.616</v>
      </c>
      <c r="Q34" s="332">
        <v>28.148</v>
      </c>
      <c r="R34" s="332">
        <v>-52.795999999999999</v>
      </c>
      <c r="S34" s="332">
        <v>12.414999999999999</v>
      </c>
      <c r="T34" s="332">
        <v>22.573</v>
      </c>
      <c r="U34" s="332">
        <v>8</v>
      </c>
      <c r="V34" s="332">
        <v>-3.5300000000000011</v>
      </c>
      <c r="W34" s="332">
        <v>-1.264</v>
      </c>
      <c r="X34" s="332">
        <v>7</v>
      </c>
      <c r="Y34" s="332">
        <f>10-SUM(W34:X34)</f>
        <v>4.2640000000000002</v>
      </c>
      <c r="Z34" s="332">
        <v>-10.218999999999999</v>
      </c>
      <c r="AA34" s="332">
        <v>-10.345000000000001</v>
      </c>
      <c r="AB34" s="332">
        <v>103.989</v>
      </c>
      <c r="AC34" s="332">
        <v>43</v>
      </c>
      <c r="AD34" s="332">
        <v>-217.07900000000001</v>
      </c>
      <c r="AE34" s="331"/>
      <c r="AF34" s="331"/>
    </row>
    <row r="35" spans="2:32">
      <c r="B35" s="333" t="s">
        <v>300</v>
      </c>
      <c r="C35" s="332">
        <v>0</v>
      </c>
      <c r="D35" s="332">
        <v>0</v>
      </c>
      <c r="E35" s="332">
        <v>0</v>
      </c>
      <c r="F35" s="332">
        <v>0</v>
      </c>
      <c r="G35" s="332">
        <v>0</v>
      </c>
      <c r="H35" s="332">
        <v>0</v>
      </c>
      <c r="I35" s="332">
        <v>0</v>
      </c>
      <c r="J35" s="332">
        <v>0</v>
      </c>
      <c r="K35" s="332">
        <v>0</v>
      </c>
      <c r="L35" s="332">
        <v>0</v>
      </c>
      <c r="M35" s="332">
        <v>-155.464</v>
      </c>
      <c r="N35" s="332">
        <v>-12.669</v>
      </c>
      <c r="O35" s="332">
        <v>0</v>
      </c>
      <c r="P35" s="332">
        <v>0</v>
      </c>
      <c r="Q35" s="332">
        <v>0</v>
      </c>
      <c r="R35" s="332">
        <v>0</v>
      </c>
      <c r="S35" s="332">
        <v>0</v>
      </c>
      <c r="T35" s="332">
        <v>0</v>
      </c>
      <c r="U35" s="332">
        <v>0</v>
      </c>
      <c r="V35" s="332">
        <v>0</v>
      </c>
      <c r="W35" s="332">
        <v>0</v>
      </c>
      <c r="X35" s="332">
        <v>0</v>
      </c>
      <c r="Y35" s="332">
        <v>0</v>
      </c>
      <c r="Z35" s="332">
        <v>0</v>
      </c>
      <c r="AA35" s="332">
        <v>0</v>
      </c>
      <c r="AB35" s="332">
        <v>0</v>
      </c>
      <c r="AC35" s="332">
        <v>0</v>
      </c>
      <c r="AD35" s="332">
        <v>0</v>
      </c>
      <c r="AE35" s="331"/>
      <c r="AF35" s="331"/>
    </row>
    <row r="36" spans="2:32">
      <c r="B36" s="333" t="s">
        <v>301</v>
      </c>
      <c r="C36" s="332">
        <v>0</v>
      </c>
      <c r="D36" s="332">
        <v>0</v>
      </c>
      <c r="E36" s="332">
        <v>0</v>
      </c>
      <c r="F36" s="332">
        <v>0</v>
      </c>
      <c r="G36" s="332">
        <v>0</v>
      </c>
      <c r="H36" s="332">
        <v>0</v>
      </c>
      <c r="I36" s="332">
        <v>0</v>
      </c>
      <c r="J36" s="332">
        <v>0</v>
      </c>
      <c r="K36" s="332">
        <v>0</v>
      </c>
      <c r="L36" s="332">
        <v>0</v>
      </c>
      <c r="M36" s="332">
        <v>0</v>
      </c>
      <c r="N36" s="332">
        <v>0</v>
      </c>
      <c r="O36" s="332">
        <v>0</v>
      </c>
      <c r="P36" s="332">
        <v>0</v>
      </c>
      <c r="Q36" s="332">
        <v>-141.559</v>
      </c>
      <c r="R36" s="332">
        <v>-143.887</v>
      </c>
      <c r="S36" s="332">
        <v>0</v>
      </c>
      <c r="T36" s="332">
        <v>0</v>
      </c>
      <c r="U36" s="332">
        <v>0</v>
      </c>
      <c r="V36" s="332">
        <v>0</v>
      </c>
      <c r="W36" s="332">
        <v>0</v>
      </c>
      <c r="X36" s="332">
        <v>0</v>
      </c>
      <c r="Y36" s="332">
        <v>0</v>
      </c>
      <c r="Z36" s="332">
        <v>0</v>
      </c>
      <c r="AA36" s="332">
        <v>0</v>
      </c>
      <c r="AB36" s="332">
        <v>0</v>
      </c>
      <c r="AC36" s="332">
        <v>0</v>
      </c>
      <c r="AD36" s="332">
        <v>0</v>
      </c>
      <c r="AE36" s="331"/>
      <c r="AF36" s="331"/>
    </row>
    <row r="37" spans="2:32">
      <c r="B37" s="333" t="s">
        <v>302</v>
      </c>
      <c r="C37" s="332">
        <v>0</v>
      </c>
      <c r="D37" s="332">
        <v>0</v>
      </c>
      <c r="E37" s="332">
        <v>0</v>
      </c>
      <c r="F37" s="332">
        <v>0</v>
      </c>
      <c r="G37" s="332">
        <v>0</v>
      </c>
      <c r="H37" s="332">
        <v>0</v>
      </c>
      <c r="I37" s="332">
        <v>0</v>
      </c>
      <c r="J37" s="332">
        <v>0</v>
      </c>
      <c r="K37" s="332">
        <v>0</v>
      </c>
      <c r="L37" s="332">
        <v>0</v>
      </c>
      <c r="M37" s="332">
        <v>0</v>
      </c>
      <c r="N37" s="332">
        <v>0</v>
      </c>
      <c r="O37" s="332">
        <v>0</v>
      </c>
      <c r="P37" s="332">
        <v>0</v>
      </c>
      <c r="Q37" s="332">
        <v>106.40900000000001</v>
      </c>
      <c r="R37" s="332">
        <v>5.5460000000000003</v>
      </c>
      <c r="S37" s="332">
        <v>0</v>
      </c>
      <c r="T37" s="332">
        <v>0</v>
      </c>
      <c r="U37" s="332">
        <v>0</v>
      </c>
      <c r="V37" s="332">
        <v>0</v>
      </c>
      <c r="W37" s="332">
        <v>0</v>
      </c>
      <c r="X37" s="332">
        <v>0</v>
      </c>
      <c r="Y37" s="332">
        <v>0</v>
      </c>
      <c r="Z37" s="332">
        <v>0</v>
      </c>
      <c r="AA37" s="332">
        <v>0</v>
      </c>
      <c r="AB37" s="332">
        <v>0</v>
      </c>
      <c r="AC37" s="332">
        <v>0</v>
      </c>
      <c r="AD37" s="332">
        <v>0</v>
      </c>
      <c r="AE37" s="331"/>
      <c r="AF37" s="331"/>
    </row>
    <row r="38" spans="2:32">
      <c r="B38" s="354" t="s">
        <v>366</v>
      </c>
      <c r="C38" s="355"/>
      <c r="D38" s="355"/>
      <c r="E38" s="355"/>
      <c r="F38" s="355"/>
      <c r="G38" s="355"/>
      <c r="H38" s="355"/>
      <c r="I38" s="355"/>
      <c r="J38" s="355"/>
      <c r="K38" s="355"/>
      <c r="L38" s="355"/>
      <c r="M38" s="355"/>
      <c r="N38" s="355"/>
      <c r="O38" s="355"/>
      <c r="P38" s="355"/>
      <c r="Q38" s="355"/>
      <c r="R38" s="355"/>
      <c r="S38" s="355"/>
      <c r="T38" s="355"/>
      <c r="U38" s="355"/>
      <c r="V38" s="355"/>
      <c r="W38" s="355">
        <v>-1.1020000000000001</v>
      </c>
      <c r="X38" s="355">
        <v>0</v>
      </c>
      <c r="Y38" s="355">
        <v>0</v>
      </c>
      <c r="Z38" s="355">
        <v>0</v>
      </c>
      <c r="AA38" s="355">
        <v>0</v>
      </c>
      <c r="AB38" s="355">
        <v>0</v>
      </c>
      <c r="AC38" s="355">
        <v>0</v>
      </c>
      <c r="AD38" s="355">
        <v>0</v>
      </c>
      <c r="AE38" s="331"/>
      <c r="AF38" s="331"/>
    </row>
    <row r="39" spans="2:32" ht="14.5" thickBot="1">
      <c r="B39" s="334" t="s">
        <v>303</v>
      </c>
      <c r="C39" s="335">
        <v>0</v>
      </c>
      <c r="D39" s="335">
        <v>0</v>
      </c>
      <c r="E39" s="335">
        <v>0</v>
      </c>
      <c r="F39" s="335">
        <v>0</v>
      </c>
      <c r="G39" s="335">
        <v>0</v>
      </c>
      <c r="H39" s="335">
        <v>0</v>
      </c>
      <c r="I39" s="335">
        <v>0</v>
      </c>
      <c r="J39" s="335">
        <v>0</v>
      </c>
      <c r="K39" s="335">
        <v>0</v>
      </c>
      <c r="L39" s="335">
        <v>0</v>
      </c>
      <c r="M39" s="335">
        <v>0</v>
      </c>
      <c r="N39" s="335">
        <v>0</v>
      </c>
      <c r="O39" s="335">
        <v>0</v>
      </c>
      <c r="P39" s="335">
        <v>0</v>
      </c>
      <c r="Q39" s="335">
        <v>0</v>
      </c>
      <c r="R39" s="335">
        <v>50.816000000000003</v>
      </c>
      <c r="S39" s="335">
        <v>0</v>
      </c>
      <c r="T39" s="335">
        <v>0</v>
      </c>
      <c r="U39" s="335">
        <v>0</v>
      </c>
      <c r="V39" s="335">
        <v>0</v>
      </c>
      <c r="W39" s="335"/>
      <c r="X39" s="335">
        <v>0</v>
      </c>
      <c r="Y39" s="335">
        <v>0</v>
      </c>
      <c r="Z39" s="335">
        <v>0</v>
      </c>
      <c r="AA39" s="335">
        <v>0</v>
      </c>
      <c r="AB39" s="335">
        <v>0</v>
      </c>
      <c r="AC39" s="335">
        <v>0</v>
      </c>
      <c r="AD39" s="335">
        <v>0</v>
      </c>
      <c r="AE39" s="331"/>
      <c r="AF39" s="331"/>
    </row>
    <row r="40" spans="2:32">
      <c r="B40" s="327"/>
      <c r="C40" s="336">
        <f t="shared" ref="C40:AC40" si="0">SUM(C10:C39)</f>
        <v>205.35999999999996</v>
      </c>
      <c r="D40" s="336">
        <f t="shared" si="0"/>
        <v>258.66800000000001</v>
      </c>
      <c r="E40" s="336">
        <f t="shared" si="0"/>
        <v>253.64400000000006</v>
      </c>
      <c r="F40" s="336">
        <f t="shared" si="0"/>
        <v>101.08200000000002</v>
      </c>
      <c r="G40" s="336">
        <f t="shared" si="0"/>
        <v>209.98099999999999</v>
      </c>
      <c r="H40" s="336">
        <f t="shared" si="0"/>
        <v>136.69200000000001</v>
      </c>
      <c r="I40" s="336">
        <f t="shared" si="0"/>
        <v>-77.650000000000006</v>
      </c>
      <c r="J40" s="336">
        <f t="shared" si="0"/>
        <v>342.20799999999997</v>
      </c>
      <c r="K40" s="336">
        <f t="shared" si="0"/>
        <v>96.283000000000044</v>
      </c>
      <c r="L40" s="336">
        <f t="shared" si="0"/>
        <v>243.69199999999998</v>
      </c>
      <c r="M40" s="336">
        <f t="shared" si="0"/>
        <v>26.172000000000025</v>
      </c>
      <c r="N40" s="336">
        <f t="shared" si="0"/>
        <v>352.22</v>
      </c>
      <c r="O40" s="336">
        <f t="shared" si="0"/>
        <v>516.46899999999994</v>
      </c>
      <c r="P40" s="336">
        <f t="shared" si="0"/>
        <v>577.52899999999988</v>
      </c>
      <c r="Q40" s="336">
        <f t="shared" si="0"/>
        <v>-77.93299999999995</v>
      </c>
      <c r="R40" s="336">
        <f t="shared" si="0"/>
        <v>1267.095</v>
      </c>
      <c r="S40" s="336">
        <f t="shared" si="0"/>
        <v>682.4</v>
      </c>
      <c r="T40" s="336">
        <f t="shared" si="0"/>
        <v>682.80799999999999</v>
      </c>
      <c r="U40" s="336">
        <f t="shared" si="0"/>
        <v>352</v>
      </c>
      <c r="V40" s="336">
        <f t="shared" si="0"/>
        <v>40.843000000000067</v>
      </c>
      <c r="W40" s="336">
        <f t="shared" si="0"/>
        <v>64.633000000000052</v>
      </c>
      <c r="X40" s="336">
        <f t="shared" si="0"/>
        <v>8</v>
      </c>
      <c r="Y40" s="336">
        <f t="shared" si="0"/>
        <v>-99.567999999999884</v>
      </c>
      <c r="Z40" s="336">
        <f t="shared" si="0"/>
        <v>46.066000000000038</v>
      </c>
      <c r="AA40" s="336">
        <f t="shared" si="0"/>
        <v>129.91699999999986</v>
      </c>
      <c r="AB40" s="336">
        <f t="shared" si="0"/>
        <v>422.16600000000005</v>
      </c>
      <c r="AC40" s="336">
        <f t="shared" si="0"/>
        <v>379.63200000000001</v>
      </c>
      <c r="AD40" s="336">
        <f t="shared" ref="AD40" si="1">SUM(AD10:AD39)</f>
        <v>93.460704079999971</v>
      </c>
      <c r="AE40" s="331"/>
      <c r="AF40" s="331"/>
    </row>
    <row r="41" spans="2:32">
      <c r="B41" s="333"/>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1"/>
      <c r="AF41" s="331"/>
    </row>
    <row r="42" spans="2:32" s="314" customFormat="1">
      <c r="B42" s="316" t="s">
        <v>304</v>
      </c>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1"/>
      <c r="AF42" s="331"/>
    </row>
    <row r="43" spans="2:32">
      <c r="B43" s="333" t="s">
        <v>175</v>
      </c>
      <c r="C43" s="332">
        <v>0</v>
      </c>
      <c r="D43" s="332">
        <v>0</v>
      </c>
      <c r="E43" s="332">
        <v>0</v>
      </c>
      <c r="F43" s="332">
        <v>0</v>
      </c>
      <c r="G43" s="332">
        <v>0</v>
      </c>
      <c r="H43" s="332">
        <v>0</v>
      </c>
      <c r="I43" s="332">
        <v>0</v>
      </c>
      <c r="J43" s="332">
        <v>140.953</v>
      </c>
      <c r="K43" s="332">
        <v>6.077</v>
      </c>
      <c r="L43" s="332">
        <v>-6.077</v>
      </c>
      <c r="M43" s="332">
        <v>119.776</v>
      </c>
      <c r="N43" s="332">
        <v>-283.84100000000001</v>
      </c>
      <c r="O43" s="332">
        <v>-134.053</v>
      </c>
      <c r="P43" s="332">
        <v>-185.95599999999999</v>
      </c>
      <c r="Q43" s="332">
        <v>448.82</v>
      </c>
      <c r="R43" s="332">
        <v>-925.38400000000001</v>
      </c>
      <c r="S43" s="332">
        <v>-173.91300000000001</v>
      </c>
      <c r="T43" s="332">
        <v>-49.033999999999999</v>
      </c>
      <c r="U43" s="332">
        <v>0</v>
      </c>
      <c r="V43" s="332">
        <v>1.0000000000047748E-3</v>
      </c>
      <c r="W43" s="332">
        <v>0</v>
      </c>
      <c r="X43" s="332">
        <v>0</v>
      </c>
      <c r="Y43" s="332">
        <v>198</v>
      </c>
      <c r="Z43" s="332">
        <v>-105.15900000000001</v>
      </c>
      <c r="AA43" s="332">
        <v>0</v>
      </c>
      <c r="AB43" s="332">
        <v>0</v>
      </c>
      <c r="AC43" s="332">
        <v>0</v>
      </c>
      <c r="AD43" s="332">
        <v>0</v>
      </c>
      <c r="AE43" s="331"/>
      <c r="AF43" s="331"/>
    </row>
    <row r="44" spans="2:32">
      <c r="B44" s="333" t="s">
        <v>167</v>
      </c>
      <c r="C44" s="332">
        <v>-23.800999999999998</v>
      </c>
      <c r="D44" s="332">
        <v>-39.759</v>
      </c>
      <c r="E44" s="332">
        <v>-78.361999999999995</v>
      </c>
      <c r="F44" s="332">
        <v>41.151000000000003</v>
      </c>
      <c r="G44" s="332">
        <v>-92.316000000000003</v>
      </c>
      <c r="H44" s="332">
        <v>-21.888000000000002</v>
      </c>
      <c r="I44" s="332">
        <v>98.221000000000004</v>
      </c>
      <c r="J44" s="332">
        <v>98.701999999999998</v>
      </c>
      <c r="K44" s="332">
        <v>-111.511</v>
      </c>
      <c r="L44" s="332">
        <v>37.229999999999997</v>
      </c>
      <c r="M44" s="332">
        <v>-94.141999999999996</v>
      </c>
      <c r="N44" s="332">
        <v>140.125</v>
      </c>
      <c r="O44" s="332">
        <v>-167.536</v>
      </c>
      <c r="P44" s="332">
        <v>-22.317</v>
      </c>
      <c r="Q44" s="332">
        <v>-93.941000000000003</v>
      </c>
      <c r="R44" s="332">
        <v>64.203999999999994</v>
      </c>
      <c r="S44" s="332">
        <v>56.966000000000001</v>
      </c>
      <c r="T44" s="332">
        <v>108.72799999999999</v>
      </c>
      <c r="U44" s="332">
        <v>23</v>
      </c>
      <c r="V44" s="332">
        <v>-76.793999999999983</v>
      </c>
      <c r="W44" s="332">
        <v>-49.466000000000001</v>
      </c>
      <c r="X44" s="332">
        <v>27</v>
      </c>
      <c r="Y44" s="332">
        <f>-6-SUM(W44:X44)</f>
        <v>16.466000000000001</v>
      </c>
      <c r="Z44" s="332">
        <v>123.229</v>
      </c>
      <c r="AA44" s="332">
        <v>-25.515000000000001</v>
      </c>
      <c r="AB44" s="332">
        <f>-26402/10^3-AA44</f>
        <v>-0.88700000000000045</v>
      </c>
      <c r="AC44" s="332">
        <v>-55</v>
      </c>
      <c r="AD44" s="332">
        <v>-18.349000000000004</v>
      </c>
      <c r="AE44" s="331"/>
      <c r="AF44" s="331"/>
    </row>
    <row r="45" spans="2:32">
      <c r="B45" s="333" t="s">
        <v>168</v>
      </c>
      <c r="C45" s="332">
        <v>-8.2530000000000001</v>
      </c>
      <c r="D45" s="332">
        <v>-104.685</v>
      </c>
      <c r="E45" s="332">
        <v>-157.45699999999999</v>
      </c>
      <c r="F45" s="332">
        <v>103.676</v>
      </c>
      <c r="G45" s="332">
        <v>39.283999999999999</v>
      </c>
      <c r="H45" s="332">
        <v>-108.261</v>
      </c>
      <c r="I45" s="332">
        <v>-32.728999999999999</v>
      </c>
      <c r="J45" s="332">
        <v>6.226</v>
      </c>
      <c r="K45" s="332">
        <v>-35.125999999999998</v>
      </c>
      <c r="L45" s="332">
        <v>-62.41</v>
      </c>
      <c r="M45" s="332">
        <v>125.181</v>
      </c>
      <c r="N45" s="332">
        <v>-28.367999999999999</v>
      </c>
      <c r="O45" s="332">
        <v>-170.399</v>
      </c>
      <c r="P45" s="332">
        <v>-334.791</v>
      </c>
      <c r="Q45" s="332">
        <v>-61.015999999999998</v>
      </c>
      <c r="R45" s="332">
        <v>42.247</v>
      </c>
      <c r="S45" s="332">
        <v>-24.056999999999999</v>
      </c>
      <c r="T45" s="332">
        <v>-151.92400000000001</v>
      </c>
      <c r="U45" s="332">
        <v>-61</v>
      </c>
      <c r="V45" s="332">
        <v>-11.093000000000018</v>
      </c>
      <c r="W45" s="332">
        <v>-200.255</v>
      </c>
      <c r="X45" s="332">
        <v>-243</v>
      </c>
      <c r="Y45" s="332">
        <f>-270-SUM(W45:X45)</f>
        <v>173.255</v>
      </c>
      <c r="Z45" s="332">
        <v>221.40799999999999</v>
      </c>
      <c r="AA45" s="332">
        <f>21170/1000</f>
        <v>21.17</v>
      </c>
      <c r="AB45" s="332">
        <f>71387/10^3-AA45</f>
        <v>50.216999999999999</v>
      </c>
      <c r="AC45" s="332">
        <v>-72</v>
      </c>
      <c r="AD45" s="332">
        <v>-237.91200000000001</v>
      </c>
      <c r="AE45" s="331"/>
      <c r="AF45" s="331"/>
    </row>
    <row r="46" spans="2:32">
      <c r="B46" s="333" t="s">
        <v>169</v>
      </c>
      <c r="C46" s="332">
        <v>51.154000000000003</v>
      </c>
      <c r="D46" s="332">
        <v>14.711</v>
      </c>
      <c r="E46" s="332">
        <v>-38.353999999999999</v>
      </c>
      <c r="F46" s="332">
        <v>-40.587000000000003</v>
      </c>
      <c r="G46" s="332">
        <v>11.301</v>
      </c>
      <c r="H46" s="332">
        <v>-156.65600000000001</v>
      </c>
      <c r="I46" s="332">
        <v>219.45</v>
      </c>
      <c r="J46" s="332">
        <v>-162.62200000000001</v>
      </c>
      <c r="K46" s="332">
        <v>3.6520000000000001</v>
      </c>
      <c r="L46" s="332">
        <v>-151.399</v>
      </c>
      <c r="M46" s="332">
        <v>256.82600000000002</v>
      </c>
      <c r="N46" s="332">
        <v>155.65600000000001</v>
      </c>
      <c r="O46" s="332">
        <v>44.564999999999998</v>
      </c>
      <c r="P46" s="332">
        <v>26.77</v>
      </c>
      <c r="Q46" s="332">
        <v>30.51</v>
      </c>
      <c r="R46" s="332">
        <v>375.86799999999999</v>
      </c>
      <c r="S46" s="332">
        <v>56.970999999999997</v>
      </c>
      <c r="T46" s="332">
        <v>-31.657</v>
      </c>
      <c r="U46" s="332">
        <v>-27</v>
      </c>
      <c r="V46" s="332">
        <v>109.131</v>
      </c>
      <c r="W46" s="332">
        <v>-34.715000000000003</v>
      </c>
      <c r="X46" s="332">
        <v>22</v>
      </c>
      <c r="Y46" s="332">
        <f>22-SUM(W46:X46)</f>
        <v>34.715000000000003</v>
      </c>
      <c r="Z46" s="332">
        <v>83.091999999999999</v>
      </c>
      <c r="AA46" s="332">
        <f>10955/1000</f>
        <v>10.955</v>
      </c>
      <c r="AB46" s="332">
        <f>25416/10^3-AA46</f>
        <v>14.461</v>
      </c>
      <c r="AC46" s="332">
        <v>73</v>
      </c>
      <c r="AD46" s="332">
        <v>60.768000000000001</v>
      </c>
      <c r="AE46" s="331"/>
      <c r="AF46" s="331"/>
    </row>
    <row r="47" spans="2:32">
      <c r="B47" s="333" t="s">
        <v>195</v>
      </c>
      <c r="C47" s="332">
        <v>0</v>
      </c>
      <c r="D47" s="332">
        <v>0</v>
      </c>
      <c r="E47" s="332">
        <v>0</v>
      </c>
      <c r="F47" s="332">
        <v>0</v>
      </c>
      <c r="G47" s="332">
        <v>0</v>
      </c>
      <c r="H47" s="332">
        <v>0</v>
      </c>
      <c r="I47" s="332">
        <v>0</v>
      </c>
      <c r="J47" s="332">
        <v>0</v>
      </c>
      <c r="K47" s="332">
        <v>-0.08</v>
      </c>
      <c r="L47" s="332">
        <v>0.08</v>
      </c>
      <c r="M47" s="332">
        <v>0</v>
      </c>
      <c r="N47" s="332">
        <v>0</v>
      </c>
      <c r="O47" s="332">
        <v>0.35</v>
      </c>
      <c r="P47" s="332">
        <v>4.9829999999999997</v>
      </c>
      <c r="Q47" s="332">
        <v>-5.3330000000000002</v>
      </c>
      <c r="R47" s="332">
        <v>0</v>
      </c>
      <c r="S47" s="332">
        <v>0</v>
      </c>
      <c r="T47" s="332">
        <v>0</v>
      </c>
      <c r="U47" s="332">
        <v>0</v>
      </c>
      <c r="V47" s="332">
        <v>0</v>
      </c>
      <c r="W47" s="332">
        <v>0</v>
      </c>
      <c r="X47" s="332">
        <v>0</v>
      </c>
      <c r="Y47" s="332"/>
      <c r="Z47" s="332">
        <v>0</v>
      </c>
      <c r="AA47" s="332">
        <v>0</v>
      </c>
      <c r="AB47" s="332">
        <v>0</v>
      </c>
      <c r="AC47" s="332">
        <v>0</v>
      </c>
      <c r="AD47" s="332">
        <v>0</v>
      </c>
      <c r="AE47" s="331"/>
      <c r="AF47" s="331"/>
    </row>
    <row r="48" spans="2:32">
      <c r="B48" s="333" t="s">
        <v>178</v>
      </c>
      <c r="C48" s="332">
        <v>0</v>
      </c>
      <c r="D48" s="332">
        <v>0</v>
      </c>
      <c r="E48" s="332">
        <v>0</v>
      </c>
      <c r="F48" s="332">
        <v>-9.0950000000000006</v>
      </c>
      <c r="G48" s="332">
        <v>0</v>
      </c>
      <c r="H48" s="332">
        <v>0</v>
      </c>
      <c r="I48" s="332">
        <v>0</v>
      </c>
      <c r="J48" s="332">
        <v>12.848000000000001</v>
      </c>
      <c r="K48" s="332">
        <v>3.4359999999999999</v>
      </c>
      <c r="L48" s="332">
        <v>96.305999999999997</v>
      </c>
      <c r="M48" s="332">
        <v>-0.09</v>
      </c>
      <c r="N48" s="332">
        <v>0.46600000000000003</v>
      </c>
      <c r="O48" s="332">
        <v>-2.1999999999999999E-2</v>
      </c>
      <c r="P48" s="332">
        <v>-0.73799999999999999</v>
      </c>
      <c r="Q48" s="332">
        <v>-2.3679999999999999</v>
      </c>
      <c r="R48" s="332">
        <v>-2.1040000000000001</v>
      </c>
      <c r="S48" s="332">
        <v>-3.6890000000000001</v>
      </c>
      <c r="T48" s="332">
        <v>-5.6289999999999996</v>
      </c>
      <c r="U48" s="332">
        <v>-13</v>
      </c>
      <c r="V48" s="332">
        <v>3.8889999999999993</v>
      </c>
      <c r="W48" s="332">
        <v>-1.8160000000000001</v>
      </c>
      <c r="X48" s="332">
        <v>-3</v>
      </c>
      <c r="Y48" s="332">
        <f>19-SUM(W48:X48)</f>
        <v>23.815999999999999</v>
      </c>
      <c r="Z48" s="332">
        <v>9.25</v>
      </c>
      <c r="AA48" s="332">
        <v>-2.6549999999999998</v>
      </c>
      <c r="AB48" s="332">
        <f>-438/10^3-AA48</f>
        <v>2.2169999999999996</v>
      </c>
      <c r="AC48" s="332">
        <v>-1</v>
      </c>
      <c r="AD48" s="332">
        <v>-1.1519999999999997</v>
      </c>
      <c r="AE48" s="331"/>
      <c r="AF48" s="331"/>
    </row>
    <row r="49" spans="2:32">
      <c r="B49" s="333" t="s">
        <v>170</v>
      </c>
      <c r="C49" s="332"/>
      <c r="D49" s="332"/>
      <c r="E49" s="332"/>
      <c r="F49" s="332"/>
      <c r="G49" s="332"/>
      <c r="H49" s="332"/>
      <c r="I49" s="332"/>
      <c r="J49" s="332"/>
      <c r="K49" s="332"/>
      <c r="L49" s="332"/>
      <c r="M49" s="332"/>
      <c r="N49" s="332"/>
      <c r="O49" s="332"/>
      <c r="P49" s="332"/>
      <c r="Q49" s="332"/>
      <c r="R49" s="332"/>
      <c r="S49" s="332"/>
      <c r="T49" s="332"/>
      <c r="U49" s="332"/>
      <c r="V49" s="332"/>
      <c r="W49" s="332">
        <v>0</v>
      </c>
      <c r="X49" s="332">
        <v>0</v>
      </c>
      <c r="Y49" s="332">
        <v>0</v>
      </c>
      <c r="Z49" s="332">
        <v>0</v>
      </c>
      <c r="AA49" s="332">
        <v>0</v>
      </c>
      <c r="AB49" s="332">
        <f>-136096/10^3</f>
        <v>-136.096</v>
      </c>
      <c r="AC49" s="332">
        <v>0</v>
      </c>
      <c r="AD49" s="332">
        <v>136.096</v>
      </c>
      <c r="AE49" s="331"/>
      <c r="AF49" s="331"/>
    </row>
    <row r="50" spans="2:32">
      <c r="B50" s="333" t="s">
        <v>364</v>
      </c>
      <c r="C50" s="332"/>
      <c r="D50" s="332"/>
      <c r="E50" s="332"/>
      <c r="F50" s="332"/>
      <c r="G50" s="332"/>
      <c r="H50" s="332"/>
      <c r="I50" s="332"/>
      <c r="J50" s="332"/>
      <c r="K50" s="332"/>
      <c r="L50" s="332"/>
      <c r="M50" s="332"/>
      <c r="N50" s="332"/>
      <c r="O50" s="332"/>
      <c r="P50" s="332"/>
      <c r="Q50" s="332"/>
      <c r="R50" s="332"/>
      <c r="S50" s="332"/>
      <c r="T50" s="332"/>
      <c r="U50" s="332"/>
      <c r="V50" s="332"/>
      <c r="W50" s="332">
        <v>0</v>
      </c>
      <c r="X50" s="332">
        <v>0</v>
      </c>
      <c r="Y50" s="332"/>
      <c r="Z50" s="332">
        <v>0</v>
      </c>
      <c r="AA50" s="332">
        <v>0</v>
      </c>
      <c r="AB50" s="332">
        <v>0</v>
      </c>
      <c r="AC50" s="332">
        <v>0</v>
      </c>
      <c r="AD50" s="332">
        <v>0</v>
      </c>
      <c r="AE50" s="331"/>
      <c r="AF50" s="331"/>
    </row>
    <row r="51" spans="2:32">
      <c r="B51" s="333" t="s">
        <v>305</v>
      </c>
      <c r="C51" s="332">
        <v>-2.7570000000000001</v>
      </c>
      <c r="D51" s="332">
        <v>-2.9079999999999999</v>
      </c>
      <c r="E51" s="332">
        <v>-23.43</v>
      </c>
      <c r="F51" s="332">
        <v>13.012</v>
      </c>
      <c r="G51" s="332">
        <v>7.3380000000000001</v>
      </c>
      <c r="H51" s="332">
        <v>78.641999999999996</v>
      </c>
      <c r="I51" s="332">
        <v>3.17</v>
      </c>
      <c r="J51" s="332">
        <v>-96.028999999999996</v>
      </c>
      <c r="K51" s="332">
        <v>0.91100000000000003</v>
      </c>
      <c r="L51" s="332">
        <v>-14.91</v>
      </c>
      <c r="M51" s="332">
        <v>-8.4109999999999996</v>
      </c>
      <c r="N51" s="332">
        <v>-14.769</v>
      </c>
      <c r="O51" s="332">
        <v>31.379000000000001</v>
      </c>
      <c r="P51" s="332">
        <v>-11.959</v>
      </c>
      <c r="Q51" s="332">
        <v>35.774000000000001</v>
      </c>
      <c r="R51" s="332">
        <v>-71.384</v>
      </c>
      <c r="S51" s="332">
        <v>8.39</v>
      </c>
      <c r="T51" s="332">
        <v>-36.694000000000003</v>
      </c>
      <c r="U51" s="332">
        <v>-20</v>
      </c>
      <c r="V51" s="332">
        <v>-61.981999999999999</v>
      </c>
      <c r="W51" s="332">
        <v>2</v>
      </c>
      <c r="X51" s="332">
        <v>26</v>
      </c>
      <c r="Y51" s="332">
        <f>65-SUM(W51:X51)</f>
        <v>37</v>
      </c>
      <c r="Z51" s="332">
        <v>122.455</v>
      </c>
      <c r="AA51" s="332">
        <v>-28.186</v>
      </c>
      <c r="AB51" s="332">
        <f>89066/10^3-AA51</f>
        <v>117.25200000000001</v>
      </c>
      <c r="AC51" s="332">
        <v>-37</v>
      </c>
      <c r="AD51" s="332">
        <v>126.387</v>
      </c>
      <c r="AE51" s="331"/>
      <c r="AF51" s="331"/>
    </row>
    <row r="52" spans="2:32" s="314" customFormat="1">
      <c r="B52" s="316" t="s">
        <v>306</v>
      </c>
      <c r="C52" s="330"/>
      <c r="D52" s="330"/>
      <c r="E52" s="330"/>
      <c r="F52" s="330"/>
      <c r="G52" s="330"/>
      <c r="H52" s="330"/>
      <c r="I52" s="330"/>
      <c r="J52" s="330"/>
      <c r="K52" s="330"/>
      <c r="L52" s="330"/>
      <c r="M52" s="330"/>
      <c r="N52" s="330"/>
      <c r="O52" s="330"/>
      <c r="P52" s="330"/>
      <c r="Q52" s="330"/>
      <c r="R52" s="330"/>
      <c r="S52" s="330"/>
      <c r="T52" s="330"/>
      <c r="U52" s="330">
        <v>0</v>
      </c>
      <c r="V52" s="330">
        <v>0</v>
      </c>
      <c r="W52" s="330"/>
      <c r="X52" s="330"/>
      <c r="Y52" s="330"/>
      <c r="Z52" s="330"/>
      <c r="AA52" s="330"/>
      <c r="AB52" s="330"/>
      <c r="AC52" s="330"/>
      <c r="AD52" s="330"/>
      <c r="AE52" s="331"/>
      <c r="AF52" s="331"/>
    </row>
    <row r="53" spans="2:32">
      <c r="B53" s="333" t="s">
        <v>188</v>
      </c>
      <c r="C53" s="332">
        <v>32.177999999999997</v>
      </c>
      <c r="D53" s="332">
        <v>109.203</v>
      </c>
      <c r="E53" s="332">
        <v>-30.186</v>
      </c>
      <c r="F53" s="332">
        <v>-143.042</v>
      </c>
      <c r="G53" s="332">
        <v>6.069</v>
      </c>
      <c r="H53" s="332">
        <v>26.59</v>
      </c>
      <c r="I53" s="332">
        <v>0.79300000000000004</v>
      </c>
      <c r="J53" s="332">
        <v>-17.053000000000001</v>
      </c>
      <c r="K53" s="332">
        <v>42.962000000000003</v>
      </c>
      <c r="L53" s="332">
        <v>-75.876000000000005</v>
      </c>
      <c r="M53" s="332">
        <v>17.227</v>
      </c>
      <c r="N53" s="332">
        <v>-34.167000000000002</v>
      </c>
      <c r="O53" s="332">
        <v>85.34</v>
      </c>
      <c r="P53" s="332">
        <v>12.153</v>
      </c>
      <c r="Q53" s="332">
        <v>116.52800000000001</v>
      </c>
      <c r="R53" s="332">
        <v>15.488</v>
      </c>
      <c r="S53" s="332">
        <v>-34.817</v>
      </c>
      <c r="T53" s="332">
        <v>94.113</v>
      </c>
      <c r="U53" s="332">
        <v>182</v>
      </c>
      <c r="V53" s="332">
        <v>85.187999999999988</v>
      </c>
      <c r="W53" s="332">
        <v>4.5940000000000003</v>
      </c>
      <c r="X53" s="332">
        <v>-22</v>
      </c>
      <c r="Y53" s="332">
        <f>-125-SUM(W53:X53)</f>
        <v>-107.59399999999999</v>
      </c>
      <c r="Z53" s="332">
        <v>73.591999999999999</v>
      </c>
      <c r="AA53" s="332">
        <v>21.74</v>
      </c>
      <c r="AB53" s="332">
        <f>-269770/10^3-AA53</f>
        <v>-291.51</v>
      </c>
      <c r="AC53" s="332">
        <v>57</v>
      </c>
      <c r="AD53" s="332">
        <v>299.202</v>
      </c>
      <c r="AE53" s="331"/>
      <c r="AF53" s="331"/>
    </row>
    <row r="54" spans="2:32">
      <c r="B54" s="333" t="s">
        <v>187</v>
      </c>
      <c r="C54" s="332">
        <v>5.9390000000000001</v>
      </c>
      <c r="D54" s="332">
        <v>-16.309999999999999</v>
      </c>
      <c r="E54" s="332">
        <v>130.55600000000001</v>
      </c>
      <c r="F54" s="332">
        <v>98.027000000000001</v>
      </c>
      <c r="G54" s="332">
        <v>3.91</v>
      </c>
      <c r="H54" s="332">
        <v>126.54600000000001</v>
      </c>
      <c r="I54" s="332">
        <v>-26.773</v>
      </c>
      <c r="J54" s="332">
        <v>-25.198</v>
      </c>
      <c r="K54" s="332">
        <v>81.668000000000006</v>
      </c>
      <c r="L54" s="332">
        <v>-69.385999999999996</v>
      </c>
      <c r="M54" s="332">
        <v>65.322999999999993</v>
      </c>
      <c r="N54" s="332">
        <v>181.846</v>
      </c>
      <c r="O54" s="332">
        <v>-4.702</v>
      </c>
      <c r="P54" s="332">
        <v>23.922000000000001</v>
      </c>
      <c r="Q54" s="332">
        <v>-227.05799999999999</v>
      </c>
      <c r="R54" s="332">
        <v>171.274</v>
      </c>
      <c r="S54" s="332">
        <v>-285.13799999999998</v>
      </c>
      <c r="T54" s="332">
        <v>-163.80199999999999</v>
      </c>
      <c r="U54" s="332">
        <v>11</v>
      </c>
      <c r="V54" s="332">
        <v>90.41399999999993</v>
      </c>
      <c r="W54" s="332">
        <v>65.165000000000006</v>
      </c>
      <c r="X54" s="332">
        <v>-9</v>
      </c>
      <c r="Y54" s="332">
        <f>-92-SUM(W54:X54)</f>
        <v>-148.16500000000002</v>
      </c>
      <c r="Z54" s="332">
        <v>130.47</v>
      </c>
      <c r="AA54" s="332">
        <f>-114659/1000</f>
        <v>-114.65900000000001</v>
      </c>
      <c r="AB54" s="332">
        <f>-98384/10^3-AA54+0.3</f>
        <v>16.575000000000006</v>
      </c>
      <c r="AC54" s="332">
        <v>-53</v>
      </c>
      <c r="AD54" s="332">
        <v>80.739000000000004</v>
      </c>
      <c r="AE54" s="331"/>
      <c r="AF54" s="331"/>
    </row>
    <row r="55" spans="2:32">
      <c r="B55" s="333" t="s">
        <v>189</v>
      </c>
      <c r="C55" s="332">
        <v>-55.063000000000002</v>
      </c>
      <c r="D55" s="332">
        <v>17.59</v>
      </c>
      <c r="E55" s="332">
        <v>26.643000000000001</v>
      </c>
      <c r="F55" s="332">
        <v>-7.984</v>
      </c>
      <c r="G55" s="332">
        <v>-36.630000000000003</v>
      </c>
      <c r="H55" s="332">
        <v>20.597000000000001</v>
      </c>
      <c r="I55" s="332">
        <v>21.901</v>
      </c>
      <c r="J55" s="332">
        <v>-1.538</v>
      </c>
      <c r="K55" s="332">
        <v>-33.082000000000001</v>
      </c>
      <c r="L55" s="332">
        <v>47.378</v>
      </c>
      <c r="M55" s="332">
        <v>13.923</v>
      </c>
      <c r="N55" s="332">
        <v>20.074000000000002</v>
      </c>
      <c r="O55" s="332">
        <v>-64.816999999999993</v>
      </c>
      <c r="P55" s="332">
        <v>19.824000000000002</v>
      </c>
      <c r="Q55" s="332">
        <v>30.638999999999999</v>
      </c>
      <c r="R55" s="332">
        <v>0.83599999999999997</v>
      </c>
      <c r="S55" s="332">
        <v>-42.405000000000001</v>
      </c>
      <c r="T55" s="332">
        <v>22.704999999999998</v>
      </c>
      <c r="U55" s="332">
        <v>34</v>
      </c>
      <c r="V55" s="332">
        <v>-5.7639999999999976</v>
      </c>
      <c r="W55" s="332">
        <v>-45.921999999999997</v>
      </c>
      <c r="X55" s="332">
        <v>31</v>
      </c>
      <c r="Y55" s="332">
        <f>19-SUM(W55:X55)</f>
        <v>33.921999999999997</v>
      </c>
      <c r="Z55" s="332">
        <v>8.51</v>
      </c>
      <c r="AA55" s="332">
        <f>-73073/1000</f>
        <v>-73.072999999999993</v>
      </c>
      <c r="AB55" s="332">
        <f>-32780/10^3-AA55</f>
        <v>40.292999999999992</v>
      </c>
      <c r="AC55" s="332">
        <v>34</v>
      </c>
      <c r="AD55" s="332">
        <v>20.981000000000002</v>
      </c>
      <c r="AE55" s="331"/>
      <c r="AF55" s="331"/>
    </row>
    <row r="56" spans="2:32">
      <c r="B56" s="333" t="s">
        <v>191</v>
      </c>
      <c r="C56" s="332">
        <v>0</v>
      </c>
      <c r="D56" s="332">
        <v>0</v>
      </c>
      <c r="E56" s="332">
        <v>14.896000000000001</v>
      </c>
      <c r="F56" s="332">
        <v>-14.896000000000001</v>
      </c>
      <c r="G56" s="332">
        <v>0</v>
      </c>
      <c r="H56" s="332">
        <v>0</v>
      </c>
      <c r="I56" s="332">
        <v>9.0359999999999996</v>
      </c>
      <c r="J56" s="332">
        <v>-9.0359999999999996</v>
      </c>
      <c r="K56" s="332">
        <v>0</v>
      </c>
      <c r="L56" s="332">
        <v>0</v>
      </c>
      <c r="M56" s="332">
        <v>0</v>
      </c>
      <c r="N56" s="332">
        <v>0</v>
      </c>
      <c r="O56" s="332">
        <v>0</v>
      </c>
      <c r="P56" s="332">
        <v>0</v>
      </c>
      <c r="Q56" s="332">
        <v>0</v>
      </c>
      <c r="R56" s="332">
        <v>0</v>
      </c>
      <c r="S56" s="332">
        <v>0</v>
      </c>
      <c r="T56" s="332">
        <v>0</v>
      </c>
      <c r="U56" s="332">
        <v>0</v>
      </c>
      <c r="V56" s="332">
        <v>0</v>
      </c>
      <c r="W56" s="332">
        <v>0</v>
      </c>
      <c r="X56" s="332">
        <v>0</v>
      </c>
      <c r="Y56" s="332">
        <v>0</v>
      </c>
      <c r="Z56" s="332">
        <v>0</v>
      </c>
      <c r="AA56" s="332">
        <f>82481/1000</f>
        <v>82.480999999999995</v>
      </c>
      <c r="AB56" s="332">
        <f>71227/10^3-AA56</f>
        <v>-11.253999999999991</v>
      </c>
      <c r="AC56" s="332">
        <v>21</v>
      </c>
      <c r="AD56" s="332">
        <v>-87.665999999999997</v>
      </c>
      <c r="AE56" s="331"/>
      <c r="AF56" s="331"/>
    </row>
    <row r="57" spans="2:32">
      <c r="B57" s="333" t="s">
        <v>307</v>
      </c>
      <c r="C57" s="332">
        <v>-7.8390000000000004</v>
      </c>
      <c r="D57" s="332">
        <v>16.626999999999999</v>
      </c>
      <c r="E57" s="332">
        <v>11.127000000000001</v>
      </c>
      <c r="F57" s="332">
        <v>-21.884</v>
      </c>
      <c r="G57" s="332">
        <v>-18.588999999999999</v>
      </c>
      <c r="H57" s="332">
        <v>22.277000000000001</v>
      </c>
      <c r="I57" s="332">
        <v>0.32300000000000001</v>
      </c>
      <c r="J57" s="332">
        <v>-2.8530000000000002</v>
      </c>
      <c r="K57" s="332">
        <v>0.14599999999999999</v>
      </c>
      <c r="L57" s="332">
        <v>2.8220000000000001</v>
      </c>
      <c r="M57" s="332">
        <v>11.013999999999999</v>
      </c>
      <c r="N57" s="332">
        <v>3.681</v>
      </c>
      <c r="O57" s="332">
        <v>-4.5860000000000003</v>
      </c>
      <c r="P57" s="332">
        <v>-17.785</v>
      </c>
      <c r="Q57" s="332">
        <v>114.94199999999999</v>
      </c>
      <c r="R57" s="332">
        <v>-156.90600000000001</v>
      </c>
      <c r="S57" s="332">
        <v>-44.92</v>
      </c>
      <c r="T57" s="332">
        <v>-23.125</v>
      </c>
      <c r="U57" s="332">
        <v>-4</v>
      </c>
      <c r="V57" s="332">
        <v>-144.01999999999998</v>
      </c>
      <c r="W57" s="332">
        <v>-14.57</v>
      </c>
      <c r="X57" s="332">
        <v>-5</v>
      </c>
      <c r="Y57" s="332">
        <f>-11-SUM(W57:X57)</f>
        <v>8.57</v>
      </c>
      <c r="Z57" s="332">
        <v>-2.5590000000000002</v>
      </c>
      <c r="AA57" s="332">
        <f>980/1000</f>
        <v>0.98</v>
      </c>
      <c r="AB57" s="332">
        <f>-5936/10^3-AA57+0.4</f>
        <v>-6.516</v>
      </c>
      <c r="AC57" s="332">
        <v>8</v>
      </c>
      <c r="AD57" s="332">
        <v>-24.017000000000003</v>
      </c>
      <c r="AE57" s="331"/>
      <c r="AF57" s="331"/>
    </row>
    <row r="58" spans="2:32">
      <c r="B58" s="333" t="s">
        <v>308</v>
      </c>
      <c r="C58" s="332">
        <v>0</v>
      </c>
      <c r="D58" s="332">
        <v>0</v>
      </c>
      <c r="E58" s="332">
        <v>-18.599</v>
      </c>
      <c r="F58" s="332">
        <v>-26.077999999999999</v>
      </c>
      <c r="G58" s="332">
        <v>-6.444</v>
      </c>
      <c r="H58" s="332">
        <v>6.444</v>
      </c>
      <c r="I58" s="332">
        <v>-11.909000000000001</v>
      </c>
      <c r="J58" s="332">
        <v>-18.646999999999998</v>
      </c>
      <c r="K58" s="332">
        <v>-11.946</v>
      </c>
      <c r="L58" s="332">
        <v>-5.7880000000000003</v>
      </c>
      <c r="M58" s="332">
        <v>-5.6879999999999997</v>
      </c>
      <c r="N58" s="332">
        <v>-5.859</v>
      </c>
      <c r="O58" s="332">
        <v>-5.5730000000000004</v>
      </c>
      <c r="P58" s="332">
        <v>-9.6460000000000008</v>
      </c>
      <c r="Q58" s="332">
        <v>-5.1239999999999997</v>
      </c>
      <c r="R58" s="332">
        <v>-47.695</v>
      </c>
      <c r="S58" s="332">
        <v>-14.973000000000001</v>
      </c>
      <c r="T58" s="332">
        <v>-11.08</v>
      </c>
      <c r="U58" s="332">
        <v>-11</v>
      </c>
      <c r="V58" s="332">
        <v>-9.4870000000000019</v>
      </c>
      <c r="W58" s="332">
        <v>-4.0119999999999996</v>
      </c>
      <c r="X58" s="332">
        <v>-6</v>
      </c>
      <c r="Y58" s="332">
        <f>-16-SUM(W58:X58)</f>
        <v>-5.9879999999999995</v>
      </c>
      <c r="Z58" s="332">
        <v>-18.247</v>
      </c>
      <c r="AA58" s="332">
        <v>-5.3819999999999997</v>
      </c>
      <c r="AB58" s="332">
        <f>-15300/10^3-AA58</f>
        <v>-9.918000000000001</v>
      </c>
      <c r="AC58" s="332">
        <v>-10</v>
      </c>
      <c r="AD58" s="332">
        <v>-21.401</v>
      </c>
      <c r="AE58" s="331"/>
      <c r="AF58" s="331"/>
    </row>
    <row r="59" spans="2:32">
      <c r="B59" s="333" t="s">
        <v>193</v>
      </c>
      <c r="C59" s="332">
        <v>-3.1230000000000002</v>
      </c>
      <c r="D59" s="332">
        <v>10.775</v>
      </c>
      <c r="E59" s="332">
        <v>-7.6520000000000001</v>
      </c>
      <c r="F59" s="332">
        <v>0</v>
      </c>
      <c r="G59" s="332">
        <v>2.4380000000000002</v>
      </c>
      <c r="H59" s="332">
        <v>4.7850000000000001</v>
      </c>
      <c r="I59" s="332">
        <v>-7.2229999999999999</v>
      </c>
      <c r="J59" s="332">
        <v>0</v>
      </c>
      <c r="K59" s="332">
        <v>0</v>
      </c>
      <c r="L59" s="332">
        <v>0</v>
      </c>
      <c r="M59" s="332">
        <v>12.864000000000001</v>
      </c>
      <c r="N59" s="332">
        <v>-12.864000000000001</v>
      </c>
      <c r="O59" s="332">
        <v>0</v>
      </c>
      <c r="P59" s="332">
        <v>0</v>
      </c>
      <c r="Q59" s="332">
        <v>67.286000000000001</v>
      </c>
      <c r="R59" s="332">
        <v>-67.286000000000001</v>
      </c>
      <c r="S59" s="332">
        <v>0</v>
      </c>
      <c r="T59" s="332">
        <v>0</v>
      </c>
      <c r="U59" s="332">
        <v>18</v>
      </c>
      <c r="V59" s="332">
        <v>-18</v>
      </c>
      <c r="W59" s="332">
        <v>5.0640000000000001</v>
      </c>
      <c r="X59" s="332">
        <v>2</v>
      </c>
      <c r="Y59" s="332">
        <v>0</v>
      </c>
      <c r="Z59" s="332">
        <v>-48.917999999999999</v>
      </c>
      <c r="AA59" s="332">
        <f>6152/1000</f>
        <v>6.1520000000000001</v>
      </c>
      <c r="AB59" s="332">
        <f>12353/10^3-AA59-0.3</f>
        <v>5.9009999999999998</v>
      </c>
      <c r="AC59" s="332">
        <v>0</v>
      </c>
      <c r="AD59" s="332">
        <v>2.3629999999999995</v>
      </c>
      <c r="AE59" s="331"/>
      <c r="AF59" s="331"/>
    </row>
    <row r="60" spans="2:32">
      <c r="B60" s="333" t="s">
        <v>192</v>
      </c>
      <c r="C60" s="332"/>
      <c r="D60" s="332"/>
      <c r="E60" s="332"/>
      <c r="F60" s="332"/>
      <c r="G60" s="332"/>
      <c r="H60" s="332"/>
      <c r="I60" s="332"/>
      <c r="J60" s="332"/>
      <c r="K60" s="332"/>
      <c r="L60" s="332"/>
      <c r="M60" s="332"/>
      <c r="N60" s="332"/>
      <c r="O60" s="332"/>
      <c r="P60" s="332"/>
      <c r="Q60" s="332"/>
      <c r="R60" s="332"/>
      <c r="S60" s="332"/>
      <c r="T60" s="332"/>
      <c r="U60" s="332"/>
      <c r="V60" s="332"/>
      <c r="W60" s="332">
        <v>0</v>
      </c>
      <c r="X60" s="332">
        <v>0</v>
      </c>
      <c r="Y60" s="332">
        <v>0</v>
      </c>
      <c r="Z60" s="332">
        <v>0</v>
      </c>
      <c r="AA60" s="332">
        <v>0</v>
      </c>
      <c r="AB60" s="332">
        <f>52717/10^3-0.4</f>
        <v>52.317</v>
      </c>
      <c r="AC60" s="332">
        <v>0</v>
      </c>
      <c r="AD60" s="332">
        <v>-52.317</v>
      </c>
      <c r="AE60" s="331"/>
      <c r="AF60" s="331"/>
    </row>
    <row r="61" spans="2:32">
      <c r="B61" s="333" t="s">
        <v>175</v>
      </c>
      <c r="C61" s="332">
        <v>-9.7159999999999993</v>
      </c>
      <c r="D61" s="332">
        <v>16.219000000000001</v>
      </c>
      <c r="E61" s="332">
        <v>115.34099999999999</v>
      </c>
      <c r="F61" s="332">
        <v>20.657</v>
      </c>
      <c r="G61" s="332">
        <v>-19.661999999999999</v>
      </c>
      <c r="H61" s="332">
        <v>60.115000000000002</v>
      </c>
      <c r="I61" s="332">
        <v>-103.288</v>
      </c>
      <c r="J61" s="332">
        <v>62.835000000000001</v>
      </c>
      <c r="K61" s="332">
        <v>0</v>
      </c>
      <c r="L61" s="332">
        <v>38.017000000000003</v>
      </c>
      <c r="M61" s="332">
        <v>-38.017000000000003</v>
      </c>
      <c r="N61" s="332">
        <v>0</v>
      </c>
      <c r="O61" s="332">
        <v>0</v>
      </c>
      <c r="P61" s="332">
        <v>0</v>
      </c>
      <c r="Q61" s="332">
        <v>0</v>
      </c>
      <c r="R61" s="332">
        <v>0</v>
      </c>
      <c r="S61" s="332">
        <v>0</v>
      </c>
      <c r="T61" s="332">
        <v>0</v>
      </c>
      <c r="U61" s="332">
        <v>0</v>
      </c>
      <c r="V61" s="332">
        <v>0</v>
      </c>
      <c r="W61" s="332">
        <v>0</v>
      </c>
      <c r="X61" s="332">
        <v>0</v>
      </c>
      <c r="Y61" s="332"/>
      <c r="Z61" s="332"/>
      <c r="AA61" s="332"/>
      <c r="AB61" s="332"/>
      <c r="AC61" s="332">
        <v>0</v>
      </c>
      <c r="AD61" s="332">
        <v>0</v>
      </c>
      <c r="AE61" s="331"/>
      <c r="AF61" s="331"/>
    </row>
    <row r="62" spans="2:32">
      <c r="B62" s="333" t="s">
        <v>195</v>
      </c>
      <c r="C62" s="332">
        <v>0</v>
      </c>
      <c r="D62" s="332">
        <v>0</v>
      </c>
      <c r="E62" s="332">
        <v>0</v>
      </c>
      <c r="F62" s="332">
        <v>-250.89599999999999</v>
      </c>
      <c r="G62" s="332">
        <v>0</v>
      </c>
      <c r="H62" s="332">
        <v>0</v>
      </c>
      <c r="I62" s="332">
        <v>0</v>
      </c>
      <c r="J62" s="332">
        <v>-234.63900000000001</v>
      </c>
      <c r="K62" s="332">
        <v>0</v>
      </c>
      <c r="L62" s="332">
        <v>0</v>
      </c>
      <c r="M62" s="332">
        <v>0</v>
      </c>
      <c r="N62" s="332">
        <v>0</v>
      </c>
      <c r="O62" s="332">
        <v>0</v>
      </c>
      <c r="P62" s="332">
        <v>0</v>
      </c>
      <c r="Q62" s="332">
        <v>0</v>
      </c>
      <c r="R62" s="332">
        <v>0</v>
      </c>
      <c r="S62" s="332">
        <v>0</v>
      </c>
      <c r="T62" s="332">
        <v>0</v>
      </c>
      <c r="U62" s="332">
        <v>0</v>
      </c>
      <c r="V62" s="332">
        <v>0</v>
      </c>
      <c r="W62" s="332">
        <v>0</v>
      </c>
      <c r="X62" s="332">
        <v>0</v>
      </c>
      <c r="Y62" s="332"/>
      <c r="Z62" s="332"/>
      <c r="AA62" s="332"/>
      <c r="AB62" s="332"/>
      <c r="AC62" s="332">
        <v>0</v>
      </c>
      <c r="AD62" s="332">
        <v>0</v>
      </c>
      <c r="AE62" s="331"/>
      <c r="AF62" s="331"/>
    </row>
    <row r="63" spans="2:32">
      <c r="B63" s="333" t="s">
        <v>364</v>
      </c>
      <c r="C63" s="332"/>
      <c r="D63" s="332"/>
      <c r="E63" s="332"/>
      <c r="F63" s="332"/>
      <c r="G63" s="332"/>
      <c r="H63" s="332"/>
      <c r="I63" s="332"/>
      <c r="J63" s="332"/>
      <c r="K63" s="332"/>
      <c r="L63" s="332"/>
      <c r="M63" s="332"/>
      <c r="N63" s="332"/>
      <c r="O63" s="332"/>
      <c r="P63" s="332"/>
      <c r="Q63" s="332"/>
      <c r="R63" s="332"/>
      <c r="S63" s="332"/>
      <c r="T63" s="332"/>
      <c r="U63" s="332"/>
      <c r="V63" s="332"/>
      <c r="W63" s="332">
        <v>-0.18</v>
      </c>
      <c r="X63" s="332">
        <v>0</v>
      </c>
      <c r="Y63" s="332"/>
      <c r="Z63" s="332"/>
      <c r="AA63" s="332"/>
      <c r="AB63" s="332"/>
      <c r="AC63" s="332">
        <v>0</v>
      </c>
      <c r="AD63" s="332">
        <v>0</v>
      </c>
      <c r="AE63" s="331"/>
      <c r="AF63" s="331"/>
    </row>
    <row r="64" spans="2:32">
      <c r="B64" s="333" t="s">
        <v>309</v>
      </c>
      <c r="C64" s="332">
        <v>-37.076000000000001</v>
      </c>
      <c r="D64" s="332">
        <v>-30.800999999999998</v>
      </c>
      <c r="E64" s="332">
        <v>29.437999999999999</v>
      </c>
      <c r="F64" s="332">
        <v>17.739000000000001</v>
      </c>
      <c r="G64" s="332">
        <v>-24.962</v>
      </c>
      <c r="H64" s="332">
        <v>7.6980000000000004</v>
      </c>
      <c r="I64" s="332">
        <v>20.783000000000001</v>
      </c>
      <c r="J64" s="332">
        <v>15.497999999999999</v>
      </c>
      <c r="K64" s="332">
        <v>-5.1059999999999999</v>
      </c>
      <c r="L64" s="332">
        <v>28.209</v>
      </c>
      <c r="M64" s="332">
        <v>-20.984000000000002</v>
      </c>
      <c r="N64" s="332">
        <v>36.963999999999999</v>
      </c>
      <c r="O64" s="332">
        <v>39.804000000000002</v>
      </c>
      <c r="P64" s="332">
        <v>27.77</v>
      </c>
      <c r="Q64" s="332">
        <v>4.0220000000000002</v>
      </c>
      <c r="R64" s="332">
        <v>-26.062999999999999</v>
      </c>
      <c r="S64" s="332">
        <v>50.13</v>
      </c>
      <c r="T64" s="332">
        <v>-16.03</v>
      </c>
      <c r="U64" s="332">
        <v>-40</v>
      </c>
      <c r="V64" s="332">
        <v>86.427999999999997</v>
      </c>
      <c r="W64" s="332">
        <v>-19.495999999999999</v>
      </c>
      <c r="X64" s="332">
        <v>0</v>
      </c>
      <c r="Y64" s="332">
        <f>-165-SUM(W64:X64)-1</f>
        <v>-146.50399999999999</v>
      </c>
      <c r="Z64" s="332">
        <v>-44.419305720000004</v>
      </c>
      <c r="AA64" s="332">
        <f>-40580/1000</f>
        <v>-40.58</v>
      </c>
      <c r="AB64" s="332">
        <f>-113542/10^3-AA64</f>
        <v>-72.962000000000003</v>
      </c>
      <c r="AC64" s="332">
        <v>84</v>
      </c>
      <c r="AD64" s="332">
        <v>134.06799999999998</v>
      </c>
      <c r="AE64" s="331"/>
      <c r="AF64" s="331"/>
    </row>
    <row r="65" spans="2:32">
      <c r="B65" s="286"/>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1"/>
      <c r="AF65" s="331"/>
    </row>
    <row r="66" spans="2:32" s="314" customFormat="1" ht="14.5" thickBot="1">
      <c r="B66" s="312" t="s">
        <v>310</v>
      </c>
      <c r="C66" s="337">
        <f t="shared" ref="C66:X66" si="2">SUM(C40:C64)</f>
        <v>147.00300000000001</v>
      </c>
      <c r="D66" s="337">
        <f t="shared" si="2"/>
        <v>249.33000000000004</v>
      </c>
      <c r="E66" s="337">
        <f t="shared" si="2"/>
        <v>227.60500000000008</v>
      </c>
      <c r="F66" s="337">
        <f t="shared" si="2"/>
        <v>-119.11799999999994</v>
      </c>
      <c r="G66" s="337">
        <f t="shared" si="2"/>
        <v>81.717999999999947</v>
      </c>
      <c r="H66" s="337">
        <f t="shared" si="2"/>
        <v>203.58100000000002</v>
      </c>
      <c r="I66" s="337">
        <f t="shared" si="2"/>
        <v>114.10499999999999</v>
      </c>
      <c r="J66" s="337">
        <f t="shared" si="2"/>
        <v>111.65499999999993</v>
      </c>
      <c r="K66" s="337">
        <f t="shared" si="2"/>
        <v>38.284000000000063</v>
      </c>
      <c r="L66" s="337">
        <f t="shared" si="2"/>
        <v>107.88799999999998</v>
      </c>
      <c r="M66" s="337">
        <f t="shared" si="2"/>
        <v>480.97400000000005</v>
      </c>
      <c r="N66" s="337">
        <f t="shared" si="2"/>
        <v>511.16400000000004</v>
      </c>
      <c r="O66" s="337">
        <f t="shared" si="2"/>
        <v>166.21899999999994</v>
      </c>
      <c r="P66" s="337">
        <f t="shared" si="2"/>
        <v>109.75899999999986</v>
      </c>
      <c r="Q66" s="337">
        <f t="shared" si="2"/>
        <v>375.74800000000005</v>
      </c>
      <c r="R66" s="337">
        <f t="shared" si="2"/>
        <v>640.18999999999994</v>
      </c>
      <c r="S66" s="337">
        <f t="shared" si="2"/>
        <v>230.94499999999999</v>
      </c>
      <c r="T66" s="337">
        <f t="shared" si="2"/>
        <v>419.37900000000002</v>
      </c>
      <c r="U66" s="337">
        <f t="shared" si="2"/>
        <v>444</v>
      </c>
      <c r="V66" s="337">
        <f t="shared" si="2"/>
        <v>88.753999999999991</v>
      </c>
      <c r="W66" s="337">
        <f t="shared" si="2"/>
        <v>-228.97599999999997</v>
      </c>
      <c r="X66" s="337">
        <f t="shared" si="2"/>
        <v>-172</v>
      </c>
      <c r="Y66" s="337">
        <f t="shared" ref="Y66:AD66" si="3">SUM(Y40:Y64)</f>
        <v>17.925000000000125</v>
      </c>
      <c r="Z66" s="337">
        <f t="shared" si="3"/>
        <v>598.76969428000007</v>
      </c>
      <c r="AA66" s="337">
        <f t="shared" si="3"/>
        <v>-16.655000000000143</v>
      </c>
      <c r="AB66" s="337">
        <f t="shared" si="3"/>
        <v>192.25600000000009</v>
      </c>
      <c r="AC66" s="337">
        <f t="shared" si="3"/>
        <v>428.63200000000001</v>
      </c>
      <c r="AD66" s="337">
        <f t="shared" si="3"/>
        <v>511.25070407999988</v>
      </c>
      <c r="AE66" s="331"/>
      <c r="AF66" s="331"/>
    </row>
    <row r="67" spans="2:32">
      <c r="B67" s="338" t="s">
        <v>311</v>
      </c>
      <c r="C67" s="328">
        <v>-20.913</v>
      </c>
      <c r="D67" s="328">
        <v>-70.989000000000004</v>
      </c>
      <c r="E67" s="328">
        <v>-29.396999999999998</v>
      </c>
      <c r="F67" s="328">
        <v>-30.077999999999999</v>
      </c>
      <c r="G67" s="328">
        <v>-11.196</v>
      </c>
      <c r="H67" s="328">
        <v>-39.960999999999999</v>
      </c>
      <c r="I67" s="328">
        <v>-10.885999999999999</v>
      </c>
      <c r="J67" s="328">
        <v>-57.957999999999998</v>
      </c>
      <c r="K67" s="328">
        <v>-12.247</v>
      </c>
      <c r="L67" s="328">
        <v>-53.377000000000002</v>
      </c>
      <c r="M67" s="328">
        <v>-12.496</v>
      </c>
      <c r="N67" s="328">
        <v>-41.286000000000001</v>
      </c>
      <c r="O67" s="328">
        <v>-25.451000000000001</v>
      </c>
      <c r="P67" s="328">
        <v>-62.484000000000002</v>
      </c>
      <c r="Q67" s="328">
        <v>-81.088999999999999</v>
      </c>
      <c r="R67" s="328">
        <v>-29.239000000000001</v>
      </c>
      <c r="S67" s="328">
        <v>-51.078000000000003</v>
      </c>
      <c r="T67" s="328">
        <v>-63.331000000000003</v>
      </c>
      <c r="U67" s="328">
        <v>-60</v>
      </c>
      <c r="V67" s="328">
        <v>-75.66</v>
      </c>
      <c r="W67" s="328">
        <v>-44.59</v>
      </c>
      <c r="X67" s="328">
        <v>-88</v>
      </c>
      <c r="Y67" s="328">
        <f>-206-SUM(W67:X67)</f>
        <v>-73.41</v>
      </c>
      <c r="Z67" s="328">
        <v>-39.244999999999997</v>
      </c>
      <c r="AA67" s="328">
        <f>-76265/1000</f>
        <v>-76.265000000000001</v>
      </c>
      <c r="AB67" s="328">
        <f>-197348/10^3-AA67</f>
        <v>-121.08300000000001</v>
      </c>
      <c r="AC67" s="328">
        <v>-114</v>
      </c>
      <c r="AD67" s="332">
        <v>-134.94599999999997</v>
      </c>
      <c r="AE67" s="331"/>
      <c r="AF67" s="331"/>
    </row>
    <row r="68" spans="2:32">
      <c r="B68" s="333" t="s">
        <v>312</v>
      </c>
      <c r="C68" s="332">
        <v>-23.213000000000001</v>
      </c>
      <c r="D68" s="332">
        <v>-4.6070000000000002</v>
      </c>
      <c r="E68" s="332">
        <v>-4.8070000000000004</v>
      </c>
      <c r="F68" s="332">
        <v>-3.7610000000000001</v>
      </c>
      <c r="G68" s="332">
        <v>0</v>
      </c>
      <c r="H68" s="332">
        <v>-27.058</v>
      </c>
      <c r="I68" s="332">
        <v>-4.1829999999999998</v>
      </c>
      <c r="J68" s="332">
        <v>-2.4369999999999998</v>
      </c>
      <c r="K68" s="332">
        <v>-25.856999999999999</v>
      </c>
      <c r="L68" s="332">
        <v>-5.694</v>
      </c>
      <c r="M68" s="332">
        <v>-5.0279999999999996</v>
      </c>
      <c r="N68" s="332">
        <v>-7.2069999999999999</v>
      </c>
      <c r="O68" s="332">
        <v>-50.445999999999998</v>
      </c>
      <c r="P68" s="332">
        <v>0</v>
      </c>
      <c r="Q68" s="332">
        <v>-96.98</v>
      </c>
      <c r="R68" s="332">
        <v>-19.681999999999999</v>
      </c>
      <c r="S68" s="332">
        <v>-77.283000000000001</v>
      </c>
      <c r="T68" s="332">
        <v>-94.908000000000001</v>
      </c>
      <c r="U68" s="332">
        <v>-72</v>
      </c>
      <c r="V68" s="332">
        <v>-10.695999999999998</v>
      </c>
      <c r="W68" s="332">
        <v>-12.263999999999999</v>
      </c>
      <c r="X68" s="332">
        <v>-8</v>
      </c>
      <c r="Y68" s="332">
        <f>-29-SUM(W68:X68)</f>
        <v>-8.7360000000000007</v>
      </c>
      <c r="Z68" s="328">
        <v>-2.9</v>
      </c>
      <c r="AA68" s="328">
        <v>-2.29</v>
      </c>
      <c r="AB68" s="328">
        <f>-6466/10^3-AA68</f>
        <v>-4.1760000000000002</v>
      </c>
      <c r="AC68" s="328">
        <v>-5</v>
      </c>
      <c r="AD68" s="332">
        <v>-10.869999999999997</v>
      </c>
      <c r="AE68" s="331"/>
      <c r="AF68" s="331"/>
    </row>
    <row r="69" spans="2:32" s="314" customFormat="1" ht="14.5" thickBot="1">
      <c r="B69" s="339" t="s">
        <v>313</v>
      </c>
      <c r="C69" s="337">
        <f t="shared" ref="C69:AC69" si="4">SUM(C66:C68)</f>
        <v>102.87700000000001</v>
      </c>
      <c r="D69" s="337">
        <f t="shared" si="4"/>
        <v>173.73400000000004</v>
      </c>
      <c r="E69" s="337">
        <f t="shared" si="4"/>
        <v>193.4010000000001</v>
      </c>
      <c r="F69" s="337">
        <f t="shared" si="4"/>
        <v>-152.95699999999994</v>
      </c>
      <c r="G69" s="337">
        <f t="shared" si="4"/>
        <v>70.521999999999949</v>
      </c>
      <c r="H69" s="337">
        <f t="shared" si="4"/>
        <v>136.56200000000001</v>
      </c>
      <c r="I69" s="337">
        <f t="shared" si="4"/>
        <v>99.036000000000001</v>
      </c>
      <c r="J69" s="337">
        <f t="shared" si="4"/>
        <v>51.259999999999934</v>
      </c>
      <c r="K69" s="337">
        <f t="shared" si="4"/>
        <v>0.18000000000006366</v>
      </c>
      <c r="L69" s="337">
        <f t="shared" si="4"/>
        <v>48.816999999999972</v>
      </c>
      <c r="M69" s="337">
        <f t="shared" si="4"/>
        <v>463.45000000000005</v>
      </c>
      <c r="N69" s="337">
        <f t="shared" si="4"/>
        <v>462.67100000000005</v>
      </c>
      <c r="O69" s="337">
        <f t="shared" si="4"/>
        <v>90.321999999999946</v>
      </c>
      <c r="P69" s="337">
        <f t="shared" si="4"/>
        <v>47.274999999999856</v>
      </c>
      <c r="Q69" s="337">
        <f t="shared" si="4"/>
        <v>197.67900000000003</v>
      </c>
      <c r="R69" s="337">
        <f t="shared" si="4"/>
        <v>591.26899999999989</v>
      </c>
      <c r="S69" s="337">
        <f t="shared" si="4"/>
        <v>102.58399999999999</v>
      </c>
      <c r="T69" s="337">
        <f t="shared" si="4"/>
        <v>261.14</v>
      </c>
      <c r="U69" s="337">
        <f t="shared" si="4"/>
        <v>312</v>
      </c>
      <c r="V69" s="337">
        <f t="shared" si="4"/>
        <v>2.3979999999999961</v>
      </c>
      <c r="W69" s="337">
        <f t="shared" si="4"/>
        <v>-285.83</v>
      </c>
      <c r="X69" s="337">
        <f t="shared" si="4"/>
        <v>-268</v>
      </c>
      <c r="Y69" s="337">
        <f t="shared" si="4"/>
        <v>-64.220999999999876</v>
      </c>
      <c r="Z69" s="337">
        <f t="shared" si="4"/>
        <v>556.62469428000009</v>
      </c>
      <c r="AA69" s="337">
        <f t="shared" si="4"/>
        <v>-95.21000000000015</v>
      </c>
      <c r="AB69" s="337">
        <f t="shared" si="4"/>
        <v>66.997000000000071</v>
      </c>
      <c r="AC69" s="337">
        <f t="shared" si="4"/>
        <v>309.63200000000001</v>
      </c>
      <c r="AD69" s="337">
        <f t="shared" ref="AD69" si="5">SUM(AD66:AD68)</f>
        <v>365.4347040799999</v>
      </c>
      <c r="AE69" s="331"/>
      <c r="AF69" s="331"/>
    </row>
    <row r="70" spans="2:32">
      <c r="B70" s="327"/>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31"/>
      <c r="AF70" s="331"/>
    </row>
    <row r="71" spans="2:32" s="314" customFormat="1">
      <c r="B71" s="316" t="s">
        <v>314</v>
      </c>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1"/>
      <c r="AF71" s="331"/>
    </row>
    <row r="72" spans="2:32">
      <c r="B72" s="333" t="s">
        <v>165</v>
      </c>
      <c r="C72" s="332">
        <v>75.691000000000003</v>
      </c>
      <c r="D72" s="332">
        <v>145.79300000000001</v>
      </c>
      <c r="E72" s="332">
        <v>236.77600000000001</v>
      </c>
      <c r="F72" s="332">
        <v>106.185</v>
      </c>
      <c r="G72" s="332">
        <v>-39.69</v>
      </c>
      <c r="H72" s="332">
        <v>-71.176000000000002</v>
      </c>
      <c r="I72" s="332">
        <v>-41.427999999999997</v>
      </c>
      <c r="J72" s="332">
        <v>223.64099999999999</v>
      </c>
      <c r="K72" s="332">
        <v>32.692999999999998</v>
      </c>
      <c r="L72" s="332">
        <v>40.695</v>
      </c>
      <c r="M72" s="332">
        <v>-172.26499999999999</v>
      </c>
      <c r="N72" s="332">
        <v>-64.236999999999995</v>
      </c>
      <c r="O72" s="332">
        <v>282.70499999999998</v>
      </c>
      <c r="P72" s="332">
        <v>-81.962000000000003</v>
      </c>
      <c r="Q72" s="332">
        <v>-299.11599999999999</v>
      </c>
      <c r="R72" s="332">
        <v>332.89</v>
      </c>
      <c r="S72" s="332">
        <v>-14.355</v>
      </c>
      <c r="T72" s="332">
        <v>56.667999999999999</v>
      </c>
      <c r="U72" s="332">
        <v>-68</v>
      </c>
      <c r="V72" s="332">
        <v>102.34399999999999</v>
      </c>
      <c r="W72" s="332">
        <v>-42.77</v>
      </c>
      <c r="X72" s="332">
        <v>95</v>
      </c>
      <c r="Y72" s="332">
        <f>39-SUM(W72:X72)</f>
        <v>-13.229999999999997</v>
      </c>
      <c r="Z72" s="332">
        <v>32.725999999999999</v>
      </c>
      <c r="AA72" s="332">
        <f>41062/1000</f>
        <v>41.061999999999998</v>
      </c>
      <c r="AB72" s="332">
        <f>53459/10^3-AA72</f>
        <v>12.397000000000006</v>
      </c>
      <c r="AC72" s="332">
        <v>44</v>
      </c>
      <c r="AD72" s="332">
        <v>-117.122</v>
      </c>
      <c r="AE72" s="331"/>
      <c r="AF72" s="331"/>
    </row>
    <row r="73" spans="2:32">
      <c r="B73" s="333" t="s">
        <v>492</v>
      </c>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2"/>
      <c r="AD73" s="332">
        <v>25.925000000000001</v>
      </c>
      <c r="AE73" s="331"/>
      <c r="AF73" s="331"/>
    </row>
    <row r="74" spans="2:32">
      <c r="B74" s="333" t="s">
        <v>315</v>
      </c>
      <c r="C74" s="332">
        <v>-25.632999999999999</v>
      </c>
      <c r="D74" s="332">
        <v>-47.393999999999998</v>
      </c>
      <c r="E74" s="332">
        <v>-70.685000000000002</v>
      </c>
      <c r="F74" s="332">
        <v>-98.549000000000007</v>
      </c>
      <c r="G74" s="332">
        <v>-44.856999999999999</v>
      </c>
      <c r="H74" s="332">
        <v>-74.055000000000007</v>
      </c>
      <c r="I74" s="332">
        <v>-76.105999999999995</v>
      </c>
      <c r="J74" s="332">
        <v>-156.44300000000001</v>
      </c>
      <c r="K74" s="332">
        <v>-51.469000000000001</v>
      </c>
      <c r="L74" s="332">
        <v>-62.548000000000002</v>
      </c>
      <c r="M74" s="332">
        <v>-111.006</v>
      </c>
      <c r="N74" s="332">
        <v>-137.22800000000001</v>
      </c>
      <c r="O74" s="332">
        <v>-84.108999999999995</v>
      </c>
      <c r="P74" s="332">
        <v>-106.477</v>
      </c>
      <c r="Q74" s="332">
        <v>-149.685</v>
      </c>
      <c r="R74" s="332">
        <v>-183.30600000000001</v>
      </c>
      <c r="S74" s="332">
        <v>-148.565</v>
      </c>
      <c r="T74" s="332">
        <v>-177.45400000000001</v>
      </c>
      <c r="U74" s="332">
        <v>-289</v>
      </c>
      <c r="V74" s="332">
        <v>-337.40700000000004</v>
      </c>
      <c r="W74" s="332">
        <v>-276.67700000000002</v>
      </c>
      <c r="X74" s="332">
        <v>-281</v>
      </c>
      <c r="Y74" s="332">
        <f>-771-SUM(W74:X74)</f>
        <v>-213.32299999999998</v>
      </c>
      <c r="Z74" s="332">
        <v>-195.643</v>
      </c>
      <c r="AA74" s="332">
        <f>-261546/1000</f>
        <v>-261.54599999999999</v>
      </c>
      <c r="AB74" s="332">
        <f>-430536/10^3-AA74</f>
        <v>-168.99</v>
      </c>
      <c r="AC74" s="332">
        <v>-136</v>
      </c>
      <c r="AD74" s="332">
        <v>-210.81299999999999</v>
      </c>
      <c r="AE74" s="331"/>
      <c r="AF74" s="331"/>
    </row>
    <row r="75" spans="2:32">
      <c r="B75" s="333" t="s">
        <v>316</v>
      </c>
      <c r="C75" s="332">
        <v>0</v>
      </c>
      <c r="D75" s="332">
        <v>0</v>
      </c>
      <c r="E75" s="332">
        <v>0</v>
      </c>
      <c r="F75" s="332">
        <v>-5.3159999999999998</v>
      </c>
      <c r="G75" s="332">
        <v>0</v>
      </c>
      <c r="H75" s="332">
        <v>0</v>
      </c>
      <c r="I75" s="332">
        <v>0</v>
      </c>
      <c r="J75" s="332">
        <v>0</v>
      </c>
      <c r="K75" s="332">
        <v>0</v>
      </c>
      <c r="L75" s="332">
        <v>0</v>
      </c>
      <c r="M75" s="332">
        <v>0</v>
      </c>
      <c r="N75" s="332">
        <v>0</v>
      </c>
      <c r="O75" s="332">
        <v>0</v>
      </c>
      <c r="P75" s="332">
        <v>0</v>
      </c>
      <c r="Q75" s="332">
        <v>0</v>
      </c>
      <c r="R75" s="332">
        <v>0</v>
      </c>
      <c r="S75" s="332">
        <v>0</v>
      </c>
      <c r="T75" s="332">
        <v>0</v>
      </c>
      <c r="U75" s="332">
        <v>0</v>
      </c>
      <c r="V75" s="332">
        <v>0</v>
      </c>
      <c r="W75" s="332"/>
      <c r="X75" s="332">
        <v>0</v>
      </c>
      <c r="Y75" s="332">
        <v>-35</v>
      </c>
      <c r="Z75" s="332">
        <v>3.722</v>
      </c>
      <c r="AA75" s="332"/>
      <c r="AB75" s="332">
        <f>-9102/10^3</f>
        <v>-9.1020000000000003</v>
      </c>
      <c r="AC75" s="332">
        <v>0</v>
      </c>
      <c r="AD75" s="332">
        <v>0</v>
      </c>
      <c r="AE75" s="331"/>
      <c r="AF75" s="331"/>
    </row>
    <row r="76" spans="2:32">
      <c r="B76" s="333" t="s">
        <v>317</v>
      </c>
      <c r="C76" s="332">
        <v>0</v>
      </c>
      <c r="D76" s="332">
        <v>-5.3120000000000003</v>
      </c>
      <c r="E76" s="332">
        <v>-3.0000000000000001E-3</v>
      </c>
      <c r="F76" s="332">
        <v>5.3150000000000004</v>
      </c>
      <c r="G76" s="332">
        <v>0</v>
      </c>
      <c r="H76" s="332">
        <v>0</v>
      </c>
      <c r="I76" s="332">
        <v>0</v>
      </c>
      <c r="J76" s="332">
        <v>0</v>
      </c>
      <c r="K76" s="332">
        <v>0</v>
      </c>
      <c r="L76" s="332">
        <v>0</v>
      </c>
      <c r="M76" s="332">
        <v>0</v>
      </c>
      <c r="N76" s="332">
        <v>0</v>
      </c>
      <c r="O76" s="332">
        <v>0</v>
      </c>
      <c r="P76" s="332">
        <v>0</v>
      </c>
      <c r="Q76" s="332">
        <v>0</v>
      </c>
      <c r="R76" s="332">
        <v>0</v>
      </c>
      <c r="S76" s="332">
        <v>0</v>
      </c>
      <c r="T76" s="332">
        <v>0</v>
      </c>
      <c r="U76" s="332">
        <v>0</v>
      </c>
      <c r="V76" s="332">
        <v>0</v>
      </c>
      <c r="W76" s="332"/>
      <c r="X76" s="332">
        <v>0</v>
      </c>
      <c r="Y76" s="332">
        <v>0</v>
      </c>
      <c r="Z76" s="332">
        <v>0</v>
      </c>
      <c r="AA76" s="332"/>
      <c r="AB76" s="332"/>
      <c r="AC76" s="332">
        <v>0</v>
      </c>
      <c r="AD76" s="332">
        <v>0</v>
      </c>
      <c r="AE76" s="331"/>
      <c r="AF76" s="331"/>
    </row>
    <row r="77" spans="2:32">
      <c r="B77" s="333" t="s">
        <v>318</v>
      </c>
      <c r="C77" s="332">
        <v>0.45100000000000001</v>
      </c>
      <c r="D77" s="332">
        <v>1.8640000000000001</v>
      </c>
      <c r="E77" s="332">
        <v>0.184</v>
      </c>
      <c r="F77" s="332">
        <v>5.5190000000000001</v>
      </c>
      <c r="G77" s="332">
        <v>1.0660000000000001</v>
      </c>
      <c r="H77" s="332">
        <v>-1.0660000000000001</v>
      </c>
      <c r="I77" s="332">
        <v>12.867000000000001</v>
      </c>
      <c r="J77" s="332">
        <v>0.251</v>
      </c>
      <c r="K77" s="332">
        <v>0</v>
      </c>
      <c r="L77" s="332">
        <v>0</v>
      </c>
      <c r="M77" s="332">
        <v>0</v>
      </c>
      <c r="N77" s="332">
        <v>7.8650000000000002</v>
      </c>
      <c r="O77" s="332">
        <v>0</v>
      </c>
      <c r="P77" s="332">
        <v>0</v>
      </c>
      <c r="Q77" s="332">
        <v>0.90100000000000002</v>
      </c>
      <c r="R77" s="332">
        <v>-6.819</v>
      </c>
      <c r="S77" s="332">
        <v>0.69</v>
      </c>
      <c r="T77" s="332">
        <v>0.64500000000000002</v>
      </c>
      <c r="U77" s="332">
        <v>0</v>
      </c>
      <c r="V77" s="332">
        <v>-1.335</v>
      </c>
      <c r="W77" s="332">
        <v>1.1890000000000001</v>
      </c>
      <c r="X77" s="332">
        <v>0</v>
      </c>
      <c r="Y77" s="332">
        <f>2-1</f>
        <v>1</v>
      </c>
      <c r="Z77" s="332">
        <v>39.213999999999999</v>
      </c>
      <c r="AA77" s="332">
        <f>13034/1000</f>
        <v>13.034000000000001</v>
      </c>
      <c r="AB77" s="332">
        <f>13034/10^3-AA77</f>
        <v>0</v>
      </c>
      <c r="AC77" s="332">
        <v>12</v>
      </c>
      <c r="AD77" s="332">
        <v>-0.1980000000000004</v>
      </c>
      <c r="AE77" s="331"/>
      <c r="AF77" s="331"/>
    </row>
    <row r="78" spans="2:32">
      <c r="B78" s="333" t="s">
        <v>319</v>
      </c>
      <c r="C78" s="332">
        <v>0</v>
      </c>
      <c r="D78" s="332">
        <v>0</v>
      </c>
      <c r="E78" s="332">
        <v>0</v>
      </c>
      <c r="F78" s="332">
        <v>0</v>
      </c>
      <c r="G78" s="332">
        <v>0</v>
      </c>
      <c r="H78" s="332">
        <v>0</v>
      </c>
      <c r="I78" s="332">
        <v>0</v>
      </c>
      <c r="J78" s="332">
        <v>0</v>
      </c>
      <c r="K78" s="332">
        <v>0</v>
      </c>
      <c r="L78" s="332">
        <v>0</v>
      </c>
      <c r="M78" s="332">
        <v>7.6920000000000002</v>
      </c>
      <c r="N78" s="332">
        <v>-7.6920000000000002</v>
      </c>
      <c r="O78" s="332">
        <v>0</v>
      </c>
      <c r="P78" s="332">
        <v>0</v>
      </c>
      <c r="Q78" s="332">
        <v>0</v>
      </c>
      <c r="R78" s="332">
        <v>0</v>
      </c>
      <c r="S78" s="332">
        <v>0</v>
      </c>
      <c r="T78" s="332">
        <v>0</v>
      </c>
      <c r="U78" s="332">
        <v>47</v>
      </c>
      <c r="V78" s="332">
        <v>-47</v>
      </c>
      <c r="W78" s="332"/>
      <c r="X78" s="332">
        <v>49</v>
      </c>
      <c r="Y78" s="332">
        <f>50-X78</f>
        <v>1</v>
      </c>
      <c r="Z78" s="332">
        <v>0</v>
      </c>
      <c r="AA78" s="332">
        <v>0</v>
      </c>
      <c r="AB78" s="332">
        <v>0</v>
      </c>
      <c r="AC78" s="332">
        <v>0</v>
      </c>
      <c r="AD78" s="332">
        <v>238.46299999999999</v>
      </c>
      <c r="AE78" s="331"/>
      <c r="AF78" s="331"/>
    </row>
    <row r="79" spans="2:32">
      <c r="B79" s="333" t="s">
        <v>395</v>
      </c>
      <c r="C79" s="332"/>
      <c r="D79" s="332"/>
      <c r="E79" s="332"/>
      <c r="F79" s="332"/>
      <c r="G79" s="332"/>
      <c r="H79" s="332"/>
      <c r="I79" s="332"/>
      <c r="J79" s="332"/>
      <c r="K79" s="332"/>
      <c r="L79" s="332"/>
      <c r="M79" s="332"/>
      <c r="N79" s="332"/>
      <c r="O79" s="332"/>
      <c r="P79" s="332"/>
      <c r="Q79" s="332"/>
      <c r="R79" s="332"/>
      <c r="S79" s="332"/>
      <c r="T79" s="332"/>
      <c r="U79" s="332"/>
      <c r="V79" s="332"/>
      <c r="W79" s="332">
        <v>0</v>
      </c>
      <c r="X79" s="332"/>
      <c r="Y79" s="332">
        <v>0</v>
      </c>
      <c r="Z79" s="332">
        <v>0</v>
      </c>
      <c r="AA79" s="332">
        <v>0</v>
      </c>
      <c r="AB79" s="332">
        <v>0</v>
      </c>
      <c r="AC79" s="332">
        <v>0</v>
      </c>
      <c r="AD79" s="332">
        <v>0</v>
      </c>
      <c r="AE79" s="331"/>
      <c r="AF79" s="331"/>
    </row>
    <row r="80" spans="2:32">
      <c r="B80" s="333" t="s">
        <v>195</v>
      </c>
      <c r="C80" s="332">
        <v>0</v>
      </c>
      <c r="D80" s="332">
        <v>0</v>
      </c>
      <c r="E80" s="332">
        <v>0</v>
      </c>
      <c r="F80" s="332">
        <v>0</v>
      </c>
      <c r="G80" s="332">
        <v>0</v>
      </c>
      <c r="H80" s="332">
        <v>0</v>
      </c>
      <c r="I80" s="332">
        <v>-27.260999999999999</v>
      </c>
      <c r="J80" s="332">
        <v>27.260999999999999</v>
      </c>
      <c r="K80" s="332">
        <v>0</v>
      </c>
      <c r="L80" s="332">
        <v>0</v>
      </c>
      <c r="M80" s="332">
        <v>0</v>
      </c>
      <c r="N80" s="332">
        <v>0</v>
      </c>
      <c r="O80" s="332">
        <v>0</v>
      </c>
      <c r="P80" s="332">
        <v>0</v>
      </c>
      <c r="Q80" s="332">
        <v>0</v>
      </c>
      <c r="R80" s="332">
        <v>0</v>
      </c>
      <c r="S80" s="332">
        <v>0</v>
      </c>
      <c r="T80" s="332">
        <v>0</v>
      </c>
      <c r="U80" s="332">
        <v>0</v>
      </c>
      <c r="V80" s="332">
        <v>0</v>
      </c>
      <c r="W80" s="332"/>
      <c r="X80" s="332">
        <v>0</v>
      </c>
      <c r="Y80" s="332">
        <v>0</v>
      </c>
      <c r="Z80" s="332">
        <v>0</v>
      </c>
      <c r="AA80" s="332">
        <v>0</v>
      </c>
      <c r="AB80" s="332">
        <v>0</v>
      </c>
      <c r="AC80" s="332">
        <v>0</v>
      </c>
      <c r="AD80" s="332">
        <v>0</v>
      </c>
      <c r="AE80" s="331"/>
      <c r="AF80" s="331"/>
    </row>
    <row r="81" spans="2:32">
      <c r="B81" s="333" t="s">
        <v>320</v>
      </c>
      <c r="C81" s="332">
        <v>0</v>
      </c>
      <c r="D81" s="332">
        <v>0</v>
      </c>
      <c r="E81" s="332">
        <v>0</v>
      </c>
      <c r="F81" s="332">
        <v>0</v>
      </c>
      <c r="G81" s="332">
        <v>0</v>
      </c>
      <c r="H81" s="332">
        <v>0</v>
      </c>
      <c r="I81" s="332">
        <v>0</v>
      </c>
      <c r="J81" s="332">
        <v>0</v>
      </c>
      <c r="K81" s="332">
        <v>-224.244</v>
      </c>
      <c r="L81" s="332">
        <v>0</v>
      </c>
      <c r="M81" s="332">
        <v>0</v>
      </c>
      <c r="N81" s="332">
        <v>19.914999999999999</v>
      </c>
      <c r="O81" s="332">
        <v>0</v>
      </c>
      <c r="P81" s="332">
        <v>0</v>
      </c>
      <c r="Q81" s="332">
        <v>0</v>
      </c>
      <c r="R81" s="332">
        <v>-2.5</v>
      </c>
      <c r="S81" s="332">
        <v>0</v>
      </c>
      <c r="T81" s="332">
        <v>0</v>
      </c>
      <c r="U81" s="332">
        <v>0</v>
      </c>
      <c r="V81" s="332">
        <v>0</v>
      </c>
      <c r="W81" s="332"/>
      <c r="X81" s="332">
        <v>0</v>
      </c>
      <c r="Y81" s="332">
        <v>0</v>
      </c>
      <c r="Z81" s="332">
        <v>0</v>
      </c>
      <c r="AA81" s="332">
        <v>0</v>
      </c>
      <c r="AB81" s="332">
        <v>0</v>
      </c>
      <c r="AC81" s="332">
        <v>0</v>
      </c>
      <c r="AD81" s="332">
        <v>0</v>
      </c>
      <c r="AE81" s="331"/>
      <c r="AF81" s="331"/>
    </row>
    <row r="82" spans="2:32">
      <c r="B82" s="333" t="s">
        <v>353</v>
      </c>
      <c r="C82" s="332">
        <v>0</v>
      </c>
      <c r="D82" s="332">
        <v>0</v>
      </c>
      <c r="E82" s="332">
        <v>0</v>
      </c>
      <c r="F82" s="332">
        <v>0</v>
      </c>
      <c r="G82" s="332">
        <v>0</v>
      </c>
      <c r="H82" s="332">
        <v>0</v>
      </c>
      <c r="I82" s="332">
        <v>0</v>
      </c>
      <c r="J82" s="332">
        <v>0</v>
      </c>
      <c r="K82" s="332">
        <v>0</v>
      </c>
      <c r="L82" s="332">
        <v>0</v>
      </c>
      <c r="M82" s="332">
        <v>0</v>
      </c>
      <c r="N82" s="332">
        <v>0</v>
      </c>
      <c r="O82" s="332">
        <v>0</v>
      </c>
      <c r="P82" s="332">
        <v>0</v>
      </c>
      <c r="Q82" s="332">
        <v>0</v>
      </c>
      <c r="R82" s="332">
        <v>0</v>
      </c>
      <c r="S82" s="332">
        <v>-128.24600000000001</v>
      </c>
      <c r="T82" s="332">
        <v>0</v>
      </c>
      <c r="U82" s="332">
        <v>0</v>
      </c>
      <c r="V82" s="332">
        <v>2.0000000000095497E-3</v>
      </c>
      <c r="W82" s="332"/>
      <c r="X82" s="332">
        <v>0</v>
      </c>
      <c r="Y82" s="332">
        <v>0</v>
      </c>
      <c r="Z82" s="332">
        <v>0</v>
      </c>
      <c r="AA82" s="332">
        <v>0</v>
      </c>
      <c r="AB82" s="332">
        <v>0</v>
      </c>
      <c r="AC82" s="332">
        <v>0</v>
      </c>
      <c r="AD82" s="332">
        <v>0</v>
      </c>
      <c r="AE82" s="331"/>
      <c r="AF82" s="331"/>
    </row>
    <row r="83" spans="2:32">
      <c r="B83" s="333" t="s">
        <v>354</v>
      </c>
      <c r="C83" s="332"/>
      <c r="D83" s="332"/>
      <c r="E83" s="332"/>
      <c r="F83" s="332"/>
      <c r="G83" s="332"/>
      <c r="H83" s="332"/>
      <c r="I83" s="332"/>
      <c r="J83" s="332"/>
      <c r="K83" s="332"/>
      <c r="L83" s="332"/>
      <c r="M83" s="332"/>
      <c r="N83" s="332"/>
      <c r="O83" s="332"/>
      <c r="P83" s="332"/>
      <c r="Q83" s="332"/>
      <c r="R83" s="332"/>
      <c r="S83" s="332"/>
      <c r="T83" s="332"/>
      <c r="U83" s="332"/>
      <c r="V83" s="332">
        <v>-49</v>
      </c>
      <c r="W83" s="332">
        <v>-49</v>
      </c>
      <c r="X83" s="332">
        <v>0</v>
      </c>
      <c r="Y83" s="332">
        <v>0</v>
      </c>
      <c r="Z83" s="332">
        <v>0</v>
      </c>
      <c r="AA83" s="332">
        <v>0</v>
      </c>
      <c r="AB83" s="332">
        <v>0</v>
      </c>
      <c r="AC83" s="332">
        <v>0</v>
      </c>
      <c r="AD83" s="332">
        <v>0</v>
      </c>
      <c r="AE83" s="331"/>
      <c r="AF83" s="331"/>
    </row>
    <row r="84" spans="2:32">
      <c r="B84" s="333" t="s">
        <v>360</v>
      </c>
      <c r="C84" s="332"/>
      <c r="D84" s="332"/>
      <c r="E84" s="332"/>
      <c r="F84" s="332"/>
      <c r="G84" s="332"/>
      <c r="H84" s="332"/>
      <c r="I84" s="332"/>
      <c r="J84" s="332"/>
      <c r="K84" s="332"/>
      <c r="L84" s="332"/>
      <c r="M84" s="332"/>
      <c r="N84" s="332"/>
      <c r="O84" s="332"/>
      <c r="P84" s="332"/>
      <c r="Q84" s="332"/>
      <c r="R84" s="332"/>
      <c r="S84" s="332"/>
      <c r="T84" s="332"/>
      <c r="U84" s="332"/>
      <c r="V84" s="332">
        <v>-24.632000000000001</v>
      </c>
      <c r="W84" s="332"/>
      <c r="X84" s="332">
        <v>0</v>
      </c>
      <c r="Y84" s="332">
        <v>0</v>
      </c>
      <c r="Z84" s="332">
        <v>0</v>
      </c>
      <c r="AA84" s="332">
        <v>0</v>
      </c>
      <c r="AB84" s="332">
        <v>0</v>
      </c>
      <c r="AC84" s="332">
        <v>0</v>
      </c>
      <c r="AD84" s="332">
        <v>0</v>
      </c>
      <c r="AE84" s="331"/>
      <c r="AF84" s="331"/>
    </row>
    <row r="85" spans="2:32">
      <c r="B85" s="333" t="s">
        <v>355</v>
      </c>
      <c r="C85" s="332"/>
      <c r="D85" s="332"/>
      <c r="E85" s="332"/>
      <c r="F85" s="332"/>
      <c r="G85" s="332"/>
      <c r="H85" s="332"/>
      <c r="I85" s="332"/>
      <c r="J85" s="332"/>
      <c r="K85" s="332"/>
      <c r="L85" s="332"/>
      <c r="M85" s="332"/>
      <c r="N85" s="332"/>
      <c r="O85" s="332"/>
      <c r="P85" s="332"/>
      <c r="Q85" s="332"/>
      <c r="R85" s="332"/>
      <c r="S85" s="332"/>
      <c r="T85" s="332"/>
      <c r="U85" s="332"/>
      <c r="V85" s="332">
        <v>47.5</v>
      </c>
      <c r="W85" s="332"/>
      <c r="X85" s="332">
        <v>0</v>
      </c>
      <c r="Y85" s="332">
        <v>0</v>
      </c>
      <c r="Z85" s="332">
        <v>0</v>
      </c>
      <c r="AA85" s="332">
        <v>0</v>
      </c>
      <c r="AB85" s="332">
        <v>0</v>
      </c>
      <c r="AC85" s="332">
        <v>0</v>
      </c>
      <c r="AD85" s="332">
        <v>0</v>
      </c>
      <c r="AE85" s="331"/>
      <c r="AF85" s="331"/>
    </row>
    <row r="86" spans="2:32">
      <c r="B86" s="333" t="s">
        <v>321</v>
      </c>
      <c r="C86" s="332">
        <v>0</v>
      </c>
      <c r="D86" s="332">
        <v>0</v>
      </c>
      <c r="E86" s="332">
        <v>0</v>
      </c>
      <c r="F86" s="332">
        <v>0</v>
      </c>
      <c r="G86" s="332">
        <v>0</v>
      </c>
      <c r="H86" s="332">
        <v>0</v>
      </c>
      <c r="I86" s="332">
        <v>0</v>
      </c>
      <c r="J86" s="332">
        <v>0</v>
      </c>
      <c r="K86" s="332">
        <v>0</v>
      </c>
      <c r="L86" s="332">
        <v>0</v>
      </c>
      <c r="M86" s="332">
        <v>0</v>
      </c>
      <c r="N86" s="332">
        <v>0</v>
      </c>
      <c r="O86" s="332">
        <v>0</v>
      </c>
      <c r="P86" s="332">
        <v>0</v>
      </c>
      <c r="Q86" s="332">
        <v>0</v>
      </c>
      <c r="R86" s="332">
        <v>12.827999999999999</v>
      </c>
      <c r="S86" s="332">
        <v>0</v>
      </c>
      <c r="T86" s="332">
        <v>0</v>
      </c>
      <c r="U86" s="332">
        <v>0</v>
      </c>
      <c r="V86" s="332">
        <v>0</v>
      </c>
      <c r="W86" s="332"/>
      <c r="X86" s="332">
        <v>0</v>
      </c>
      <c r="Y86" s="332">
        <v>0</v>
      </c>
      <c r="Z86" s="332">
        <v>0</v>
      </c>
      <c r="AA86" s="332">
        <v>0</v>
      </c>
      <c r="AB86" s="332">
        <v>0</v>
      </c>
      <c r="AC86" s="332">
        <v>0</v>
      </c>
      <c r="AD86" s="332">
        <v>0</v>
      </c>
      <c r="AE86" s="331"/>
      <c r="AF86" s="331"/>
    </row>
    <row r="87" spans="2:32">
      <c r="B87" s="333" t="s">
        <v>365</v>
      </c>
      <c r="C87" s="332"/>
      <c r="D87" s="332"/>
      <c r="E87" s="332"/>
      <c r="F87" s="332"/>
      <c r="G87" s="332"/>
      <c r="H87" s="332"/>
      <c r="I87" s="332"/>
      <c r="J87" s="332"/>
      <c r="K87" s="332"/>
      <c r="L87" s="332"/>
      <c r="M87" s="332"/>
      <c r="N87" s="332"/>
      <c r="O87" s="332"/>
      <c r="P87" s="332"/>
      <c r="Q87" s="332"/>
      <c r="R87" s="332"/>
      <c r="S87" s="332"/>
      <c r="T87" s="332"/>
      <c r="U87" s="332"/>
      <c r="V87" s="332"/>
      <c r="W87" s="332">
        <v>-34.584000000000003</v>
      </c>
      <c r="X87" s="332">
        <v>0</v>
      </c>
      <c r="Y87" s="332">
        <f>-67-SUM(W87:X87)</f>
        <v>-32.415999999999997</v>
      </c>
      <c r="Z87" s="332">
        <v>0</v>
      </c>
      <c r="AA87" s="332">
        <v>0</v>
      </c>
      <c r="AB87" s="332">
        <v>0</v>
      </c>
      <c r="AC87" s="332">
        <v>0</v>
      </c>
      <c r="AD87" s="332">
        <v>0</v>
      </c>
      <c r="AE87" s="331"/>
      <c r="AF87" s="331"/>
    </row>
    <row r="88" spans="2:32">
      <c r="B88" s="333" t="s">
        <v>322</v>
      </c>
      <c r="C88" s="332">
        <v>0</v>
      </c>
      <c r="D88" s="332">
        <v>0</v>
      </c>
      <c r="E88" s="332">
        <v>0</v>
      </c>
      <c r="F88" s="332">
        <v>0</v>
      </c>
      <c r="G88" s="332">
        <v>0</v>
      </c>
      <c r="H88" s="332">
        <v>16.734000000000002</v>
      </c>
      <c r="I88" s="332">
        <v>-16.734000000000002</v>
      </c>
      <c r="J88" s="332">
        <v>0</v>
      </c>
      <c r="K88" s="332">
        <v>3.95</v>
      </c>
      <c r="L88" s="332">
        <v>6.1970000000000001</v>
      </c>
      <c r="M88" s="332">
        <v>-10.147</v>
      </c>
      <c r="N88" s="332">
        <v>0</v>
      </c>
      <c r="O88" s="332">
        <v>0</v>
      </c>
      <c r="P88" s="332">
        <v>0</v>
      </c>
      <c r="Q88" s="332">
        <v>0</v>
      </c>
      <c r="R88" s="332">
        <v>0</v>
      </c>
      <c r="S88" s="332">
        <v>0</v>
      </c>
      <c r="T88" s="332">
        <v>0</v>
      </c>
      <c r="U88" s="332">
        <v>0</v>
      </c>
      <c r="V88" s="332">
        <v>0</v>
      </c>
      <c r="W88" s="332"/>
      <c r="X88" s="332">
        <v>0</v>
      </c>
      <c r="Y88" s="332">
        <v>0</v>
      </c>
      <c r="Z88" s="332">
        <v>0</v>
      </c>
      <c r="AA88" s="332">
        <v>0</v>
      </c>
      <c r="AB88" s="332">
        <v>0</v>
      </c>
      <c r="AC88" s="332">
        <v>0</v>
      </c>
      <c r="AD88" s="332">
        <v>0</v>
      </c>
      <c r="AE88" s="331"/>
      <c r="AF88" s="331"/>
    </row>
    <row r="89" spans="2:32">
      <c r="B89" s="333" t="s">
        <v>323</v>
      </c>
      <c r="C89" s="332">
        <v>0</v>
      </c>
      <c r="D89" s="332">
        <v>0</v>
      </c>
      <c r="E89" s="332">
        <v>0</v>
      </c>
      <c r="F89" s="332">
        <v>0</v>
      </c>
      <c r="G89" s="332">
        <v>0</v>
      </c>
      <c r="H89" s="332">
        <v>1.4219999999999999</v>
      </c>
      <c r="I89" s="332">
        <v>-1.4219999999999999</v>
      </c>
      <c r="J89" s="332">
        <v>0</v>
      </c>
      <c r="K89" s="332">
        <v>9.8520000000000003</v>
      </c>
      <c r="L89" s="332">
        <v>-9.8520000000000003</v>
      </c>
      <c r="M89" s="332">
        <v>0</v>
      </c>
      <c r="N89" s="332">
        <v>0</v>
      </c>
      <c r="O89" s="332">
        <v>0</v>
      </c>
      <c r="P89" s="332">
        <v>0</v>
      </c>
      <c r="Q89" s="332">
        <v>0</v>
      </c>
      <c r="R89" s="332">
        <v>0</v>
      </c>
      <c r="S89" s="332">
        <v>0</v>
      </c>
      <c r="T89" s="332">
        <v>0.66400000000000003</v>
      </c>
      <c r="U89" s="332">
        <v>0</v>
      </c>
      <c r="V89" s="332">
        <v>45.863999999999997</v>
      </c>
      <c r="W89" s="332"/>
      <c r="X89" s="332">
        <v>39</v>
      </c>
      <c r="Y89" s="332">
        <f>90-SUM(W89:X89)</f>
        <v>51</v>
      </c>
      <c r="Z89" s="332">
        <v>36.204000000000001</v>
      </c>
      <c r="AA89" s="332">
        <v>0</v>
      </c>
      <c r="AB89" s="332">
        <f>57237/10^3</f>
        <v>57.237000000000002</v>
      </c>
      <c r="AC89" s="332">
        <v>41</v>
      </c>
      <c r="AD89" s="332">
        <v>59.483000000000004</v>
      </c>
      <c r="AE89" s="331"/>
      <c r="AF89" s="331"/>
    </row>
    <row r="90" spans="2:32">
      <c r="B90" s="333" t="s">
        <v>324</v>
      </c>
      <c r="C90" s="332">
        <v>0</v>
      </c>
      <c r="D90" s="332">
        <v>0</v>
      </c>
      <c r="E90" s="332">
        <v>0</v>
      </c>
      <c r="F90" s="332">
        <v>0</v>
      </c>
      <c r="G90" s="332">
        <v>0</v>
      </c>
      <c r="H90" s="332">
        <v>0</v>
      </c>
      <c r="I90" s="332">
        <v>0</v>
      </c>
      <c r="J90" s="332">
        <v>0</v>
      </c>
      <c r="K90" s="332">
        <v>0</v>
      </c>
      <c r="L90" s="332">
        <v>0</v>
      </c>
      <c r="M90" s="332">
        <v>-22.602</v>
      </c>
      <c r="N90" s="332">
        <v>33.845999999999997</v>
      </c>
      <c r="O90" s="332">
        <v>0</v>
      </c>
      <c r="P90" s="332">
        <v>0</v>
      </c>
      <c r="Q90" s="332">
        <v>0</v>
      </c>
      <c r="R90" s="332">
        <v>0</v>
      </c>
      <c r="S90" s="332">
        <v>0</v>
      </c>
      <c r="T90" s="332">
        <v>0</v>
      </c>
      <c r="U90" s="332">
        <v>0</v>
      </c>
      <c r="V90" s="332">
        <v>0</v>
      </c>
      <c r="W90" s="332"/>
      <c r="X90" s="332">
        <v>0</v>
      </c>
      <c r="Y90" s="332">
        <v>0</v>
      </c>
      <c r="Z90" s="332"/>
      <c r="AA90" s="332"/>
      <c r="AB90" s="332"/>
      <c r="AC90" s="332">
        <v>0</v>
      </c>
      <c r="AD90" s="332">
        <v>0</v>
      </c>
      <c r="AE90" s="331"/>
      <c r="AF90" s="331"/>
    </row>
    <row r="91" spans="2:32">
      <c r="B91" s="286"/>
      <c r="C91" s="332"/>
      <c r="D91" s="332"/>
      <c r="E91" s="332"/>
      <c r="F91" s="332"/>
      <c r="G91" s="332"/>
      <c r="H91" s="332"/>
      <c r="I91" s="332"/>
      <c r="J91" s="332"/>
      <c r="K91" s="332" t="s">
        <v>286</v>
      </c>
      <c r="L91" s="332"/>
      <c r="M91" s="332"/>
      <c r="N91" s="332"/>
      <c r="O91" s="332" t="s">
        <v>286</v>
      </c>
      <c r="P91" s="332"/>
      <c r="Q91" s="332"/>
      <c r="R91" s="332"/>
      <c r="S91" s="332"/>
      <c r="T91" s="332"/>
      <c r="U91" s="332"/>
      <c r="V91" s="332"/>
      <c r="W91" s="332"/>
      <c r="X91" s="332"/>
      <c r="Y91" s="332"/>
      <c r="Z91" s="332"/>
      <c r="AA91" s="332"/>
      <c r="AB91" s="332"/>
      <c r="AC91" s="332"/>
      <c r="AD91" s="332"/>
      <c r="AE91" s="331"/>
      <c r="AF91" s="331"/>
    </row>
    <row r="92" spans="2:32" s="314" customFormat="1" ht="14.5" thickBot="1">
      <c r="B92" s="312" t="s">
        <v>325</v>
      </c>
      <c r="C92" s="337">
        <f t="shared" ref="C92:AD92" si="6">SUM(C72:C90)</f>
        <v>50.509000000000007</v>
      </c>
      <c r="D92" s="337">
        <f t="shared" si="6"/>
        <v>94.951000000000008</v>
      </c>
      <c r="E92" s="337">
        <f t="shared" si="6"/>
        <v>166.27200000000002</v>
      </c>
      <c r="F92" s="337">
        <f t="shared" si="6"/>
        <v>13.153999999999996</v>
      </c>
      <c r="G92" s="337">
        <f t="shared" si="6"/>
        <v>-83.480999999999995</v>
      </c>
      <c r="H92" s="337">
        <f t="shared" si="6"/>
        <v>-128.14099999999999</v>
      </c>
      <c r="I92" s="337">
        <f t="shared" si="6"/>
        <v>-150.084</v>
      </c>
      <c r="J92" s="337">
        <f t="shared" si="6"/>
        <v>94.70999999999998</v>
      </c>
      <c r="K92" s="337">
        <f t="shared" si="6"/>
        <v>-229.21800000000002</v>
      </c>
      <c r="L92" s="337">
        <f t="shared" si="6"/>
        <v>-25.508000000000003</v>
      </c>
      <c r="M92" s="337">
        <f t="shared" si="6"/>
        <v>-308.32799999999992</v>
      </c>
      <c r="N92" s="337">
        <f t="shared" si="6"/>
        <v>-147.53100000000001</v>
      </c>
      <c r="O92" s="337">
        <f t="shared" si="6"/>
        <v>198.596</v>
      </c>
      <c r="P92" s="337">
        <f t="shared" si="6"/>
        <v>-188.43900000000002</v>
      </c>
      <c r="Q92" s="337">
        <f t="shared" si="6"/>
        <v>-447.9</v>
      </c>
      <c r="R92" s="337">
        <f t="shared" si="6"/>
        <v>153.09299999999999</v>
      </c>
      <c r="S92" s="337">
        <f t="shared" si="6"/>
        <v>-290.476</v>
      </c>
      <c r="T92" s="337">
        <f t="shared" si="6"/>
        <v>-119.477</v>
      </c>
      <c r="U92" s="337">
        <f t="shared" si="6"/>
        <v>-310</v>
      </c>
      <c r="V92" s="337">
        <f t="shared" si="6"/>
        <v>-263.66400000000004</v>
      </c>
      <c r="W92" s="337">
        <f t="shared" si="6"/>
        <v>-401.84199999999998</v>
      </c>
      <c r="X92" s="337">
        <f t="shared" si="6"/>
        <v>-98</v>
      </c>
      <c r="Y92" s="337">
        <f t="shared" si="6"/>
        <v>-240.96899999999999</v>
      </c>
      <c r="Z92" s="337">
        <f t="shared" si="6"/>
        <v>-83.776999999999987</v>
      </c>
      <c r="AA92" s="337">
        <f t="shared" si="6"/>
        <v>-207.45</v>
      </c>
      <c r="AB92" s="337">
        <f t="shared" si="6"/>
        <v>-108.45800000000003</v>
      </c>
      <c r="AC92" s="337">
        <f t="shared" si="6"/>
        <v>-39</v>
      </c>
      <c r="AD92" s="337">
        <f t="shared" si="6"/>
        <v>-4.261999999999972</v>
      </c>
      <c r="AE92" s="331"/>
      <c r="AF92" s="331"/>
    </row>
    <row r="93" spans="2:32">
      <c r="B93" s="327"/>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31"/>
      <c r="AF93" s="331"/>
    </row>
    <row r="94" spans="2:32" s="314" customFormat="1">
      <c r="B94" s="316" t="s">
        <v>326</v>
      </c>
      <c r="C94" s="330"/>
      <c r="D94" s="330"/>
      <c r="E94" s="330"/>
      <c r="F94" s="330"/>
      <c r="G94" s="330"/>
      <c r="H94" s="330"/>
      <c r="I94" s="330"/>
      <c r="J94" s="330"/>
      <c r="K94" s="330"/>
      <c r="L94" s="330"/>
      <c r="M94" s="330"/>
      <c r="N94" s="330"/>
      <c r="O94" s="330"/>
      <c r="P94" s="330"/>
      <c r="Q94" s="330"/>
      <c r="R94" s="330"/>
      <c r="S94" s="330"/>
      <c r="T94" s="330"/>
      <c r="U94" s="330"/>
      <c r="V94" s="330"/>
      <c r="W94" s="330"/>
      <c r="X94" s="330">
        <v>0</v>
      </c>
      <c r="Y94" s="330"/>
      <c r="Z94" s="330"/>
      <c r="AA94" s="330"/>
      <c r="AB94" s="330"/>
      <c r="AC94" s="330"/>
      <c r="AD94" s="330"/>
      <c r="AE94" s="331"/>
      <c r="AF94" s="331"/>
    </row>
    <row r="95" spans="2:32">
      <c r="B95" s="333" t="s">
        <v>327</v>
      </c>
      <c r="C95" s="332">
        <v>0</v>
      </c>
      <c r="D95" s="332">
        <v>8.8710000000000004</v>
      </c>
      <c r="E95" s="332">
        <v>26.08</v>
      </c>
      <c r="F95" s="332">
        <v>-4.9000000000000002E-2</v>
      </c>
      <c r="G95" s="332">
        <v>0</v>
      </c>
      <c r="H95" s="332">
        <v>1084.8800000000001</v>
      </c>
      <c r="I95" s="332">
        <v>90</v>
      </c>
      <c r="J95" s="332">
        <v>0.28799999999999998</v>
      </c>
      <c r="K95" s="332">
        <v>250</v>
      </c>
      <c r="L95" s="332">
        <v>33</v>
      </c>
      <c r="M95" s="332">
        <v>250</v>
      </c>
      <c r="N95" s="332">
        <v>0</v>
      </c>
      <c r="O95" s="332">
        <v>0</v>
      </c>
      <c r="P95" s="332">
        <v>0</v>
      </c>
      <c r="Q95" s="332">
        <v>0</v>
      </c>
      <c r="R95" s="332">
        <v>308.928</v>
      </c>
      <c r="S95" s="332">
        <v>0</v>
      </c>
      <c r="T95" s="332">
        <v>0</v>
      </c>
      <c r="U95" s="332">
        <v>499</v>
      </c>
      <c r="V95" s="332">
        <v>35.971000000000004</v>
      </c>
      <c r="W95" s="332">
        <v>736.66399999999999</v>
      </c>
      <c r="X95" s="332">
        <v>500</v>
      </c>
      <c r="Y95" s="332">
        <f>1732-SUM(W95:X95)</f>
        <v>495.33600000000001</v>
      </c>
      <c r="Z95" s="332">
        <v>32.918999999999997</v>
      </c>
      <c r="AA95" s="332"/>
      <c r="AB95" s="332">
        <f>498045/10^3</f>
        <v>498.04500000000002</v>
      </c>
      <c r="AC95" s="332">
        <v>0</v>
      </c>
      <c r="AD95" s="332">
        <v>25.90100000000001</v>
      </c>
      <c r="AE95" s="331"/>
      <c r="AF95" s="331"/>
    </row>
    <row r="96" spans="2:32">
      <c r="B96" s="333" t="s">
        <v>328</v>
      </c>
      <c r="C96" s="332">
        <v>0</v>
      </c>
      <c r="D96" s="332">
        <v>0</v>
      </c>
      <c r="E96" s="332">
        <v>0</v>
      </c>
      <c r="F96" s="332">
        <v>0</v>
      </c>
      <c r="G96" s="332">
        <v>0</v>
      </c>
      <c r="H96" s="332">
        <v>0</v>
      </c>
      <c r="I96" s="332">
        <v>0</v>
      </c>
      <c r="J96" s="332">
        <v>0</v>
      </c>
      <c r="K96" s="332">
        <v>0</v>
      </c>
      <c r="L96" s="332">
        <v>0</v>
      </c>
      <c r="M96" s="332">
        <v>0</v>
      </c>
      <c r="N96" s="332">
        <v>0</v>
      </c>
      <c r="O96" s="332">
        <v>0</v>
      </c>
      <c r="P96" s="332">
        <v>0</v>
      </c>
      <c r="Q96" s="332">
        <v>700</v>
      </c>
      <c r="R96" s="332">
        <v>0</v>
      </c>
      <c r="S96" s="332">
        <v>0</v>
      </c>
      <c r="T96" s="332">
        <v>0</v>
      </c>
      <c r="U96" s="332">
        <v>0</v>
      </c>
      <c r="V96" s="332">
        <v>0</v>
      </c>
      <c r="W96" s="332"/>
      <c r="X96" s="332">
        <v>0</v>
      </c>
      <c r="Y96" s="332">
        <v>0</v>
      </c>
      <c r="Z96" s="332">
        <v>0</v>
      </c>
      <c r="AA96" s="332"/>
      <c r="AB96" s="332"/>
      <c r="AC96" s="332">
        <v>0</v>
      </c>
      <c r="AD96" s="332">
        <v>0</v>
      </c>
      <c r="AE96" s="331"/>
      <c r="AF96" s="331"/>
    </row>
    <row r="97" spans="2:32">
      <c r="B97" s="333" t="s">
        <v>356</v>
      </c>
      <c r="C97" s="332"/>
      <c r="D97" s="332"/>
      <c r="E97" s="332"/>
      <c r="F97" s="332"/>
      <c r="G97" s="332"/>
      <c r="H97" s="332"/>
      <c r="I97" s="332"/>
      <c r="J97" s="332"/>
      <c r="K97" s="332"/>
      <c r="L97" s="332"/>
      <c r="M97" s="332"/>
      <c r="N97" s="332"/>
      <c r="O97" s="332"/>
      <c r="P97" s="332"/>
      <c r="Q97" s="332"/>
      <c r="R97" s="332"/>
      <c r="S97" s="332"/>
      <c r="T97" s="332"/>
      <c r="U97" s="332"/>
      <c r="V97" s="332">
        <v>16.420999999999999</v>
      </c>
      <c r="W97" s="332"/>
      <c r="X97" s="332">
        <v>0</v>
      </c>
      <c r="Y97" s="332">
        <v>0</v>
      </c>
      <c r="Z97" s="332">
        <v>0</v>
      </c>
      <c r="AA97" s="332"/>
      <c r="AB97" s="332"/>
      <c r="AC97" s="332">
        <v>0</v>
      </c>
      <c r="AD97" s="332">
        <v>0</v>
      </c>
      <c r="AE97" s="331"/>
      <c r="AF97" s="331"/>
    </row>
    <row r="98" spans="2:32">
      <c r="B98" s="333" t="s">
        <v>329</v>
      </c>
      <c r="C98" s="332">
        <v>0</v>
      </c>
      <c r="D98" s="332">
        <v>0</v>
      </c>
      <c r="E98" s="332">
        <v>0</v>
      </c>
      <c r="F98" s="332">
        <v>0</v>
      </c>
      <c r="G98" s="332">
        <v>0</v>
      </c>
      <c r="H98" s="332">
        <v>0</v>
      </c>
      <c r="I98" s="332">
        <v>0</v>
      </c>
      <c r="J98" s="332">
        <v>0</v>
      </c>
      <c r="K98" s="332">
        <v>0</v>
      </c>
      <c r="L98" s="332">
        <v>0</v>
      </c>
      <c r="M98" s="332">
        <v>0</v>
      </c>
      <c r="N98" s="332">
        <v>0</v>
      </c>
      <c r="O98" s="332">
        <v>0</v>
      </c>
      <c r="P98" s="332">
        <v>0</v>
      </c>
      <c r="Q98" s="332">
        <v>-42.87</v>
      </c>
      <c r="R98" s="332">
        <v>-1.28</v>
      </c>
      <c r="S98" s="332">
        <v>-5.1999999999999998E-2</v>
      </c>
      <c r="T98" s="332">
        <v>-0.21</v>
      </c>
      <c r="U98" s="332">
        <v>0</v>
      </c>
      <c r="V98" s="332">
        <v>0</v>
      </c>
      <c r="W98" s="332">
        <v>0</v>
      </c>
      <c r="X98" s="332">
        <v>0</v>
      </c>
      <c r="Y98" s="332">
        <v>0</v>
      </c>
      <c r="Z98" s="332">
        <v>0</v>
      </c>
      <c r="AA98" s="332"/>
      <c r="AB98" s="332"/>
      <c r="AC98" s="332">
        <v>0</v>
      </c>
      <c r="AD98" s="332">
        <v>0</v>
      </c>
      <c r="AE98" s="331"/>
      <c r="AF98" s="331"/>
    </row>
    <row r="99" spans="2:32">
      <c r="B99" s="333" t="s">
        <v>330</v>
      </c>
      <c r="C99" s="332">
        <v>0</v>
      </c>
      <c r="D99" s="332">
        <v>-205.983</v>
      </c>
      <c r="E99" s="332">
        <v>0</v>
      </c>
      <c r="F99" s="332">
        <v>0</v>
      </c>
      <c r="G99" s="332">
        <v>0</v>
      </c>
      <c r="H99" s="332">
        <v>0</v>
      </c>
      <c r="I99" s="332">
        <v>0</v>
      </c>
      <c r="J99" s="332">
        <v>0</v>
      </c>
      <c r="K99" s="332">
        <v>0</v>
      </c>
      <c r="L99" s="332">
        <v>-14</v>
      </c>
      <c r="M99" s="332">
        <v>0</v>
      </c>
      <c r="N99" s="332">
        <v>-23.510999999999999</v>
      </c>
      <c r="O99" s="332">
        <v>-380.5</v>
      </c>
      <c r="P99" s="332">
        <v>-37.195</v>
      </c>
      <c r="Q99" s="332">
        <v>10.673</v>
      </c>
      <c r="R99" s="332">
        <v>0</v>
      </c>
      <c r="S99" s="332">
        <v>0</v>
      </c>
      <c r="T99" s="332">
        <v>0</v>
      </c>
      <c r="U99" s="332">
        <v>0</v>
      </c>
      <c r="V99" s="332">
        <v>0</v>
      </c>
      <c r="W99" s="332"/>
      <c r="X99" s="332">
        <v>0</v>
      </c>
      <c r="Y99" s="332">
        <v>0</v>
      </c>
      <c r="Z99" s="332">
        <v>0</v>
      </c>
      <c r="AA99" s="332"/>
      <c r="AB99" s="332"/>
      <c r="AC99" s="332">
        <v>0</v>
      </c>
      <c r="AD99" s="332">
        <v>0</v>
      </c>
      <c r="AE99" s="331"/>
      <c r="AF99" s="331"/>
    </row>
    <row r="100" spans="2:32">
      <c r="B100" s="333" t="s">
        <v>331</v>
      </c>
      <c r="C100" s="332">
        <v>0</v>
      </c>
      <c r="D100" s="332">
        <v>0</v>
      </c>
      <c r="E100" s="332">
        <v>0</v>
      </c>
      <c r="F100" s="332">
        <v>0</v>
      </c>
      <c r="G100" s="332">
        <v>0</v>
      </c>
      <c r="H100" s="332">
        <v>-8.4</v>
      </c>
      <c r="I100" s="332">
        <v>8.4</v>
      </c>
      <c r="J100" s="332">
        <v>0</v>
      </c>
      <c r="K100" s="332">
        <v>0</v>
      </c>
      <c r="L100" s="332">
        <v>0</v>
      </c>
      <c r="M100" s="332">
        <v>0</v>
      </c>
      <c r="N100" s="332">
        <v>0</v>
      </c>
      <c r="O100" s="332">
        <v>0</v>
      </c>
      <c r="P100" s="332">
        <v>0</v>
      </c>
      <c r="Q100" s="332">
        <v>0</v>
      </c>
      <c r="R100" s="332">
        <v>0</v>
      </c>
      <c r="S100" s="332">
        <v>0</v>
      </c>
      <c r="T100" s="332">
        <v>0</v>
      </c>
      <c r="U100" s="332">
        <v>0</v>
      </c>
      <c r="V100" s="332">
        <v>0</v>
      </c>
      <c r="W100" s="332"/>
      <c r="X100" s="332">
        <v>0</v>
      </c>
      <c r="Y100" s="332">
        <v>0</v>
      </c>
      <c r="Z100" s="332">
        <v>0</v>
      </c>
      <c r="AA100" s="332"/>
      <c r="AB100" s="332"/>
      <c r="AC100" s="332">
        <v>0</v>
      </c>
      <c r="AD100" s="332">
        <v>0</v>
      </c>
      <c r="AE100" s="331"/>
      <c r="AF100" s="331"/>
    </row>
    <row r="101" spans="2:32">
      <c r="B101" s="333" t="s">
        <v>279</v>
      </c>
      <c r="C101" s="332">
        <v>0</v>
      </c>
      <c r="D101" s="332">
        <v>-12.763999999999999</v>
      </c>
      <c r="E101" s="332">
        <v>4.7E-2</v>
      </c>
      <c r="F101" s="332">
        <v>8.2000000000000003E-2</v>
      </c>
      <c r="G101" s="332">
        <v>0</v>
      </c>
      <c r="H101" s="332">
        <v>0</v>
      </c>
      <c r="I101" s="332">
        <v>-1.149</v>
      </c>
      <c r="J101" s="332">
        <v>-54.066000000000003</v>
      </c>
      <c r="K101" s="332">
        <v>0</v>
      </c>
      <c r="L101" s="332">
        <v>-21.419</v>
      </c>
      <c r="M101" s="332">
        <v>21.419</v>
      </c>
      <c r="N101" s="332">
        <v>0</v>
      </c>
      <c r="O101" s="332">
        <v>0</v>
      </c>
      <c r="P101" s="332">
        <v>-33.158999999999999</v>
      </c>
      <c r="Q101" s="332">
        <v>21.768000000000001</v>
      </c>
      <c r="R101" s="332">
        <v>0</v>
      </c>
      <c r="S101" s="332">
        <v>0</v>
      </c>
      <c r="T101" s="332">
        <v>-217.24100000000001</v>
      </c>
      <c r="U101" s="332">
        <v>0</v>
      </c>
      <c r="V101" s="332">
        <v>-106.84899999999996</v>
      </c>
      <c r="W101" s="332"/>
      <c r="X101" s="332">
        <v>0</v>
      </c>
      <c r="Y101" s="332">
        <v>0</v>
      </c>
      <c r="Z101" s="332">
        <v>-82.845694279999989</v>
      </c>
      <c r="AA101" s="332"/>
      <c r="AB101" s="332"/>
      <c r="AC101" s="332">
        <v>-59</v>
      </c>
      <c r="AD101" s="332">
        <v>-70.814999999999998</v>
      </c>
      <c r="AE101" s="331"/>
      <c r="AF101" s="331"/>
    </row>
    <row r="102" spans="2:32">
      <c r="B102" s="333" t="s">
        <v>175</v>
      </c>
      <c r="C102" s="332">
        <v>0</v>
      </c>
      <c r="D102" s="332">
        <v>0</v>
      </c>
      <c r="E102" s="332">
        <v>-113.76900000000001</v>
      </c>
      <c r="F102" s="332">
        <v>-34.103999999999999</v>
      </c>
      <c r="G102" s="332">
        <v>0</v>
      </c>
      <c r="H102" s="332">
        <v>0</v>
      </c>
      <c r="I102" s="332">
        <v>118.282</v>
      </c>
      <c r="J102" s="332">
        <v>-118.27200000000001</v>
      </c>
      <c r="K102" s="332">
        <v>0</v>
      </c>
      <c r="L102" s="332">
        <v>-29.975999999999999</v>
      </c>
      <c r="M102" s="332">
        <v>-47.094000000000001</v>
      </c>
      <c r="N102" s="332">
        <v>79.138000000000005</v>
      </c>
      <c r="O102" s="332">
        <v>4.7480000000000002</v>
      </c>
      <c r="P102" s="332">
        <v>1.7450000000000001</v>
      </c>
      <c r="Q102" s="332">
        <v>2.113</v>
      </c>
      <c r="R102" s="332">
        <v>7.42</v>
      </c>
      <c r="S102" s="332">
        <v>2.145</v>
      </c>
      <c r="T102" s="332">
        <v>3.64</v>
      </c>
      <c r="U102" s="332">
        <v>-1</v>
      </c>
      <c r="V102" s="332">
        <v>-0.69399999999999995</v>
      </c>
      <c r="W102" s="332">
        <v>1.619</v>
      </c>
      <c r="X102" s="332">
        <v>22</v>
      </c>
      <c r="Y102" s="332">
        <f>35-SUM(W102:X102)</f>
        <v>11.381</v>
      </c>
      <c r="Z102" s="332">
        <v>9.4580000000000002</v>
      </c>
      <c r="AA102" s="332">
        <f>19002/1000</f>
        <v>19.001999999999999</v>
      </c>
      <c r="AB102" s="332">
        <f>80376/10^3-AA102</f>
        <v>61.374000000000009</v>
      </c>
      <c r="AC102" s="332">
        <v>-18</v>
      </c>
      <c r="AD102" s="332">
        <v>153.37100000000001</v>
      </c>
      <c r="AE102" s="331"/>
      <c r="AF102" s="331"/>
    </row>
    <row r="103" spans="2:32">
      <c r="B103" s="333" t="s">
        <v>332</v>
      </c>
      <c r="C103" s="332">
        <v>-45.844000000000001</v>
      </c>
      <c r="D103" s="332">
        <v>-31.87</v>
      </c>
      <c r="E103" s="332">
        <v>-109.986</v>
      </c>
      <c r="F103" s="332">
        <v>-29.940999999999999</v>
      </c>
      <c r="G103" s="332">
        <v>-20.9</v>
      </c>
      <c r="H103" s="332">
        <v>-1028.2190000000001</v>
      </c>
      <c r="I103" s="332">
        <v>-51.475000000000001</v>
      </c>
      <c r="J103" s="332">
        <v>-21.082000000000001</v>
      </c>
      <c r="K103" s="332">
        <v>-21.158000000000001</v>
      </c>
      <c r="L103" s="332">
        <v>-10.835000000000001</v>
      </c>
      <c r="M103" s="332">
        <v>-89.010999999999996</v>
      </c>
      <c r="N103" s="332">
        <v>-187.685</v>
      </c>
      <c r="O103" s="332">
        <v>-26.893999999999998</v>
      </c>
      <c r="P103" s="332">
        <v>-5.1070000000000002</v>
      </c>
      <c r="Q103" s="332">
        <v>-33.692999999999998</v>
      </c>
      <c r="R103" s="332">
        <v>-289.04700000000003</v>
      </c>
      <c r="S103" s="332">
        <v>-4.8109999999999999</v>
      </c>
      <c r="T103" s="332">
        <v>-61.133000000000003</v>
      </c>
      <c r="U103" s="332">
        <v>-441</v>
      </c>
      <c r="V103" s="332">
        <v>-4.5910000000000082</v>
      </c>
      <c r="W103" s="332">
        <v>-4.8109999999999999</v>
      </c>
      <c r="X103" s="332">
        <v>-5</v>
      </c>
      <c r="Y103" s="332">
        <f>-294-SUM(W103:X103)</f>
        <v>-284.18900000000002</v>
      </c>
      <c r="Z103" s="332">
        <v>-5.3449999999999998</v>
      </c>
      <c r="AA103" s="332">
        <v>-6.4089999999999998</v>
      </c>
      <c r="AB103" s="332">
        <f>-12331/10^3-AA103</f>
        <v>-5.9219999999999997</v>
      </c>
      <c r="AC103" s="332">
        <v>-476</v>
      </c>
      <c r="AD103" s="332">
        <v>-578.10700000000008</v>
      </c>
      <c r="AE103" s="331"/>
      <c r="AF103" s="331"/>
    </row>
    <row r="104" spans="2:32">
      <c r="B104" s="333" t="s">
        <v>333</v>
      </c>
      <c r="C104" s="332">
        <v>0</v>
      </c>
      <c r="D104" s="332">
        <v>0</v>
      </c>
      <c r="E104" s="332">
        <v>0</v>
      </c>
      <c r="F104" s="332">
        <v>0</v>
      </c>
      <c r="G104" s="332">
        <v>-3.2280000000000002</v>
      </c>
      <c r="H104" s="332">
        <v>3.2280000000000002</v>
      </c>
      <c r="I104" s="332">
        <v>-13.792</v>
      </c>
      <c r="J104" s="332">
        <v>-1.7849999999999999</v>
      </c>
      <c r="K104" s="332">
        <v>-3.1080000000000001</v>
      </c>
      <c r="L104" s="332">
        <v>-1.8939999999999999</v>
      </c>
      <c r="M104" s="332">
        <v>-4.4749999999999996</v>
      </c>
      <c r="N104" s="332">
        <v>-8.6440000000000001</v>
      </c>
      <c r="O104" s="332">
        <v>-4.0860000000000003</v>
      </c>
      <c r="P104" s="332">
        <v>-4.4569999999999999</v>
      </c>
      <c r="Q104" s="332">
        <v>-16.751999999999999</v>
      </c>
      <c r="R104" s="332">
        <v>-7.6289999999999996</v>
      </c>
      <c r="S104" s="332">
        <v>-7.3150000000000004</v>
      </c>
      <c r="T104" s="332">
        <v>-7.5679999999999996</v>
      </c>
      <c r="U104" s="332">
        <v>-8</v>
      </c>
      <c r="V104" s="332">
        <v>-7.1189999999999998</v>
      </c>
      <c r="W104" s="332">
        <v>-8.718</v>
      </c>
      <c r="X104" s="332">
        <v>-5</v>
      </c>
      <c r="Y104" s="332">
        <f>-22-SUM(W104:X104)</f>
        <v>-8.282</v>
      </c>
      <c r="Z104" s="332">
        <v>-13.356999999999999</v>
      </c>
      <c r="AA104" s="332">
        <v>-8.1470000000000002</v>
      </c>
      <c r="AB104" s="332">
        <f>-12918/10^3-AA104</f>
        <v>-4.770999999999999</v>
      </c>
      <c r="AC104" s="332">
        <v>-14</v>
      </c>
      <c r="AD104" s="332">
        <v>-33.566000000000003</v>
      </c>
      <c r="AE104" s="331"/>
      <c r="AF104" s="331"/>
    </row>
    <row r="105" spans="2:32">
      <c r="B105" s="333" t="s">
        <v>482</v>
      </c>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f>20871/1000</f>
        <v>20.870999999999999</v>
      </c>
      <c r="AB105" s="332">
        <f>20871/10^3-AA105</f>
        <v>0</v>
      </c>
      <c r="AC105" s="332">
        <v>0</v>
      </c>
      <c r="AD105" s="332">
        <v>0</v>
      </c>
      <c r="AE105" s="331"/>
      <c r="AF105" s="331"/>
    </row>
    <row r="106" spans="2:32">
      <c r="B106" s="333" t="s">
        <v>195</v>
      </c>
      <c r="C106" s="332">
        <v>-79.858000000000004</v>
      </c>
      <c r="D106" s="332">
        <v>-30.635000000000002</v>
      </c>
      <c r="E106" s="332">
        <v>-178.154</v>
      </c>
      <c r="F106" s="332">
        <v>288.64699999999999</v>
      </c>
      <c r="G106" s="332">
        <v>-3.0179999999999998</v>
      </c>
      <c r="H106" s="332">
        <v>-76.891000000000005</v>
      </c>
      <c r="I106" s="332">
        <v>-71.224999999999994</v>
      </c>
      <c r="J106" s="332">
        <v>151.13399999999999</v>
      </c>
      <c r="K106" s="332">
        <v>0</v>
      </c>
      <c r="L106" s="332">
        <v>0</v>
      </c>
      <c r="M106" s="332">
        <v>0</v>
      </c>
      <c r="N106" s="332">
        <v>0</v>
      </c>
      <c r="O106" s="332">
        <v>0</v>
      </c>
      <c r="P106" s="332">
        <v>0</v>
      </c>
      <c r="Q106" s="332">
        <v>0</v>
      </c>
      <c r="R106" s="332">
        <v>0</v>
      </c>
      <c r="S106" s="332">
        <v>0</v>
      </c>
      <c r="T106" s="332">
        <v>0</v>
      </c>
      <c r="U106" s="332">
        <v>0</v>
      </c>
      <c r="V106" s="332">
        <v>0</v>
      </c>
      <c r="W106" s="332"/>
      <c r="X106" s="332">
        <v>0</v>
      </c>
      <c r="Y106" s="332">
        <v>0</v>
      </c>
      <c r="Z106" s="332">
        <v>0</v>
      </c>
      <c r="AA106" s="332">
        <v>0</v>
      </c>
      <c r="AB106" s="332">
        <v>0</v>
      </c>
      <c r="AC106" s="332">
        <v>0</v>
      </c>
      <c r="AD106" s="332">
        <v>0</v>
      </c>
      <c r="AE106" s="331"/>
      <c r="AF106" s="331"/>
    </row>
    <row r="107" spans="2:32">
      <c r="B107" s="286"/>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1"/>
      <c r="AF107" s="331"/>
    </row>
    <row r="108" spans="2:32" s="314" customFormat="1" ht="14.5" thickBot="1">
      <c r="B108" s="312" t="s">
        <v>334</v>
      </c>
      <c r="C108" s="337">
        <f t="shared" ref="C108:AD108" si="7">SUM(C95:C106)</f>
        <v>-125.702</v>
      </c>
      <c r="D108" s="337">
        <f t="shared" si="7"/>
        <v>-272.38100000000003</v>
      </c>
      <c r="E108" s="337">
        <f t="shared" si="7"/>
        <v>-375.78200000000004</v>
      </c>
      <c r="F108" s="337">
        <f t="shared" si="7"/>
        <v>224.63499999999999</v>
      </c>
      <c r="G108" s="337">
        <f t="shared" si="7"/>
        <v>-27.146000000000001</v>
      </c>
      <c r="H108" s="337">
        <f t="shared" si="7"/>
        <v>-25.402000000000037</v>
      </c>
      <c r="I108" s="337">
        <f t="shared" si="7"/>
        <v>79.041000000000025</v>
      </c>
      <c r="J108" s="337">
        <f t="shared" si="7"/>
        <v>-43.783000000000015</v>
      </c>
      <c r="K108" s="337">
        <f t="shared" si="7"/>
        <v>225.73399999999998</v>
      </c>
      <c r="L108" s="337">
        <f t="shared" si="7"/>
        <v>-45.123999999999995</v>
      </c>
      <c r="M108" s="337">
        <f t="shared" si="7"/>
        <v>130.839</v>
      </c>
      <c r="N108" s="337">
        <f t="shared" si="7"/>
        <v>-140.702</v>
      </c>
      <c r="O108" s="337">
        <f t="shared" si="7"/>
        <v>-406.73200000000003</v>
      </c>
      <c r="P108" s="337">
        <f t="shared" si="7"/>
        <v>-78.172999999999988</v>
      </c>
      <c r="Q108" s="337">
        <f t="shared" si="7"/>
        <v>641.23900000000015</v>
      </c>
      <c r="R108" s="337">
        <f t="shared" si="7"/>
        <v>18.392000000000017</v>
      </c>
      <c r="S108" s="337">
        <f t="shared" si="7"/>
        <v>-10.033000000000001</v>
      </c>
      <c r="T108" s="337">
        <f t="shared" si="7"/>
        <v>-282.512</v>
      </c>
      <c r="U108" s="337">
        <f t="shared" si="7"/>
        <v>49</v>
      </c>
      <c r="V108" s="337">
        <f t="shared" si="7"/>
        <v>-66.860999999999962</v>
      </c>
      <c r="W108" s="337">
        <f t="shared" si="7"/>
        <v>724.75400000000002</v>
      </c>
      <c r="X108" s="337">
        <f t="shared" si="7"/>
        <v>512</v>
      </c>
      <c r="Y108" s="337">
        <f t="shared" si="7"/>
        <v>214.24599999999995</v>
      </c>
      <c r="Z108" s="337">
        <f t="shared" si="7"/>
        <v>-59.170694279999992</v>
      </c>
      <c r="AA108" s="337">
        <f t="shared" si="7"/>
        <v>25.317</v>
      </c>
      <c r="AB108" s="337">
        <f t="shared" si="7"/>
        <v>548.726</v>
      </c>
      <c r="AC108" s="337">
        <f t="shared" si="7"/>
        <v>-567</v>
      </c>
      <c r="AD108" s="337">
        <f t="shared" si="7"/>
        <v>-503.21600000000012</v>
      </c>
      <c r="AE108" s="331"/>
      <c r="AF108" s="331"/>
    </row>
    <row r="109" spans="2:32">
      <c r="B109" s="327"/>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v>0</v>
      </c>
      <c r="Y109" s="328"/>
      <c r="Z109" s="328"/>
      <c r="AA109" s="328"/>
      <c r="AB109" s="328"/>
      <c r="AC109" s="328"/>
      <c r="AD109" s="328"/>
      <c r="AE109" s="331"/>
      <c r="AF109" s="331"/>
    </row>
    <row r="110" spans="2:32">
      <c r="B110" s="286" t="s">
        <v>335</v>
      </c>
      <c r="C110" s="332">
        <v>27.683999999999997</v>
      </c>
      <c r="D110" s="332">
        <v>1.6149999999999523</v>
      </c>
      <c r="E110" s="332">
        <v>-16.108999999999867</v>
      </c>
      <c r="F110" s="332">
        <v>84.767000000000053</v>
      </c>
      <c r="G110" s="332">
        <v>-40.105000000000047</v>
      </c>
      <c r="H110" s="332">
        <v>-16.981000000000023</v>
      </c>
      <c r="I110" s="332">
        <v>27.993000000000045</v>
      </c>
      <c r="J110" s="332">
        <v>102.60299999999992</v>
      </c>
      <c r="K110" s="332">
        <v>3.5329999999999977</v>
      </c>
      <c r="L110" s="332">
        <v>-21.814999999999984</v>
      </c>
      <c r="M110" s="332">
        <v>285.96100000000007</v>
      </c>
      <c r="N110" s="332">
        <v>174.43800000000007</v>
      </c>
      <c r="O110" s="332">
        <v>-117.81400000000008</v>
      </c>
      <c r="P110" s="332">
        <v>-219.3370000000001</v>
      </c>
      <c r="Q110" s="332">
        <v>391.01800000000026</v>
      </c>
      <c r="R110" s="332">
        <v>762.75400000000002</v>
      </c>
      <c r="S110" s="332">
        <f>SUM(S108,S92,S69)</f>
        <v>-197.92500000000001</v>
      </c>
      <c r="T110" s="332">
        <f>SUM(T108,T92,T69)</f>
        <v>-140.84900000000005</v>
      </c>
      <c r="U110" s="332">
        <v>51</v>
      </c>
      <c r="V110" s="332">
        <v>-328.12699999999978</v>
      </c>
      <c r="W110" s="332">
        <v>37</v>
      </c>
      <c r="X110" s="332">
        <v>142</v>
      </c>
      <c r="Y110" s="332">
        <v>-90.943999999999917</v>
      </c>
      <c r="Z110" s="332">
        <v>413.67700000000013</v>
      </c>
      <c r="AA110" s="332">
        <v>-277.33699999999999</v>
      </c>
      <c r="AB110" s="332">
        <v>507.40199999999999</v>
      </c>
      <c r="AC110" s="332">
        <v>-297</v>
      </c>
      <c r="AD110" s="332">
        <v>-141.03500000000008</v>
      </c>
      <c r="AE110" s="331"/>
      <c r="AF110" s="331"/>
    </row>
    <row r="111" spans="2:32">
      <c r="B111" s="286" t="s">
        <v>357</v>
      </c>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v>0</v>
      </c>
      <c r="Y111" s="332"/>
      <c r="Z111" s="332"/>
      <c r="AA111" s="332"/>
      <c r="AB111" s="332"/>
      <c r="AC111" s="332"/>
      <c r="AD111" s="332"/>
      <c r="AE111" s="331"/>
      <c r="AF111" s="331"/>
    </row>
    <row r="112" spans="2:32">
      <c r="B112" s="286" t="s">
        <v>336</v>
      </c>
      <c r="C112" s="332">
        <v>0</v>
      </c>
      <c r="D112" s="332">
        <v>0</v>
      </c>
      <c r="E112" s="332">
        <v>0</v>
      </c>
      <c r="F112" s="332">
        <v>0</v>
      </c>
      <c r="G112" s="332">
        <v>0</v>
      </c>
      <c r="H112" s="332">
        <v>0</v>
      </c>
      <c r="I112" s="332">
        <v>0</v>
      </c>
      <c r="J112" s="332">
        <v>0</v>
      </c>
      <c r="K112" s="332">
        <v>6.8369999999999997</v>
      </c>
      <c r="L112" s="332">
        <v>0</v>
      </c>
      <c r="M112" s="332">
        <v>0</v>
      </c>
      <c r="N112" s="332">
        <v>0</v>
      </c>
      <c r="O112" s="332">
        <v>0</v>
      </c>
      <c r="P112" s="332">
        <v>0</v>
      </c>
      <c r="Q112" s="332">
        <v>0</v>
      </c>
      <c r="R112" s="332">
        <v>0</v>
      </c>
      <c r="S112" s="332">
        <v>11.589</v>
      </c>
      <c r="T112" s="332">
        <v>4.0579999999999998</v>
      </c>
      <c r="U112" s="332">
        <v>0</v>
      </c>
      <c r="V112" s="332">
        <v>0</v>
      </c>
      <c r="W112" s="332">
        <v>0</v>
      </c>
      <c r="X112" s="332">
        <v>0</v>
      </c>
      <c r="Y112" s="332">
        <v>0</v>
      </c>
      <c r="Z112" s="332">
        <v>0</v>
      </c>
      <c r="AA112" s="332"/>
      <c r="AB112" s="332"/>
      <c r="AC112" s="332"/>
      <c r="AD112" s="332"/>
      <c r="AE112" s="331"/>
      <c r="AF112" s="331"/>
    </row>
    <row r="113" spans="2:31">
      <c r="B113" s="286"/>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331"/>
    </row>
    <row r="114" spans="2:31">
      <c r="B114" s="286" t="s">
        <v>337</v>
      </c>
      <c r="C114" s="340">
        <v>18.537999999999997</v>
      </c>
      <c r="D114" s="340">
        <v>46.537999999999997</v>
      </c>
      <c r="E114" s="340">
        <v>48.152999999999999</v>
      </c>
      <c r="F114" s="340">
        <v>32.043999999999997</v>
      </c>
      <c r="G114" s="340">
        <v>116.81100000000001</v>
      </c>
      <c r="H114" s="340">
        <v>76.706000000000003</v>
      </c>
      <c r="I114" s="340">
        <v>59.725000000000001</v>
      </c>
      <c r="J114" s="340">
        <v>87.718000000000004</v>
      </c>
      <c r="K114" s="340">
        <v>190.321</v>
      </c>
      <c r="L114" s="340">
        <v>193.85400000000001</v>
      </c>
      <c r="M114" s="340">
        <v>172.03899999999999</v>
      </c>
      <c r="N114" s="340">
        <v>458</v>
      </c>
      <c r="O114" s="340">
        <v>632.43799999999999</v>
      </c>
      <c r="P114" s="340">
        <v>514.62400000000002</v>
      </c>
      <c r="Q114" s="340">
        <v>296</v>
      </c>
      <c r="R114" s="340">
        <v>686</v>
      </c>
      <c r="S114" s="340">
        <v>1449.345</v>
      </c>
      <c r="T114" s="340">
        <v>1263.009</v>
      </c>
      <c r="U114" s="340">
        <f>S115</f>
        <v>1263.009</v>
      </c>
      <c r="V114" s="340">
        <f>R115</f>
        <v>1449.345</v>
      </c>
      <c r="W114" s="340">
        <v>849.08199999999999</v>
      </c>
      <c r="X114" s="340">
        <v>886</v>
      </c>
      <c r="Y114" s="340">
        <f>X115</f>
        <v>1028</v>
      </c>
      <c r="Z114" s="340">
        <f>Y115</f>
        <v>937</v>
      </c>
      <c r="AA114" s="340">
        <f>Z115</f>
        <v>1350.229</v>
      </c>
      <c r="AB114" s="340">
        <f>AA115</f>
        <v>1072.8920000000001</v>
      </c>
      <c r="AC114" s="340">
        <v>1580.2940000000001</v>
      </c>
      <c r="AD114" s="340">
        <v>1284</v>
      </c>
      <c r="AE114" s="331"/>
    </row>
    <row r="115" spans="2:31">
      <c r="B115" s="286" t="s">
        <v>338</v>
      </c>
      <c r="C115" s="340">
        <v>46.537999999999997</v>
      </c>
      <c r="D115" s="340">
        <v>48.152999999999999</v>
      </c>
      <c r="E115" s="340">
        <v>32.043999999999997</v>
      </c>
      <c r="F115" s="340">
        <v>116.81100000000001</v>
      </c>
      <c r="G115" s="340">
        <v>76.706000000000003</v>
      </c>
      <c r="H115" s="340">
        <v>59.725000000000001</v>
      </c>
      <c r="I115" s="340">
        <v>87.718000000000004</v>
      </c>
      <c r="J115" s="340">
        <v>190.321</v>
      </c>
      <c r="K115" s="340">
        <v>193.85400000000001</v>
      </c>
      <c r="L115" s="340">
        <v>172.03899999999999</v>
      </c>
      <c r="M115" s="340">
        <v>458</v>
      </c>
      <c r="N115" s="340">
        <v>632.43799999999999</v>
      </c>
      <c r="O115" s="340">
        <v>514.62400000000002</v>
      </c>
      <c r="P115" s="340">
        <v>296</v>
      </c>
      <c r="Q115" s="340">
        <v>686</v>
      </c>
      <c r="R115" s="340">
        <v>1449.345</v>
      </c>
      <c r="S115" s="340">
        <v>1263.009</v>
      </c>
      <c r="T115" s="340">
        <v>1126</v>
      </c>
      <c r="U115" s="340">
        <v>1177</v>
      </c>
      <c r="V115" s="340">
        <f>849082/1000</f>
        <v>849.08199999999999</v>
      </c>
      <c r="W115" s="340">
        <v>886.06299999999999</v>
      </c>
      <c r="X115" s="340">
        <v>1028</v>
      </c>
      <c r="Y115" s="340">
        <f>'9 - Demonstrativos Financeiros'!Y42</f>
        <v>937</v>
      </c>
      <c r="Z115" s="340">
        <f>'9 - Demonstrativos Financeiros'!Z42</f>
        <v>1350.229</v>
      </c>
      <c r="AA115" s="340">
        <f>'9 - Demonstrativos Financeiros'!AA42</f>
        <v>1072.8920000000001</v>
      </c>
      <c r="AB115" s="340">
        <f>'9 - Demonstrativos Financeiros'!AB42</f>
        <v>1580.2940000000001</v>
      </c>
      <c r="AC115" s="340">
        <v>1284</v>
      </c>
      <c r="AD115" s="340">
        <v>1141.9649999999999</v>
      </c>
      <c r="AE115" s="331"/>
    </row>
    <row r="116" spans="2:31">
      <c r="S116" s="341"/>
      <c r="T116" s="341"/>
      <c r="U116" s="341"/>
      <c r="V116" s="341"/>
      <c r="W116" s="341"/>
      <c r="X116" s="341"/>
      <c r="Y116" s="341"/>
      <c r="Z116" s="341"/>
      <c r="AA116" s="341"/>
      <c r="AB116" s="341"/>
      <c r="AC116" s="341"/>
      <c r="AD116" s="341"/>
      <c r="AE116" s="341"/>
    </row>
    <row r="117" spans="2:31">
      <c r="S117" s="341"/>
      <c r="Y117" s="341"/>
      <c r="Z117" s="341"/>
      <c r="AA117" s="341"/>
      <c r="AB117" s="341"/>
      <c r="AC117" s="341"/>
      <c r="AD117" s="341"/>
    </row>
    <row r="119" spans="2:31">
      <c r="R119" s="341"/>
      <c r="S119" s="341"/>
      <c r="T119" s="341"/>
      <c r="U119" s="341"/>
      <c r="AD119" s="341"/>
    </row>
    <row r="120" spans="2:31">
      <c r="G120" s="341"/>
      <c r="J120" s="341"/>
    </row>
  </sheetData>
  <pageMargins left="0.511811024" right="0.511811024" top="0.78740157499999996" bottom="0.78740157499999996" header="0.31496062000000002" footer="0.31496062000000002"/>
  <pageSetup paperSize="9" orientation="portrait" r:id="rId1"/>
  <ignoredErrors>
    <ignoredError sqref="Y29:Y3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4:M27"/>
  <sheetViews>
    <sheetView showGridLines="0" topLeftCell="A11" zoomScale="90" zoomScaleNormal="90" workbookViewId="0"/>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M67"/>
  <sheetViews>
    <sheetView showGridLines="0" zoomScale="90" zoomScaleNormal="90" workbookViewId="0">
      <selection activeCell="C38" sqref="C38:K38"/>
    </sheetView>
  </sheetViews>
  <sheetFormatPr defaultColWidth="9.1796875" defaultRowHeight="12.5"/>
  <cols>
    <col min="1" max="1" width="2.1796875" style="18" customWidth="1"/>
    <col min="2" max="2" width="10.1796875" style="18" customWidth="1"/>
    <col min="3" max="3" width="23.1796875" style="18" customWidth="1"/>
    <col min="4" max="4" width="12.1796875" style="18" customWidth="1"/>
    <col min="5" max="5" width="8.1796875" style="18" customWidth="1"/>
    <col min="6" max="6" width="22.453125" style="18" customWidth="1"/>
    <col min="7" max="7" width="6.81640625" style="18" customWidth="1"/>
    <col min="8" max="8" width="13.81640625" style="18" customWidth="1"/>
    <col min="9" max="9" width="7" style="18" customWidth="1"/>
    <col min="10" max="10" width="9.1796875" style="18"/>
    <col min="11" max="11" width="5.81640625" style="18" customWidth="1"/>
    <col min="12" max="16384" width="9.1796875" style="18"/>
  </cols>
  <sheetData>
    <row r="3" spans="3:13" ht="58.5" customHeight="1"/>
    <row r="4" spans="3:13" ht="15" customHeight="1">
      <c r="C4" s="22" t="s">
        <v>11</v>
      </c>
    </row>
    <row r="7" spans="3:13" ht="18.75" customHeight="1"/>
    <row r="8" spans="3:13">
      <c r="M8" s="35"/>
    </row>
    <row r="17" ht="6" customHeight="1"/>
    <row r="33" spans="3:12" ht="15.5">
      <c r="C33" s="88" t="s">
        <v>12</v>
      </c>
    </row>
    <row r="34" spans="3:12" ht="66.650000000000006" customHeight="1">
      <c r="C34" s="537" t="s">
        <v>13</v>
      </c>
      <c r="D34" s="537"/>
      <c r="E34" s="537"/>
      <c r="F34" s="537"/>
      <c r="G34" s="537"/>
      <c r="H34" s="537"/>
      <c r="I34" s="537"/>
      <c r="J34" s="537"/>
      <c r="K34" s="537"/>
      <c r="L34" s="89"/>
    </row>
    <row r="35" spans="3:12" ht="15.5">
      <c r="C35" s="88" t="s">
        <v>14</v>
      </c>
    </row>
    <row r="36" spans="3:12" ht="69" customHeight="1">
      <c r="C36" s="537" t="s">
        <v>15</v>
      </c>
      <c r="D36" s="537"/>
      <c r="E36" s="537"/>
      <c r="F36" s="537"/>
      <c r="G36" s="537"/>
      <c r="H36" s="537"/>
      <c r="I36" s="537"/>
      <c r="J36" s="537"/>
      <c r="K36" s="537"/>
    </row>
    <row r="37" spans="3:12" ht="15.5">
      <c r="C37" s="88" t="s">
        <v>16</v>
      </c>
    </row>
    <row r="38" spans="3:12" ht="93.75" customHeight="1">
      <c r="C38" s="537" t="s">
        <v>17</v>
      </c>
      <c r="D38" s="537"/>
      <c r="E38" s="537"/>
      <c r="F38" s="537"/>
      <c r="G38" s="537"/>
      <c r="H38" s="537"/>
      <c r="I38" s="537"/>
      <c r="J38" s="537"/>
      <c r="K38" s="537"/>
    </row>
    <row r="39" spans="3:12" ht="15.5">
      <c r="C39" s="88" t="s">
        <v>18</v>
      </c>
    </row>
    <row r="40" spans="3:12" ht="47.15" customHeight="1">
      <c r="C40" s="537" t="s">
        <v>19</v>
      </c>
      <c r="D40" s="537"/>
      <c r="E40" s="537"/>
      <c r="F40" s="537"/>
      <c r="G40" s="537"/>
      <c r="H40" s="537"/>
      <c r="I40" s="537"/>
      <c r="J40" s="537"/>
      <c r="K40" s="537"/>
    </row>
    <row r="41" spans="3:12" ht="15.5">
      <c r="C41" s="88" t="s">
        <v>20</v>
      </c>
    </row>
    <row r="42" spans="3:12" ht="32.5" customHeight="1">
      <c r="C42" s="537" t="s">
        <v>21</v>
      </c>
      <c r="D42" s="537"/>
      <c r="E42" s="537"/>
      <c r="F42" s="537"/>
      <c r="G42" s="537"/>
      <c r="H42" s="537"/>
      <c r="I42" s="537"/>
      <c r="J42" s="537"/>
      <c r="K42" s="537"/>
    </row>
    <row r="43" spans="3:12" ht="15.5">
      <c r="C43" s="88" t="s">
        <v>22</v>
      </c>
    </row>
    <row r="44" spans="3:12" ht="105" customHeight="1">
      <c r="C44" s="537" t="s">
        <v>23</v>
      </c>
      <c r="D44" s="537"/>
      <c r="E44" s="537"/>
      <c r="F44" s="537"/>
      <c r="G44" s="537"/>
      <c r="H44" s="537"/>
      <c r="I44" s="537"/>
      <c r="J44" s="537"/>
      <c r="K44" s="537"/>
    </row>
    <row r="45" spans="3:12" ht="18" customHeight="1">
      <c r="C45" s="220"/>
      <c r="D45" s="220"/>
      <c r="E45" s="220"/>
      <c r="F45" s="220"/>
      <c r="G45" s="220"/>
      <c r="H45" s="220"/>
      <c r="I45" s="220"/>
      <c r="J45" s="220"/>
      <c r="K45" s="220"/>
    </row>
    <row r="46" spans="3:12" ht="18" customHeight="1">
      <c r="C46" s="226" t="s">
        <v>343</v>
      </c>
      <c r="D46" s="220"/>
      <c r="E46" s="220"/>
      <c r="F46" s="220"/>
      <c r="G46" s="220"/>
      <c r="H46" s="220"/>
      <c r="I46" s="220"/>
      <c r="J46" s="220"/>
      <c r="K46" s="220"/>
    </row>
    <row r="47" spans="3:12" ht="18" customHeight="1">
      <c r="C47" s="220"/>
      <c r="D47" s="220"/>
      <c r="E47" s="220"/>
      <c r="F47" s="220"/>
      <c r="G47" s="220"/>
      <c r="H47" s="220"/>
      <c r="I47" s="220"/>
      <c r="J47" s="220"/>
      <c r="K47" s="220"/>
    </row>
    <row r="48" spans="3:12" ht="18" customHeight="1">
      <c r="C48" s="220"/>
      <c r="D48" s="220"/>
      <c r="E48" s="220"/>
      <c r="F48" s="220"/>
      <c r="G48" s="220"/>
      <c r="H48" s="220"/>
      <c r="I48" s="220"/>
      <c r="J48" s="220"/>
      <c r="K48" s="220"/>
    </row>
    <row r="49" spans="3:11" ht="18" customHeight="1">
      <c r="C49" s="220"/>
      <c r="D49" s="220"/>
      <c r="E49" s="220"/>
      <c r="F49" s="220"/>
      <c r="G49" s="220"/>
      <c r="H49" s="220"/>
      <c r="I49" s="220"/>
      <c r="J49" s="220"/>
      <c r="K49" s="220"/>
    </row>
    <row r="50" spans="3:11" ht="18" customHeight="1">
      <c r="C50" s="220"/>
      <c r="D50" s="220"/>
      <c r="E50" s="220"/>
      <c r="F50" s="220"/>
      <c r="G50" s="220"/>
      <c r="H50" s="220"/>
      <c r="I50" s="220"/>
      <c r="J50" s="220"/>
      <c r="K50" s="220"/>
    </row>
    <row r="51" spans="3:11" ht="18" customHeight="1">
      <c r="C51" s="220"/>
      <c r="D51" s="220"/>
      <c r="E51" s="220"/>
      <c r="F51" s="220"/>
      <c r="G51" s="220"/>
      <c r="H51" s="220"/>
      <c r="I51" s="220"/>
      <c r="J51" s="220"/>
      <c r="K51" s="220"/>
    </row>
    <row r="52" spans="3:11" ht="18" customHeight="1">
      <c r="C52" s="220"/>
      <c r="D52" s="220"/>
      <c r="E52" s="220"/>
      <c r="F52" s="220"/>
      <c r="G52" s="220"/>
      <c r="H52" s="220"/>
      <c r="I52" s="220"/>
      <c r="J52" s="220"/>
      <c r="K52" s="220"/>
    </row>
    <row r="53" spans="3:11" ht="18" customHeight="1">
      <c r="C53" s="220"/>
      <c r="D53" s="220"/>
      <c r="E53" s="220"/>
      <c r="F53" s="220"/>
      <c r="G53" s="220"/>
      <c r="H53" s="220"/>
      <c r="I53" s="220"/>
      <c r="J53" s="220"/>
      <c r="K53" s="220"/>
    </row>
    <row r="54" spans="3:11" ht="18" customHeight="1">
      <c r="C54" s="220"/>
      <c r="D54" s="220"/>
      <c r="E54" s="220"/>
      <c r="F54" s="220"/>
      <c r="G54" s="220"/>
      <c r="H54" s="220"/>
      <c r="I54" s="220"/>
      <c r="J54" s="220"/>
      <c r="K54" s="220"/>
    </row>
    <row r="55" spans="3:11" ht="18" customHeight="1">
      <c r="C55" s="220"/>
      <c r="D55" s="220"/>
      <c r="E55" s="220"/>
      <c r="F55" s="220"/>
      <c r="G55" s="220"/>
      <c r="H55" s="220"/>
      <c r="I55" s="220"/>
      <c r="J55" s="220"/>
      <c r="K55" s="220"/>
    </row>
    <row r="56" spans="3:11" ht="18" customHeight="1">
      <c r="C56" s="220"/>
      <c r="D56" s="220"/>
      <c r="E56" s="220"/>
      <c r="F56" s="220"/>
      <c r="G56" s="220"/>
      <c r="H56" s="220"/>
      <c r="I56" s="220"/>
      <c r="J56" s="220"/>
      <c r="K56" s="220"/>
    </row>
    <row r="57" spans="3:11" ht="18" customHeight="1">
      <c r="C57" s="220"/>
      <c r="D57" s="220"/>
      <c r="E57" s="220"/>
      <c r="F57" s="220"/>
      <c r="G57" s="220"/>
      <c r="H57" s="220"/>
      <c r="I57" s="220"/>
      <c r="J57" s="220"/>
      <c r="K57" s="220"/>
    </row>
    <row r="58" spans="3:11" ht="18" customHeight="1">
      <c r="C58" s="220"/>
      <c r="D58" s="220"/>
      <c r="E58" s="220"/>
      <c r="F58" s="220"/>
      <c r="G58" s="220"/>
      <c r="H58" s="220"/>
      <c r="I58" s="220"/>
      <c r="J58" s="220"/>
      <c r="K58" s="220"/>
    </row>
    <row r="59" spans="3:11" ht="18" customHeight="1">
      <c r="C59" s="220"/>
      <c r="D59" s="220"/>
      <c r="E59" s="220"/>
      <c r="F59" s="220"/>
      <c r="G59" s="220"/>
      <c r="H59" s="220"/>
      <c r="I59" s="220"/>
      <c r="J59" s="220"/>
      <c r="K59" s="220"/>
    </row>
    <row r="60" spans="3:11" ht="18" customHeight="1">
      <c r="C60" s="220"/>
      <c r="D60" s="220"/>
      <c r="E60" s="220"/>
      <c r="F60" s="220"/>
      <c r="G60" s="220"/>
      <c r="H60" s="220"/>
      <c r="I60" s="220"/>
      <c r="J60" s="220"/>
      <c r="K60" s="220"/>
    </row>
    <row r="61" spans="3:11" ht="18" customHeight="1">
      <c r="C61" s="220"/>
      <c r="D61" s="220"/>
      <c r="E61" s="220"/>
      <c r="F61" s="220"/>
      <c r="G61" s="220"/>
      <c r="H61" s="220"/>
      <c r="I61" s="220"/>
      <c r="J61" s="220"/>
      <c r="K61" s="220"/>
    </row>
    <row r="62" spans="3:11" ht="18" customHeight="1">
      <c r="C62" s="220"/>
      <c r="D62" s="220"/>
      <c r="E62" s="220"/>
      <c r="F62" s="220"/>
      <c r="G62" s="220"/>
      <c r="H62" s="220"/>
      <c r="I62" s="220"/>
      <c r="J62" s="220"/>
      <c r="K62" s="220"/>
    </row>
    <row r="63" spans="3:11" ht="26.25" customHeight="1">
      <c r="C63" s="88" t="s">
        <v>24</v>
      </c>
      <c r="H63" s="36"/>
      <c r="I63" s="454"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sheetPr>
    <tabColor rgb="FF00B050"/>
  </sheetPr>
  <dimension ref="B2:W37"/>
  <sheetViews>
    <sheetView showGridLines="0" topLeftCell="I1" zoomScale="80" zoomScaleNormal="80" workbookViewId="0">
      <selection activeCell="E26" sqref="E26"/>
    </sheetView>
  </sheetViews>
  <sheetFormatPr defaultColWidth="8.81640625" defaultRowHeight="13.5"/>
  <cols>
    <col min="1" max="1" width="2.81640625" style="409" customWidth="1"/>
    <col min="2" max="2" width="15.54296875" style="410" customWidth="1"/>
    <col min="3" max="3" width="20.54296875" style="411" bestFit="1" customWidth="1"/>
    <col min="4" max="4" width="24.1796875" style="412" customWidth="1"/>
    <col min="5" max="5" width="42.453125" style="412" customWidth="1"/>
    <col min="6" max="6" width="20.81640625" style="412" bestFit="1" customWidth="1"/>
    <col min="7" max="7" width="17.1796875" style="412" bestFit="1" customWidth="1"/>
    <col min="8" max="11" width="10.54296875" style="412" customWidth="1"/>
    <col min="12" max="12" width="15.54296875" style="413" customWidth="1"/>
    <col min="13" max="16" width="10.54296875" style="412" customWidth="1"/>
    <col min="17" max="17" width="15.54296875" style="413" customWidth="1"/>
    <col min="18" max="18" width="17.81640625" style="412" customWidth="1"/>
    <col min="19" max="19" width="12.1796875" style="412" bestFit="1" customWidth="1"/>
    <col min="20" max="21" width="10.54296875" style="412" customWidth="1"/>
    <col min="22" max="22" width="11.54296875" style="412" bestFit="1" customWidth="1"/>
    <col min="23" max="23" width="15.54296875" style="413" customWidth="1"/>
    <col min="24" max="16384" width="8.81640625" style="409"/>
  </cols>
  <sheetData>
    <row r="2" spans="2:23" ht="32.5" customHeight="1">
      <c r="B2" s="566"/>
      <c r="C2" s="566"/>
      <c r="D2" s="566"/>
      <c r="E2" s="566"/>
      <c r="F2" s="566"/>
      <c r="G2" s="566"/>
      <c r="H2" s="566"/>
      <c r="I2" s="566"/>
      <c r="J2" s="566"/>
      <c r="K2" s="566"/>
      <c r="L2" s="566"/>
      <c r="M2" s="566"/>
      <c r="N2" s="566"/>
      <c r="O2" s="566"/>
      <c r="P2" s="566"/>
      <c r="Q2" s="566"/>
      <c r="R2" s="566"/>
      <c r="S2" s="460"/>
      <c r="T2" s="460"/>
      <c r="U2" s="460"/>
      <c r="V2" s="460"/>
      <c r="W2" s="460"/>
    </row>
    <row r="3" spans="2:23" ht="17.25" customHeight="1" thickBot="1">
      <c r="B3" s="414"/>
      <c r="C3" s="414"/>
      <c r="D3" s="414"/>
      <c r="E3" s="414"/>
      <c r="F3" s="414"/>
      <c r="G3" s="414"/>
      <c r="H3" s="414"/>
      <c r="I3" s="414"/>
      <c r="J3" s="414"/>
      <c r="K3" s="414"/>
      <c r="L3" s="414"/>
      <c r="M3" s="414"/>
      <c r="N3" s="414"/>
      <c r="O3" s="414"/>
      <c r="P3" s="414"/>
      <c r="Q3" s="414"/>
      <c r="R3" s="414"/>
      <c r="S3" s="414"/>
      <c r="T3" s="414"/>
      <c r="U3" s="414"/>
      <c r="V3" s="414"/>
      <c r="W3" s="414"/>
    </row>
    <row r="4" spans="2:23" ht="23.15" customHeight="1" thickTop="1">
      <c r="B4" s="567" t="s">
        <v>406</v>
      </c>
      <c r="C4" s="567" t="s">
        <v>407</v>
      </c>
      <c r="D4" s="567" t="s">
        <v>408</v>
      </c>
      <c r="E4" s="567" t="s">
        <v>409</v>
      </c>
      <c r="F4" s="567" t="s">
        <v>410</v>
      </c>
      <c r="G4" s="569" t="s">
        <v>411</v>
      </c>
      <c r="H4" s="571" t="s">
        <v>412</v>
      </c>
      <c r="I4" s="572"/>
      <c r="J4" s="572"/>
      <c r="K4" s="573"/>
      <c r="L4" s="437" t="s">
        <v>413</v>
      </c>
      <c r="M4" s="571" t="s">
        <v>412</v>
      </c>
      <c r="N4" s="572"/>
      <c r="O4" s="572"/>
      <c r="P4" s="573"/>
      <c r="Q4" s="437" t="s">
        <v>413</v>
      </c>
      <c r="R4" s="574" t="s">
        <v>414</v>
      </c>
      <c r="S4" s="539" t="s">
        <v>412</v>
      </c>
      <c r="T4" s="540"/>
      <c r="U4" s="540"/>
      <c r="V4" s="517"/>
      <c r="W4" s="437" t="s">
        <v>413</v>
      </c>
    </row>
    <row r="5" spans="2:23" ht="23.15" customHeight="1" thickBot="1">
      <c r="B5" s="568"/>
      <c r="C5" s="568"/>
      <c r="D5" s="568"/>
      <c r="E5" s="568"/>
      <c r="F5" s="568"/>
      <c r="G5" s="570"/>
      <c r="H5" s="438" t="s">
        <v>100</v>
      </c>
      <c r="I5" s="438" t="s">
        <v>101</v>
      </c>
      <c r="J5" s="438" t="s">
        <v>342</v>
      </c>
      <c r="K5" s="438" t="s">
        <v>348</v>
      </c>
      <c r="L5" s="438">
        <v>2022</v>
      </c>
      <c r="M5" s="438" t="s">
        <v>363</v>
      </c>
      <c r="N5" s="438" t="s">
        <v>392</v>
      </c>
      <c r="O5" s="438" t="s">
        <v>404</v>
      </c>
      <c r="P5" s="438" t="s">
        <v>405</v>
      </c>
      <c r="Q5" s="438">
        <v>2023</v>
      </c>
      <c r="R5" s="575"/>
      <c r="S5" s="438" t="s">
        <v>478</v>
      </c>
      <c r="T5" s="438" t="s">
        <v>483</v>
      </c>
      <c r="U5" s="438" t="s">
        <v>488</v>
      </c>
      <c r="V5" s="438" t="s">
        <v>490</v>
      </c>
      <c r="W5" s="438">
        <v>2024</v>
      </c>
    </row>
    <row r="6" spans="2:23" ht="31.5" customHeight="1" thickTop="1">
      <c r="B6" s="546" t="s">
        <v>415</v>
      </c>
      <c r="C6" s="549" t="s">
        <v>416</v>
      </c>
      <c r="D6" s="551" t="s">
        <v>417</v>
      </c>
      <c r="E6" s="530" t="s">
        <v>522</v>
      </c>
      <c r="F6" s="419" t="s">
        <v>454</v>
      </c>
      <c r="G6" s="419" t="s">
        <v>418</v>
      </c>
      <c r="H6" s="419" t="s">
        <v>419</v>
      </c>
      <c r="I6" s="419" t="s">
        <v>419</v>
      </c>
      <c r="J6" s="419" t="s">
        <v>419</v>
      </c>
      <c r="K6" s="419" t="s">
        <v>419</v>
      </c>
      <c r="L6" s="420">
        <v>2.97</v>
      </c>
      <c r="M6" s="419" t="s">
        <v>419</v>
      </c>
      <c r="N6" s="419" t="s">
        <v>419</v>
      </c>
      <c r="O6" s="419" t="s">
        <v>419</v>
      </c>
      <c r="P6" s="419" t="s">
        <v>419</v>
      </c>
      <c r="Q6" s="420">
        <v>2.98</v>
      </c>
      <c r="R6" s="421">
        <f>(Q6-L6)/L6</f>
        <v>3.3670033670032949E-3</v>
      </c>
      <c r="S6" s="419" t="s">
        <v>419</v>
      </c>
      <c r="T6" s="419" t="s">
        <v>419</v>
      </c>
      <c r="U6" s="419" t="s">
        <v>419</v>
      </c>
      <c r="V6" s="518"/>
      <c r="W6" s="519">
        <v>2.97</v>
      </c>
    </row>
    <row r="7" spans="2:23" ht="32.15" customHeight="1">
      <c r="B7" s="546"/>
      <c r="C7" s="550"/>
      <c r="D7" s="552"/>
      <c r="E7" s="530" t="s">
        <v>523</v>
      </c>
      <c r="F7" s="422" t="s">
        <v>382</v>
      </c>
      <c r="G7" s="419" t="s">
        <v>418</v>
      </c>
      <c r="H7" s="423" t="s">
        <v>419</v>
      </c>
      <c r="I7" s="423" t="s">
        <v>419</v>
      </c>
      <c r="J7" s="423" t="s">
        <v>419</v>
      </c>
      <c r="K7" s="423" t="s">
        <v>419</v>
      </c>
      <c r="L7" s="424">
        <v>0.26100000000000001</v>
      </c>
      <c r="M7" s="423" t="s">
        <v>419</v>
      </c>
      <c r="N7" s="423" t="s">
        <v>419</v>
      </c>
      <c r="O7" s="423" t="s">
        <v>419</v>
      </c>
      <c r="P7" s="423" t="s">
        <v>419</v>
      </c>
      <c r="Q7" s="424">
        <v>0.26</v>
      </c>
      <c r="R7" s="421">
        <f>(Q7-L7)/L7</f>
        <v>-3.8314176245210761E-3</v>
      </c>
      <c r="S7" s="423" t="s">
        <v>419</v>
      </c>
      <c r="T7" s="423" t="s">
        <v>419</v>
      </c>
      <c r="U7" s="423" t="s">
        <v>419</v>
      </c>
      <c r="V7" s="520"/>
      <c r="W7" s="521">
        <v>0.26</v>
      </c>
    </row>
    <row r="8" spans="2:23" ht="27" customHeight="1">
      <c r="B8" s="547"/>
      <c r="C8" s="553" t="s">
        <v>420</v>
      </c>
      <c r="D8" s="554" t="s">
        <v>421</v>
      </c>
      <c r="E8" s="415" t="s">
        <v>422</v>
      </c>
      <c r="F8" s="422" t="s">
        <v>382</v>
      </c>
      <c r="G8" s="422" t="s">
        <v>418</v>
      </c>
      <c r="H8" s="422" t="s">
        <v>419</v>
      </c>
      <c r="I8" s="422" t="s">
        <v>419</v>
      </c>
      <c r="J8" s="422" t="s">
        <v>419</v>
      </c>
      <c r="K8" s="422" t="s">
        <v>419</v>
      </c>
      <c r="L8" s="425">
        <v>1</v>
      </c>
      <c r="M8" s="422" t="s">
        <v>419</v>
      </c>
      <c r="N8" s="422" t="s">
        <v>419</v>
      </c>
      <c r="O8" s="422" t="s">
        <v>419</v>
      </c>
      <c r="P8" s="422" t="s">
        <v>419</v>
      </c>
      <c r="Q8" s="426">
        <v>1</v>
      </c>
      <c r="R8" s="421">
        <f>(Q8-L8)/L8</f>
        <v>0</v>
      </c>
      <c r="S8" s="422" t="s">
        <v>419</v>
      </c>
      <c r="T8" s="422" t="s">
        <v>419</v>
      </c>
      <c r="U8" s="422" t="s">
        <v>419</v>
      </c>
      <c r="V8" s="522" t="s">
        <v>368</v>
      </c>
      <c r="W8" s="426">
        <v>1</v>
      </c>
    </row>
    <row r="9" spans="2:23" ht="27" customHeight="1">
      <c r="B9" s="547"/>
      <c r="C9" s="549"/>
      <c r="D9" s="555"/>
      <c r="E9" s="415" t="s">
        <v>423</v>
      </c>
      <c r="F9" s="422" t="s">
        <v>424</v>
      </c>
      <c r="G9" s="422" t="s">
        <v>425</v>
      </c>
      <c r="H9" s="427">
        <v>1429.9</v>
      </c>
      <c r="I9" s="427">
        <v>1429.9</v>
      </c>
      <c r="J9" s="427">
        <v>1429.9</v>
      </c>
      <c r="K9" s="427">
        <v>1429.9</v>
      </c>
      <c r="L9" s="428">
        <v>1429.9</v>
      </c>
      <c r="M9" s="427">
        <v>1439.6</v>
      </c>
      <c r="N9" s="427">
        <v>1444.5</v>
      </c>
      <c r="O9" s="427">
        <v>1444.5</v>
      </c>
      <c r="P9" s="427">
        <v>1451</v>
      </c>
      <c r="Q9" s="428">
        <v>1444.9</v>
      </c>
      <c r="R9" s="421">
        <f>(Q9-L9)/L9</f>
        <v>1.0490244073012097E-2</v>
      </c>
      <c r="S9" s="427" t="s">
        <v>479</v>
      </c>
      <c r="T9" s="427" t="s">
        <v>479</v>
      </c>
      <c r="U9" s="427" t="s">
        <v>479</v>
      </c>
      <c r="V9" s="427" t="s">
        <v>479</v>
      </c>
      <c r="W9" s="428" t="s">
        <v>479</v>
      </c>
    </row>
    <row r="10" spans="2:23" ht="27" customHeight="1">
      <c r="B10" s="547"/>
      <c r="C10" s="549"/>
      <c r="D10" s="552"/>
      <c r="E10" s="415" t="s">
        <v>426</v>
      </c>
      <c r="F10" s="422" t="s">
        <v>424</v>
      </c>
      <c r="G10" s="422" t="s">
        <v>425</v>
      </c>
      <c r="H10" s="422">
        <v>0</v>
      </c>
      <c r="I10" s="422">
        <v>0</v>
      </c>
      <c r="J10" s="422">
        <v>0</v>
      </c>
      <c r="K10" s="422">
        <v>0</v>
      </c>
      <c r="L10" s="429">
        <v>0</v>
      </c>
      <c r="M10" s="422">
        <v>152.4</v>
      </c>
      <c r="N10" s="422">
        <v>168.2</v>
      </c>
      <c r="O10" s="422">
        <v>168.2</v>
      </c>
      <c r="P10" s="422">
        <v>168.2</v>
      </c>
      <c r="Q10" s="429">
        <v>164.2</v>
      </c>
      <c r="R10" s="421" t="s">
        <v>427</v>
      </c>
      <c r="S10" s="422">
        <v>168.2</v>
      </c>
      <c r="T10" s="422">
        <v>168.2</v>
      </c>
      <c r="U10" s="422">
        <v>168.2</v>
      </c>
      <c r="V10" s="422">
        <v>168.2</v>
      </c>
      <c r="W10" s="429">
        <v>168.2</v>
      </c>
    </row>
    <row r="11" spans="2:23" ht="28">
      <c r="B11" s="547"/>
      <c r="C11" s="553" t="s">
        <v>343</v>
      </c>
      <c r="D11" s="554" t="s">
        <v>428</v>
      </c>
      <c r="E11" s="415" t="s">
        <v>516</v>
      </c>
      <c r="F11" s="422" t="s">
        <v>382</v>
      </c>
      <c r="G11" s="422" t="s">
        <v>418</v>
      </c>
      <c r="H11" s="419" t="s">
        <v>419</v>
      </c>
      <c r="I11" s="419" t="s">
        <v>419</v>
      </c>
      <c r="J11" s="419" t="s">
        <v>419</v>
      </c>
      <c r="K11" s="419" t="s">
        <v>419</v>
      </c>
      <c r="L11" s="426">
        <v>0.65100000000000002</v>
      </c>
      <c r="M11" s="419" t="s">
        <v>419</v>
      </c>
      <c r="N11" s="419" t="s">
        <v>419</v>
      </c>
      <c r="O11" s="419" t="s">
        <v>419</v>
      </c>
      <c r="P11" s="419" t="s">
        <v>419</v>
      </c>
      <c r="Q11" s="426">
        <v>0.66900000000000004</v>
      </c>
      <c r="R11" s="421">
        <f>(Q11-L11)/L11</f>
        <v>2.7649769585253479E-2</v>
      </c>
      <c r="S11" s="419" t="s">
        <v>419</v>
      </c>
      <c r="T11" s="419" t="s">
        <v>419</v>
      </c>
      <c r="U11" s="419" t="s">
        <v>419</v>
      </c>
      <c r="V11" s="523" t="s">
        <v>368</v>
      </c>
      <c r="W11" s="426">
        <v>0.66700000000000004</v>
      </c>
    </row>
    <row r="12" spans="2:23" ht="63" customHeight="1">
      <c r="B12" s="547"/>
      <c r="C12" s="549"/>
      <c r="D12" s="555"/>
      <c r="E12" s="415" t="s">
        <v>517</v>
      </c>
      <c r="F12" s="422" t="s">
        <v>382</v>
      </c>
      <c r="G12" s="422" t="s">
        <v>418</v>
      </c>
      <c r="H12" s="419" t="s">
        <v>419</v>
      </c>
      <c r="I12" s="419" t="s">
        <v>419</v>
      </c>
      <c r="J12" s="419" t="s">
        <v>419</v>
      </c>
      <c r="K12" s="419" t="s">
        <v>419</v>
      </c>
      <c r="L12" s="426">
        <v>0.20699999999999999</v>
      </c>
      <c r="M12" s="419" t="s">
        <v>419</v>
      </c>
      <c r="N12" s="419" t="s">
        <v>419</v>
      </c>
      <c r="O12" s="419" t="s">
        <v>419</v>
      </c>
      <c r="P12" s="419" t="s">
        <v>419</v>
      </c>
      <c r="Q12" s="426">
        <v>0.16</v>
      </c>
      <c r="R12" s="421">
        <f>(Q12-L12)/L12</f>
        <v>-0.22705314009661831</v>
      </c>
      <c r="S12" s="419" t="s">
        <v>419</v>
      </c>
      <c r="T12" s="419" t="s">
        <v>419</v>
      </c>
      <c r="U12" s="419" t="s">
        <v>419</v>
      </c>
      <c r="V12" s="523" t="s">
        <v>368</v>
      </c>
      <c r="W12" s="426">
        <v>0.28999999999999998</v>
      </c>
    </row>
    <row r="13" spans="2:23" ht="42">
      <c r="B13" s="547"/>
      <c r="C13" s="549"/>
      <c r="D13" s="552"/>
      <c r="E13" s="415" t="s">
        <v>518</v>
      </c>
      <c r="F13" s="422" t="s">
        <v>382</v>
      </c>
      <c r="G13" s="422" t="s">
        <v>418</v>
      </c>
      <c r="H13" s="419" t="s">
        <v>419</v>
      </c>
      <c r="I13" s="419" t="s">
        <v>419</v>
      </c>
      <c r="J13" s="419" t="s">
        <v>419</v>
      </c>
      <c r="K13" s="419" t="s">
        <v>419</v>
      </c>
      <c r="L13" s="425">
        <v>0.91</v>
      </c>
      <c r="M13" s="419" t="s">
        <v>419</v>
      </c>
      <c r="N13" s="419" t="s">
        <v>419</v>
      </c>
      <c r="O13" s="419" t="s">
        <v>419</v>
      </c>
      <c r="P13" s="419" t="s">
        <v>419</v>
      </c>
      <c r="Q13" s="426">
        <v>0.93400000000000005</v>
      </c>
      <c r="R13" s="421">
        <f>(Q13-L13)/L13</f>
        <v>2.6373626373626394E-2</v>
      </c>
      <c r="S13" s="419" t="s">
        <v>419</v>
      </c>
      <c r="T13" s="419" t="s">
        <v>419</v>
      </c>
      <c r="U13" s="419" t="s">
        <v>419</v>
      </c>
      <c r="V13" s="523" t="s">
        <v>368</v>
      </c>
      <c r="W13" s="426">
        <v>0.93799999999999994</v>
      </c>
    </row>
    <row r="14" spans="2:23" ht="42">
      <c r="B14" s="547"/>
      <c r="C14" s="550"/>
      <c r="D14" s="415" t="s">
        <v>429</v>
      </c>
      <c r="E14" s="415" t="s">
        <v>430</v>
      </c>
      <c r="F14" s="422" t="s">
        <v>431</v>
      </c>
      <c r="G14" s="422" t="s">
        <v>425</v>
      </c>
      <c r="H14" s="430">
        <v>0</v>
      </c>
      <c r="I14" s="430">
        <v>0</v>
      </c>
      <c r="J14" s="430">
        <v>0</v>
      </c>
      <c r="K14" s="430">
        <v>0</v>
      </c>
      <c r="L14" s="431">
        <v>0</v>
      </c>
      <c r="M14" s="432">
        <v>0</v>
      </c>
      <c r="N14" s="432">
        <v>13.53</v>
      </c>
      <c r="O14" s="432">
        <v>180.95500000000001</v>
      </c>
      <c r="P14" s="432">
        <v>81.14</v>
      </c>
      <c r="Q14" s="433">
        <v>275.63</v>
      </c>
      <c r="R14" s="421" t="s">
        <v>427</v>
      </c>
      <c r="S14" s="467">
        <v>194360</v>
      </c>
      <c r="T14" s="467">
        <v>95870</v>
      </c>
      <c r="U14" s="467">
        <v>35200</v>
      </c>
      <c r="V14" s="467">
        <v>159250</v>
      </c>
      <c r="W14" s="524">
        <v>484680</v>
      </c>
    </row>
    <row r="15" spans="2:23" ht="39.65" customHeight="1" thickBot="1">
      <c r="B15" s="548"/>
      <c r="C15" s="440" t="s">
        <v>432</v>
      </c>
      <c r="D15" s="441" t="s">
        <v>433</v>
      </c>
      <c r="E15" s="441" t="s">
        <v>519</v>
      </c>
      <c r="F15" s="442" t="s">
        <v>455</v>
      </c>
      <c r="G15" s="442" t="s">
        <v>425</v>
      </c>
      <c r="H15" s="443">
        <v>6.32</v>
      </c>
      <c r="I15" s="443">
        <v>6</v>
      </c>
      <c r="J15" s="443">
        <v>6.71</v>
      </c>
      <c r="K15" s="443">
        <v>6.28</v>
      </c>
      <c r="L15" s="444">
        <v>6.28</v>
      </c>
      <c r="M15" s="443">
        <v>6.6</v>
      </c>
      <c r="N15" s="443">
        <v>5.0999999999999996</v>
      </c>
      <c r="O15" s="443">
        <v>5.83</v>
      </c>
      <c r="P15" s="443">
        <v>5.87</v>
      </c>
      <c r="Q15" s="444">
        <v>5.87</v>
      </c>
      <c r="R15" s="445">
        <f t="shared" ref="R15:R24" si="0">(Q15-L15)/L15</f>
        <v>-6.5286624203821669E-2</v>
      </c>
      <c r="S15" s="443">
        <v>4.63</v>
      </c>
      <c r="T15" s="443">
        <v>5.33</v>
      </c>
      <c r="U15" s="443">
        <v>4.82</v>
      </c>
      <c r="V15" s="443">
        <v>4.67</v>
      </c>
      <c r="W15" s="444">
        <v>5.08</v>
      </c>
    </row>
    <row r="16" spans="2:23" ht="33" customHeight="1" thickTop="1">
      <c r="B16" s="561" t="s">
        <v>434</v>
      </c>
      <c r="C16" s="550" t="s">
        <v>435</v>
      </c>
      <c r="D16" s="564" t="s">
        <v>436</v>
      </c>
      <c r="E16" s="418" t="s">
        <v>437</v>
      </c>
      <c r="F16" s="419" t="s">
        <v>382</v>
      </c>
      <c r="G16" s="419" t="s">
        <v>425</v>
      </c>
      <c r="H16" s="439">
        <v>0.17599999999999999</v>
      </c>
      <c r="I16" s="439">
        <v>0.182</v>
      </c>
      <c r="J16" s="439">
        <v>0.189</v>
      </c>
      <c r="K16" s="439">
        <v>0.20399999999999999</v>
      </c>
      <c r="L16" s="424">
        <v>0.20399999999999999</v>
      </c>
      <c r="M16" s="439">
        <v>0.20300000000000001</v>
      </c>
      <c r="N16" s="439">
        <v>0.215</v>
      </c>
      <c r="O16" s="439">
        <v>0.21099999999999999</v>
      </c>
      <c r="P16" s="439">
        <v>0.215</v>
      </c>
      <c r="Q16" s="424">
        <v>0.215</v>
      </c>
      <c r="R16" s="421">
        <f t="shared" si="0"/>
        <v>5.3921568627451032E-2</v>
      </c>
      <c r="S16" s="439">
        <v>0.22600000000000001</v>
      </c>
      <c r="T16" s="439">
        <v>0.223</v>
      </c>
      <c r="U16" s="439">
        <v>0.217</v>
      </c>
      <c r="V16" s="439">
        <v>0.221</v>
      </c>
      <c r="W16" s="424">
        <v>0.221</v>
      </c>
    </row>
    <row r="17" spans="2:23" ht="33" customHeight="1">
      <c r="B17" s="562"/>
      <c r="C17" s="559"/>
      <c r="D17" s="565"/>
      <c r="E17" s="415" t="s">
        <v>438</v>
      </c>
      <c r="F17" s="422" t="s">
        <v>382</v>
      </c>
      <c r="G17" s="422" t="s">
        <v>425</v>
      </c>
      <c r="H17" s="434">
        <v>0.153</v>
      </c>
      <c r="I17" s="434">
        <v>0.16300000000000001</v>
      </c>
      <c r="J17" s="434">
        <v>0.16600000000000001</v>
      </c>
      <c r="K17" s="434">
        <v>0.17</v>
      </c>
      <c r="L17" s="426">
        <v>0.17</v>
      </c>
      <c r="M17" s="434">
        <v>0.17299999999999999</v>
      </c>
      <c r="N17" s="434">
        <v>0.17199999999999999</v>
      </c>
      <c r="O17" s="434">
        <v>0.16800000000000001</v>
      </c>
      <c r="P17" s="434">
        <v>0.17299999999999999</v>
      </c>
      <c r="Q17" s="426">
        <v>0.17299999999999999</v>
      </c>
      <c r="R17" s="421">
        <f t="shared" si="0"/>
        <v>1.7647058823529262E-2</v>
      </c>
      <c r="S17" s="434">
        <v>0.17199999999999999</v>
      </c>
      <c r="T17" s="434">
        <v>0.17599999999999999</v>
      </c>
      <c r="U17" s="434">
        <v>0.186</v>
      </c>
      <c r="V17" s="434">
        <v>0.189</v>
      </c>
      <c r="W17" s="426">
        <v>0.189</v>
      </c>
    </row>
    <row r="18" spans="2:23" ht="33" customHeight="1">
      <c r="B18" s="562"/>
      <c r="C18" s="559"/>
      <c r="D18" s="560" t="s">
        <v>439</v>
      </c>
      <c r="E18" s="415" t="s">
        <v>524</v>
      </c>
      <c r="F18" s="422" t="s">
        <v>440</v>
      </c>
      <c r="G18" s="422" t="s">
        <v>425</v>
      </c>
      <c r="H18" s="435">
        <v>2</v>
      </c>
      <c r="I18" s="435">
        <v>1</v>
      </c>
      <c r="J18" s="435">
        <v>0</v>
      </c>
      <c r="K18" s="435">
        <v>1</v>
      </c>
      <c r="L18" s="429">
        <f>SUM(H18:K18)</f>
        <v>4</v>
      </c>
      <c r="M18" s="435">
        <v>0</v>
      </c>
      <c r="N18" s="435">
        <v>0</v>
      </c>
      <c r="O18" s="435">
        <v>0</v>
      </c>
      <c r="P18" s="435">
        <v>1</v>
      </c>
      <c r="Q18" s="429">
        <v>1</v>
      </c>
      <c r="R18" s="421">
        <f t="shared" si="0"/>
        <v>-0.75</v>
      </c>
      <c r="S18" s="435">
        <v>1</v>
      </c>
      <c r="T18" s="435">
        <v>1</v>
      </c>
      <c r="U18" s="435">
        <v>0</v>
      </c>
      <c r="V18" s="435">
        <v>1</v>
      </c>
      <c r="W18" s="429">
        <v>3</v>
      </c>
    </row>
    <row r="19" spans="2:23" ht="33" customHeight="1">
      <c r="B19" s="562"/>
      <c r="C19" s="559"/>
      <c r="D19" s="560"/>
      <c r="E19" s="415" t="s">
        <v>525</v>
      </c>
      <c r="F19" s="422" t="s">
        <v>441</v>
      </c>
      <c r="G19" s="422" t="s">
        <v>425</v>
      </c>
      <c r="H19" s="422">
        <v>1.87</v>
      </c>
      <c r="I19" s="422">
        <v>2.5499999999999998</v>
      </c>
      <c r="J19" s="422">
        <v>2.27</v>
      </c>
      <c r="K19" s="422">
        <v>2.2599999999999998</v>
      </c>
      <c r="L19" s="429">
        <v>2.2599999999999998</v>
      </c>
      <c r="M19" s="422">
        <v>1.98</v>
      </c>
      <c r="N19" s="422">
        <v>1.47</v>
      </c>
      <c r="O19" s="422">
        <v>1.65</v>
      </c>
      <c r="P19" s="422">
        <v>1.76</v>
      </c>
      <c r="Q19" s="429">
        <v>1.76</v>
      </c>
      <c r="R19" s="421">
        <f t="shared" si="0"/>
        <v>-0.22123893805309727</v>
      </c>
      <c r="S19" s="422">
        <v>1.8</v>
      </c>
      <c r="T19" s="422">
        <v>1.93</v>
      </c>
      <c r="U19" s="422">
        <v>1.77</v>
      </c>
      <c r="V19" s="422">
        <v>1.6</v>
      </c>
      <c r="W19" s="429">
        <v>1.6</v>
      </c>
    </row>
    <row r="20" spans="2:23" ht="48" customHeight="1" thickBot="1">
      <c r="B20" s="563"/>
      <c r="C20" s="440" t="s">
        <v>442</v>
      </c>
      <c r="D20" s="441" t="s">
        <v>442</v>
      </c>
      <c r="E20" s="441" t="s">
        <v>526</v>
      </c>
      <c r="F20" s="442" t="s">
        <v>382</v>
      </c>
      <c r="G20" s="442" t="s">
        <v>425</v>
      </c>
      <c r="H20" s="447">
        <v>1</v>
      </c>
      <c r="I20" s="447">
        <v>0.98819999999999997</v>
      </c>
      <c r="J20" s="447">
        <v>1.01</v>
      </c>
      <c r="K20" s="447">
        <v>1.1241000000000001</v>
      </c>
      <c r="L20" s="448">
        <v>1.1240000000000001</v>
      </c>
      <c r="M20" s="447">
        <v>0.96950000000000003</v>
      </c>
      <c r="N20" s="447">
        <v>0.98480000000000001</v>
      </c>
      <c r="O20" s="447">
        <v>1.0066999999999999</v>
      </c>
      <c r="P20" s="447">
        <v>1.1162000000000001</v>
      </c>
      <c r="Q20" s="449">
        <f>P20</f>
        <v>1.1162000000000001</v>
      </c>
      <c r="R20" s="445">
        <f t="shared" si="0"/>
        <v>-6.9395017793594561E-3</v>
      </c>
      <c r="S20" s="447">
        <v>0.98</v>
      </c>
      <c r="T20" s="447">
        <v>0.98699999999999999</v>
      </c>
      <c r="U20" s="447">
        <v>0.98299999999999998</v>
      </c>
      <c r="V20" s="447">
        <v>1.129</v>
      </c>
      <c r="W20" s="449">
        <v>1.129</v>
      </c>
    </row>
    <row r="21" spans="2:23" ht="26.15" customHeight="1" thickTop="1">
      <c r="B21" s="556" t="s">
        <v>443</v>
      </c>
      <c r="C21" s="550" t="s">
        <v>456</v>
      </c>
      <c r="D21" s="552" t="s">
        <v>444</v>
      </c>
      <c r="E21" s="418" t="s">
        <v>445</v>
      </c>
      <c r="F21" s="419" t="s">
        <v>382</v>
      </c>
      <c r="G21" s="419" t="s">
        <v>418</v>
      </c>
      <c r="H21" s="419" t="s">
        <v>419</v>
      </c>
      <c r="I21" s="419" t="s">
        <v>419</v>
      </c>
      <c r="J21" s="419" t="s">
        <v>419</v>
      </c>
      <c r="K21" s="419" t="s">
        <v>419</v>
      </c>
      <c r="L21" s="424">
        <v>0.753</v>
      </c>
      <c r="M21" s="419" t="s">
        <v>419</v>
      </c>
      <c r="N21" s="419" t="s">
        <v>419</v>
      </c>
      <c r="O21" s="419" t="s">
        <v>419</v>
      </c>
      <c r="P21" s="419" t="s">
        <v>419</v>
      </c>
      <c r="Q21" s="446">
        <v>0.97</v>
      </c>
      <c r="R21" s="421">
        <f t="shared" si="0"/>
        <v>0.2881806108897742</v>
      </c>
      <c r="S21" s="419" t="s">
        <v>419</v>
      </c>
      <c r="T21" s="419" t="s">
        <v>419</v>
      </c>
      <c r="U21" s="419" t="s">
        <v>419</v>
      </c>
      <c r="V21" s="523" t="s">
        <v>368</v>
      </c>
      <c r="W21" s="446">
        <v>1</v>
      </c>
    </row>
    <row r="22" spans="2:23" ht="26.15" customHeight="1">
      <c r="B22" s="557"/>
      <c r="C22" s="559"/>
      <c r="D22" s="560"/>
      <c r="E22" s="415" t="s">
        <v>520</v>
      </c>
      <c r="F22" s="422" t="s">
        <v>446</v>
      </c>
      <c r="G22" s="422" t="s">
        <v>418</v>
      </c>
      <c r="H22" s="422" t="s">
        <v>419</v>
      </c>
      <c r="I22" s="422" t="s">
        <v>419</v>
      </c>
      <c r="J22" s="422" t="s">
        <v>419</v>
      </c>
      <c r="K22" s="422" t="s">
        <v>419</v>
      </c>
      <c r="L22" s="425">
        <f>515644246/5764506306</f>
        <v>8.9451588501740467E-2</v>
      </c>
      <c r="M22" s="422" t="s">
        <v>419</v>
      </c>
      <c r="N22" s="422" t="s">
        <v>419</v>
      </c>
      <c r="O22" s="422" t="s">
        <v>419</v>
      </c>
      <c r="P22" s="422" t="s">
        <v>419</v>
      </c>
      <c r="Q22" s="425">
        <f>439497975/5740470618</f>
        <v>7.6561314262614005E-2</v>
      </c>
      <c r="R22" s="421">
        <f t="shared" si="0"/>
        <v>-0.14410335752590525</v>
      </c>
      <c r="S22" s="422" t="s">
        <v>419</v>
      </c>
      <c r="T22" s="422" t="s">
        <v>419</v>
      </c>
      <c r="U22" s="422" t="s">
        <v>419</v>
      </c>
      <c r="V22" s="522" t="s">
        <v>368</v>
      </c>
      <c r="W22" s="425">
        <v>0.16</v>
      </c>
    </row>
    <row r="23" spans="2:23" ht="26.15" customHeight="1">
      <c r="B23" s="557"/>
      <c r="C23" s="559"/>
      <c r="D23" s="560"/>
      <c r="E23" s="415" t="s">
        <v>521</v>
      </c>
      <c r="F23" s="422" t="s">
        <v>382</v>
      </c>
      <c r="G23" s="422" t="s">
        <v>418</v>
      </c>
      <c r="H23" s="422" t="s">
        <v>419</v>
      </c>
      <c r="I23" s="422" t="s">
        <v>419</v>
      </c>
      <c r="J23" s="422" t="s">
        <v>419</v>
      </c>
      <c r="K23" s="422" t="s">
        <v>419</v>
      </c>
      <c r="L23" s="425">
        <v>0.08</v>
      </c>
      <c r="M23" s="422" t="s">
        <v>419</v>
      </c>
      <c r="N23" s="422" t="s">
        <v>419</v>
      </c>
      <c r="O23" s="422" t="s">
        <v>419</v>
      </c>
      <c r="P23" s="422" t="s">
        <v>419</v>
      </c>
      <c r="Q23" s="425">
        <v>0.08</v>
      </c>
      <c r="R23" s="421">
        <f t="shared" si="0"/>
        <v>0</v>
      </c>
      <c r="S23" s="422" t="s">
        <v>419</v>
      </c>
      <c r="T23" s="422" t="s">
        <v>419</v>
      </c>
      <c r="U23" s="422" t="s">
        <v>419</v>
      </c>
      <c r="V23" s="522" t="s">
        <v>368</v>
      </c>
      <c r="W23" s="425">
        <v>0.08</v>
      </c>
    </row>
    <row r="24" spans="2:23" ht="26.15" customHeight="1">
      <c r="B24" s="557"/>
      <c r="C24" s="559"/>
      <c r="D24" s="560" t="s">
        <v>447</v>
      </c>
      <c r="E24" s="531" t="s">
        <v>527</v>
      </c>
      <c r="F24" s="422" t="s">
        <v>454</v>
      </c>
      <c r="G24" s="422" t="s">
        <v>418</v>
      </c>
      <c r="H24" s="422" t="s">
        <v>419</v>
      </c>
      <c r="I24" s="422" t="s">
        <v>419</v>
      </c>
      <c r="J24" s="422" t="s">
        <v>419</v>
      </c>
      <c r="K24" s="422" t="s">
        <v>419</v>
      </c>
      <c r="L24" s="429">
        <v>2.19</v>
      </c>
      <c r="M24" s="422" t="s">
        <v>419</v>
      </c>
      <c r="N24" s="422" t="s">
        <v>419</v>
      </c>
      <c r="O24" s="422" t="s">
        <v>419</v>
      </c>
      <c r="P24" s="422" t="s">
        <v>419</v>
      </c>
      <c r="Q24" s="429">
        <v>2.2799999999999998</v>
      </c>
      <c r="R24" s="421">
        <f t="shared" si="0"/>
        <v>4.1095890410958839E-2</v>
      </c>
      <c r="S24" s="422" t="s">
        <v>419</v>
      </c>
      <c r="T24" s="422" t="s">
        <v>419</v>
      </c>
      <c r="U24" s="422" t="s">
        <v>419</v>
      </c>
      <c r="V24" s="525" t="s">
        <v>368</v>
      </c>
      <c r="W24" s="526">
        <v>2.88</v>
      </c>
    </row>
    <row r="25" spans="2:23" ht="26.15" customHeight="1">
      <c r="B25" s="557"/>
      <c r="C25" s="559"/>
      <c r="D25" s="560"/>
      <c r="E25" s="531" t="s">
        <v>448</v>
      </c>
      <c r="F25" s="422" t="s">
        <v>440</v>
      </c>
      <c r="G25" s="422" t="s">
        <v>425</v>
      </c>
      <c r="H25" s="422">
        <v>0</v>
      </c>
      <c r="I25" s="422">
        <v>0</v>
      </c>
      <c r="J25" s="422">
        <v>0</v>
      </c>
      <c r="K25" s="422">
        <v>0</v>
      </c>
      <c r="L25" s="429">
        <v>0</v>
      </c>
      <c r="M25" s="422">
        <v>0</v>
      </c>
      <c r="N25" s="422">
        <v>2</v>
      </c>
      <c r="O25" s="422">
        <v>2</v>
      </c>
      <c r="P25" s="422">
        <v>1</v>
      </c>
      <c r="Q25" s="429">
        <v>5</v>
      </c>
      <c r="R25" s="421" t="s">
        <v>427</v>
      </c>
      <c r="S25" s="422">
        <v>5</v>
      </c>
      <c r="T25" s="422">
        <v>6</v>
      </c>
      <c r="U25" s="422">
        <v>9</v>
      </c>
      <c r="V25" s="527">
        <v>11</v>
      </c>
      <c r="W25" s="526">
        <v>11</v>
      </c>
    </row>
    <row r="26" spans="2:23" ht="48" customHeight="1">
      <c r="B26" s="557"/>
      <c r="C26" s="417" t="s">
        <v>449</v>
      </c>
      <c r="D26" s="415" t="s">
        <v>449</v>
      </c>
      <c r="E26" s="415" t="s">
        <v>528</v>
      </c>
      <c r="F26" s="422" t="s">
        <v>440</v>
      </c>
      <c r="G26" s="422" t="s">
        <v>418</v>
      </c>
      <c r="H26" s="422" t="s">
        <v>419</v>
      </c>
      <c r="I26" s="422" t="s">
        <v>419</v>
      </c>
      <c r="J26" s="422" t="s">
        <v>419</v>
      </c>
      <c r="K26" s="422" t="s">
        <v>419</v>
      </c>
      <c r="L26" s="429">
        <v>3.3</v>
      </c>
      <c r="M26" s="422" t="s">
        <v>419</v>
      </c>
      <c r="N26" s="422" t="s">
        <v>419</v>
      </c>
      <c r="O26" s="422" t="s">
        <v>419</v>
      </c>
      <c r="P26" s="422" t="s">
        <v>419</v>
      </c>
      <c r="Q26" s="429">
        <v>3.3</v>
      </c>
      <c r="R26" s="421">
        <f>(Q26-L26)/L26</f>
        <v>0</v>
      </c>
      <c r="S26" s="422" t="s">
        <v>419</v>
      </c>
      <c r="T26" s="422" t="s">
        <v>419</v>
      </c>
      <c r="U26" s="422" t="s">
        <v>419</v>
      </c>
      <c r="V26" s="522" t="s">
        <v>368</v>
      </c>
      <c r="W26" s="429">
        <v>3.81</v>
      </c>
    </row>
    <row r="27" spans="2:23" ht="26.15" customHeight="1">
      <c r="B27" s="557"/>
      <c r="C27" s="542" t="s">
        <v>450</v>
      </c>
      <c r="D27" s="544" t="s">
        <v>450</v>
      </c>
      <c r="E27" s="415" t="s">
        <v>451</v>
      </c>
      <c r="F27" s="422" t="s">
        <v>382</v>
      </c>
      <c r="G27" s="422" t="s">
        <v>418</v>
      </c>
      <c r="H27" s="436" t="s">
        <v>419</v>
      </c>
      <c r="I27" s="436" t="s">
        <v>419</v>
      </c>
      <c r="J27" s="436" t="s">
        <v>419</v>
      </c>
      <c r="K27" s="436" t="s">
        <v>419</v>
      </c>
      <c r="L27" s="425">
        <v>0.7</v>
      </c>
      <c r="M27" s="422" t="s">
        <v>419</v>
      </c>
      <c r="N27" s="422" t="s">
        <v>419</v>
      </c>
      <c r="O27" s="422" t="s">
        <v>419</v>
      </c>
      <c r="P27" s="422" t="s">
        <v>419</v>
      </c>
      <c r="Q27" s="425">
        <v>0.7</v>
      </c>
      <c r="R27" s="421">
        <f>(Q27-L27)/L27</f>
        <v>0</v>
      </c>
      <c r="S27" s="422" t="s">
        <v>419</v>
      </c>
      <c r="T27" s="422" t="s">
        <v>419</v>
      </c>
      <c r="U27" s="422" t="s">
        <v>419</v>
      </c>
      <c r="V27" s="528" t="s">
        <v>368</v>
      </c>
      <c r="W27" s="425">
        <v>0.7</v>
      </c>
    </row>
    <row r="28" spans="2:23" ht="26.15" customHeight="1">
      <c r="B28" s="557"/>
      <c r="C28" s="542"/>
      <c r="D28" s="544"/>
      <c r="E28" s="416" t="s">
        <v>529</v>
      </c>
      <c r="F28" s="422" t="s">
        <v>382</v>
      </c>
      <c r="G28" s="422" t="s">
        <v>418</v>
      </c>
      <c r="H28" s="436" t="s">
        <v>419</v>
      </c>
      <c r="I28" s="436" t="s">
        <v>419</v>
      </c>
      <c r="J28" s="436" t="s">
        <v>419</v>
      </c>
      <c r="K28" s="436" t="s">
        <v>419</v>
      </c>
      <c r="L28" s="425">
        <v>0.25</v>
      </c>
      <c r="M28" s="422" t="s">
        <v>419</v>
      </c>
      <c r="N28" s="422" t="s">
        <v>419</v>
      </c>
      <c r="O28" s="422" t="s">
        <v>419</v>
      </c>
      <c r="P28" s="422" t="s">
        <v>419</v>
      </c>
      <c r="Q28" s="425">
        <v>1</v>
      </c>
      <c r="R28" s="421">
        <f>(Q28-L28)/L28</f>
        <v>3</v>
      </c>
      <c r="S28" s="422" t="s">
        <v>419</v>
      </c>
      <c r="T28" s="422" t="s">
        <v>419</v>
      </c>
      <c r="U28" s="422" t="s">
        <v>419</v>
      </c>
      <c r="V28" s="522" t="s">
        <v>368</v>
      </c>
      <c r="W28" s="425">
        <v>1</v>
      </c>
    </row>
    <row r="29" spans="2:23" ht="48" customHeight="1" thickBot="1">
      <c r="B29" s="558"/>
      <c r="C29" s="543"/>
      <c r="D29" s="545"/>
      <c r="E29" s="450" t="s">
        <v>452</v>
      </c>
      <c r="F29" s="451" t="s">
        <v>382</v>
      </c>
      <c r="G29" s="451" t="s">
        <v>418</v>
      </c>
      <c r="H29" s="452" t="s">
        <v>419</v>
      </c>
      <c r="I29" s="452" t="s">
        <v>419</v>
      </c>
      <c r="J29" s="452" t="s">
        <v>419</v>
      </c>
      <c r="K29" s="452" t="s">
        <v>419</v>
      </c>
      <c r="L29" s="449">
        <v>1</v>
      </c>
      <c r="M29" s="452" t="s">
        <v>419</v>
      </c>
      <c r="N29" s="452" t="s">
        <v>419</v>
      </c>
      <c r="O29" s="452" t="s">
        <v>419</v>
      </c>
      <c r="P29" s="452" t="s">
        <v>419</v>
      </c>
      <c r="Q29" s="449">
        <v>0.43</v>
      </c>
      <c r="R29" s="453">
        <f>(Q29-L29)/L29</f>
        <v>-0.57000000000000006</v>
      </c>
      <c r="S29" s="452" t="s">
        <v>419</v>
      </c>
      <c r="T29" s="452" t="s">
        <v>419</v>
      </c>
      <c r="U29" s="452" t="s">
        <v>419</v>
      </c>
      <c r="V29" s="529" t="s">
        <v>368</v>
      </c>
      <c r="W29" s="449">
        <v>0.45</v>
      </c>
    </row>
    <row r="30" spans="2:23" ht="26.5" customHeight="1" thickTop="1">
      <c r="B30" s="541" t="s">
        <v>453</v>
      </c>
      <c r="C30" s="541"/>
      <c r="D30" s="541"/>
      <c r="E30" s="541"/>
      <c r="F30" s="541"/>
      <c r="G30" s="541"/>
      <c r="H30" s="541"/>
      <c r="I30" s="541"/>
      <c r="J30" s="541"/>
      <c r="K30" s="541"/>
      <c r="L30" s="541"/>
      <c r="M30" s="541"/>
      <c r="N30" s="541"/>
      <c r="O30" s="541"/>
      <c r="P30" s="541"/>
      <c r="Q30" s="541"/>
      <c r="R30" s="541"/>
      <c r="S30" s="458"/>
      <c r="T30" s="458"/>
      <c r="U30" s="458"/>
      <c r="V30" s="458"/>
      <c r="W30" s="458"/>
    </row>
    <row r="31" spans="2:23" ht="14.5" customHeight="1">
      <c r="B31" s="541" t="s">
        <v>509</v>
      </c>
      <c r="C31" s="541"/>
      <c r="D31" s="541"/>
      <c r="E31" s="541"/>
      <c r="F31" s="541"/>
      <c r="G31" s="541"/>
      <c r="H31" s="541"/>
      <c r="I31" s="541"/>
      <c r="J31" s="541"/>
      <c r="K31" s="541"/>
      <c r="L31" s="541"/>
      <c r="M31" s="541"/>
      <c r="N31" s="541"/>
      <c r="O31" s="541"/>
      <c r="P31" s="541"/>
      <c r="Q31" s="541"/>
      <c r="R31" s="541"/>
      <c r="S31" s="458"/>
      <c r="T31" s="458"/>
      <c r="U31" s="458"/>
      <c r="V31" s="458"/>
      <c r="W31" s="458"/>
    </row>
    <row r="32" spans="2:23" ht="14.5" customHeight="1">
      <c r="B32" s="541" t="s">
        <v>510</v>
      </c>
      <c r="C32" s="541"/>
      <c r="D32" s="541"/>
      <c r="E32" s="541"/>
      <c r="F32" s="541"/>
      <c r="G32" s="541"/>
      <c r="H32" s="541"/>
      <c r="I32" s="541"/>
      <c r="J32" s="541"/>
      <c r="K32" s="541"/>
      <c r="L32" s="541"/>
      <c r="M32" s="541"/>
      <c r="N32" s="541"/>
      <c r="O32" s="541"/>
      <c r="P32" s="541"/>
      <c r="Q32" s="541"/>
      <c r="R32" s="541"/>
      <c r="S32" s="458"/>
      <c r="T32" s="458"/>
      <c r="U32" s="458"/>
      <c r="V32" s="458"/>
      <c r="W32" s="458"/>
    </row>
    <row r="33" spans="2:23" ht="14.5" customHeight="1">
      <c r="B33" s="541" t="s">
        <v>511</v>
      </c>
      <c r="C33" s="541"/>
      <c r="D33" s="541"/>
      <c r="E33" s="541"/>
      <c r="F33" s="541"/>
      <c r="G33" s="541"/>
      <c r="H33" s="541"/>
      <c r="I33" s="541"/>
      <c r="J33" s="541"/>
      <c r="K33" s="541"/>
      <c r="L33" s="541"/>
      <c r="M33" s="541"/>
      <c r="N33" s="541"/>
      <c r="O33" s="541"/>
      <c r="P33" s="541"/>
      <c r="Q33" s="541"/>
      <c r="R33" s="541"/>
      <c r="S33" s="458"/>
      <c r="T33" s="458"/>
      <c r="U33" s="458"/>
      <c r="V33" s="458"/>
      <c r="W33" s="458"/>
    </row>
    <row r="34" spans="2:23" ht="14.5" customHeight="1">
      <c r="B34" s="541" t="s">
        <v>512</v>
      </c>
      <c r="C34" s="541"/>
      <c r="D34" s="541"/>
      <c r="E34" s="541"/>
      <c r="F34" s="541"/>
      <c r="G34" s="541"/>
      <c r="H34" s="541"/>
      <c r="I34" s="541"/>
      <c r="J34" s="541"/>
      <c r="K34" s="541"/>
      <c r="L34" s="541"/>
      <c r="M34" s="541"/>
      <c r="N34" s="541"/>
      <c r="O34" s="541"/>
      <c r="P34" s="541"/>
      <c r="Q34" s="541"/>
      <c r="R34" s="541"/>
      <c r="S34" s="458"/>
      <c r="T34" s="458"/>
      <c r="U34" s="458"/>
      <c r="V34" s="458"/>
      <c r="W34" s="458"/>
    </row>
    <row r="35" spans="2:23" ht="14.5" customHeight="1">
      <c r="B35" s="541" t="s">
        <v>513</v>
      </c>
      <c r="C35" s="541"/>
      <c r="D35" s="541"/>
      <c r="E35" s="541"/>
      <c r="F35" s="541"/>
      <c r="G35" s="541"/>
      <c r="H35" s="541"/>
      <c r="I35" s="541"/>
      <c r="J35" s="541"/>
      <c r="K35" s="541"/>
      <c r="L35" s="541"/>
      <c r="M35" s="541"/>
      <c r="N35" s="541"/>
      <c r="O35" s="541"/>
      <c r="P35" s="541"/>
      <c r="Q35" s="541"/>
      <c r="R35" s="541"/>
      <c r="S35" s="458"/>
      <c r="T35" s="458"/>
      <c r="U35" s="458"/>
      <c r="V35" s="458"/>
      <c r="W35" s="458"/>
    </row>
    <row r="36" spans="2:23" ht="22.5" customHeight="1">
      <c r="B36" s="541" t="s">
        <v>514</v>
      </c>
      <c r="C36" s="541"/>
      <c r="D36" s="541"/>
      <c r="E36" s="541"/>
      <c r="F36" s="541"/>
      <c r="G36" s="541"/>
      <c r="H36" s="541"/>
      <c r="I36" s="541"/>
      <c r="J36" s="541"/>
      <c r="K36" s="541"/>
      <c r="L36" s="541"/>
      <c r="M36" s="541"/>
      <c r="N36" s="541"/>
      <c r="O36" s="541"/>
      <c r="P36" s="541"/>
      <c r="Q36" s="541"/>
      <c r="R36" s="541"/>
      <c r="S36" s="459"/>
      <c r="T36" s="459"/>
      <c r="U36" s="459"/>
      <c r="V36" s="458"/>
      <c r="W36" s="458"/>
    </row>
    <row r="37" spans="2:23" ht="34.5" customHeight="1">
      <c r="B37" s="538" t="s">
        <v>515</v>
      </c>
      <c r="C37" s="538"/>
      <c r="D37" s="538"/>
      <c r="E37" s="538"/>
      <c r="F37" s="538"/>
      <c r="G37" s="538"/>
      <c r="H37" s="538"/>
      <c r="I37" s="538"/>
      <c r="J37" s="538"/>
      <c r="K37" s="538"/>
      <c r="L37" s="538"/>
      <c r="M37" s="538"/>
      <c r="N37" s="538"/>
      <c r="O37" s="538"/>
      <c r="P37" s="538"/>
      <c r="Q37" s="538"/>
      <c r="R37" s="538"/>
      <c r="V37" s="459"/>
      <c r="W37" s="459"/>
    </row>
  </sheetData>
  <autoFilter ref="B4:E29" xr:uid="{43C8DB62-4505-4BCD-B8C6-06CEC9F1DE48}"/>
  <mergeCells count="36">
    <mergeCell ref="B2:R2"/>
    <mergeCell ref="B4:B5"/>
    <mergeCell ref="C4:C5"/>
    <mergeCell ref="D4:D5"/>
    <mergeCell ref="E4:E5"/>
    <mergeCell ref="F4:F5"/>
    <mergeCell ref="G4:G5"/>
    <mergeCell ref="H4:K4"/>
    <mergeCell ref="M4:P4"/>
    <mergeCell ref="R4:R5"/>
    <mergeCell ref="C11:C14"/>
    <mergeCell ref="B21:B29"/>
    <mergeCell ref="C21:C25"/>
    <mergeCell ref="D21:D23"/>
    <mergeCell ref="D24:D25"/>
    <mergeCell ref="D11:D13"/>
    <mergeCell ref="B16:B20"/>
    <mergeCell ref="C16:C19"/>
    <mergeCell ref="D16:D17"/>
    <mergeCell ref="D18:D19"/>
    <mergeCell ref="B37:R37"/>
    <mergeCell ref="S4:U4"/>
    <mergeCell ref="B36:R36"/>
    <mergeCell ref="B31:R31"/>
    <mergeCell ref="B32:R32"/>
    <mergeCell ref="B33:R33"/>
    <mergeCell ref="B34:R34"/>
    <mergeCell ref="B35:R35"/>
    <mergeCell ref="B30:R30"/>
    <mergeCell ref="C27:C29"/>
    <mergeCell ref="D27:D29"/>
    <mergeCell ref="B6:B15"/>
    <mergeCell ref="C6:C7"/>
    <mergeCell ref="D6:D7"/>
    <mergeCell ref="C8:C10"/>
    <mergeCell ref="D8:D10"/>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tabColor rgb="FF00B050"/>
    <pageSetUpPr fitToPage="1"/>
  </sheetPr>
  <dimension ref="A1:AA43"/>
  <sheetViews>
    <sheetView showGridLines="0" zoomScale="80" zoomScaleNormal="80" workbookViewId="0">
      <selection activeCell="S57" sqref="S57"/>
    </sheetView>
  </sheetViews>
  <sheetFormatPr defaultColWidth="9.1796875" defaultRowHeight="12.5" outlineLevelCol="1"/>
  <cols>
    <col min="1" max="1" width="2.1796875" style="279" customWidth="1"/>
    <col min="2" max="2" width="41.54296875" style="277" bestFit="1" customWidth="1"/>
    <col min="3" max="3" width="2.1796875" style="361" customWidth="1"/>
    <col min="4" max="7" width="9.1796875" style="277" hidden="1" customWidth="1" outlineLevel="1"/>
    <col min="8" max="13" width="12.453125" style="277" hidden="1" customWidth="1" outlineLevel="1"/>
    <col min="14" max="14" width="12.453125" style="277" hidden="1" customWidth="1" collapsed="1"/>
    <col min="15" max="17" width="12.453125" style="277" hidden="1" customWidth="1"/>
    <col min="18" max="23" width="12.453125" style="277" customWidth="1"/>
    <col min="24" max="16384" width="9.1796875" style="361"/>
  </cols>
  <sheetData>
    <row r="1" spans="1:24">
      <c r="B1" s="294"/>
    </row>
    <row r="2" spans="1:24">
      <c r="B2" s="294"/>
    </row>
    <row r="3" spans="1:24">
      <c r="B3" s="294"/>
    </row>
    <row r="4" spans="1:24">
      <c r="B4" s="295"/>
    </row>
    <row r="5" spans="1:24" ht="13">
      <c r="B5" s="296"/>
      <c r="M5" s="297"/>
    </row>
    <row r="6" spans="1:24" ht="13">
      <c r="B6" s="363"/>
    </row>
    <row r="7" spans="1:24" ht="14">
      <c r="A7" s="364"/>
      <c r="B7" s="365" t="s">
        <v>83</v>
      </c>
      <c r="D7" s="366" t="s">
        <v>96</v>
      </c>
      <c r="E7" s="366" t="s">
        <v>97</v>
      </c>
      <c r="F7" s="366" t="s">
        <v>98</v>
      </c>
      <c r="G7" s="366" t="s">
        <v>99</v>
      </c>
      <c r="H7" s="366">
        <v>2021</v>
      </c>
      <c r="I7" s="366" t="s">
        <v>100</v>
      </c>
      <c r="J7" s="366" t="s">
        <v>101</v>
      </c>
      <c r="K7" s="366" t="s">
        <v>342</v>
      </c>
      <c r="L7" s="366" t="s">
        <v>348</v>
      </c>
      <c r="M7" s="366">
        <v>2022</v>
      </c>
      <c r="N7" s="366" t="s">
        <v>363</v>
      </c>
      <c r="O7" s="366" t="s">
        <v>392</v>
      </c>
      <c r="P7" s="366" t="s">
        <v>404</v>
      </c>
      <c r="Q7" s="366" t="s">
        <v>405</v>
      </c>
      <c r="R7" s="366">
        <v>2023</v>
      </c>
      <c r="S7" s="366" t="s">
        <v>478</v>
      </c>
      <c r="T7" s="366" t="s">
        <v>483</v>
      </c>
      <c r="U7" s="366" t="s">
        <v>488</v>
      </c>
      <c r="V7" s="366" t="s">
        <v>490</v>
      </c>
      <c r="W7" s="366">
        <v>2024</v>
      </c>
    </row>
    <row r="8" spans="1:24" ht="14">
      <c r="B8" s="367" t="s">
        <v>375</v>
      </c>
      <c r="D8" s="367"/>
      <c r="E8" s="367"/>
      <c r="F8" s="367"/>
      <c r="G8" s="367"/>
      <c r="H8" s="367"/>
      <c r="I8" s="367"/>
      <c r="J8" s="367"/>
      <c r="K8" s="367"/>
      <c r="L8" s="367"/>
      <c r="M8" s="367"/>
      <c r="N8" s="367"/>
      <c r="O8" s="367"/>
      <c r="P8" s="367"/>
      <c r="Q8" s="367"/>
      <c r="R8" s="367"/>
      <c r="S8" s="367"/>
      <c r="T8" s="367"/>
      <c r="U8" s="367"/>
      <c r="V8" s="367"/>
      <c r="W8" s="367"/>
    </row>
    <row r="9" spans="1:24" ht="14">
      <c r="B9" s="368" t="s">
        <v>376</v>
      </c>
      <c r="C9" s="369"/>
      <c r="D9" s="370">
        <v>200</v>
      </c>
      <c r="E9" s="370">
        <v>200</v>
      </c>
      <c r="F9" s="370">
        <v>200</v>
      </c>
      <c r="G9" s="370">
        <v>200</v>
      </c>
      <c r="H9" s="371">
        <f>SUM(D9:G9)</f>
        <v>800</v>
      </c>
      <c r="I9" s="370">
        <v>200</v>
      </c>
      <c r="J9" s="370">
        <v>200</v>
      </c>
      <c r="K9" s="370">
        <v>200</v>
      </c>
      <c r="L9" s="370">
        <v>200</v>
      </c>
      <c r="M9" s="371">
        <f>SUM(I9:L9)</f>
        <v>800</v>
      </c>
      <c r="N9" s="370">
        <v>200</v>
      </c>
      <c r="O9" s="370">
        <v>200</v>
      </c>
      <c r="P9" s="370">
        <v>200</v>
      </c>
      <c r="Q9" s="370">
        <v>200</v>
      </c>
      <c r="R9" s="371">
        <f>SUM(N9:Q9)</f>
        <v>800</v>
      </c>
      <c r="S9" s="399">
        <v>200</v>
      </c>
      <c r="T9" s="399">
        <v>200</v>
      </c>
      <c r="U9" s="399">
        <v>200</v>
      </c>
      <c r="V9" s="399">
        <v>200</v>
      </c>
      <c r="W9" s="371">
        <f>SUM(S9:V9)</f>
        <v>800</v>
      </c>
    </row>
    <row r="10" spans="1:24" ht="14">
      <c r="B10" s="368" t="s">
        <v>377</v>
      </c>
      <c r="C10" s="369"/>
      <c r="D10" s="370">
        <v>90</v>
      </c>
      <c r="E10" s="370">
        <v>90</v>
      </c>
      <c r="F10" s="370">
        <v>90</v>
      </c>
      <c r="G10" s="370">
        <v>90</v>
      </c>
      <c r="H10" s="371">
        <f>SUM(D10:G10)</f>
        <v>360</v>
      </c>
      <c r="I10" s="370">
        <v>94</v>
      </c>
      <c r="J10" s="370">
        <v>94</v>
      </c>
      <c r="K10" s="370">
        <v>94</v>
      </c>
      <c r="L10" s="370">
        <v>94</v>
      </c>
      <c r="M10" s="371">
        <f>SUM(I10:L10)</f>
        <v>376</v>
      </c>
      <c r="N10" s="370">
        <v>94</v>
      </c>
      <c r="O10" s="370">
        <v>94</v>
      </c>
      <c r="P10" s="370">
        <v>94</v>
      </c>
      <c r="Q10" s="370">
        <v>94</v>
      </c>
      <c r="R10" s="371">
        <f>SUM(N10:Q10)</f>
        <v>376</v>
      </c>
      <c r="S10" s="399">
        <v>94</v>
      </c>
      <c r="T10" s="399">
        <v>94</v>
      </c>
      <c r="U10" s="399">
        <v>94</v>
      </c>
      <c r="V10" s="370">
        <v>94</v>
      </c>
      <c r="W10" s="371">
        <f t="shared" ref="W10:W13" si="0">SUM(S10:V10)</f>
        <v>376</v>
      </c>
      <c r="X10" s="372"/>
    </row>
    <row r="11" spans="1:24" ht="14">
      <c r="B11" s="368" t="s">
        <v>378</v>
      </c>
      <c r="C11" s="369"/>
      <c r="D11" s="370">
        <v>129.60000000000002</v>
      </c>
      <c r="E11" s="370">
        <v>129.60000000000002</v>
      </c>
      <c r="F11" s="370">
        <v>129.60000000000002</v>
      </c>
      <c r="G11" s="370">
        <v>129.60000000000002</v>
      </c>
      <c r="H11" s="371">
        <f t="shared" ref="H11:H13" si="1">SUM(D11:G11)</f>
        <v>518.40000000000009</v>
      </c>
      <c r="I11" s="370">
        <v>129.60000000000002</v>
      </c>
      <c r="J11" s="370">
        <v>129.60000000000002</v>
      </c>
      <c r="K11" s="370">
        <v>129.60000000000002</v>
      </c>
      <c r="L11" s="370">
        <v>129.60000000000002</v>
      </c>
      <c r="M11" s="371">
        <f t="shared" ref="M11:M13" si="2">SUM(I11:L11)</f>
        <v>518.40000000000009</v>
      </c>
      <c r="N11" s="370">
        <v>129.33287671232881</v>
      </c>
      <c r="O11" s="370">
        <v>129.54657534246579</v>
      </c>
      <c r="P11" s="370">
        <v>129.54657534246579</v>
      </c>
      <c r="Q11" s="370">
        <v>129.54657534246579</v>
      </c>
      <c r="R11" s="371">
        <f t="shared" ref="R11:R13" si="3">SUM(N11:Q11)</f>
        <v>517.97260273972609</v>
      </c>
      <c r="S11" s="399">
        <v>129.54657534246579</v>
      </c>
      <c r="T11" s="399">
        <v>129.54657534246579</v>
      </c>
      <c r="U11" s="399">
        <v>129.54657534246579</v>
      </c>
      <c r="V11" s="370">
        <v>129.54657534246579</v>
      </c>
      <c r="W11" s="371">
        <f t="shared" si="0"/>
        <v>518.18630136986314</v>
      </c>
    </row>
    <row r="12" spans="1:24" ht="14">
      <c r="B12" s="368" t="s">
        <v>379</v>
      </c>
      <c r="C12" s="369"/>
      <c r="D12" s="370">
        <v>55</v>
      </c>
      <c r="E12" s="370">
        <v>55</v>
      </c>
      <c r="F12" s="370">
        <v>55</v>
      </c>
      <c r="G12" s="370">
        <v>55</v>
      </c>
      <c r="H12" s="371">
        <f t="shared" si="1"/>
        <v>220</v>
      </c>
      <c r="I12" s="370">
        <v>55</v>
      </c>
      <c r="J12" s="370">
        <v>55</v>
      </c>
      <c r="K12" s="370">
        <v>55</v>
      </c>
      <c r="L12" s="370">
        <v>55</v>
      </c>
      <c r="M12" s="371">
        <f t="shared" si="2"/>
        <v>220</v>
      </c>
      <c r="N12" s="370">
        <v>53.75</v>
      </c>
      <c r="O12" s="370">
        <v>53.75</v>
      </c>
      <c r="P12" s="370">
        <v>53.75</v>
      </c>
      <c r="Q12" s="370">
        <v>53.75</v>
      </c>
      <c r="R12" s="371">
        <f t="shared" si="3"/>
        <v>215</v>
      </c>
      <c r="S12" s="399">
        <v>53.75</v>
      </c>
      <c r="T12" s="399">
        <v>53.75</v>
      </c>
      <c r="U12" s="399">
        <v>53.75</v>
      </c>
      <c r="V12" s="370">
        <v>53.75</v>
      </c>
      <c r="W12" s="371">
        <f t="shared" si="0"/>
        <v>215</v>
      </c>
    </row>
    <row r="13" spans="1:24" ht="14">
      <c r="B13" s="368" t="s">
        <v>380</v>
      </c>
      <c r="C13" s="369"/>
      <c r="D13" s="370">
        <v>59.149999999999963</v>
      </c>
      <c r="E13" s="370">
        <v>59.149999999999963</v>
      </c>
      <c r="F13" s="370">
        <v>59.149999999999963</v>
      </c>
      <c r="G13" s="370">
        <v>59.149999999999963</v>
      </c>
      <c r="H13" s="371">
        <f t="shared" si="1"/>
        <v>236.59999999999985</v>
      </c>
      <c r="I13" s="370">
        <v>74.5</v>
      </c>
      <c r="J13" s="370">
        <v>74.5</v>
      </c>
      <c r="K13" s="370">
        <v>74.5</v>
      </c>
      <c r="L13" s="370">
        <v>74.5</v>
      </c>
      <c r="M13" s="371">
        <f t="shared" si="2"/>
        <v>298</v>
      </c>
      <c r="N13" s="370">
        <v>74.399999999999963</v>
      </c>
      <c r="O13" s="370">
        <v>74.399999999999963</v>
      </c>
      <c r="P13" s="370">
        <v>74.399999999999963</v>
      </c>
      <c r="Q13" s="370">
        <v>74.399999999999963</v>
      </c>
      <c r="R13" s="371">
        <f t="shared" si="3"/>
        <v>297.59999999999985</v>
      </c>
      <c r="S13" s="370">
        <v>74.399999999999963</v>
      </c>
      <c r="T13" s="370">
        <v>74.399999999999963</v>
      </c>
      <c r="U13" s="370">
        <v>74.399999999999963</v>
      </c>
      <c r="V13" s="370">
        <v>74.399999999999963</v>
      </c>
      <c r="W13" s="371">
        <f t="shared" si="0"/>
        <v>297.59999999999985</v>
      </c>
      <c r="X13" s="372"/>
    </row>
    <row r="14" spans="1:24">
      <c r="D14" s="373"/>
      <c r="E14" s="373"/>
      <c r="F14" s="373"/>
      <c r="G14" s="373"/>
      <c r="H14" s="373"/>
      <c r="I14" s="373"/>
      <c r="J14" s="373"/>
      <c r="K14" s="373"/>
      <c r="L14" s="373"/>
      <c r="M14" s="373"/>
      <c r="N14" s="373"/>
      <c r="O14" s="373"/>
      <c r="P14" s="373"/>
      <c r="Q14" s="373"/>
      <c r="R14" s="373"/>
      <c r="S14" s="373"/>
      <c r="T14" s="373"/>
      <c r="U14" s="373"/>
      <c r="V14" s="373"/>
      <c r="W14" s="373"/>
    </row>
    <row r="15" spans="1:24" ht="14">
      <c r="A15" s="364"/>
      <c r="B15" s="365" t="s">
        <v>83</v>
      </c>
      <c r="D15" s="366" t="s">
        <v>96</v>
      </c>
      <c r="E15" s="366" t="s">
        <v>97</v>
      </c>
      <c r="F15" s="366" t="s">
        <v>98</v>
      </c>
      <c r="G15" s="366" t="s">
        <v>99</v>
      </c>
      <c r="H15" s="366">
        <v>2021</v>
      </c>
      <c r="I15" s="366" t="s">
        <v>100</v>
      </c>
      <c r="J15" s="366" t="s">
        <v>101</v>
      </c>
      <c r="K15" s="366" t="s">
        <v>342</v>
      </c>
      <c r="L15" s="366" t="s">
        <v>348</v>
      </c>
      <c r="M15" s="366">
        <v>2022</v>
      </c>
      <c r="N15" s="366" t="s">
        <v>363</v>
      </c>
      <c r="O15" s="366" t="s">
        <v>392</v>
      </c>
      <c r="P15" s="366" t="s">
        <v>404</v>
      </c>
      <c r="Q15" s="366" t="s">
        <v>405</v>
      </c>
      <c r="R15" s="366">
        <v>2023</v>
      </c>
      <c r="S15" s="366" t="s">
        <v>478</v>
      </c>
      <c r="T15" s="366" t="s">
        <v>483</v>
      </c>
      <c r="U15" s="366" t="str">
        <f>$U$7</f>
        <v>3T24</v>
      </c>
      <c r="V15" s="366" t="s">
        <v>490</v>
      </c>
      <c r="W15" s="366">
        <v>2024</v>
      </c>
    </row>
    <row r="16" spans="1:24" ht="14">
      <c r="B16" s="367" t="s">
        <v>381</v>
      </c>
      <c r="D16" s="367"/>
      <c r="E16" s="367"/>
      <c r="F16" s="367"/>
      <c r="G16" s="367"/>
      <c r="H16" s="367"/>
      <c r="I16" s="367"/>
      <c r="J16" s="367"/>
      <c r="K16" s="367"/>
      <c r="L16" s="367"/>
      <c r="M16" s="367"/>
      <c r="N16" s="367"/>
      <c r="O16" s="367"/>
      <c r="P16" s="367"/>
      <c r="Q16" s="367"/>
      <c r="R16" s="367"/>
      <c r="S16" s="367"/>
      <c r="T16" s="367"/>
      <c r="U16" s="367"/>
      <c r="V16" s="367"/>
      <c r="W16" s="367"/>
    </row>
    <row r="17" spans="1:27" ht="14">
      <c r="B17" s="368" t="s">
        <v>376</v>
      </c>
      <c r="C17" s="369"/>
      <c r="D17" s="370">
        <v>192.7</v>
      </c>
      <c r="E17" s="370">
        <v>182.48599999999999</v>
      </c>
      <c r="F17" s="370">
        <v>184.482</v>
      </c>
      <c r="G17" s="370">
        <v>184.57499999999999</v>
      </c>
      <c r="H17" s="371">
        <f>SUM(D17:G17)</f>
        <v>744.24299999999994</v>
      </c>
      <c r="I17" s="370">
        <v>182.44499999999999</v>
      </c>
      <c r="J17" s="370">
        <v>187.43799999999999</v>
      </c>
      <c r="K17" s="370">
        <v>196.18</v>
      </c>
      <c r="L17" s="374">
        <v>167.505</v>
      </c>
      <c r="M17" s="371">
        <f>SUM(I17:L17)</f>
        <v>733.56799999999998</v>
      </c>
      <c r="N17" s="370">
        <v>190.185</v>
      </c>
      <c r="O17" s="370">
        <v>184</v>
      </c>
      <c r="P17" s="370">
        <v>179</v>
      </c>
      <c r="Q17" s="370">
        <v>185</v>
      </c>
      <c r="R17" s="371">
        <f>SUM(N17:Q17)</f>
        <v>738.18499999999995</v>
      </c>
      <c r="S17" s="399">
        <v>184</v>
      </c>
      <c r="T17" s="399">
        <v>189</v>
      </c>
      <c r="U17" s="399">
        <v>189</v>
      </c>
      <c r="V17" s="370">
        <v>192.25</v>
      </c>
      <c r="W17" s="371">
        <f>SUM(S17:V17)</f>
        <v>754.25</v>
      </c>
    </row>
    <row r="18" spans="1:27" ht="14">
      <c r="B18" s="368" t="s">
        <v>377</v>
      </c>
      <c r="C18" s="369"/>
      <c r="D18" s="370">
        <v>84.548930001000002</v>
      </c>
      <c r="E18" s="370">
        <v>86.888590002000001</v>
      </c>
      <c r="F18" s="370">
        <v>87.091770006000004</v>
      </c>
      <c r="G18" s="370">
        <v>86.400676505999996</v>
      </c>
      <c r="H18" s="371">
        <f t="shared" ref="H18:H21" si="4">SUM(D18:G18)</f>
        <v>344.92996651500005</v>
      </c>
      <c r="I18" s="370">
        <v>83.667260000000013</v>
      </c>
      <c r="J18" s="370">
        <v>85.175390499999992</v>
      </c>
      <c r="K18" s="399">
        <v>91.339854502999998</v>
      </c>
      <c r="L18" s="370">
        <v>87.168257002999894</v>
      </c>
      <c r="M18" s="371">
        <f t="shared" ref="M18:M21" si="5">SUM(I18:L18)</f>
        <v>347.35076200599985</v>
      </c>
      <c r="N18" s="370">
        <v>79</v>
      </c>
      <c r="O18" s="370">
        <v>80</v>
      </c>
      <c r="P18" s="370">
        <v>83.937839999999994</v>
      </c>
      <c r="Q18" s="370">
        <v>87</v>
      </c>
      <c r="R18" s="371">
        <f t="shared" ref="R18:R21" si="6">SUM(N18:Q18)</f>
        <v>329.93783999999999</v>
      </c>
      <c r="S18" s="399">
        <v>88</v>
      </c>
      <c r="T18" s="399">
        <v>91</v>
      </c>
      <c r="U18" s="399">
        <v>93</v>
      </c>
      <c r="V18" s="370">
        <v>93.367080000000001</v>
      </c>
      <c r="W18" s="371">
        <f t="shared" ref="W18:W21" si="7">SUM(S18:V18)</f>
        <v>365.36707999999999</v>
      </c>
      <c r="X18" s="372"/>
    </row>
    <row r="19" spans="1:27" ht="14">
      <c r="B19" s="368" t="s">
        <v>378</v>
      </c>
      <c r="C19" s="369"/>
      <c r="D19" s="374">
        <v>90.296617000000012</v>
      </c>
      <c r="E19" s="374">
        <v>90.672048999999987</v>
      </c>
      <c r="F19" s="374">
        <v>90.663606000000001</v>
      </c>
      <c r="G19" s="374">
        <v>90.474244000000013</v>
      </c>
      <c r="H19" s="371">
        <f t="shared" si="4"/>
        <v>362.106516</v>
      </c>
      <c r="I19" s="374">
        <v>86.359637000000021</v>
      </c>
      <c r="J19" s="374">
        <v>87.047460999999998</v>
      </c>
      <c r="K19" s="374">
        <v>93.176201000000006</v>
      </c>
      <c r="L19" s="374">
        <v>90.827029000000024</v>
      </c>
      <c r="M19" s="371">
        <f t="shared" si="5"/>
        <v>357.41032800000005</v>
      </c>
      <c r="N19" s="374">
        <v>87.271220000000014</v>
      </c>
      <c r="O19" s="398">
        <v>89</v>
      </c>
      <c r="P19" s="398">
        <v>89.071719000000002</v>
      </c>
      <c r="Q19" s="398">
        <v>96</v>
      </c>
      <c r="R19" s="371">
        <f t="shared" si="6"/>
        <v>361.342939</v>
      </c>
      <c r="S19" s="398">
        <v>100</v>
      </c>
      <c r="T19" s="398">
        <v>96</v>
      </c>
      <c r="U19" s="398">
        <v>96</v>
      </c>
      <c r="V19" s="370">
        <v>98.990000000000009</v>
      </c>
      <c r="W19" s="371">
        <f t="shared" si="7"/>
        <v>390.99</v>
      </c>
    </row>
    <row r="20" spans="1:27" ht="14">
      <c r="B20" s="368" t="s">
        <v>379</v>
      </c>
      <c r="C20" s="375"/>
      <c r="D20" s="370">
        <v>39.201650000000001</v>
      </c>
      <c r="E20" s="370">
        <v>39.276492817000005</v>
      </c>
      <c r="F20" s="370">
        <v>38.757241487000002</v>
      </c>
      <c r="G20" s="370">
        <v>36.500897819000002</v>
      </c>
      <c r="H20" s="371">
        <f t="shared" si="4"/>
        <v>153.73628212300002</v>
      </c>
      <c r="I20" s="370">
        <v>34.168492082999997</v>
      </c>
      <c r="J20" s="370">
        <v>35.296938220000001</v>
      </c>
      <c r="K20" s="370">
        <v>34.975480656000002</v>
      </c>
      <c r="L20" s="370">
        <v>33.842385579000002</v>
      </c>
      <c r="M20" s="371">
        <f t="shared" si="5"/>
        <v>138.283296538</v>
      </c>
      <c r="N20" s="374">
        <v>35</v>
      </c>
      <c r="O20" s="398">
        <v>33</v>
      </c>
      <c r="P20" s="398">
        <v>31.308</v>
      </c>
      <c r="Q20" s="398">
        <v>31</v>
      </c>
      <c r="R20" s="371">
        <f t="shared" si="6"/>
        <v>130.30799999999999</v>
      </c>
      <c r="S20" s="398">
        <v>32</v>
      </c>
      <c r="T20" s="398">
        <v>33</v>
      </c>
      <c r="U20" s="398">
        <v>33</v>
      </c>
      <c r="V20" s="370">
        <v>35.112000000000002</v>
      </c>
      <c r="W20" s="371">
        <f t="shared" si="7"/>
        <v>133.11199999999999</v>
      </c>
    </row>
    <row r="21" spans="1:27" ht="14">
      <c r="B21" s="368" t="s">
        <v>380</v>
      </c>
      <c r="C21" s="369"/>
      <c r="D21" s="370">
        <v>44.784945651612276</v>
      </c>
      <c r="E21" s="370">
        <v>49.820642551360066</v>
      </c>
      <c r="F21" s="370">
        <v>47.607908267587781</v>
      </c>
      <c r="G21" s="370">
        <v>50.225825052398505</v>
      </c>
      <c r="H21" s="371">
        <f t="shared" si="4"/>
        <v>192.43932152295864</v>
      </c>
      <c r="I21" s="370">
        <v>46.848014079306054</v>
      </c>
      <c r="J21" s="370">
        <v>42.291677973024875</v>
      </c>
      <c r="K21" s="370">
        <v>45.481106363227298</v>
      </c>
      <c r="L21" s="370">
        <v>44.468638725359838</v>
      </c>
      <c r="M21" s="371">
        <f t="shared" si="5"/>
        <v>179.08943714091805</v>
      </c>
      <c r="N21" s="370">
        <v>41.559602659939301</v>
      </c>
      <c r="O21" s="399">
        <v>39</v>
      </c>
      <c r="P21" s="399">
        <v>39.169999999999995</v>
      </c>
      <c r="Q21" s="399">
        <v>37</v>
      </c>
      <c r="R21" s="371">
        <f t="shared" si="6"/>
        <v>156.7296026599393</v>
      </c>
      <c r="S21" s="399">
        <v>35</v>
      </c>
      <c r="T21" s="399">
        <v>45</v>
      </c>
      <c r="U21" s="399">
        <v>45</v>
      </c>
      <c r="V21" s="370">
        <v>42.977049999999998</v>
      </c>
      <c r="W21" s="371">
        <f t="shared" si="7"/>
        <v>167.97704999999999</v>
      </c>
    </row>
    <row r="23" spans="1:27" ht="14">
      <c r="B23" s="365" t="s">
        <v>382</v>
      </c>
      <c r="D23" s="366" t="s">
        <v>96</v>
      </c>
      <c r="E23" s="366" t="s">
        <v>97</v>
      </c>
      <c r="F23" s="366" t="s">
        <v>98</v>
      </c>
      <c r="G23" s="366" t="s">
        <v>99</v>
      </c>
      <c r="H23" s="366">
        <v>2021</v>
      </c>
      <c r="I23" s="366" t="s">
        <v>100</v>
      </c>
      <c r="J23" s="366" t="s">
        <v>101</v>
      </c>
      <c r="K23" s="366" t="s">
        <v>342</v>
      </c>
      <c r="L23" s="366" t="s">
        <v>348</v>
      </c>
      <c r="M23" s="366">
        <v>2022</v>
      </c>
      <c r="N23" s="366" t="s">
        <v>363</v>
      </c>
      <c r="O23" s="366" t="s">
        <v>392</v>
      </c>
      <c r="P23" s="366" t="s">
        <v>404</v>
      </c>
      <c r="Q23" s="366" t="s">
        <v>405</v>
      </c>
      <c r="R23" s="366">
        <v>2023</v>
      </c>
      <c r="S23" s="366" t="s">
        <v>478</v>
      </c>
      <c r="T23" s="366" t="s">
        <v>483</v>
      </c>
      <c r="U23" s="366" t="str">
        <f>$U$7</f>
        <v>3T24</v>
      </c>
      <c r="V23" s="366" t="s">
        <v>490</v>
      </c>
      <c r="W23" s="366">
        <v>2024</v>
      </c>
    </row>
    <row r="24" spans="1:27" ht="14">
      <c r="B24" s="367" t="s">
        <v>383</v>
      </c>
      <c r="D24" s="367"/>
      <c r="E24" s="367"/>
      <c r="F24" s="367"/>
      <c r="G24" s="367"/>
      <c r="H24" s="367"/>
      <c r="I24" s="367"/>
      <c r="J24" s="367"/>
      <c r="K24" s="367"/>
      <c r="L24" s="367"/>
      <c r="M24" s="367"/>
      <c r="N24" s="367"/>
      <c r="O24" s="367"/>
      <c r="P24" s="367"/>
      <c r="Q24" s="367"/>
      <c r="R24" s="367"/>
      <c r="S24" s="367"/>
      <c r="T24" s="367"/>
      <c r="U24" s="367"/>
      <c r="V24" s="367"/>
      <c r="W24" s="367"/>
    </row>
    <row r="25" spans="1:27" s="362" customFormat="1" ht="14">
      <c r="A25" s="279"/>
      <c r="B25" s="368" t="s">
        <v>376</v>
      </c>
      <c r="C25" s="361"/>
      <c r="D25" s="376">
        <f t="shared" ref="D25:M25" si="8">D17/D9</f>
        <v>0.96349999999999991</v>
      </c>
      <c r="E25" s="376">
        <f t="shared" si="8"/>
        <v>0.91242999999999996</v>
      </c>
      <c r="F25" s="376">
        <f t="shared" si="8"/>
        <v>0.92240999999999995</v>
      </c>
      <c r="G25" s="376">
        <f t="shared" si="8"/>
        <v>0.92287499999999989</v>
      </c>
      <c r="H25" s="377">
        <f t="shared" si="8"/>
        <v>0.93030374999999987</v>
      </c>
      <c r="I25" s="376">
        <f t="shared" si="8"/>
        <v>0.91222499999999995</v>
      </c>
      <c r="J25" s="376">
        <f t="shared" si="8"/>
        <v>0.93718999999999997</v>
      </c>
      <c r="K25" s="376">
        <f t="shared" si="8"/>
        <v>0.98089999999999999</v>
      </c>
      <c r="L25" s="376">
        <f t="shared" si="8"/>
        <v>0.83752499999999996</v>
      </c>
      <c r="M25" s="377">
        <f t="shared" si="8"/>
        <v>0.91696</v>
      </c>
      <c r="N25" s="376">
        <f t="shared" ref="N25:W25" si="9">N17/N9</f>
        <v>0.95092500000000002</v>
      </c>
      <c r="O25" s="376">
        <f t="shared" si="9"/>
        <v>0.92</v>
      </c>
      <c r="P25" s="376">
        <f t="shared" si="9"/>
        <v>0.89500000000000002</v>
      </c>
      <c r="Q25" s="376">
        <f t="shared" si="9"/>
        <v>0.92500000000000004</v>
      </c>
      <c r="R25" s="377">
        <f t="shared" si="9"/>
        <v>0.92273124999999989</v>
      </c>
      <c r="S25" s="376">
        <f t="shared" si="9"/>
        <v>0.92</v>
      </c>
      <c r="T25" s="376">
        <f t="shared" si="9"/>
        <v>0.94499999999999995</v>
      </c>
      <c r="U25" s="376">
        <f t="shared" si="9"/>
        <v>0.94499999999999995</v>
      </c>
      <c r="V25" s="376">
        <f t="shared" si="9"/>
        <v>0.96125000000000005</v>
      </c>
      <c r="W25" s="377">
        <f t="shared" si="9"/>
        <v>0.94281250000000005</v>
      </c>
      <c r="X25" s="361"/>
      <c r="Y25" s="361"/>
      <c r="Z25" s="361"/>
      <c r="AA25" s="361"/>
    </row>
    <row r="26" spans="1:27" s="362" customFormat="1" ht="14">
      <c r="A26" s="279"/>
      <c r="B26" s="368" t="s">
        <v>377</v>
      </c>
      <c r="C26" s="361"/>
      <c r="D26" s="376">
        <f t="shared" ref="D26:M26" si="10">D18/D10</f>
        <v>0.93943255556666672</v>
      </c>
      <c r="E26" s="376">
        <f t="shared" si="10"/>
        <v>0.96542877780000003</v>
      </c>
      <c r="F26" s="376">
        <f t="shared" si="10"/>
        <v>0.9676863334000001</v>
      </c>
      <c r="G26" s="376">
        <f t="shared" si="10"/>
        <v>0.96000751673333329</v>
      </c>
      <c r="H26" s="377">
        <f t="shared" si="10"/>
        <v>0.95813879587500017</v>
      </c>
      <c r="I26" s="376">
        <f t="shared" si="10"/>
        <v>0.89007723404255334</v>
      </c>
      <c r="J26" s="376">
        <f t="shared" si="10"/>
        <v>0.90612117553191485</v>
      </c>
      <c r="K26" s="376">
        <f t="shared" si="10"/>
        <v>0.97170057981914892</v>
      </c>
      <c r="L26" s="376">
        <f t="shared" si="10"/>
        <v>0.92732188301063723</v>
      </c>
      <c r="M26" s="377">
        <f t="shared" si="10"/>
        <v>0.92380521810106342</v>
      </c>
      <c r="N26" s="376">
        <f t="shared" ref="N26:W26" si="11">N18/N10</f>
        <v>0.84042553191489366</v>
      </c>
      <c r="O26" s="376">
        <f t="shared" si="11"/>
        <v>0.85106382978723405</v>
      </c>
      <c r="P26" s="376">
        <f t="shared" si="11"/>
        <v>0.89295574468085104</v>
      </c>
      <c r="Q26" s="376">
        <f t="shared" si="11"/>
        <v>0.92553191489361697</v>
      </c>
      <c r="R26" s="377">
        <f t="shared" si="11"/>
        <v>0.87749425531914893</v>
      </c>
      <c r="S26" s="376">
        <f t="shared" si="11"/>
        <v>0.93617021276595747</v>
      </c>
      <c r="T26" s="376">
        <f t="shared" si="11"/>
        <v>0.96808510638297873</v>
      </c>
      <c r="U26" s="376">
        <f t="shared" si="11"/>
        <v>0.98936170212765961</v>
      </c>
      <c r="V26" s="376">
        <f t="shared" si="11"/>
        <v>0.99326680851063831</v>
      </c>
      <c r="W26" s="377">
        <f t="shared" si="11"/>
        <v>0.97172095744680853</v>
      </c>
      <c r="X26" s="361"/>
      <c r="Y26" s="361"/>
      <c r="Z26" s="361"/>
      <c r="AA26" s="361"/>
    </row>
    <row r="27" spans="1:27" s="362" customFormat="1" ht="14">
      <c r="A27" s="279"/>
      <c r="B27" s="368" t="s">
        <v>378</v>
      </c>
      <c r="C27" s="361"/>
      <c r="D27" s="376">
        <f t="shared" ref="D27:M27" si="12">D19/D11</f>
        <v>0.69673315586419748</v>
      </c>
      <c r="E27" s="376">
        <f t="shared" si="12"/>
        <v>0.69963000771604911</v>
      </c>
      <c r="F27" s="376">
        <f t="shared" si="12"/>
        <v>0.69956486111111105</v>
      </c>
      <c r="G27" s="376">
        <f t="shared" si="12"/>
        <v>0.6981037345679012</v>
      </c>
      <c r="H27" s="377">
        <f t="shared" si="12"/>
        <v>0.69850793981481474</v>
      </c>
      <c r="I27" s="376">
        <f t="shared" si="12"/>
        <v>0.6663552237654321</v>
      </c>
      <c r="J27" s="376">
        <f t="shared" si="12"/>
        <v>0.6716625077160493</v>
      </c>
      <c r="K27" s="376">
        <f t="shared" si="12"/>
        <v>0.71895216820987651</v>
      </c>
      <c r="L27" s="376">
        <f t="shared" si="12"/>
        <v>0.70082584104938284</v>
      </c>
      <c r="M27" s="377">
        <f t="shared" si="12"/>
        <v>0.68944893518518513</v>
      </c>
      <c r="N27" s="376">
        <f t="shared" ref="N27:W27" si="13">N19/N11</f>
        <v>0.67477985658754613</v>
      </c>
      <c r="O27" s="376">
        <f t="shared" si="13"/>
        <v>0.68701159999577011</v>
      </c>
      <c r="P27" s="376">
        <f t="shared" si="13"/>
        <v>0.68756521555689476</v>
      </c>
      <c r="Q27" s="376">
        <f t="shared" si="13"/>
        <v>0.74104622022015654</v>
      </c>
      <c r="R27" s="377">
        <f t="shared" si="13"/>
        <v>0.69761013823653861</v>
      </c>
      <c r="S27" s="376">
        <f t="shared" si="13"/>
        <v>0.77192314606266299</v>
      </c>
      <c r="T27" s="376">
        <f t="shared" si="13"/>
        <v>0.74104622022015654</v>
      </c>
      <c r="U27" s="376">
        <f t="shared" si="13"/>
        <v>0.74104622022015654</v>
      </c>
      <c r="V27" s="376">
        <f t="shared" si="13"/>
        <v>0.76412672228743017</v>
      </c>
      <c r="W27" s="377">
        <f t="shared" si="13"/>
        <v>0.75453557719760156</v>
      </c>
      <c r="X27" s="361"/>
      <c r="Y27" s="361"/>
      <c r="Z27" s="361"/>
      <c r="AA27" s="361"/>
    </row>
    <row r="28" spans="1:27" s="362" customFormat="1" ht="14">
      <c r="A28" s="279"/>
      <c r="B28" s="368" t="s">
        <v>379</v>
      </c>
      <c r="C28" s="361"/>
      <c r="D28" s="378">
        <f t="shared" ref="D28:M28" si="14">D20/D12</f>
        <v>0.71275727272727274</v>
      </c>
      <c r="E28" s="378">
        <f t="shared" si="14"/>
        <v>0.71411805121818195</v>
      </c>
      <c r="F28" s="378">
        <f t="shared" si="14"/>
        <v>0.70467711794545462</v>
      </c>
      <c r="G28" s="378">
        <f t="shared" si="14"/>
        <v>0.66365268761818186</v>
      </c>
      <c r="H28" s="377">
        <f t="shared" si="14"/>
        <v>0.69880128237727279</v>
      </c>
      <c r="I28" s="378">
        <f t="shared" si="14"/>
        <v>0.62124531059999999</v>
      </c>
      <c r="J28" s="378">
        <f t="shared" si="14"/>
        <v>0.64176251309090915</v>
      </c>
      <c r="K28" s="378">
        <f t="shared" si="14"/>
        <v>0.63591783010909098</v>
      </c>
      <c r="L28" s="378">
        <f t="shared" si="14"/>
        <v>0.61531610143636362</v>
      </c>
      <c r="M28" s="377">
        <f t="shared" si="14"/>
        <v>0.62856043880909096</v>
      </c>
      <c r="N28" s="378">
        <f t="shared" ref="N28:W28" si="15">N20/N12</f>
        <v>0.65116279069767447</v>
      </c>
      <c r="O28" s="378">
        <f t="shared" si="15"/>
        <v>0.61395348837209307</v>
      </c>
      <c r="P28" s="378">
        <f t="shared" si="15"/>
        <v>0.58247441860465121</v>
      </c>
      <c r="Q28" s="378">
        <f t="shared" si="15"/>
        <v>0.57674418604651168</v>
      </c>
      <c r="R28" s="377">
        <f t="shared" si="15"/>
        <v>0.60608372093023255</v>
      </c>
      <c r="S28" s="378">
        <f t="shared" si="15"/>
        <v>0.59534883720930232</v>
      </c>
      <c r="T28" s="378">
        <f t="shared" si="15"/>
        <v>0.61395348837209307</v>
      </c>
      <c r="U28" s="378">
        <f t="shared" si="15"/>
        <v>0.61395348837209307</v>
      </c>
      <c r="V28" s="378">
        <f t="shared" si="15"/>
        <v>0.65324651162790703</v>
      </c>
      <c r="W28" s="377">
        <f t="shared" si="15"/>
        <v>0.61912558139534879</v>
      </c>
      <c r="X28" s="361"/>
      <c r="Y28" s="361"/>
      <c r="Z28" s="361"/>
      <c r="AA28" s="361"/>
    </row>
    <row r="29" spans="1:27" s="362" customFormat="1" ht="14">
      <c r="A29" s="279"/>
      <c r="B29" s="368" t="s">
        <v>380</v>
      </c>
      <c r="C29" s="361"/>
      <c r="D29" s="378">
        <f t="shared" ref="D29:M29" si="16">D21/D13</f>
        <v>0.75714193831973464</v>
      </c>
      <c r="E29" s="378">
        <f t="shared" si="16"/>
        <v>0.84227628996382242</v>
      </c>
      <c r="F29" s="378">
        <f t="shared" si="16"/>
        <v>0.80486742633284547</v>
      </c>
      <c r="G29" s="378">
        <f t="shared" si="16"/>
        <v>0.84912637451223227</v>
      </c>
      <c r="H29" s="377">
        <f t="shared" si="16"/>
        <v>0.81335300728215876</v>
      </c>
      <c r="I29" s="378">
        <f t="shared" si="16"/>
        <v>0.62883240374907456</v>
      </c>
      <c r="J29" s="378">
        <f t="shared" si="16"/>
        <v>0.56767352983926012</v>
      </c>
      <c r="K29" s="378">
        <f t="shared" si="16"/>
        <v>0.61048464917083622</v>
      </c>
      <c r="L29" s="378">
        <f t="shared" si="16"/>
        <v>0.59689447953503139</v>
      </c>
      <c r="M29" s="377">
        <f t="shared" si="16"/>
        <v>0.60097126557355052</v>
      </c>
      <c r="N29" s="378">
        <f t="shared" ref="N29:W29" si="17">N21/N13</f>
        <v>0.55859680994542105</v>
      </c>
      <c r="O29" s="378">
        <f t="shared" si="17"/>
        <v>0.52419354838709709</v>
      </c>
      <c r="P29" s="378">
        <f t="shared" si="17"/>
        <v>0.52647849462365615</v>
      </c>
      <c r="Q29" s="378">
        <f t="shared" si="17"/>
        <v>0.49731182795698947</v>
      </c>
      <c r="R29" s="377">
        <f t="shared" si="17"/>
        <v>0.52664517022829094</v>
      </c>
      <c r="S29" s="378">
        <f t="shared" si="17"/>
        <v>0.47043010752688197</v>
      </c>
      <c r="T29" s="378">
        <f t="shared" si="17"/>
        <v>0.60483870967741971</v>
      </c>
      <c r="U29" s="378">
        <f t="shared" si="17"/>
        <v>0.60483870967741971</v>
      </c>
      <c r="V29" s="378">
        <f t="shared" si="17"/>
        <v>0.5776485215053766</v>
      </c>
      <c r="W29" s="377">
        <f t="shared" si="17"/>
        <v>0.5644390120967745</v>
      </c>
      <c r="X29" s="379"/>
      <c r="Y29" s="361"/>
      <c r="Z29" s="361"/>
      <c r="AA29" s="361"/>
    </row>
    <row r="35" spans="1:27" s="277" customFormat="1">
      <c r="A35" s="279"/>
      <c r="C35" s="361"/>
      <c r="X35" s="361"/>
      <c r="Y35" s="361"/>
      <c r="Z35" s="361"/>
      <c r="AA35" s="361"/>
    </row>
    <row r="36" spans="1:27" s="277" customFormat="1">
      <c r="A36" s="279"/>
      <c r="C36" s="361"/>
      <c r="G36" s="302"/>
      <c r="X36" s="361"/>
      <c r="Y36" s="361"/>
      <c r="Z36" s="361"/>
      <c r="AA36" s="361"/>
    </row>
    <row r="37" spans="1:27" s="277" customFormat="1">
      <c r="A37" s="279"/>
      <c r="C37" s="361"/>
      <c r="G37" s="302"/>
      <c r="X37" s="361"/>
      <c r="Y37" s="361"/>
      <c r="Z37" s="361"/>
      <c r="AA37" s="361"/>
    </row>
    <row r="40" spans="1:27" s="277" customFormat="1">
      <c r="A40" s="279"/>
      <c r="C40" s="361"/>
      <c r="X40" s="361"/>
      <c r="Y40" s="361"/>
      <c r="Z40" s="361"/>
      <c r="AA40" s="361"/>
    </row>
    <row r="41" spans="1:27" s="277" customFormat="1">
      <c r="A41" s="279"/>
      <c r="C41" s="361"/>
      <c r="X41" s="361"/>
      <c r="Y41" s="361"/>
      <c r="Z41" s="361"/>
      <c r="AA41" s="361"/>
    </row>
    <row r="42" spans="1:27" s="277" customFormat="1">
      <c r="A42" s="279"/>
      <c r="C42" s="361"/>
      <c r="X42" s="361"/>
      <c r="Y42" s="361"/>
      <c r="Z42" s="361"/>
      <c r="AA42" s="361"/>
    </row>
    <row r="43" spans="1:27" s="277" customFormat="1">
      <c r="A43" s="279"/>
      <c r="C43" s="361"/>
      <c r="X43" s="361"/>
      <c r="Y43" s="361"/>
      <c r="Z43" s="361"/>
      <c r="AA43" s="361"/>
    </row>
  </sheetData>
  <pageMargins left="0.33" right="0.28999999999999998" top="0.984251969" bottom="0.984251969" header="0.49212598499999999" footer="0.49212598499999999"/>
  <pageSetup paperSize="9" orientation="landscape" r:id="rId1"/>
  <headerFooter alignWithMargins="0"/>
  <ignoredErrors>
    <ignoredError sqref="R14 R16 R24 R2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tabColor rgb="FF00B050"/>
    <pageSetUpPr fitToPage="1"/>
  </sheetPr>
  <dimension ref="B3:K87"/>
  <sheetViews>
    <sheetView showGridLines="0" zoomScale="90" zoomScaleNormal="90" zoomScaleSheetLayoutView="160" workbookViewId="0">
      <selection activeCell="E29" sqref="E29"/>
    </sheetView>
  </sheetViews>
  <sheetFormatPr defaultColWidth="9.1796875" defaultRowHeight="12.5"/>
  <cols>
    <col min="1" max="1" width="2.1796875" style="18" customWidth="1"/>
    <col min="2" max="2" width="25" style="18" customWidth="1"/>
    <col min="3" max="3" width="9.54296875" style="18" customWidth="1"/>
    <col min="4" max="8" width="16.81640625" style="18" customWidth="1"/>
    <col min="9" max="9" width="46.81640625" style="18" bestFit="1" customWidth="1"/>
    <col min="10" max="10" width="28.1796875" style="18" customWidth="1"/>
    <col min="11" max="11" width="20.54296875" style="18" bestFit="1" customWidth="1"/>
    <col min="12" max="16384" width="9.1796875" style="18"/>
  </cols>
  <sheetData>
    <row r="3" spans="2:11" ht="58.5" customHeight="1">
      <c r="B3" s="88" t="s">
        <v>26</v>
      </c>
      <c r="C3" s="88"/>
    </row>
    <row r="4" spans="2:11" ht="12.75" customHeight="1">
      <c r="B4" s="577" t="s">
        <v>401</v>
      </c>
      <c r="C4" s="577"/>
      <c r="D4" s="577"/>
      <c r="E4" s="577"/>
      <c r="F4" s="577"/>
      <c r="G4" s="577"/>
      <c r="H4" s="577"/>
      <c r="I4" s="577"/>
      <c r="J4" s="402"/>
    </row>
    <row r="5" spans="2:11" ht="12.75" customHeight="1">
      <c r="B5" s="577"/>
      <c r="C5" s="577"/>
      <c r="D5" s="577"/>
      <c r="E5" s="577"/>
      <c r="F5" s="577"/>
      <c r="G5" s="577"/>
      <c r="H5" s="577"/>
      <c r="I5" s="577"/>
      <c r="J5" s="194"/>
    </row>
    <row r="6" spans="2:11" ht="12.75" customHeight="1">
      <c r="B6" s="577"/>
      <c r="C6" s="577"/>
      <c r="D6" s="577"/>
      <c r="E6" s="577"/>
      <c r="F6" s="577"/>
      <c r="G6" s="577"/>
      <c r="H6" s="577"/>
      <c r="I6" s="577"/>
      <c r="J6" s="194"/>
    </row>
    <row r="7" spans="2:11" ht="12.75" customHeight="1">
      <c r="B7" s="577"/>
      <c r="C7" s="577"/>
      <c r="D7" s="577"/>
      <c r="E7" s="577"/>
      <c r="F7" s="577"/>
      <c r="G7" s="577"/>
      <c r="H7" s="577"/>
      <c r="I7" s="577"/>
      <c r="J7" s="194"/>
    </row>
    <row r="8" spans="2:11" ht="12.75" customHeight="1">
      <c r="B8" s="578"/>
      <c r="C8" s="578"/>
      <c r="D8" s="578"/>
      <c r="E8" s="578"/>
      <c r="F8" s="578"/>
      <c r="G8" s="578"/>
      <c r="H8" s="578"/>
      <c r="I8" s="578"/>
      <c r="J8" s="343"/>
    </row>
    <row r="9" spans="2:11" ht="28.5" thickBot="1">
      <c r="B9" s="195" t="s">
        <v>398</v>
      </c>
      <c r="C9" s="196" t="s">
        <v>27</v>
      </c>
      <c r="D9" s="197" t="s">
        <v>28</v>
      </c>
      <c r="E9" s="197" t="s">
        <v>29</v>
      </c>
      <c r="F9" s="197" t="s">
        <v>531</v>
      </c>
      <c r="G9" s="197" t="s">
        <v>30</v>
      </c>
      <c r="H9" s="197" t="s">
        <v>31</v>
      </c>
      <c r="I9" s="197" t="s">
        <v>32</v>
      </c>
      <c r="J9" s="197" t="s">
        <v>33</v>
      </c>
      <c r="K9" s="197" t="s">
        <v>34</v>
      </c>
    </row>
    <row r="10" spans="2:11" ht="12.75" customHeight="1" thickTop="1">
      <c r="B10" s="198" t="s">
        <v>35</v>
      </c>
      <c r="C10" s="199" t="s">
        <v>36</v>
      </c>
      <c r="D10" s="200">
        <v>1</v>
      </c>
      <c r="E10" s="201">
        <v>72</v>
      </c>
      <c r="F10" s="201">
        <f t="shared" ref="F10:F31" si="0">D10*E10</f>
        <v>72</v>
      </c>
      <c r="G10" s="201">
        <v>46.23</v>
      </c>
      <c r="H10" s="201" t="s">
        <v>37</v>
      </c>
      <c r="I10" s="201" t="s">
        <v>38</v>
      </c>
      <c r="J10" s="397" t="s">
        <v>39</v>
      </c>
      <c r="K10" s="455" t="s">
        <v>468</v>
      </c>
    </row>
    <row r="11" spans="2:11" ht="12.75" customHeight="1">
      <c r="B11" s="203" t="s">
        <v>40</v>
      </c>
      <c r="C11" s="204" t="s">
        <v>36</v>
      </c>
      <c r="D11" s="205">
        <v>1</v>
      </c>
      <c r="E11" s="201">
        <v>40.4</v>
      </c>
      <c r="F11" s="201">
        <f t="shared" si="0"/>
        <v>40.4</v>
      </c>
      <c r="G11" s="201">
        <v>27.4</v>
      </c>
      <c r="H11" s="201" t="s">
        <v>37</v>
      </c>
      <c r="I11" s="201" t="s">
        <v>38</v>
      </c>
      <c r="J11" s="397" t="s">
        <v>39</v>
      </c>
      <c r="K11" s="202" t="s">
        <v>469</v>
      </c>
    </row>
    <row r="12" spans="2:11" ht="12.75" customHeight="1">
      <c r="B12" s="198" t="s">
        <v>41</v>
      </c>
      <c r="C12" s="199" t="s">
        <v>36</v>
      </c>
      <c r="D12" s="205">
        <v>1</v>
      </c>
      <c r="E12" s="201">
        <v>36.4</v>
      </c>
      <c r="F12" s="201">
        <f t="shared" si="0"/>
        <v>36.4</v>
      </c>
      <c r="G12" s="201">
        <v>25.11</v>
      </c>
      <c r="H12" s="201" t="s">
        <v>37</v>
      </c>
      <c r="I12" s="201" t="s">
        <v>38</v>
      </c>
      <c r="J12" s="397" t="s">
        <v>39</v>
      </c>
      <c r="K12" s="202" t="s">
        <v>469</v>
      </c>
    </row>
    <row r="13" spans="2:11" ht="12.75" customHeight="1">
      <c r="B13" s="203" t="s">
        <v>42</v>
      </c>
      <c r="C13" s="204" t="s">
        <v>36</v>
      </c>
      <c r="D13" s="205">
        <v>1</v>
      </c>
      <c r="E13" s="201">
        <v>29.5</v>
      </c>
      <c r="F13" s="201">
        <f t="shared" si="0"/>
        <v>29.5</v>
      </c>
      <c r="G13" s="201">
        <v>17.690000000000001</v>
      </c>
      <c r="H13" s="201" t="s">
        <v>37</v>
      </c>
      <c r="I13" s="201" t="s">
        <v>38</v>
      </c>
      <c r="J13" s="397" t="s">
        <v>39</v>
      </c>
      <c r="K13" s="202" t="s">
        <v>469</v>
      </c>
    </row>
    <row r="14" spans="2:11" ht="12.75" customHeight="1">
      <c r="B14" s="198" t="s">
        <v>43</v>
      </c>
      <c r="C14" s="199" t="s">
        <v>36</v>
      </c>
      <c r="D14" s="205">
        <v>1</v>
      </c>
      <c r="E14" s="201">
        <v>28.4</v>
      </c>
      <c r="F14" s="201">
        <f t="shared" si="0"/>
        <v>28.4</v>
      </c>
      <c r="G14" s="201">
        <v>19.41</v>
      </c>
      <c r="H14" s="201" t="s">
        <v>37</v>
      </c>
      <c r="I14" s="201" t="s">
        <v>38</v>
      </c>
      <c r="J14" s="397" t="s">
        <v>39</v>
      </c>
      <c r="K14" s="202" t="s">
        <v>469</v>
      </c>
    </row>
    <row r="15" spans="2:11" ht="12.75" customHeight="1">
      <c r="B15" s="203" t="s">
        <v>44</v>
      </c>
      <c r="C15" s="204" t="s">
        <v>36</v>
      </c>
      <c r="D15" s="205">
        <v>1</v>
      </c>
      <c r="E15" s="201">
        <v>24</v>
      </c>
      <c r="F15" s="201">
        <f t="shared" si="0"/>
        <v>24</v>
      </c>
      <c r="G15" s="201">
        <v>16.55</v>
      </c>
      <c r="H15" s="201" t="s">
        <v>37</v>
      </c>
      <c r="I15" s="201" t="s">
        <v>38</v>
      </c>
      <c r="J15" s="397" t="s">
        <v>39</v>
      </c>
      <c r="K15" s="202" t="s">
        <v>469</v>
      </c>
    </row>
    <row r="16" spans="2:11" ht="12.75" customHeight="1">
      <c r="B16" s="198" t="s">
        <v>45</v>
      </c>
      <c r="C16" s="199" t="s">
        <v>36</v>
      </c>
      <c r="D16" s="205">
        <v>1</v>
      </c>
      <c r="E16" s="201">
        <v>36.869999999999997</v>
      </c>
      <c r="F16" s="201">
        <f t="shared" si="0"/>
        <v>36.869999999999997</v>
      </c>
      <c r="G16" s="201">
        <v>26.83</v>
      </c>
      <c r="H16" s="201" t="s">
        <v>37</v>
      </c>
      <c r="I16" s="201" t="s">
        <v>38</v>
      </c>
      <c r="J16" s="397" t="s">
        <v>39</v>
      </c>
      <c r="K16" s="202" t="s">
        <v>474</v>
      </c>
    </row>
    <row r="17" spans="2:11" ht="12.75" customHeight="1">
      <c r="B17" s="203" t="s">
        <v>46</v>
      </c>
      <c r="C17" s="204" t="s">
        <v>36</v>
      </c>
      <c r="D17" s="205">
        <v>1</v>
      </c>
      <c r="E17" s="201">
        <v>55</v>
      </c>
      <c r="F17" s="201">
        <f t="shared" si="0"/>
        <v>55</v>
      </c>
      <c r="G17" s="201">
        <v>17.12</v>
      </c>
      <c r="H17" s="201" t="s">
        <v>37</v>
      </c>
      <c r="I17" s="201" t="s">
        <v>47</v>
      </c>
      <c r="J17" s="397" t="s">
        <v>39</v>
      </c>
      <c r="K17" s="202" t="s">
        <v>475</v>
      </c>
    </row>
    <row r="18" spans="2:11" ht="12.75" customHeight="1">
      <c r="B18" s="198" t="s">
        <v>487</v>
      </c>
      <c r="C18" s="199" t="s">
        <v>36</v>
      </c>
      <c r="D18" s="205">
        <v>1</v>
      </c>
      <c r="E18" s="201">
        <v>4.4000000000000004</v>
      </c>
      <c r="F18" s="201">
        <f t="shared" si="0"/>
        <v>4.4000000000000004</v>
      </c>
      <c r="G18" s="201">
        <v>3.42</v>
      </c>
      <c r="H18" s="201" t="s">
        <v>37</v>
      </c>
      <c r="I18" s="201" t="s">
        <v>47</v>
      </c>
      <c r="J18" s="397" t="s">
        <v>39</v>
      </c>
      <c r="K18" s="202" t="s">
        <v>476</v>
      </c>
    </row>
    <row r="19" spans="2:11" ht="12.75" customHeight="1">
      <c r="B19" s="203" t="s">
        <v>48</v>
      </c>
      <c r="C19" s="204" t="s">
        <v>36</v>
      </c>
      <c r="D19" s="205">
        <v>1</v>
      </c>
      <c r="E19" s="201">
        <v>2.2400000000000002</v>
      </c>
      <c r="F19" s="201">
        <f t="shared" si="0"/>
        <v>2.2400000000000002</v>
      </c>
      <c r="G19" s="201">
        <v>1.67</v>
      </c>
      <c r="H19" s="201" t="s">
        <v>37</v>
      </c>
      <c r="I19" s="201" t="s">
        <v>47</v>
      </c>
      <c r="J19" s="397" t="s">
        <v>39</v>
      </c>
      <c r="K19" s="202" t="s">
        <v>476</v>
      </c>
    </row>
    <row r="20" spans="2:11" ht="12.75" customHeight="1">
      <c r="B20" s="198" t="s">
        <v>49</v>
      </c>
      <c r="C20" s="199" t="s">
        <v>36</v>
      </c>
      <c r="D20" s="205">
        <v>1</v>
      </c>
      <c r="E20" s="201">
        <v>3</v>
      </c>
      <c r="F20" s="201">
        <f t="shared" si="0"/>
        <v>3</v>
      </c>
      <c r="G20" s="201">
        <v>2.48</v>
      </c>
      <c r="H20" s="201" t="s">
        <v>37</v>
      </c>
      <c r="I20" s="201" t="s">
        <v>47</v>
      </c>
      <c r="J20" s="397" t="s">
        <v>39</v>
      </c>
      <c r="K20" s="202" t="s">
        <v>476</v>
      </c>
    </row>
    <row r="21" spans="2:11" ht="12.75" customHeight="1">
      <c r="B21" s="203" t="s">
        <v>50</v>
      </c>
      <c r="C21" s="204" t="s">
        <v>51</v>
      </c>
      <c r="D21" s="205">
        <v>1</v>
      </c>
      <c r="E21" s="201">
        <v>60</v>
      </c>
      <c r="F21" s="201">
        <f t="shared" si="0"/>
        <v>60</v>
      </c>
      <c r="G21" s="201">
        <v>37.799999999999997</v>
      </c>
      <c r="H21" s="201" t="s">
        <v>52</v>
      </c>
      <c r="I21" s="201" t="s">
        <v>53</v>
      </c>
      <c r="J21" s="397" t="s">
        <v>39</v>
      </c>
      <c r="K21" s="202">
        <v>45679</v>
      </c>
    </row>
    <row r="22" spans="2:11" ht="12.75" customHeight="1">
      <c r="B22" s="198" t="s">
        <v>54</v>
      </c>
      <c r="C22" s="199" t="s">
        <v>36</v>
      </c>
      <c r="D22" s="205">
        <v>1</v>
      </c>
      <c r="E22" s="201">
        <v>80</v>
      </c>
      <c r="F22" s="201">
        <f t="shared" si="0"/>
        <v>80</v>
      </c>
      <c r="G22" s="201">
        <v>40.4</v>
      </c>
      <c r="H22" s="201" t="s">
        <v>52</v>
      </c>
      <c r="I22" s="201" t="s">
        <v>55</v>
      </c>
      <c r="J22" s="397" t="s">
        <v>39</v>
      </c>
      <c r="K22" s="202">
        <v>50710</v>
      </c>
    </row>
    <row r="23" spans="2:11" ht="12.75" customHeight="1">
      <c r="B23" s="203" t="s">
        <v>56</v>
      </c>
      <c r="C23" s="204" t="s">
        <v>36</v>
      </c>
      <c r="D23" s="205">
        <v>1</v>
      </c>
      <c r="E23" s="201">
        <v>44.1</v>
      </c>
      <c r="F23" s="201">
        <f t="shared" si="0"/>
        <v>44.1</v>
      </c>
      <c r="G23" s="201">
        <v>23.3</v>
      </c>
      <c r="H23" s="201" t="s">
        <v>52</v>
      </c>
      <c r="I23" s="201" t="s">
        <v>55</v>
      </c>
      <c r="J23" s="397" t="s">
        <v>39</v>
      </c>
      <c r="K23" s="202">
        <v>51448</v>
      </c>
    </row>
    <row r="24" spans="2:11" ht="12.75" customHeight="1">
      <c r="B24" s="198" t="s">
        <v>57</v>
      </c>
      <c r="C24" s="199" t="s">
        <v>58</v>
      </c>
      <c r="D24" s="205">
        <v>1</v>
      </c>
      <c r="E24" s="201">
        <v>93</v>
      </c>
      <c r="F24" s="201">
        <f t="shared" si="0"/>
        <v>93</v>
      </c>
      <c r="G24" s="201">
        <v>57.8</v>
      </c>
      <c r="H24" s="201" t="s">
        <v>52</v>
      </c>
      <c r="I24" s="201" t="s">
        <v>59</v>
      </c>
      <c r="J24" s="397" t="s">
        <v>39</v>
      </c>
      <c r="K24" s="202">
        <v>52940</v>
      </c>
    </row>
    <row r="25" spans="2:11" ht="12.75" customHeight="1">
      <c r="B25" s="203" t="s">
        <v>60</v>
      </c>
      <c r="C25" s="204" t="s">
        <v>61</v>
      </c>
      <c r="D25" s="206">
        <v>0.6</v>
      </c>
      <c r="E25" s="201">
        <v>191.89</v>
      </c>
      <c r="F25" s="201">
        <f t="shared" si="0"/>
        <v>115.13399999999999</v>
      </c>
      <c r="G25" s="201">
        <v>68.459999999999994</v>
      </c>
      <c r="H25" s="201" t="s">
        <v>52</v>
      </c>
      <c r="I25" s="201" t="s">
        <v>62</v>
      </c>
      <c r="J25" s="397" t="s">
        <v>39</v>
      </c>
      <c r="K25" s="202">
        <v>51888</v>
      </c>
    </row>
    <row r="26" spans="2:11" ht="12.75" customHeight="1">
      <c r="B26" s="203" t="s">
        <v>63</v>
      </c>
      <c r="C26" s="204" t="s">
        <v>397</v>
      </c>
      <c r="D26" s="206">
        <v>0.503</v>
      </c>
      <c r="E26" s="201">
        <v>82.5</v>
      </c>
      <c r="F26" s="201">
        <f t="shared" si="0"/>
        <v>41.497500000000002</v>
      </c>
      <c r="G26" s="201">
        <v>27.26</v>
      </c>
      <c r="H26" s="201" t="s">
        <v>52</v>
      </c>
      <c r="I26" s="201" t="s">
        <v>64</v>
      </c>
      <c r="J26" s="397" t="s">
        <v>39</v>
      </c>
      <c r="K26" s="202">
        <v>50250</v>
      </c>
    </row>
    <row r="27" spans="2:11" ht="12.75" customHeight="1">
      <c r="B27" s="203" t="s">
        <v>65</v>
      </c>
      <c r="C27" s="204" t="s">
        <v>397</v>
      </c>
      <c r="D27" s="206">
        <v>0.503</v>
      </c>
      <c r="E27" s="201">
        <v>72</v>
      </c>
      <c r="F27" s="201">
        <f t="shared" si="0"/>
        <v>36.216000000000001</v>
      </c>
      <c r="G27" s="201">
        <v>22.94</v>
      </c>
      <c r="H27" s="201" t="s">
        <v>52</v>
      </c>
      <c r="I27" s="201" t="s">
        <v>64</v>
      </c>
      <c r="J27" s="397" t="s">
        <v>39</v>
      </c>
      <c r="K27" s="202">
        <v>50247</v>
      </c>
    </row>
    <row r="28" spans="2:11" ht="12.75" customHeight="1">
      <c r="B28" s="203" t="s">
        <v>66</v>
      </c>
      <c r="C28" s="204" t="s">
        <v>61</v>
      </c>
      <c r="D28" s="206">
        <v>0.292296</v>
      </c>
      <c r="E28" s="201">
        <v>1140</v>
      </c>
      <c r="F28" s="201">
        <f t="shared" si="0"/>
        <v>333.21744000000001</v>
      </c>
      <c r="G28" s="201">
        <v>135.16999999999999</v>
      </c>
      <c r="H28" s="201" t="s">
        <v>52</v>
      </c>
      <c r="I28" s="201" t="s">
        <v>67</v>
      </c>
      <c r="J28" s="397" t="s">
        <v>39</v>
      </c>
      <c r="K28" s="202">
        <v>49590</v>
      </c>
    </row>
    <row r="29" spans="2:11" ht="12.75" customHeight="1">
      <c r="B29" s="203" t="s">
        <v>68</v>
      </c>
      <c r="C29" s="204" t="s">
        <v>61</v>
      </c>
      <c r="D29" s="206">
        <v>0.25438655999999998</v>
      </c>
      <c r="E29" s="201">
        <v>880</v>
      </c>
      <c r="F29" s="201">
        <f t="shared" si="0"/>
        <v>223.86017279999999</v>
      </c>
      <c r="G29" s="201">
        <f>379.7*23.78%</f>
        <v>90.292659999999998</v>
      </c>
      <c r="H29" s="201" t="s">
        <v>52</v>
      </c>
      <c r="I29" s="201" t="s">
        <v>69</v>
      </c>
      <c r="J29" s="201" t="s">
        <v>70</v>
      </c>
      <c r="K29" s="202">
        <v>50776</v>
      </c>
    </row>
    <row r="30" spans="2:11" ht="12.75" customHeight="1">
      <c r="B30" s="203" t="s">
        <v>71</v>
      </c>
      <c r="C30" s="204" t="s">
        <v>72</v>
      </c>
      <c r="D30" s="206">
        <v>0.15</v>
      </c>
      <c r="E30" s="201">
        <v>690</v>
      </c>
      <c r="F30" s="201">
        <f t="shared" si="0"/>
        <v>103.5</v>
      </c>
      <c r="G30" s="201">
        <v>55.92</v>
      </c>
      <c r="H30" s="201" t="s">
        <v>52</v>
      </c>
      <c r="I30" s="201" t="s">
        <v>73</v>
      </c>
      <c r="J30" s="201" t="s">
        <v>70</v>
      </c>
      <c r="K30" s="202">
        <v>51566</v>
      </c>
    </row>
    <row r="31" spans="2:11" ht="12.75" customHeight="1">
      <c r="B31" s="203" t="s">
        <v>402</v>
      </c>
      <c r="C31" s="204" t="s">
        <v>399</v>
      </c>
      <c r="D31" s="206">
        <v>0.98</v>
      </c>
      <c r="E31" s="201">
        <v>171.60000000000002</v>
      </c>
      <c r="F31" s="201">
        <f t="shared" si="0"/>
        <v>168.16800000000001</v>
      </c>
      <c r="G31" s="201">
        <v>74.400000000000006</v>
      </c>
      <c r="H31" s="201" t="s">
        <v>52</v>
      </c>
      <c r="I31" s="201" t="s">
        <v>400</v>
      </c>
      <c r="J31" s="397" t="s">
        <v>39</v>
      </c>
      <c r="K31" s="202">
        <v>20394</v>
      </c>
    </row>
    <row r="32" spans="2:11" ht="12.75" customHeight="1" thickBot="1">
      <c r="B32" s="195" t="s">
        <v>74</v>
      </c>
      <c r="C32" s="195"/>
      <c r="D32" s="195"/>
      <c r="E32" s="396">
        <f>SUM(E10:E31)</f>
        <v>3837.2999999999997</v>
      </c>
      <c r="F32" s="396">
        <f>SUM(F10:F31)</f>
        <v>1630.9031128000001</v>
      </c>
      <c r="G32" s="396">
        <f>SUM(G10:G31)</f>
        <v>837.65265999999986</v>
      </c>
      <c r="H32" s="195"/>
      <c r="I32" s="195"/>
      <c r="J32" s="195"/>
      <c r="K32" s="195"/>
    </row>
    <row r="33" spans="2:11" ht="12.75" customHeight="1" thickTop="1"/>
    <row r="34" spans="2:11" ht="12.75" customHeight="1">
      <c r="B34" s="537" t="s">
        <v>470</v>
      </c>
      <c r="C34" s="537"/>
      <c r="D34" s="537"/>
      <c r="E34" s="537"/>
      <c r="F34" s="537"/>
      <c r="G34" s="537"/>
      <c r="H34" s="537"/>
      <c r="I34" s="537"/>
      <c r="J34" s="537"/>
      <c r="K34" s="537"/>
    </row>
    <row r="35" spans="2:11" ht="12.75" customHeight="1">
      <c r="B35" s="537" t="s">
        <v>471</v>
      </c>
      <c r="C35" s="537"/>
      <c r="D35" s="537"/>
      <c r="E35" s="537"/>
      <c r="F35" s="537"/>
      <c r="G35" s="537"/>
      <c r="H35" s="537"/>
      <c r="I35" s="220"/>
      <c r="J35" s="220"/>
      <c r="K35" s="220"/>
    </row>
    <row r="36" spans="2:11" ht="12.75" customHeight="1">
      <c r="B36" s="537" t="s">
        <v>472</v>
      </c>
      <c r="C36" s="537"/>
      <c r="D36" s="537"/>
      <c r="E36" s="537"/>
      <c r="F36" s="537"/>
      <c r="G36" s="537"/>
      <c r="H36" s="537"/>
      <c r="I36" s="220"/>
      <c r="J36" s="220"/>
      <c r="K36" s="220"/>
    </row>
    <row r="37" spans="2:11" ht="12.75" customHeight="1">
      <c r="B37" s="537" t="s">
        <v>473</v>
      </c>
      <c r="C37" s="537"/>
      <c r="D37" s="537"/>
      <c r="E37" s="537"/>
      <c r="F37" s="537"/>
      <c r="G37" s="537"/>
      <c r="H37" s="537"/>
      <c r="I37" s="456"/>
      <c r="J37" s="456"/>
      <c r="K37" s="456"/>
    </row>
    <row r="38" spans="2:11" ht="12.75" customHeight="1">
      <c r="B38" s="579" t="s">
        <v>477</v>
      </c>
      <c r="C38" s="580"/>
      <c r="D38" s="580"/>
      <c r="E38" s="580"/>
      <c r="F38" s="580"/>
      <c r="G38" s="580"/>
      <c r="H38" s="580"/>
    </row>
    <row r="39" spans="2:11" ht="12.75" customHeight="1">
      <c r="B39" s="457"/>
    </row>
    <row r="40" spans="2:11" ht="12.75" customHeight="1"/>
    <row r="41" spans="2:11" ht="12.75" customHeight="1">
      <c r="B41" s="88" t="s">
        <v>75</v>
      </c>
      <c r="C41" s="88"/>
    </row>
    <row r="42" spans="2:11" ht="12.75" customHeight="1">
      <c r="B42" s="576" t="s">
        <v>76</v>
      </c>
      <c r="C42" s="576"/>
      <c r="D42" s="576"/>
      <c r="E42" s="207">
        <f>E17+E18+E19+E20</f>
        <v>64.64</v>
      </c>
      <c r="F42" s="207"/>
    </row>
    <row r="43" spans="2:11" ht="12.75" customHeight="1">
      <c r="B43" s="576" t="s">
        <v>77</v>
      </c>
      <c r="C43" s="576"/>
      <c r="D43" s="576"/>
      <c r="E43" s="207">
        <f>E10+E11+E12+E13+E14+E15+E16</f>
        <v>267.57</v>
      </c>
      <c r="F43" s="207"/>
    </row>
    <row r="44" spans="2:11" ht="12.75" customHeight="1">
      <c r="D44" s="208" t="s">
        <v>74</v>
      </c>
      <c r="E44" s="400">
        <f>SUM(E42:E43)</f>
        <v>332.21</v>
      </c>
      <c r="F44" s="400"/>
      <c r="G44" s="209"/>
    </row>
    <row r="45" spans="2:11" ht="12.75" customHeight="1">
      <c r="E45" s="401"/>
      <c r="F45" s="401"/>
    </row>
    <row r="46" spans="2:11" ht="12.75" customHeight="1"/>
    <row r="47" spans="2:11" ht="12.75" customHeight="1"/>
    <row r="48" spans="2:11" ht="12.75" customHeight="1"/>
    <row r="75" spans="2:6" ht="13">
      <c r="B75" s="210"/>
    </row>
    <row r="76" spans="2:6" s="117" customFormat="1" ht="12.75" customHeight="1"/>
    <row r="77" spans="2:6" ht="12.75" customHeight="1">
      <c r="C77" s="210"/>
    </row>
    <row r="78" spans="2:6" ht="12.75" customHeight="1">
      <c r="C78" s="210"/>
    </row>
    <row r="79" spans="2:6" ht="12.75" customHeight="1">
      <c r="C79" s="210"/>
    </row>
    <row r="80" spans="2:6" ht="13">
      <c r="B80" s="210"/>
      <c r="C80" s="210"/>
      <c r="D80" s="210"/>
      <c r="E80" s="210"/>
      <c r="F80" s="210"/>
    </row>
    <row r="82" spans="2:9" ht="13">
      <c r="B82" s="210" t="s">
        <v>78</v>
      </c>
    </row>
    <row r="83" spans="2:9" ht="13">
      <c r="B83" s="210"/>
    </row>
    <row r="84" spans="2:9" ht="14.5" thickBot="1">
      <c r="B84" s="117" t="s">
        <v>79</v>
      </c>
    </row>
    <row r="85" spans="2:9" ht="13">
      <c r="B85" s="344" t="s">
        <v>80</v>
      </c>
      <c r="C85" s="344"/>
      <c r="D85" s="344"/>
      <c r="E85" s="344"/>
      <c r="F85" s="344"/>
      <c r="G85" s="344"/>
      <c r="H85" s="344"/>
      <c r="I85" s="344"/>
    </row>
    <row r="86" spans="2:9" ht="13">
      <c r="B86" s="210" t="s">
        <v>81</v>
      </c>
    </row>
    <row r="87" spans="2:9" ht="13">
      <c r="B87" s="210" t="s">
        <v>82</v>
      </c>
    </row>
  </sheetData>
  <mergeCells count="9">
    <mergeCell ref="B43:D43"/>
    <mergeCell ref="B4:I7"/>
    <mergeCell ref="B8:I8"/>
    <mergeCell ref="B34:K34"/>
    <mergeCell ref="B35:H35"/>
    <mergeCell ref="B42:D42"/>
    <mergeCell ref="B36:H36"/>
    <mergeCell ref="B37:H37"/>
    <mergeCell ref="B38:H38"/>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sheetPr>
    <tabColor rgb="FF00B050"/>
  </sheetPr>
  <dimension ref="A1:AK63"/>
  <sheetViews>
    <sheetView showGridLines="0" zoomScale="70" zoomScaleNormal="70" workbookViewId="0">
      <selection activeCell="Z24" sqref="Z24"/>
    </sheetView>
  </sheetViews>
  <sheetFormatPr defaultColWidth="9.1796875" defaultRowHeight="12.5" outlineLevelCol="1"/>
  <cols>
    <col min="1" max="1" width="2.1796875" style="288" customWidth="1"/>
    <col min="2" max="2" width="53.453125" style="288" customWidth="1"/>
    <col min="3" max="17" width="9.1796875" style="288" hidden="1" customWidth="1" outlineLevel="1"/>
    <col min="18" max="18" width="10.1796875" style="288" hidden="1" customWidth="1" outlineLevel="1"/>
    <col min="19" max="19" width="9.1796875" style="288" collapsed="1"/>
    <col min="20" max="24" width="9.1796875" style="288"/>
    <col min="25" max="26" width="9.1796875" style="288" customWidth="1"/>
    <col min="27" max="27" width="9.1796875" style="288"/>
    <col min="28" max="32" width="0" style="288" hidden="1" customWidth="1" outlineLevel="1"/>
    <col min="33" max="33" width="9.1796875" style="288" collapsed="1"/>
    <col min="34" max="16384" width="9.1796875" style="288"/>
  </cols>
  <sheetData>
    <row r="1" spans="2:34" s="277" customFormat="1"/>
    <row r="2" spans="2:34" s="277" customFormat="1" ht="13.5" customHeight="1"/>
    <row r="3" spans="2:34" s="277" customFormat="1"/>
    <row r="4" spans="2:34" s="277" customFormat="1" ht="20.25" customHeight="1"/>
    <row r="5" spans="2:34" s="277" customFormat="1" ht="13">
      <c r="B5" s="278"/>
    </row>
    <row r="6" spans="2:34" s="277" customFormat="1" ht="13">
      <c r="B6" s="278"/>
    </row>
    <row r="7" spans="2:34" s="277" customFormat="1" ht="14.5" thickBot="1">
      <c r="B7" s="280" t="s">
        <v>497</v>
      </c>
      <c r="C7" s="281" t="s">
        <v>88</v>
      </c>
      <c r="D7" s="281" t="s">
        <v>89</v>
      </c>
      <c r="E7" s="281" t="s">
        <v>90</v>
      </c>
      <c r="F7" s="281" t="s">
        <v>91</v>
      </c>
      <c r="G7" s="281" t="s">
        <v>92</v>
      </c>
      <c r="H7" s="281" t="s">
        <v>93</v>
      </c>
      <c r="I7" s="281" t="s">
        <v>94</v>
      </c>
      <c r="J7" s="281" t="s">
        <v>95</v>
      </c>
      <c r="K7" s="281" t="s">
        <v>96</v>
      </c>
      <c r="L7" s="281" t="s">
        <v>97</v>
      </c>
      <c r="M7" s="281" t="s">
        <v>98</v>
      </c>
      <c r="N7" s="281" t="s">
        <v>99</v>
      </c>
      <c r="O7" s="281" t="s">
        <v>100</v>
      </c>
      <c r="P7" s="281" t="s">
        <v>101</v>
      </c>
      <c r="Q7" s="281" t="s">
        <v>342</v>
      </c>
      <c r="R7" s="281" t="s">
        <v>348</v>
      </c>
      <c r="S7" s="281" t="s">
        <v>363</v>
      </c>
      <c r="T7" s="281" t="s">
        <v>392</v>
      </c>
      <c r="U7" s="281" t="s">
        <v>404</v>
      </c>
      <c r="V7" s="281" t="s">
        <v>405</v>
      </c>
      <c r="W7" s="281" t="s">
        <v>478</v>
      </c>
      <c r="X7" s="281" t="s">
        <v>483</v>
      </c>
      <c r="Y7" s="281" t="s">
        <v>488</v>
      </c>
      <c r="Z7" s="281" t="s">
        <v>490</v>
      </c>
      <c r="AB7" s="281">
        <v>2018</v>
      </c>
      <c r="AC7" s="281">
        <v>2019</v>
      </c>
      <c r="AD7" s="281">
        <v>2020</v>
      </c>
      <c r="AE7" s="281">
        <v>2021</v>
      </c>
      <c r="AF7" s="281">
        <v>2022</v>
      </c>
      <c r="AG7" s="281">
        <v>2023</v>
      </c>
      <c r="AH7" s="281">
        <v>2024</v>
      </c>
    </row>
    <row r="8" spans="2:34" s="277" customFormat="1" ht="14.5" thickTop="1">
      <c r="B8" s="316" t="s">
        <v>534</v>
      </c>
      <c r="C8" s="507">
        <v>0</v>
      </c>
      <c r="D8" s="507">
        <v>0</v>
      </c>
      <c r="E8" s="507">
        <v>0</v>
      </c>
      <c r="F8" s="507">
        <v>0</v>
      </c>
      <c r="G8" s="507">
        <v>0</v>
      </c>
      <c r="H8" s="507">
        <v>0</v>
      </c>
      <c r="I8" s="507">
        <v>0</v>
      </c>
      <c r="J8" s="507">
        <v>0</v>
      </c>
      <c r="K8" s="507">
        <f>SUM(K9:K11)</f>
        <v>185.25</v>
      </c>
      <c r="L8" s="507">
        <f t="shared" ref="L8:Z8" si="0">SUM(L9:L11)</f>
        <v>152.04500000000002</v>
      </c>
      <c r="M8" s="507">
        <f t="shared" si="0"/>
        <v>206.58599999999998</v>
      </c>
      <c r="N8" s="507">
        <f t="shared" si="0"/>
        <v>183.52500000000001</v>
      </c>
      <c r="O8" s="507">
        <f t="shared" si="0"/>
        <v>152.15699999999998</v>
      </c>
      <c r="P8" s="507">
        <f t="shared" si="0"/>
        <v>156.29299999999998</v>
      </c>
      <c r="Q8" s="507">
        <f t="shared" si="0"/>
        <v>166.64499999999998</v>
      </c>
      <c r="R8" s="507">
        <f t="shared" si="0"/>
        <v>159.33999999999997</v>
      </c>
      <c r="S8" s="507">
        <f t="shared" si="0"/>
        <v>136.23599999999999</v>
      </c>
      <c r="T8" s="507">
        <f t="shared" si="0"/>
        <v>153.08199999999999</v>
      </c>
      <c r="U8" s="507">
        <f t="shared" si="0"/>
        <v>139.62299999999999</v>
      </c>
      <c r="V8" s="507">
        <f t="shared" si="0"/>
        <v>109.48700000000004</v>
      </c>
      <c r="W8" s="507">
        <f t="shared" si="0"/>
        <v>71.621000000000009</v>
      </c>
      <c r="X8" s="507">
        <f t="shared" si="0"/>
        <v>62.226000000000006</v>
      </c>
      <c r="Y8" s="507">
        <f t="shared" si="0"/>
        <v>67.382000000000005</v>
      </c>
      <c r="Z8" s="507">
        <f t="shared" si="0"/>
        <v>109.718</v>
      </c>
      <c r="AB8" s="507"/>
      <c r="AC8" s="507"/>
      <c r="AD8" s="507"/>
      <c r="AE8" s="507">
        <f>SUM(K8:N8)</f>
        <v>727.40599999999995</v>
      </c>
      <c r="AF8" s="507">
        <f>SUM(O8:R8)</f>
        <v>634.43499999999995</v>
      </c>
      <c r="AG8" s="507">
        <f>SUM(S8:V8)</f>
        <v>538.428</v>
      </c>
      <c r="AH8" s="507">
        <f>SUM(W8:Z8)</f>
        <v>310.947</v>
      </c>
    </row>
    <row r="9" spans="2:34" s="277" customFormat="1" ht="14">
      <c r="B9" s="286" t="s">
        <v>498</v>
      </c>
      <c r="C9" s="507">
        <v>0</v>
      </c>
      <c r="D9" s="507">
        <v>0</v>
      </c>
      <c r="E9" s="507">
        <v>0</v>
      </c>
      <c r="F9" s="507">
        <v>0</v>
      </c>
      <c r="G9" s="507">
        <v>0</v>
      </c>
      <c r="H9" s="507">
        <v>0</v>
      </c>
      <c r="I9" s="507">
        <v>0</v>
      </c>
      <c r="J9" s="507">
        <v>0</v>
      </c>
      <c r="K9" s="508">
        <v>98.033154453584331</v>
      </c>
      <c r="L9" s="508">
        <v>70.073289795721877</v>
      </c>
      <c r="M9" s="508">
        <v>171.09975079453625</v>
      </c>
      <c r="N9" s="508">
        <v>81.879793776157456</v>
      </c>
      <c r="O9" s="508">
        <v>97.715980406399922</v>
      </c>
      <c r="P9" s="508">
        <v>104.52454399474831</v>
      </c>
      <c r="Q9" s="508">
        <v>114.23303410195169</v>
      </c>
      <c r="R9" s="508">
        <v>92.412031388284532</v>
      </c>
      <c r="S9" s="508">
        <v>35.303735980824996</v>
      </c>
      <c r="T9" s="508">
        <v>35.612759513999997</v>
      </c>
      <c r="U9" s="508">
        <v>37.56191653095</v>
      </c>
      <c r="V9" s="508">
        <v>36.235428824875001</v>
      </c>
      <c r="W9" s="508">
        <v>27.286620096000004</v>
      </c>
      <c r="X9" s="508">
        <v>32.474431953800007</v>
      </c>
      <c r="Y9" s="508">
        <v>32.437248961399995</v>
      </c>
      <c r="Z9" s="508">
        <v>35.445326325425007</v>
      </c>
      <c r="AB9" s="508"/>
      <c r="AC9" s="508"/>
      <c r="AD9" s="508"/>
      <c r="AE9" s="508">
        <f t="shared" ref="AE9:AE24" si="1">SUM(K9:N9)</f>
        <v>421.0859888199999</v>
      </c>
      <c r="AF9" s="508">
        <f t="shared" ref="AF9:AF24" si="2">SUM(O9:R9)</f>
        <v>408.88558989138448</v>
      </c>
      <c r="AG9" s="508">
        <f t="shared" ref="AG9:AG24" si="3">SUM(S9:V9)</f>
        <v>144.71384085065</v>
      </c>
      <c r="AH9" s="508">
        <f t="shared" ref="AH9:AH24" si="4">SUM(W9:Z9)</f>
        <v>127.64362733662503</v>
      </c>
    </row>
    <row r="10" spans="2:34" s="277" customFormat="1" ht="14">
      <c r="B10" s="286" t="s">
        <v>499</v>
      </c>
      <c r="C10" s="507">
        <v>0</v>
      </c>
      <c r="D10" s="507">
        <v>0</v>
      </c>
      <c r="E10" s="507">
        <v>0</v>
      </c>
      <c r="F10" s="507">
        <v>0</v>
      </c>
      <c r="G10" s="507">
        <v>0</v>
      </c>
      <c r="H10" s="507">
        <v>0</v>
      </c>
      <c r="I10" s="507">
        <v>0</v>
      </c>
      <c r="J10" s="507">
        <v>0</v>
      </c>
      <c r="K10" s="508">
        <v>20.499771599999999</v>
      </c>
      <c r="L10" s="508">
        <v>20.727546839999999</v>
      </c>
      <c r="M10" s="508">
        <v>20.955322079999998</v>
      </c>
      <c r="N10" s="508">
        <v>20.955322079999998</v>
      </c>
      <c r="O10" s="508">
        <v>33.635071799999999</v>
      </c>
      <c r="P10" s="508">
        <v>34.499230293330001</v>
      </c>
      <c r="Q10" s="508">
        <v>42.151879439999988</v>
      </c>
      <c r="R10" s="508">
        <v>42.237257039999982</v>
      </c>
      <c r="S10" s="508">
        <v>54.774652680000003</v>
      </c>
      <c r="T10" s="508">
        <v>46.519448976</v>
      </c>
      <c r="U10" s="508">
        <v>42.626658393000007</v>
      </c>
      <c r="V10" s="508">
        <v>43.3612812402</v>
      </c>
      <c r="W10" s="508">
        <v>18.628843464000006</v>
      </c>
      <c r="X10" s="508">
        <v>18.291297023999999</v>
      </c>
      <c r="Y10" s="508">
        <v>18.492300287999999</v>
      </c>
      <c r="Z10" s="508">
        <v>18.492300288000003</v>
      </c>
      <c r="AB10" s="508"/>
      <c r="AC10" s="508"/>
      <c r="AD10" s="508"/>
      <c r="AE10" s="508">
        <f t="shared" si="1"/>
        <v>83.137962599999994</v>
      </c>
      <c r="AF10" s="508">
        <f t="shared" si="2"/>
        <v>152.52343857332997</v>
      </c>
      <c r="AG10" s="508">
        <f t="shared" si="3"/>
        <v>187.28204128920004</v>
      </c>
      <c r="AH10" s="508">
        <f t="shared" si="4"/>
        <v>73.904741064000007</v>
      </c>
    </row>
    <row r="11" spans="2:34" s="277" customFormat="1" ht="14">
      <c r="B11" s="286" t="s">
        <v>500</v>
      </c>
      <c r="C11" s="507">
        <v>0</v>
      </c>
      <c r="D11" s="507">
        <v>0</v>
      </c>
      <c r="E11" s="507">
        <v>0</v>
      </c>
      <c r="F11" s="507">
        <v>0</v>
      </c>
      <c r="G11" s="507">
        <v>0</v>
      </c>
      <c r="H11" s="507">
        <v>0</v>
      </c>
      <c r="I11" s="507">
        <v>0</v>
      </c>
      <c r="J11" s="507">
        <v>0</v>
      </c>
      <c r="K11" s="508">
        <v>66.717073946415667</v>
      </c>
      <c r="L11" s="508">
        <v>61.244163364278123</v>
      </c>
      <c r="M11" s="508">
        <v>14.530927125463743</v>
      </c>
      <c r="N11" s="508">
        <v>80.689884143842548</v>
      </c>
      <c r="O11" s="508">
        <v>20.805947793600083</v>
      </c>
      <c r="P11" s="508">
        <v>17.269225711921688</v>
      </c>
      <c r="Q11" s="508">
        <v>10.260086458048317</v>
      </c>
      <c r="R11" s="508">
        <v>24.690711571715482</v>
      </c>
      <c r="S11" s="508">
        <v>46.157611339174998</v>
      </c>
      <c r="T11" s="508">
        <v>70.949791509999997</v>
      </c>
      <c r="U11" s="508">
        <v>59.434425076049983</v>
      </c>
      <c r="V11" s="508">
        <v>29.890289934925036</v>
      </c>
      <c r="W11" s="508">
        <v>25.705536439999996</v>
      </c>
      <c r="X11" s="508">
        <v>11.460271022199995</v>
      </c>
      <c r="Y11" s="508">
        <v>16.452450750600008</v>
      </c>
      <c r="Z11" s="508">
        <v>55.780373386574993</v>
      </c>
      <c r="AB11" s="508"/>
      <c r="AC11" s="508"/>
      <c r="AD11" s="508"/>
      <c r="AE11" s="508">
        <f t="shared" si="1"/>
        <v>223.18204858000007</v>
      </c>
      <c r="AF11" s="508">
        <f t="shared" si="2"/>
        <v>73.025971535285578</v>
      </c>
      <c r="AG11" s="508">
        <f t="shared" si="3"/>
        <v>206.43211786015002</v>
      </c>
      <c r="AH11" s="508">
        <f t="shared" si="4"/>
        <v>109.39863159937499</v>
      </c>
    </row>
    <row r="12" spans="2:34" s="277" customFormat="1" ht="14">
      <c r="B12" s="316" t="s">
        <v>533</v>
      </c>
      <c r="C12" s="507">
        <v>0</v>
      </c>
      <c r="D12" s="507">
        <v>0</v>
      </c>
      <c r="E12" s="507">
        <v>0</v>
      </c>
      <c r="F12" s="507">
        <v>0</v>
      </c>
      <c r="G12" s="507">
        <v>0</v>
      </c>
      <c r="H12" s="507">
        <v>0</v>
      </c>
      <c r="I12" s="507">
        <v>0</v>
      </c>
      <c r="J12" s="507">
        <v>0</v>
      </c>
      <c r="K12" s="507">
        <f>SUM(K13:K17)</f>
        <v>-20.552000000000021</v>
      </c>
      <c r="L12" s="507">
        <f t="shared" ref="L12:Z12" si="5">SUM(L13:L17)</f>
        <v>-149.53299999999999</v>
      </c>
      <c r="M12" s="507">
        <f t="shared" si="5"/>
        <v>-237.57399999999998</v>
      </c>
      <c r="N12" s="507">
        <f t="shared" si="5"/>
        <v>-71.834000000000003</v>
      </c>
      <c r="O12" s="507">
        <f t="shared" si="5"/>
        <v>-194.20399999999998</v>
      </c>
      <c r="P12" s="507">
        <f t="shared" si="5"/>
        <v>-152.35799999999998</v>
      </c>
      <c r="Q12" s="507">
        <f t="shared" si="5"/>
        <v>-171.08099999999999</v>
      </c>
      <c r="R12" s="507">
        <f t="shared" si="5"/>
        <v>-203.84999999999997</v>
      </c>
      <c r="S12" s="507">
        <f t="shared" si="5"/>
        <v>-219.05939776199997</v>
      </c>
      <c r="T12" s="507">
        <f t="shared" si="5"/>
        <v>-221.38207349961814</v>
      </c>
      <c r="U12" s="507">
        <f t="shared" si="5"/>
        <v>-217.90880875849996</v>
      </c>
      <c r="V12" s="507">
        <f t="shared" si="5"/>
        <v>-182.38779537369592</v>
      </c>
      <c r="W12" s="507">
        <f t="shared" si="5"/>
        <v>-113.83199999999998</v>
      </c>
      <c r="X12" s="507">
        <f t="shared" si="5"/>
        <v>-73.506</v>
      </c>
      <c r="Y12" s="507">
        <f t="shared" si="5"/>
        <v>-34.999999999999993</v>
      </c>
      <c r="Z12" s="507">
        <f t="shared" si="5"/>
        <v>-334.53800000000001</v>
      </c>
      <c r="AB12" s="507"/>
      <c r="AC12" s="507"/>
      <c r="AD12" s="507"/>
      <c r="AE12" s="507">
        <f t="shared" si="1"/>
        <v>-479.49299999999999</v>
      </c>
      <c r="AF12" s="507">
        <f t="shared" si="2"/>
        <v>-721.49299999999994</v>
      </c>
      <c r="AG12" s="507">
        <f t="shared" si="3"/>
        <v>-840.73807539381403</v>
      </c>
      <c r="AH12" s="507">
        <f t="shared" si="4"/>
        <v>-556.87599999999998</v>
      </c>
    </row>
    <row r="13" spans="2:34" s="277" customFormat="1" ht="14">
      <c r="B13" s="286" t="s">
        <v>501</v>
      </c>
      <c r="C13" s="507">
        <v>0</v>
      </c>
      <c r="D13" s="507">
        <v>0</v>
      </c>
      <c r="E13" s="507">
        <v>0</v>
      </c>
      <c r="F13" s="507">
        <v>0</v>
      </c>
      <c r="G13" s="507">
        <v>0</v>
      </c>
      <c r="H13" s="507">
        <v>0</v>
      </c>
      <c r="I13" s="507">
        <v>0</v>
      </c>
      <c r="J13" s="507">
        <v>0</v>
      </c>
      <c r="K13" s="508">
        <v>-37.445350026621128</v>
      </c>
      <c r="L13" s="508">
        <v>-17.308031567577903</v>
      </c>
      <c r="M13" s="508">
        <v>-118.85995959476028</v>
      </c>
      <c r="N13" s="508">
        <v>-23.478543055559559</v>
      </c>
      <c r="O13" s="508">
        <v>-31.349492739601203</v>
      </c>
      <c r="P13" s="508">
        <v>-38.220519399404957</v>
      </c>
      <c r="Q13" s="508">
        <v>-46.256359318871127</v>
      </c>
      <c r="R13" s="508">
        <v>-39.42928657427008</v>
      </c>
      <c r="S13" s="508">
        <v>-27.393523715325003</v>
      </c>
      <c r="T13" s="508">
        <v>-25.7062691255</v>
      </c>
      <c r="U13" s="508">
        <v>-28.855193045949999</v>
      </c>
      <c r="V13" s="508">
        <v>-27.661392619375</v>
      </c>
      <c r="W13" s="508">
        <v>-21.515300094499999</v>
      </c>
      <c r="X13" s="508">
        <v>-15.579674770800001</v>
      </c>
      <c r="Y13" s="508">
        <v>-18.294593090900001</v>
      </c>
      <c r="Z13" s="508">
        <v>-17.621963900925</v>
      </c>
      <c r="AB13" s="508"/>
      <c r="AC13" s="508"/>
      <c r="AD13" s="508"/>
      <c r="AE13" s="508">
        <f t="shared" si="1"/>
        <v>-197.09188424451887</v>
      </c>
      <c r="AF13" s="508">
        <f t="shared" si="2"/>
        <v>-155.25565803214738</v>
      </c>
      <c r="AG13" s="508">
        <f t="shared" si="3"/>
        <v>-109.61637850615</v>
      </c>
      <c r="AH13" s="508">
        <f t="shared" si="4"/>
        <v>-73.011531857125007</v>
      </c>
    </row>
    <row r="14" spans="2:34" s="277" customFormat="1" ht="14">
      <c r="B14" s="286" t="s">
        <v>499</v>
      </c>
      <c r="C14" s="507">
        <v>0</v>
      </c>
      <c r="D14" s="507">
        <v>0</v>
      </c>
      <c r="E14" s="507">
        <v>0</v>
      </c>
      <c r="F14" s="507">
        <v>0</v>
      </c>
      <c r="G14" s="507">
        <v>0</v>
      </c>
      <c r="H14" s="507">
        <v>0</v>
      </c>
      <c r="I14" s="507">
        <v>0</v>
      </c>
      <c r="J14" s="507">
        <v>0</v>
      </c>
      <c r="K14" s="508">
        <v>-20.499771599999995</v>
      </c>
      <c r="L14" s="508">
        <v>-20.727546839999999</v>
      </c>
      <c r="M14" s="508">
        <v>-20.955322079999998</v>
      </c>
      <c r="N14" s="508">
        <v>-20.955322079999998</v>
      </c>
      <c r="O14" s="508">
        <v>-33.635071799999999</v>
      </c>
      <c r="P14" s="508">
        <v>-34.008794820000006</v>
      </c>
      <c r="Q14" s="508">
        <v>-63.321527192849686</v>
      </c>
      <c r="R14" s="508">
        <v>-73.392897428898948</v>
      </c>
      <c r="S14" s="508">
        <v>-76.959958799433039</v>
      </c>
      <c r="T14" s="508">
        <v>-80.880261212016052</v>
      </c>
      <c r="U14" s="508">
        <v>-82.989266376589157</v>
      </c>
      <c r="V14" s="508">
        <v>-82.489057843741776</v>
      </c>
      <c r="W14" s="508">
        <v>-18.317459159999999</v>
      </c>
      <c r="X14" s="508">
        <v>-18.317459159999995</v>
      </c>
      <c r="Y14" s="508">
        <v>-19.154784359999997</v>
      </c>
      <c r="Z14" s="508">
        <v>-17.882715479999995</v>
      </c>
      <c r="AB14" s="508"/>
      <c r="AC14" s="508"/>
      <c r="AD14" s="508"/>
      <c r="AE14" s="508">
        <f t="shared" si="1"/>
        <v>-83.137962599999994</v>
      </c>
      <c r="AF14" s="508">
        <f t="shared" si="2"/>
        <v>-204.35829124174865</v>
      </c>
      <c r="AG14" s="508">
        <f t="shared" si="3"/>
        <v>-323.31854423178004</v>
      </c>
      <c r="AH14" s="508">
        <f t="shared" si="4"/>
        <v>-73.672418159999978</v>
      </c>
    </row>
    <row r="15" spans="2:34" s="277" customFormat="1" ht="14">
      <c r="B15" s="286" t="s">
        <v>502</v>
      </c>
      <c r="C15" s="507">
        <v>0</v>
      </c>
      <c r="D15" s="507">
        <v>0</v>
      </c>
      <c r="E15" s="507">
        <v>0</v>
      </c>
      <c r="F15" s="507">
        <v>0</v>
      </c>
      <c r="G15" s="507">
        <v>0</v>
      </c>
      <c r="H15" s="507">
        <v>0</v>
      </c>
      <c r="I15" s="507">
        <v>0</v>
      </c>
      <c r="J15" s="507">
        <v>0</v>
      </c>
      <c r="K15" s="287">
        <v>-97.165878373378888</v>
      </c>
      <c r="L15" s="287">
        <v>-111.49742159242209</v>
      </c>
      <c r="M15" s="287">
        <v>-97.758718325239698</v>
      </c>
      <c r="N15" s="287">
        <v>-67.888134864440445</v>
      </c>
      <c r="O15" s="287">
        <v>-129.21943546039878</v>
      </c>
      <c r="P15" s="287">
        <v>-80.128685780595021</v>
      </c>
      <c r="Q15" s="287">
        <v>-61.503113488279176</v>
      </c>
      <c r="R15" s="287">
        <v>-91.027815996830924</v>
      </c>
      <c r="S15" s="287">
        <v>-88.035213457241923</v>
      </c>
      <c r="T15" s="287">
        <v>-154.3078757621021</v>
      </c>
      <c r="U15" s="287">
        <v>-149.72286839895114</v>
      </c>
      <c r="V15" s="287">
        <v>-119.80719667057915</v>
      </c>
      <c r="W15" s="287">
        <v>-116.70610618549998</v>
      </c>
      <c r="X15" s="287">
        <v>-80.091973709200005</v>
      </c>
      <c r="Y15" s="287">
        <v>-35.061057449099991</v>
      </c>
      <c r="Z15" s="287">
        <v>-64.318028549075024</v>
      </c>
      <c r="AB15" s="287"/>
      <c r="AC15" s="287"/>
      <c r="AD15" s="287"/>
      <c r="AE15" s="287">
        <f t="shared" si="1"/>
        <v>-374.31015315548109</v>
      </c>
      <c r="AF15" s="287">
        <f t="shared" si="2"/>
        <v>-361.87905072610386</v>
      </c>
      <c r="AG15" s="287">
        <f t="shared" si="3"/>
        <v>-511.87315428887428</v>
      </c>
      <c r="AH15" s="287">
        <f t="shared" si="4"/>
        <v>-296.177165892875</v>
      </c>
    </row>
    <row r="16" spans="2:34" s="277" customFormat="1" ht="14">
      <c r="B16" s="286" t="s">
        <v>503</v>
      </c>
      <c r="C16" s="507">
        <v>0</v>
      </c>
      <c r="D16" s="507">
        <v>0</v>
      </c>
      <c r="E16" s="507">
        <v>0</v>
      </c>
      <c r="F16" s="507">
        <v>0</v>
      </c>
      <c r="G16" s="507">
        <v>0</v>
      </c>
      <c r="H16" s="507">
        <v>0</v>
      </c>
      <c r="I16" s="507">
        <v>0</v>
      </c>
      <c r="J16" s="507">
        <v>0</v>
      </c>
      <c r="K16" s="508">
        <v>0</v>
      </c>
      <c r="L16" s="508">
        <v>0</v>
      </c>
      <c r="M16" s="508">
        <v>0</v>
      </c>
      <c r="N16" s="508">
        <v>0</v>
      </c>
      <c r="O16" s="508">
        <v>0</v>
      </c>
      <c r="P16" s="508">
        <v>0</v>
      </c>
      <c r="Q16" s="508">
        <v>0</v>
      </c>
      <c r="R16" s="508">
        <v>0</v>
      </c>
      <c r="S16" s="508">
        <v>-26.670701789999999</v>
      </c>
      <c r="T16" s="508">
        <v>39.512332600000001</v>
      </c>
      <c r="U16" s="508">
        <v>43.658519062990308</v>
      </c>
      <c r="V16" s="508">
        <v>47.569851759999999</v>
      </c>
      <c r="W16" s="508">
        <v>42.706865439999987</v>
      </c>
      <c r="X16" s="508">
        <v>40.48310764</v>
      </c>
      <c r="Y16" s="508">
        <v>37.5104349</v>
      </c>
      <c r="Z16" s="508">
        <v>39.284707929999996</v>
      </c>
      <c r="AB16" s="508"/>
      <c r="AC16" s="508"/>
      <c r="AD16" s="508"/>
      <c r="AE16" s="508">
        <f t="shared" si="1"/>
        <v>0</v>
      </c>
      <c r="AF16" s="508">
        <f t="shared" si="2"/>
        <v>0</v>
      </c>
      <c r="AG16" s="508">
        <f t="shared" si="3"/>
        <v>104.07000163299031</v>
      </c>
      <c r="AH16" s="508">
        <f t="shared" si="4"/>
        <v>159.98511590999999</v>
      </c>
    </row>
    <row r="17" spans="1:37" s="277" customFormat="1" ht="14">
      <c r="B17" s="286" t="s">
        <v>532</v>
      </c>
      <c r="C17" s="507">
        <v>0</v>
      </c>
      <c r="D17" s="507">
        <v>0</v>
      </c>
      <c r="E17" s="507">
        <v>0</v>
      </c>
      <c r="F17" s="507">
        <v>0</v>
      </c>
      <c r="G17" s="507">
        <v>0</v>
      </c>
      <c r="H17" s="507">
        <v>0</v>
      </c>
      <c r="I17" s="507">
        <v>0</v>
      </c>
      <c r="J17" s="507">
        <v>0</v>
      </c>
      <c r="K17" s="191">
        <f>141.559-7</f>
        <v>134.559</v>
      </c>
      <c r="L17" s="191">
        <v>0</v>
      </c>
      <c r="M17" s="191">
        <v>0</v>
      </c>
      <c r="N17" s="191">
        <f>-6+46.488</f>
        <v>40.488</v>
      </c>
      <c r="O17" s="191">
        <v>0</v>
      </c>
      <c r="P17" s="191">
        <v>0</v>
      </c>
      <c r="Q17" s="191">
        <v>0</v>
      </c>
      <c r="R17" s="191">
        <v>0</v>
      </c>
      <c r="S17" s="191">
        <v>0</v>
      </c>
      <c r="T17" s="191">
        <v>0</v>
      </c>
      <c r="U17" s="191">
        <v>0</v>
      </c>
      <c r="V17" s="191">
        <v>0</v>
      </c>
      <c r="W17" s="191">
        <v>0</v>
      </c>
      <c r="X17" s="191">
        <v>0</v>
      </c>
      <c r="Y17" s="508">
        <v>0</v>
      </c>
      <c r="Z17" s="508">
        <v>-274</v>
      </c>
      <c r="AB17" s="508"/>
      <c r="AC17" s="508"/>
      <c r="AD17" s="508"/>
      <c r="AE17" s="508">
        <f t="shared" si="1"/>
        <v>175.047</v>
      </c>
      <c r="AF17" s="508">
        <f t="shared" si="2"/>
        <v>0</v>
      </c>
      <c r="AG17" s="508">
        <f t="shared" si="3"/>
        <v>0</v>
      </c>
      <c r="AH17" s="508">
        <f t="shared" si="4"/>
        <v>-274</v>
      </c>
    </row>
    <row r="18" spans="1:37" s="277" customFormat="1" ht="14">
      <c r="B18" s="316" t="s">
        <v>535</v>
      </c>
      <c r="C18" s="507">
        <v>0</v>
      </c>
      <c r="D18" s="507">
        <v>0</v>
      </c>
      <c r="E18" s="507">
        <v>0</v>
      </c>
      <c r="F18" s="507">
        <v>0</v>
      </c>
      <c r="G18" s="507">
        <v>0</v>
      </c>
      <c r="H18" s="507">
        <v>0</v>
      </c>
      <c r="I18" s="507">
        <v>0</v>
      </c>
      <c r="J18" s="507">
        <v>0</v>
      </c>
      <c r="K18" s="507">
        <f>SUM(K8,K12)</f>
        <v>164.69799999999998</v>
      </c>
      <c r="L18" s="507">
        <f t="shared" ref="L18:Z18" si="6">SUM(L8,L12)</f>
        <v>2.5120000000000289</v>
      </c>
      <c r="M18" s="507">
        <f t="shared" si="6"/>
        <v>-30.988</v>
      </c>
      <c r="N18" s="507">
        <f t="shared" si="6"/>
        <v>111.691</v>
      </c>
      <c r="O18" s="507">
        <f t="shared" si="6"/>
        <v>-42.046999999999997</v>
      </c>
      <c r="P18" s="507">
        <f t="shared" si="6"/>
        <v>3.9350000000000023</v>
      </c>
      <c r="Q18" s="507">
        <f t="shared" si="6"/>
        <v>-4.436000000000007</v>
      </c>
      <c r="R18" s="507">
        <f t="shared" si="6"/>
        <v>-44.509999999999991</v>
      </c>
      <c r="S18" s="507">
        <f t="shared" si="6"/>
        <v>-82.823397761999985</v>
      </c>
      <c r="T18" s="507">
        <f t="shared" si="6"/>
        <v>-68.300073499618151</v>
      </c>
      <c r="U18" s="507">
        <f t="shared" si="6"/>
        <v>-78.285808758499968</v>
      </c>
      <c r="V18" s="507">
        <f t="shared" si="6"/>
        <v>-72.900795373695885</v>
      </c>
      <c r="W18" s="507">
        <f t="shared" si="6"/>
        <v>-42.21099999999997</v>
      </c>
      <c r="X18" s="507">
        <f t="shared" si="6"/>
        <v>-11.279999999999994</v>
      </c>
      <c r="Y18" s="507">
        <f t="shared" si="6"/>
        <v>32.382000000000012</v>
      </c>
      <c r="Z18" s="507">
        <f t="shared" si="6"/>
        <v>-224.82</v>
      </c>
      <c r="AB18" s="507"/>
      <c r="AC18" s="507"/>
      <c r="AD18" s="507"/>
      <c r="AE18" s="507">
        <f t="shared" si="1"/>
        <v>247.91300000000001</v>
      </c>
      <c r="AF18" s="507">
        <f t="shared" si="2"/>
        <v>-87.057999999999993</v>
      </c>
      <c r="AG18" s="507">
        <f t="shared" si="3"/>
        <v>-302.31007539381397</v>
      </c>
      <c r="AH18" s="507">
        <f t="shared" si="4"/>
        <v>-245.92899999999995</v>
      </c>
    </row>
    <row r="19" spans="1:37" s="277" customFormat="1" ht="14">
      <c r="B19" s="316" t="s">
        <v>536</v>
      </c>
      <c r="C19" s="507">
        <v>0</v>
      </c>
      <c r="D19" s="507">
        <v>0</v>
      </c>
      <c r="E19" s="507">
        <v>0</v>
      </c>
      <c r="F19" s="507">
        <v>0</v>
      </c>
      <c r="G19" s="507">
        <v>0</v>
      </c>
      <c r="H19" s="507">
        <v>0</v>
      </c>
      <c r="I19" s="507">
        <v>0</v>
      </c>
      <c r="J19" s="507">
        <v>0</v>
      </c>
      <c r="K19" s="507">
        <v>-1.8080000000000001</v>
      </c>
      <c r="L19" s="507">
        <v>-5.64</v>
      </c>
      <c r="M19" s="507">
        <v>-16.971</v>
      </c>
      <c r="N19" s="507">
        <v>-12.143000000000001</v>
      </c>
      <c r="O19" s="507">
        <v>-8.202</v>
      </c>
      <c r="P19" s="507">
        <v>-5.9349999999999996</v>
      </c>
      <c r="Q19" s="507">
        <v>-6.5640000000000001</v>
      </c>
      <c r="R19" s="507">
        <v>-7.2409999999999997</v>
      </c>
      <c r="S19" s="507">
        <v>-0.17660223799999994</v>
      </c>
      <c r="T19" s="507">
        <v>-1.3898945204999982</v>
      </c>
      <c r="U19" s="507">
        <v>-3.5545032415000022</v>
      </c>
      <c r="V19" s="507">
        <v>-4.7089999999999996</v>
      </c>
      <c r="W19" s="507">
        <v>0.63400000000000001</v>
      </c>
      <c r="X19" s="507">
        <v>6.8000000000000005E-2</v>
      </c>
      <c r="Y19" s="507">
        <v>-1.2210000000000001</v>
      </c>
      <c r="Z19" s="507">
        <v>-16.370999999999999</v>
      </c>
      <c r="AB19" s="507"/>
      <c r="AC19" s="507"/>
      <c r="AD19" s="507"/>
      <c r="AE19" s="507">
        <f t="shared" si="1"/>
        <v>-36.561999999999998</v>
      </c>
      <c r="AF19" s="507">
        <f t="shared" si="2"/>
        <v>-27.942</v>
      </c>
      <c r="AG19" s="507">
        <f t="shared" si="3"/>
        <v>-9.83</v>
      </c>
      <c r="AH19" s="507">
        <f t="shared" si="4"/>
        <v>-16.89</v>
      </c>
    </row>
    <row r="20" spans="1:37" s="277" customFormat="1" ht="14">
      <c r="B20" s="286" t="s">
        <v>537</v>
      </c>
      <c r="C20" s="507">
        <v>0</v>
      </c>
      <c r="D20" s="507">
        <v>0</v>
      </c>
      <c r="E20" s="507">
        <v>0</v>
      </c>
      <c r="F20" s="507">
        <v>0</v>
      </c>
      <c r="G20" s="507">
        <v>0</v>
      </c>
      <c r="H20" s="507">
        <v>0</v>
      </c>
      <c r="I20" s="507">
        <v>0</v>
      </c>
      <c r="J20" s="507">
        <v>0</v>
      </c>
      <c r="K20" s="508">
        <v>-1.8080000000000001</v>
      </c>
      <c r="L20" s="508">
        <v>-5.64</v>
      </c>
      <c r="M20" s="508">
        <v>-16.971</v>
      </c>
      <c r="N20" s="508">
        <v>-12.143000000000001</v>
      </c>
      <c r="O20" s="508">
        <v>-8.202</v>
      </c>
      <c r="P20" s="508">
        <v>-5.9349999999999996</v>
      </c>
      <c r="Q20" s="508">
        <v>-6.5640000000000001</v>
      </c>
      <c r="R20" s="508">
        <v>-7.2409999999999997</v>
      </c>
      <c r="S20" s="508">
        <v>-0.17660223799999994</v>
      </c>
      <c r="T20" s="508">
        <v>-1.3898945204999982</v>
      </c>
      <c r="U20" s="508">
        <v>-3.5545032415000022</v>
      </c>
      <c r="V20" s="508">
        <v>-4.7089999999999996</v>
      </c>
      <c r="W20" s="508">
        <v>0.63400000000000001</v>
      </c>
      <c r="X20" s="508">
        <v>6.8000000000000005E-2</v>
      </c>
      <c r="Y20" s="508">
        <v>-1.2210000000000001</v>
      </c>
      <c r="Z20" s="508">
        <v>-16.370999999999999</v>
      </c>
      <c r="AB20" s="508"/>
      <c r="AC20" s="508"/>
      <c r="AD20" s="508"/>
      <c r="AE20" s="508">
        <f t="shared" si="1"/>
        <v>-36.561999999999998</v>
      </c>
      <c r="AF20" s="508">
        <f t="shared" si="2"/>
        <v>-27.942</v>
      </c>
      <c r="AG20" s="508">
        <f t="shared" si="3"/>
        <v>-9.83</v>
      </c>
      <c r="AH20" s="508">
        <f t="shared" si="4"/>
        <v>-16.89</v>
      </c>
    </row>
    <row r="21" spans="1:37" s="277" customFormat="1" ht="14">
      <c r="B21" s="316" t="s">
        <v>504</v>
      </c>
      <c r="C21" s="507">
        <v>0</v>
      </c>
      <c r="D21" s="507">
        <v>0</v>
      </c>
      <c r="E21" s="507">
        <v>0</v>
      </c>
      <c r="F21" s="507">
        <v>0</v>
      </c>
      <c r="G21" s="507">
        <v>0</v>
      </c>
      <c r="H21" s="507">
        <v>0</v>
      </c>
      <c r="I21" s="507">
        <v>0</v>
      </c>
      <c r="J21" s="507">
        <v>0</v>
      </c>
      <c r="K21" s="507">
        <f t="shared" ref="K21:Z21" si="7">SUM(K18:K19)</f>
        <v>162.88999999999999</v>
      </c>
      <c r="L21" s="507">
        <f t="shared" si="7"/>
        <v>-3.1279999999999708</v>
      </c>
      <c r="M21" s="507">
        <f t="shared" si="7"/>
        <v>-47.959000000000003</v>
      </c>
      <c r="N21" s="507">
        <f t="shared" si="7"/>
        <v>99.548000000000002</v>
      </c>
      <c r="O21" s="507">
        <f t="shared" si="7"/>
        <v>-50.248999999999995</v>
      </c>
      <c r="P21" s="507">
        <f t="shared" si="7"/>
        <v>-1.9999999999999973</v>
      </c>
      <c r="Q21" s="507">
        <f t="shared" si="7"/>
        <v>-11.000000000000007</v>
      </c>
      <c r="R21" s="507">
        <f t="shared" si="7"/>
        <v>-51.750999999999991</v>
      </c>
      <c r="S21" s="507">
        <f t="shared" si="7"/>
        <v>-82.999999999999986</v>
      </c>
      <c r="T21" s="507">
        <f t="shared" si="7"/>
        <v>-69.689968020118144</v>
      </c>
      <c r="U21" s="507">
        <f t="shared" si="7"/>
        <v>-81.840311999999969</v>
      </c>
      <c r="V21" s="507">
        <f t="shared" si="7"/>
        <v>-77.609795373695889</v>
      </c>
      <c r="W21" s="507">
        <f t="shared" si="7"/>
        <v>-41.57699999999997</v>
      </c>
      <c r="X21" s="507">
        <f t="shared" si="7"/>
        <v>-11.211999999999994</v>
      </c>
      <c r="Y21" s="507">
        <f t="shared" si="7"/>
        <v>31.161000000000012</v>
      </c>
      <c r="Z21" s="507">
        <f t="shared" si="7"/>
        <v>-241.191</v>
      </c>
      <c r="AB21" s="507"/>
      <c r="AC21" s="507"/>
      <c r="AD21" s="507"/>
      <c r="AE21" s="507">
        <f t="shared" si="1"/>
        <v>211.35100000000003</v>
      </c>
      <c r="AF21" s="507">
        <f t="shared" si="2"/>
        <v>-115</v>
      </c>
      <c r="AG21" s="507">
        <f t="shared" si="3"/>
        <v>-312.14007539381396</v>
      </c>
      <c r="AH21" s="507">
        <f t="shared" si="4"/>
        <v>-262.81899999999996</v>
      </c>
    </row>
    <row r="22" spans="1:37" s="277" customFormat="1" ht="14">
      <c r="B22" s="286" t="s">
        <v>538</v>
      </c>
      <c r="C22" s="507">
        <v>0</v>
      </c>
      <c r="D22" s="507">
        <v>0</v>
      </c>
      <c r="E22" s="507">
        <v>0</v>
      </c>
      <c r="F22" s="507">
        <v>0</v>
      </c>
      <c r="G22" s="507">
        <v>0</v>
      </c>
      <c r="H22" s="507">
        <v>0</v>
      </c>
      <c r="I22" s="507">
        <v>0</v>
      </c>
      <c r="J22" s="507">
        <v>0</v>
      </c>
      <c r="K22" s="508">
        <v>0</v>
      </c>
      <c r="L22" s="508">
        <v>0</v>
      </c>
      <c r="M22" s="508">
        <v>0</v>
      </c>
      <c r="N22" s="508">
        <v>0</v>
      </c>
      <c r="O22" s="508">
        <v>0</v>
      </c>
      <c r="P22" s="508">
        <v>0</v>
      </c>
      <c r="Q22" s="508">
        <v>0</v>
      </c>
      <c r="R22" s="508">
        <v>0</v>
      </c>
      <c r="S22" s="508">
        <v>0</v>
      </c>
      <c r="T22" s="508">
        <v>36.689968020118179</v>
      </c>
      <c r="U22" s="508">
        <v>50.877311999999989</v>
      </c>
      <c r="V22" s="508">
        <v>35.753795373695887</v>
      </c>
      <c r="W22" s="508">
        <v>0</v>
      </c>
      <c r="X22" s="508">
        <v>57.236976000000013</v>
      </c>
      <c r="Y22" s="508">
        <v>40.701849600000003</v>
      </c>
      <c r="Z22" s="508">
        <v>59.780841600000002</v>
      </c>
      <c r="AB22" s="508"/>
      <c r="AC22" s="508"/>
      <c r="AD22" s="508"/>
      <c r="AE22" s="508">
        <f t="shared" si="1"/>
        <v>0</v>
      </c>
      <c r="AF22" s="508">
        <f t="shared" si="2"/>
        <v>0</v>
      </c>
      <c r="AG22" s="508">
        <f t="shared" si="3"/>
        <v>123.32107539381406</v>
      </c>
      <c r="AH22" s="508">
        <f t="shared" si="4"/>
        <v>157.7196672</v>
      </c>
    </row>
    <row r="23" spans="1:37" s="277" customFormat="1" ht="14">
      <c r="B23" s="286" t="s">
        <v>530</v>
      </c>
      <c r="C23" s="507"/>
      <c r="D23" s="507"/>
      <c r="E23" s="507"/>
      <c r="F23" s="507"/>
      <c r="G23" s="507"/>
      <c r="H23" s="507"/>
      <c r="I23" s="507"/>
      <c r="J23" s="507"/>
      <c r="K23" s="508">
        <v>0</v>
      </c>
      <c r="L23" s="508">
        <v>0</v>
      </c>
      <c r="M23" s="508">
        <v>0</v>
      </c>
      <c r="N23" s="508">
        <v>0</v>
      </c>
      <c r="O23" s="508">
        <v>0</v>
      </c>
      <c r="P23" s="508">
        <v>0</v>
      </c>
      <c r="Q23" s="508">
        <v>0</v>
      </c>
      <c r="R23" s="508">
        <v>0</v>
      </c>
      <c r="S23" s="508">
        <v>0</v>
      </c>
      <c r="T23" s="508">
        <v>0</v>
      </c>
      <c r="U23" s="508">
        <v>0</v>
      </c>
      <c r="V23" s="508">
        <v>0</v>
      </c>
      <c r="W23" s="508">
        <v>0</v>
      </c>
      <c r="X23" s="508">
        <v>0</v>
      </c>
      <c r="Y23" s="508">
        <v>0</v>
      </c>
      <c r="Z23" s="508">
        <f>(Z17)+-0.0261583999999857</f>
        <v>-274.02615839999999</v>
      </c>
      <c r="AB23" s="508"/>
      <c r="AC23" s="508"/>
      <c r="AD23" s="508"/>
      <c r="AE23" s="508"/>
      <c r="AF23" s="508"/>
      <c r="AG23" s="508"/>
      <c r="AH23" s="508"/>
    </row>
    <row r="24" spans="1:37" s="277" customFormat="1" ht="14">
      <c r="B24" s="316" t="s">
        <v>505</v>
      </c>
      <c r="C24" s="507">
        <v>0</v>
      </c>
      <c r="D24" s="507">
        <v>0</v>
      </c>
      <c r="E24" s="507">
        <v>0</v>
      </c>
      <c r="F24" s="507">
        <v>0</v>
      </c>
      <c r="G24" s="507">
        <v>0</v>
      </c>
      <c r="H24" s="507">
        <v>0</v>
      </c>
      <c r="I24" s="507">
        <v>0</v>
      </c>
      <c r="J24" s="507">
        <v>0</v>
      </c>
      <c r="K24" s="507">
        <f>SUM(K21:K22)-K23</f>
        <v>162.88999999999999</v>
      </c>
      <c r="L24" s="507">
        <f t="shared" ref="L24:Y24" si="8">SUM(L21:L22)-L23</f>
        <v>-3.1279999999999708</v>
      </c>
      <c r="M24" s="507">
        <f t="shared" si="8"/>
        <v>-47.959000000000003</v>
      </c>
      <c r="N24" s="507">
        <f t="shared" si="8"/>
        <v>99.548000000000002</v>
      </c>
      <c r="O24" s="507">
        <f t="shared" si="8"/>
        <v>-50.248999999999995</v>
      </c>
      <c r="P24" s="507">
        <f t="shared" si="8"/>
        <v>-1.9999999999999973</v>
      </c>
      <c r="Q24" s="507">
        <f t="shared" si="8"/>
        <v>-11.000000000000007</v>
      </c>
      <c r="R24" s="507">
        <f t="shared" si="8"/>
        <v>-51.750999999999991</v>
      </c>
      <c r="S24" s="507">
        <f t="shared" si="8"/>
        <v>-82.999999999999986</v>
      </c>
      <c r="T24" s="507">
        <f t="shared" si="8"/>
        <v>-32.999999999999964</v>
      </c>
      <c r="U24" s="507">
        <f t="shared" si="8"/>
        <v>-30.96299999999998</v>
      </c>
      <c r="V24" s="507">
        <f t="shared" si="8"/>
        <v>-41.856000000000002</v>
      </c>
      <c r="W24" s="507">
        <f t="shared" si="8"/>
        <v>-41.57699999999997</v>
      </c>
      <c r="X24" s="507">
        <f t="shared" si="8"/>
        <v>46.024976000000017</v>
      </c>
      <c r="Y24" s="507">
        <f t="shared" si="8"/>
        <v>71.862849600000018</v>
      </c>
      <c r="Z24" s="507">
        <f>SUM(Z21:Z22)-Z23</f>
        <v>92.615999999999985</v>
      </c>
      <c r="AB24" s="507"/>
      <c r="AC24" s="507"/>
      <c r="AD24" s="507"/>
      <c r="AE24" s="507">
        <f t="shared" si="1"/>
        <v>211.35100000000003</v>
      </c>
      <c r="AF24" s="507">
        <f t="shared" si="2"/>
        <v>-115</v>
      </c>
      <c r="AG24" s="507">
        <f t="shared" si="3"/>
        <v>-188.8189999999999</v>
      </c>
      <c r="AH24" s="507">
        <f t="shared" si="4"/>
        <v>168.92682560000006</v>
      </c>
    </row>
    <row r="25" spans="1:37" s="285" customFormat="1" ht="15" customHeight="1">
      <c r="A25" s="282"/>
      <c r="B25" s="380"/>
      <c r="K25" s="516"/>
      <c r="L25" s="516"/>
      <c r="M25" s="516"/>
      <c r="N25" s="516"/>
      <c r="O25" s="516"/>
      <c r="P25" s="516"/>
      <c r="Q25" s="516"/>
      <c r="R25" s="516"/>
      <c r="S25" s="516"/>
      <c r="T25" s="516"/>
      <c r="U25" s="516"/>
      <c r="V25" s="516"/>
      <c r="W25" s="516"/>
      <c r="X25" s="516"/>
      <c r="Y25" s="516"/>
      <c r="Z25" s="516"/>
      <c r="AI25" s="284"/>
      <c r="AJ25" s="284"/>
      <c r="AK25" s="284"/>
    </row>
    <row r="26" spans="1:37" s="285" customFormat="1" ht="15" customHeight="1">
      <c r="A26" s="282"/>
      <c r="B26" s="278"/>
      <c r="K26" s="516"/>
      <c r="L26" s="516"/>
      <c r="M26" s="516"/>
      <c r="N26" s="516"/>
      <c r="O26" s="516"/>
      <c r="P26" s="516"/>
      <c r="Q26" s="516"/>
      <c r="R26" s="516"/>
      <c r="S26" s="516"/>
      <c r="T26" s="516"/>
      <c r="U26" s="516"/>
      <c r="V26" s="516"/>
      <c r="W26" s="516"/>
      <c r="X26" s="516"/>
      <c r="Y26" s="516"/>
      <c r="Z26" s="516"/>
      <c r="AI26" s="284"/>
      <c r="AJ26" s="284"/>
      <c r="AK26" s="284"/>
    </row>
    <row r="27" spans="1:37" s="277" customFormat="1" ht="14.25" customHeight="1" thickBot="1">
      <c r="B27" s="280" t="s">
        <v>385</v>
      </c>
      <c r="C27" s="281" t="s">
        <v>88</v>
      </c>
      <c r="D27" s="281" t="s">
        <v>89</v>
      </c>
      <c r="E27" s="281" t="s">
        <v>90</v>
      </c>
      <c r="F27" s="281" t="s">
        <v>91</v>
      </c>
      <c r="G27" s="281" t="s">
        <v>92</v>
      </c>
      <c r="H27" s="281" t="s">
        <v>93</v>
      </c>
      <c r="I27" s="281" t="s">
        <v>94</v>
      </c>
      <c r="J27" s="281" t="s">
        <v>95</v>
      </c>
      <c r="K27" s="281" t="s">
        <v>96</v>
      </c>
      <c r="L27" s="281" t="s">
        <v>97</v>
      </c>
      <c r="M27" s="281" t="s">
        <v>98</v>
      </c>
      <c r="N27" s="281" t="s">
        <v>99</v>
      </c>
      <c r="O27" s="281" t="s">
        <v>100</v>
      </c>
      <c r="P27" s="281" t="s">
        <v>101</v>
      </c>
      <c r="Q27" s="281" t="s">
        <v>342</v>
      </c>
      <c r="R27" s="281" t="s">
        <v>348</v>
      </c>
      <c r="S27" s="281" t="s">
        <v>363</v>
      </c>
      <c r="T27" s="281" t="s">
        <v>392</v>
      </c>
      <c r="U27" s="281" t="s">
        <v>404</v>
      </c>
      <c r="V27" s="281" t="s">
        <v>405</v>
      </c>
      <c r="W27" s="281" t="s">
        <v>478</v>
      </c>
      <c r="X27" s="281" t="s">
        <v>483</v>
      </c>
      <c r="Y27" s="281" t="s">
        <v>488</v>
      </c>
      <c r="Z27" s="281" t="s">
        <v>490</v>
      </c>
      <c r="AA27" s="279"/>
      <c r="AB27" s="281">
        <v>2018</v>
      </c>
      <c r="AC27" s="281">
        <v>2019</v>
      </c>
      <c r="AD27" s="281">
        <v>2020</v>
      </c>
      <c r="AE27" s="281">
        <v>2021</v>
      </c>
      <c r="AF27" s="281">
        <v>2022</v>
      </c>
      <c r="AG27" s="281">
        <v>2023</v>
      </c>
      <c r="AH27" s="281">
        <v>2024</v>
      </c>
    </row>
    <row r="28" spans="1:37" ht="14.5" thickTop="1">
      <c r="B28" s="283"/>
      <c r="C28" s="284"/>
      <c r="D28" s="284"/>
      <c r="E28" s="284"/>
      <c r="F28" s="284"/>
      <c r="G28" s="284"/>
      <c r="H28" s="284"/>
      <c r="I28" s="284"/>
      <c r="J28" s="284"/>
      <c r="K28" s="284"/>
      <c r="L28" s="284"/>
      <c r="M28" s="284"/>
      <c r="N28" s="284"/>
      <c r="O28" s="284"/>
      <c r="P28" s="284"/>
      <c r="Q28" s="284"/>
      <c r="R28" s="284"/>
      <c r="S28" s="403"/>
      <c r="T28" s="403"/>
      <c r="U28" s="403"/>
      <c r="V28" s="403"/>
      <c r="W28" s="403"/>
      <c r="X28" s="403"/>
      <c r="Y28" s="403"/>
      <c r="Z28" s="284"/>
      <c r="AA28" s="284"/>
      <c r="AB28" s="284"/>
      <c r="AC28" s="284"/>
      <c r="AD28" s="284"/>
      <c r="AE28" s="284"/>
      <c r="AF28" s="284"/>
      <c r="AG28" s="284"/>
      <c r="AH28" s="284"/>
    </row>
    <row r="29" spans="1:37" ht="14">
      <c r="B29" s="286" t="s">
        <v>386</v>
      </c>
      <c r="C29" s="223">
        <v>662.82204176666664</v>
      </c>
      <c r="D29" s="223">
        <v>750.51905757142868</v>
      </c>
      <c r="E29" s="223">
        <v>712.93568519565224</v>
      </c>
      <c r="F29" s="223">
        <v>680.64828307608695</v>
      </c>
      <c r="G29" s="223">
        <v>802.46928982417569</v>
      </c>
      <c r="H29" s="223">
        <v>667.4227351648351</v>
      </c>
      <c r="I29" s="287">
        <v>627.93007177173911</v>
      </c>
      <c r="J29" s="223">
        <v>628.38889458695655</v>
      </c>
      <c r="K29" s="223">
        <v>706.0410344666667</v>
      </c>
      <c r="L29" s="223">
        <v>641</v>
      </c>
      <c r="M29" s="223">
        <v>542</v>
      </c>
      <c r="N29" s="223">
        <v>595</v>
      </c>
      <c r="O29" s="223">
        <v>674</v>
      </c>
      <c r="P29" s="286">
        <v>632</v>
      </c>
      <c r="Q29" s="286">
        <v>617</v>
      </c>
      <c r="R29" s="287">
        <v>691.67511064130429</v>
      </c>
      <c r="S29" s="287">
        <v>794</v>
      </c>
      <c r="T29" s="287">
        <v>739</v>
      </c>
      <c r="U29" s="287">
        <v>740</v>
      </c>
      <c r="V29" s="287">
        <v>753.49250172826089</v>
      </c>
      <c r="W29" s="287">
        <v>756</v>
      </c>
      <c r="X29" s="287">
        <v>714.13555268131859</v>
      </c>
      <c r="Y29" s="287">
        <v>694.11463743478248</v>
      </c>
      <c r="Z29" s="287">
        <v>699.18416965217386</v>
      </c>
      <c r="AA29" s="297"/>
      <c r="AB29" s="223">
        <v>653</v>
      </c>
      <c r="AC29" s="223">
        <v>702</v>
      </c>
      <c r="AD29" s="223">
        <v>679</v>
      </c>
      <c r="AE29" s="286">
        <v>620</v>
      </c>
      <c r="AF29" s="287">
        <v>653.9930297835615</v>
      </c>
      <c r="AG29" s="287">
        <f>AVERAGE(S29:V29)</f>
        <v>756.62312543206519</v>
      </c>
      <c r="AH29" s="287">
        <f>AVERAGE(W29:Z29)</f>
        <v>715.85858994206876</v>
      </c>
    </row>
    <row r="30" spans="1:37" ht="14">
      <c r="B30" s="286" t="s">
        <v>387</v>
      </c>
      <c r="C30" s="223">
        <v>457.19448436666676</v>
      </c>
      <c r="D30" s="223">
        <v>447.02152794505497</v>
      </c>
      <c r="E30" s="223">
        <v>452.51884891304348</v>
      </c>
      <c r="F30" s="223">
        <v>465.41510322826088</v>
      </c>
      <c r="G30" s="223">
        <v>196.47009016483514</v>
      </c>
      <c r="H30" s="223">
        <v>198.02853434745666</v>
      </c>
      <c r="I30" s="287">
        <v>246.27657911956521</v>
      </c>
      <c r="J30" s="223">
        <v>296.68596006521739</v>
      </c>
      <c r="K30" s="223">
        <v>209</v>
      </c>
      <c r="L30" s="223">
        <v>257</v>
      </c>
      <c r="M30" s="223">
        <v>310</v>
      </c>
      <c r="N30" s="223">
        <v>258</v>
      </c>
      <c r="O30" s="223">
        <v>163</v>
      </c>
      <c r="P30" s="286">
        <v>172</v>
      </c>
      <c r="Q30" s="286">
        <v>184</v>
      </c>
      <c r="R30" s="287">
        <v>164.68862369565215</v>
      </c>
      <c r="S30" s="287">
        <v>164</v>
      </c>
      <c r="T30" s="287">
        <v>164</v>
      </c>
      <c r="U30" s="287">
        <v>172</v>
      </c>
      <c r="V30" s="287">
        <v>172.51206934782607</v>
      </c>
      <c r="W30" s="287">
        <v>104</v>
      </c>
      <c r="X30" s="287">
        <v>104</v>
      </c>
      <c r="Y30" s="287">
        <v>85.536304347826089</v>
      </c>
      <c r="Z30" s="287">
        <v>126.01347065217396</v>
      </c>
      <c r="AB30" s="223">
        <v>460</v>
      </c>
      <c r="AC30" s="223">
        <v>457</v>
      </c>
      <c r="AD30" s="223">
        <v>236</v>
      </c>
      <c r="AE30" s="286">
        <v>259</v>
      </c>
      <c r="AF30" s="287">
        <v>165.93460824657535</v>
      </c>
      <c r="AG30" s="287">
        <f>AVERAGE(S30:V30)</f>
        <v>168.12801733695653</v>
      </c>
      <c r="AH30" s="287">
        <f>AVERAGE(W30:Z30)</f>
        <v>104.88744375000002</v>
      </c>
    </row>
    <row r="31" spans="1:37" ht="14.5" thickBot="1">
      <c r="B31" s="289" t="s">
        <v>388</v>
      </c>
      <c r="C31" s="513">
        <f t="shared" ref="C31:X31" si="9">SUM(C29:C30)</f>
        <v>1120.0165261333334</v>
      </c>
      <c r="D31" s="513">
        <f t="shared" si="9"/>
        <v>1197.5405855164836</v>
      </c>
      <c r="E31" s="513">
        <f t="shared" si="9"/>
        <v>1165.4545341086957</v>
      </c>
      <c r="F31" s="513">
        <f t="shared" si="9"/>
        <v>1146.0633863043479</v>
      </c>
      <c r="G31" s="513">
        <f t="shared" si="9"/>
        <v>998.93937998901083</v>
      </c>
      <c r="H31" s="513">
        <f t="shared" si="9"/>
        <v>865.45126951229179</v>
      </c>
      <c r="I31" s="513">
        <f t="shared" si="9"/>
        <v>874.20665089130432</v>
      </c>
      <c r="J31" s="513">
        <f t="shared" si="9"/>
        <v>925.07485465217394</v>
      </c>
      <c r="K31" s="513">
        <f t="shared" si="9"/>
        <v>915.0410344666667</v>
      </c>
      <c r="L31" s="513">
        <f t="shared" si="9"/>
        <v>898</v>
      </c>
      <c r="M31" s="513">
        <f t="shared" si="9"/>
        <v>852</v>
      </c>
      <c r="N31" s="513">
        <f t="shared" si="9"/>
        <v>853</v>
      </c>
      <c r="O31" s="513">
        <f t="shared" si="9"/>
        <v>837</v>
      </c>
      <c r="P31" s="513">
        <f t="shared" si="9"/>
        <v>804</v>
      </c>
      <c r="Q31" s="513">
        <f t="shared" si="9"/>
        <v>801</v>
      </c>
      <c r="R31" s="513">
        <f t="shared" si="9"/>
        <v>856.36373433695644</v>
      </c>
      <c r="S31" s="513">
        <f t="shared" si="9"/>
        <v>958</v>
      </c>
      <c r="T31" s="513">
        <f t="shared" si="9"/>
        <v>903</v>
      </c>
      <c r="U31" s="513">
        <f t="shared" si="9"/>
        <v>912</v>
      </c>
      <c r="V31" s="513">
        <f t="shared" si="9"/>
        <v>926.0045710760869</v>
      </c>
      <c r="W31" s="513">
        <f t="shared" si="9"/>
        <v>860</v>
      </c>
      <c r="X31" s="513">
        <f t="shared" si="9"/>
        <v>818.13555268131859</v>
      </c>
      <c r="Y31" s="513">
        <f>SUM(Y29:Y30)</f>
        <v>779.65094178260858</v>
      </c>
      <c r="Z31" s="513">
        <f>SUM(Z29:Z30)</f>
        <v>825.19764030434783</v>
      </c>
      <c r="AB31" s="514">
        <f t="shared" ref="AB31:AH31" si="10">AB29+AB30</f>
        <v>1113</v>
      </c>
      <c r="AC31" s="514">
        <f t="shared" si="10"/>
        <v>1159</v>
      </c>
      <c r="AD31" s="514">
        <f t="shared" si="10"/>
        <v>915</v>
      </c>
      <c r="AE31" s="514">
        <f t="shared" si="10"/>
        <v>879</v>
      </c>
      <c r="AF31" s="515">
        <f t="shared" si="10"/>
        <v>819.9276380301369</v>
      </c>
      <c r="AG31" s="515">
        <f t="shared" si="10"/>
        <v>924.75114276902173</v>
      </c>
      <c r="AH31" s="515">
        <f t="shared" si="10"/>
        <v>820.74603369206875</v>
      </c>
    </row>
    <row r="32" spans="1:37" ht="14">
      <c r="B32" s="286" t="s">
        <v>389</v>
      </c>
      <c r="C32" s="223">
        <v>659.23111111111109</v>
      </c>
      <c r="D32" s="223">
        <v>652.18901098901097</v>
      </c>
      <c r="E32" s="223">
        <v>628.92826086956529</v>
      </c>
      <c r="F32" s="223">
        <v>576.6945652173913</v>
      </c>
      <c r="G32" s="223">
        <v>577.29692276895969</v>
      </c>
      <c r="H32" s="223">
        <v>574.51471159384869</v>
      </c>
      <c r="I32" s="287">
        <v>649.44155434782613</v>
      </c>
      <c r="J32" s="223">
        <v>673.40265217391311</v>
      </c>
      <c r="K32" s="223">
        <v>687</v>
      </c>
      <c r="L32" s="223">
        <v>690</v>
      </c>
      <c r="M32" s="223">
        <v>687.36283164037138</v>
      </c>
      <c r="N32" s="223">
        <v>688</v>
      </c>
      <c r="O32" s="223">
        <v>690</v>
      </c>
      <c r="P32" s="286">
        <v>709</v>
      </c>
      <c r="Q32" s="286">
        <v>726</v>
      </c>
      <c r="R32" s="287">
        <v>717.8987282608698</v>
      </c>
      <c r="S32" s="287">
        <v>705</v>
      </c>
      <c r="T32" s="287">
        <v>686</v>
      </c>
      <c r="U32" s="287">
        <v>696</v>
      </c>
      <c r="V32" s="287">
        <v>715.40398913043498</v>
      </c>
      <c r="W32" s="287">
        <v>725</v>
      </c>
      <c r="X32" s="287">
        <v>741.88618681318678</v>
      </c>
      <c r="Y32" s="287">
        <v>747.42227173913034</v>
      </c>
      <c r="Z32" s="287">
        <v>744.80422826086954</v>
      </c>
      <c r="AB32" s="223">
        <v>692</v>
      </c>
      <c r="AC32" s="223">
        <v>641</v>
      </c>
      <c r="AD32" s="223">
        <v>619</v>
      </c>
      <c r="AE32" s="286">
        <v>688</v>
      </c>
      <c r="AF32" s="287">
        <v>711.38699819780709</v>
      </c>
      <c r="AG32" s="287">
        <f>AVERAGE(S32:V32)</f>
        <v>700.60099728260877</v>
      </c>
      <c r="AH32" s="287">
        <f>AVERAGE(W32:Z32)</f>
        <v>739.77817170329661</v>
      </c>
    </row>
    <row r="33" spans="2:34" ht="14">
      <c r="B33" s="290"/>
      <c r="C33" s="224"/>
      <c r="D33" s="224"/>
      <c r="E33" s="224"/>
      <c r="F33" s="224"/>
      <c r="G33" s="224"/>
      <c r="H33" s="224"/>
      <c r="I33" s="224"/>
      <c r="J33" s="224"/>
      <c r="K33" s="224"/>
      <c r="L33" s="224"/>
      <c r="M33" s="224"/>
      <c r="N33" s="224"/>
      <c r="O33" s="224"/>
      <c r="P33" s="224"/>
      <c r="Q33" s="224"/>
      <c r="R33" s="291"/>
      <c r="S33" s="291"/>
      <c r="T33" s="291"/>
      <c r="U33" s="291"/>
      <c r="V33" s="291"/>
      <c r="W33" s="291"/>
      <c r="X33" s="291"/>
      <c r="Y33" s="496"/>
      <c r="Z33" s="496"/>
      <c r="AA33" s="512"/>
      <c r="AB33" s="224"/>
      <c r="AC33" s="224"/>
      <c r="AD33" s="224"/>
      <c r="AE33" s="224"/>
      <c r="AF33" s="291"/>
      <c r="AG33" s="291"/>
      <c r="AH33" s="291"/>
    </row>
    <row r="34" spans="2:34" ht="14">
      <c r="B34" s="290" t="s">
        <v>367</v>
      </c>
      <c r="C34" s="224">
        <f>C31-C32</f>
        <v>460.78541502222231</v>
      </c>
      <c r="D34" s="224">
        <f t="shared" ref="D34:Z34" si="11">D31-D32</f>
        <v>545.35157452747262</v>
      </c>
      <c r="E34" s="224">
        <f t="shared" si="11"/>
        <v>536.52627323913043</v>
      </c>
      <c r="F34" s="224">
        <f t="shared" si="11"/>
        <v>569.36882108695659</v>
      </c>
      <c r="G34" s="224">
        <f t="shared" si="11"/>
        <v>421.64245722005114</v>
      </c>
      <c r="H34" s="224">
        <f t="shared" si="11"/>
        <v>290.9365579184431</v>
      </c>
      <c r="I34" s="224">
        <f t="shared" si="11"/>
        <v>224.76509654347819</v>
      </c>
      <c r="J34" s="224">
        <f t="shared" si="11"/>
        <v>251.67220247826083</v>
      </c>
      <c r="K34" s="224">
        <f t="shared" si="11"/>
        <v>228.0410344666667</v>
      </c>
      <c r="L34" s="224">
        <f t="shared" si="11"/>
        <v>208</v>
      </c>
      <c r="M34" s="224">
        <f t="shared" si="11"/>
        <v>164.63716835962862</v>
      </c>
      <c r="N34" s="224">
        <f t="shared" si="11"/>
        <v>165</v>
      </c>
      <c r="O34" s="224">
        <f t="shared" si="11"/>
        <v>147</v>
      </c>
      <c r="P34" s="224">
        <f t="shared" si="11"/>
        <v>95</v>
      </c>
      <c r="Q34" s="224">
        <f t="shared" si="11"/>
        <v>75</v>
      </c>
      <c r="R34" s="224">
        <f t="shared" si="11"/>
        <v>138.46500607608664</v>
      </c>
      <c r="S34" s="224">
        <f t="shared" si="11"/>
        <v>253</v>
      </c>
      <c r="T34" s="224">
        <f t="shared" si="11"/>
        <v>217</v>
      </c>
      <c r="U34" s="224">
        <f t="shared" si="11"/>
        <v>216</v>
      </c>
      <c r="V34" s="224">
        <f t="shared" si="11"/>
        <v>210.60058194565192</v>
      </c>
      <c r="W34" s="224">
        <f t="shared" si="11"/>
        <v>135</v>
      </c>
      <c r="X34" s="224">
        <f t="shared" si="11"/>
        <v>76.249365868131804</v>
      </c>
      <c r="Y34" s="224">
        <f t="shared" si="11"/>
        <v>32.228670043478246</v>
      </c>
      <c r="Z34" s="224">
        <f t="shared" si="11"/>
        <v>80.393412043478293</v>
      </c>
      <c r="AA34" s="512"/>
      <c r="AB34" s="224">
        <f t="shared" ref="AB34:AH34" si="12">AB31-AB32</f>
        <v>421</v>
      </c>
      <c r="AC34" s="224">
        <f t="shared" si="12"/>
        <v>518</v>
      </c>
      <c r="AD34" s="224">
        <f t="shared" si="12"/>
        <v>296</v>
      </c>
      <c r="AE34" s="224">
        <f t="shared" si="12"/>
        <v>191</v>
      </c>
      <c r="AF34" s="224">
        <f t="shared" si="12"/>
        <v>108.54063983232982</v>
      </c>
      <c r="AG34" s="224">
        <f t="shared" si="12"/>
        <v>224.15014548641295</v>
      </c>
      <c r="AH34" s="224">
        <f t="shared" si="12"/>
        <v>80.967861988772142</v>
      </c>
    </row>
    <row r="35" spans="2:34" ht="14">
      <c r="B35" s="290" t="s">
        <v>369</v>
      </c>
      <c r="C35" s="224">
        <v>0</v>
      </c>
      <c r="D35" s="224">
        <v>0</v>
      </c>
      <c r="E35" s="224">
        <v>0</v>
      </c>
      <c r="F35" s="224">
        <v>0</v>
      </c>
      <c r="G35" s="224">
        <v>0</v>
      </c>
      <c r="H35" s="224">
        <v>0</v>
      </c>
      <c r="I35" s="224">
        <v>0</v>
      </c>
      <c r="J35" s="224">
        <v>0</v>
      </c>
      <c r="K35" s="224">
        <v>50</v>
      </c>
      <c r="L35" s="224">
        <v>50</v>
      </c>
      <c r="M35" s="224">
        <v>50</v>
      </c>
      <c r="N35" s="224">
        <v>50</v>
      </c>
      <c r="O35" s="224">
        <v>100</v>
      </c>
      <c r="P35" s="224">
        <v>100</v>
      </c>
      <c r="Q35" s="224">
        <v>100</v>
      </c>
      <c r="R35" s="224">
        <v>100</v>
      </c>
      <c r="S35" s="224">
        <v>180</v>
      </c>
      <c r="T35" s="224">
        <v>180</v>
      </c>
      <c r="U35" s="224">
        <v>180</v>
      </c>
      <c r="V35" s="224">
        <v>180</v>
      </c>
      <c r="W35" s="224">
        <v>120</v>
      </c>
      <c r="X35" s="224">
        <v>120</v>
      </c>
      <c r="Y35" s="497">
        <v>120</v>
      </c>
      <c r="Z35" s="224">
        <v>120</v>
      </c>
      <c r="AB35" s="383" t="s">
        <v>368</v>
      </c>
      <c r="AC35" s="383" t="s">
        <v>368</v>
      </c>
      <c r="AD35" s="383" t="s">
        <v>368</v>
      </c>
      <c r="AE35" s="224">
        <v>50</v>
      </c>
      <c r="AF35" s="224">
        <v>100</v>
      </c>
      <c r="AG35" s="287">
        <f>AVERAGE(S35:V35)</f>
        <v>180</v>
      </c>
      <c r="AH35" s="287">
        <f>AVERAGE(W35:Z35)</f>
        <v>120</v>
      </c>
    </row>
    <row r="36" spans="2:34" ht="14">
      <c r="B36" s="381" t="s">
        <v>390</v>
      </c>
      <c r="C36" s="498">
        <f t="shared" ref="C36:X36" si="13">SUM(C34:C35)</f>
        <v>460.78541502222231</v>
      </c>
      <c r="D36" s="498">
        <f t="shared" si="13"/>
        <v>545.35157452747262</v>
      </c>
      <c r="E36" s="498">
        <f t="shared" si="13"/>
        <v>536.52627323913043</v>
      </c>
      <c r="F36" s="498">
        <f t="shared" si="13"/>
        <v>569.36882108695659</v>
      </c>
      <c r="G36" s="498">
        <f t="shared" si="13"/>
        <v>421.64245722005114</v>
      </c>
      <c r="H36" s="498">
        <f t="shared" si="13"/>
        <v>290.9365579184431</v>
      </c>
      <c r="I36" s="498">
        <f t="shared" si="13"/>
        <v>224.76509654347819</v>
      </c>
      <c r="J36" s="498">
        <f t="shared" si="13"/>
        <v>251.67220247826083</v>
      </c>
      <c r="K36" s="498">
        <f t="shared" si="13"/>
        <v>278.0410344666667</v>
      </c>
      <c r="L36" s="498">
        <f t="shared" si="13"/>
        <v>258</v>
      </c>
      <c r="M36" s="498">
        <f t="shared" si="13"/>
        <v>214.63716835962862</v>
      </c>
      <c r="N36" s="498">
        <f t="shared" si="13"/>
        <v>215</v>
      </c>
      <c r="O36" s="498">
        <f t="shared" si="13"/>
        <v>247</v>
      </c>
      <c r="P36" s="498">
        <f t="shared" si="13"/>
        <v>195</v>
      </c>
      <c r="Q36" s="498">
        <f t="shared" si="13"/>
        <v>175</v>
      </c>
      <c r="R36" s="498">
        <f t="shared" si="13"/>
        <v>238.46500607608664</v>
      </c>
      <c r="S36" s="498">
        <f t="shared" si="13"/>
        <v>433</v>
      </c>
      <c r="T36" s="498">
        <f t="shared" si="13"/>
        <v>397</v>
      </c>
      <c r="U36" s="498">
        <f t="shared" si="13"/>
        <v>396</v>
      </c>
      <c r="V36" s="498">
        <f t="shared" si="13"/>
        <v>390.60058194565192</v>
      </c>
      <c r="W36" s="498">
        <f t="shared" si="13"/>
        <v>255</v>
      </c>
      <c r="X36" s="498">
        <f t="shared" si="13"/>
        <v>196.2493658681318</v>
      </c>
      <c r="Y36" s="498">
        <f>SUM(Y34:Y35)</f>
        <v>152.22867004347825</v>
      </c>
      <c r="Z36" s="382">
        <f>SUM(Z34:Z35)</f>
        <v>200.39341204347829</v>
      </c>
      <c r="AB36" s="382">
        <f t="shared" ref="AB36:AH36" si="14">SUM(AB34:AB35)</f>
        <v>421</v>
      </c>
      <c r="AC36" s="382">
        <f t="shared" si="14"/>
        <v>518</v>
      </c>
      <c r="AD36" s="382">
        <f t="shared" si="14"/>
        <v>296</v>
      </c>
      <c r="AE36" s="382">
        <f t="shared" si="14"/>
        <v>241</v>
      </c>
      <c r="AF36" s="382">
        <f t="shared" si="14"/>
        <v>208.54063983232982</v>
      </c>
      <c r="AG36" s="382">
        <f t="shared" si="14"/>
        <v>404.15014548641295</v>
      </c>
      <c r="AH36" s="382">
        <f t="shared" si="14"/>
        <v>200.96786198877214</v>
      </c>
    </row>
    <row r="37" spans="2:34" ht="14">
      <c r="B37" s="292"/>
      <c r="C37" s="225"/>
      <c r="D37" s="225"/>
      <c r="E37" s="225"/>
      <c r="F37" s="225"/>
      <c r="G37" s="225"/>
      <c r="H37" s="225"/>
      <c r="I37" s="225"/>
      <c r="J37" s="225"/>
      <c r="K37" s="225"/>
      <c r="L37" s="225"/>
      <c r="M37" s="225"/>
      <c r="N37" s="225"/>
      <c r="O37" s="225"/>
      <c r="P37" s="225"/>
      <c r="Q37" s="225"/>
      <c r="R37" s="359"/>
      <c r="S37" s="359"/>
      <c r="T37" s="359"/>
      <c r="U37" s="359"/>
      <c r="V37" s="359"/>
      <c r="W37" s="359"/>
      <c r="X37" s="359"/>
      <c r="Y37" s="499"/>
      <c r="Z37" s="499"/>
      <c r="AB37" s="225"/>
      <c r="AC37" s="225"/>
      <c r="AD37" s="225"/>
      <c r="AE37" s="225"/>
      <c r="AF37" s="359"/>
      <c r="AG37" s="359"/>
      <c r="AH37" s="359"/>
    </row>
    <row r="38" spans="2:34" ht="14.5" thickBot="1">
      <c r="B38" s="358" t="s">
        <v>341</v>
      </c>
      <c r="C38" s="509"/>
      <c r="D38" s="509"/>
      <c r="E38" s="509"/>
      <c r="F38" s="509"/>
      <c r="G38" s="509"/>
      <c r="H38" s="509"/>
      <c r="I38" s="509"/>
      <c r="J38" s="509"/>
      <c r="K38" s="509"/>
      <c r="L38" s="509"/>
      <c r="M38" s="509"/>
      <c r="N38" s="509"/>
      <c r="O38" s="509"/>
      <c r="P38" s="509"/>
      <c r="Q38" s="509"/>
      <c r="R38" s="510"/>
      <c r="S38" s="510"/>
      <c r="T38" s="510"/>
      <c r="U38" s="510"/>
      <c r="V38" s="510"/>
      <c r="W38" s="510"/>
      <c r="X38" s="510"/>
      <c r="Y38" s="511"/>
      <c r="Z38" s="511"/>
      <c r="AB38" s="509"/>
      <c r="AC38" s="509"/>
      <c r="AD38" s="509"/>
      <c r="AE38" s="509"/>
      <c r="AF38" s="510"/>
      <c r="AG38" s="510"/>
      <c r="AH38" s="510"/>
    </row>
    <row r="39" spans="2:34" ht="14">
      <c r="B39" s="286" t="s">
        <v>339</v>
      </c>
      <c r="C39" s="223">
        <v>58.283851627831808</v>
      </c>
      <c r="D39" s="223">
        <v>60.446615663063568</v>
      </c>
      <c r="E39" s="223">
        <v>60.795416866660446</v>
      </c>
      <c r="F39" s="223">
        <v>80.936501502989898</v>
      </c>
      <c r="G39" s="223">
        <v>57.768251049856225</v>
      </c>
      <c r="H39" s="223">
        <v>69.166129196780545</v>
      </c>
      <c r="I39" s="287">
        <v>81.803726723234774</v>
      </c>
      <c r="J39" s="223">
        <v>81.709248529798685</v>
      </c>
      <c r="K39" s="223">
        <v>70</v>
      </c>
      <c r="L39" s="223">
        <v>80</v>
      </c>
      <c r="M39" s="223">
        <v>106.96150161362078</v>
      </c>
      <c r="N39" s="223">
        <v>103</v>
      </c>
      <c r="O39" s="223">
        <v>74</v>
      </c>
      <c r="P39" s="286">
        <v>83</v>
      </c>
      <c r="Q39" s="286">
        <v>106</v>
      </c>
      <c r="R39" s="287">
        <v>98</v>
      </c>
      <c r="S39" s="287">
        <v>81</v>
      </c>
      <c r="T39" s="287">
        <v>96</v>
      </c>
      <c r="U39" s="287">
        <v>110</v>
      </c>
      <c r="V39" s="287">
        <v>103.03334077459581</v>
      </c>
      <c r="W39" s="287">
        <v>85</v>
      </c>
      <c r="X39" s="287">
        <v>99.318655876559518</v>
      </c>
      <c r="Y39" s="287">
        <v>106.72314743836652</v>
      </c>
      <c r="Z39" s="287">
        <v>108</v>
      </c>
      <c r="AB39" s="223">
        <v>62</v>
      </c>
      <c r="AC39" s="223">
        <v>65</v>
      </c>
      <c r="AD39" s="223">
        <v>72</v>
      </c>
      <c r="AE39" s="286">
        <v>88</v>
      </c>
      <c r="AF39" s="287">
        <v>91</v>
      </c>
      <c r="AG39" s="287">
        <f>AVERAGE(S39:V39)</f>
        <v>97.508335193648946</v>
      </c>
      <c r="AH39" s="287">
        <f>AVERAGE(W39:Z39)</f>
        <v>99.760450828731507</v>
      </c>
    </row>
    <row r="40" spans="2:34" s="277" customFormat="1" ht="14.25" customHeight="1">
      <c r="B40" s="286" t="s">
        <v>340</v>
      </c>
      <c r="C40" s="223">
        <v>265.28521467631174</v>
      </c>
      <c r="D40" s="223">
        <v>282.06297448815906</v>
      </c>
      <c r="E40" s="223">
        <v>286.29612353510703</v>
      </c>
      <c r="F40" s="223">
        <v>293.47906506528227</v>
      </c>
      <c r="G40" s="223">
        <v>231.31690998975981</v>
      </c>
      <c r="H40" s="223">
        <v>222.89718231928629</v>
      </c>
      <c r="I40" s="287">
        <v>206.15020854433149</v>
      </c>
      <c r="J40" s="223">
        <v>188.41205244112209</v>
      </c>
      <c r="K40" s="223">
        <v>245</v>
      </c>
      <c r="L40" s="223">
        <v>271</v>
      </c>
      <c r="M40" s="223">
        <v>338.60966116799625</v>
      </c>
      <c r="N40" s="223">
        <v>309</v>
      </c>
      <c r="O40" s="223">
        <v>328</v>
      </c>
      <c r="P40" s="286">
        <v>322</v>
      </c>
      <c r="Q40" s="286">
        <v>330</v>
      </c>
      <c r="R40" s="287">
        <v>351</v>
      </c>
      <c r="S40" s="287">
        <v>260</v>
      </c>
      <c r="T40" s="287">
        <v>238</v>
      </c>
      <c r="U40" s="287">
        <v>201</v>
      </c>
      <c r="V40" s="287">
        <v>199.5381646749656</v>
      </c>
      <c r="W40" s="287">
        <v>217</v>
      </c>
      <c r="X40" s="287">
        <v>227.49583458944741</v>
      </c>
      <c r="Y40" s="287">
        <v>254.32663650539376</v>
      </c>
      <c r="Z40" s="287">
        <v>270</v>
      </c>
      <c r="AA40" s="512"/>
      <c r="AB40" s="223">
        <v>209</v>
      </c>
      <c r="AC40" s="223">
        <v>220</v>
      </c>
      <c r="AD40" s="223">
        <v>205</v>
      </c>
      <c r="AE40" s="286">
        <v>288</v>
      </c>
      <c r="AF40" s="287">
        <v>322</v>
      </c>
      <c r="AG40" s="287">
        <f>AVERAGE(S40:V40)</f>
        <v>224.63454116874141</v>
      </c>
      <c r="AH40" s="287">
        <f>AVERAGE(W40:Z40)</f>
        <v>242.20561777371029</v>
      </c>
    </row>
    <row r="41" spans="2:34" s="277" customFormat="1" ht="14.25" customHeight="1">
      <c r="B41" s="286" t="s">
        <v>506</v>
      </c>
      <c r="C41" s="223"/>
      <c r="D41" s="223"/>
      <c r="E41" s="223"/>
      <c r="F41" s="223"/>
      <c r="G41" s="223"/>
      <c r="H41" s="223"/>
      <c r="I41" s="287"/>
      <c r="J41" s="223"/>
      <c r="K41" s="223">
        <f t="shared" ref="K41:Z41" si="15">K11/(K34*K44)*1000000</f>
        <v>133.95883268452349</v>
      </c>
      <c r="L41" s="223">
        <f t="shared" si="15"/>
        <v>134.81826607027975</v>
      </c>
      <c r="M41" s="223">
        <f t="shared" si="15"/>
        <v>39.972965408591278</v>
      </c>
      <c r="N41" s="223">
        <f t="shared" si="15"/>
        <v>221.48079749627402</v>
      </c>
      <c r="O41" s="223">
        <f t="shared" si="15"/>
        <v>65.526416583522561</v>
      </c>
      <c r="P41" s="223">
        <f t="shared" si="15"/>
        <v>83.23320663158708</v>
      </c>
      <c r="Q41" s="223">
        <f t="shared" si="15"/>
        <v>61.957043828794184</v>
      </c>
      <c r="R41" s="223">
        <f t="shared" si="15"/>
        <v>80.759664871897328</v>
      </c>
      <c r="S41" s="223">
        <f t="shared" si="15"/>
        <v>84.463496082519029</v>
      </c>
      <c r="T41" s="223">
        <f t="shared" si="15"/>
        <v>149.70584457976739</v>
      </c>
      <c r="U41" s="223">
        <f t="shared" si="15"/>
        <v>124.61928231525509</v>
      </c>
      <c r="V41" s="223">
        <f t="shared" si="15"/>
        <v>64.27935225630209</v>
      </c>
      <c r="W41" s="223">
        <f t="shared" si="15"/>
        <v>87.1846982770316</v>
      </c>
      <c r="X41" s="223">
        <f t="shared" si="15"/>
        <v>68.818629268886681</v>
      </c>
      <c r="Y41" s="223">
        <f t="shared" si="15"/>
        <v>231.20070082826933</v>
      </c>
      <c r="Z41" s="223">
        <f t="shared" si="15"/>
        <v>314.2403043174275</v>
      </c>
      <c r="AA41" s="512"/>
      <c r="AB41" s="223"/>
      <c r="AC41" s="223"/>
      <c r="AD41" s="223"/>
      <c r="AE41" s="223">
        <f>AE11/(AE34*AE44)*1000000</f>
        <v>133.02509118196821</v>
      </c>
      <c r="AF41" s="223">
        <f>AF11/(AF34*AF44)*1000000</f>
        <v>76.803473181511023</v>
      </c>
      <c r="AG41" s="223">
        <f>AG11/(AG34*AG44)*1000000</f>
        <v>105.13180889028878</v>
      </c>
      <c r="AH41" s="223">
        <f>AH11/(AH34*AH44)*1000000</f>
        <v>153.81790466190557</v>
      </c>
    </row>
    <row r="42" spans="2:34" s="277" customFormat="1" ht="13.5" customHeight="1">
      <c r="B42" s="286" t="s">
        <v>507</v>
      </c>
      <c r="C42" s="223"/>
      <c r="D42" s="223"/>
      <c r="E42" s="223"/>
      <c r="F42" s="223"/>
      <c r="G42" s="223"/>
      <c r="H42" s="223"/>
      <c r="I42" s="287"/>
      <c r="J42" s="223"/>
      <c r="K42" s="223">
        <f t="shared" ref="K42:Z42" si="16">K15/(K34*K44)*1000000</f>
        <v>-195.09590085018272</v>
      </c>
      <c r="L42" s="223">
        <f t="shared" si="16"/>
        <v>-245.44198540174625</v>
      </c>
      <c r="M42" s="223">
        <f t="shared" si="16"/>
        <v>-268.9233682244012</v>
      </c>
      <c r="N42" s="223">
        <f t="shared" si="16"/>
        <v>-186.34204782729591</v>
      </c>
      <c r="O42" s="223">
        <f t="shared" si="16"/>
        <v>-406.96471233433732</v>
      </c>
      <c r="P42" s="223">
        <f t="shared" si="16"/>
        <v>-386.19956516577514</v>
      </c>
      <c r="Q42" s="223">
        <f t="shared" si="16"/>
        <v>-371.39561285192741</v>
      </c>
      <c r="R42" s="223">
        <f t="shared" si="16"/>
        <v>-297.73851970901438</v>
      </c>
      <c r="S42" s="223">
        <f t="shared" si="16"/>
        <v>-161.0950326768444</v>
      </c>
      <c r="T42" s="223">
        <f t="shared" si="16"/>
        <v>-325.59349893254267</v>
      </c>
      <c r="U42" s="223">
        <f t="shared" si="16"/>
        <v>-313.93180605657693</v>
      </c>
      <c r="V42" s="223">
        <f t="shared" si="16"/>
        <v>-257.64651378071466</v>
      </c>
      <c r="W42" s="223">
        <f t="shared" si="16"/>
        <v>-395.82860597442669</v>
      </c>
      <c r="X42" s="223">
        <f t="shared" si="16"/>
        <v>-480.95021796864677</v>
      </c>
      <c r="Y42" s="223">
        <f t="shared" si="16"/>
        <v>-492.70112865808193</v>
      </c>
      <c r="Z42" s="223">
        <f t="shared" si="16"/>
        <v>-362.33742510627775</v>
      </c>
      <c r="AB42" s="223"/>
      <c r="AC42" s="223"/>
      <c r="AD42" s="223"/>
      <c r="AE42" s="223">
        <f>AE15/(AE34*AE44)*1000000</f>
        <v>-223.10325839668096</v>
      </c>
      <c r="AF42" s="223">
        <f>AF15/(AF34*AF44)*1000000</f>
        <v>-380.59840058359714</v>
      </c>
      <c r="AG42" s="223">
        <f>AG15/(AG34*AG44)*1000000</f>
        <v>-260.68690856150732</v>
      </c>
      <c r="AH42" s="223">
        <f>AH15/(AH34*AH44)*1000000</f>
        <v>-416.43437765453655</v>
      </c>
    </row>
    <row r="43" spans="2:34" s="277" customFormat="1" ht="14.25" customHeight="1">
      <c r="B43" s="292"/>
      <c r="C43" s="225"/>
      <c r="D43" s="225"/>
      <c r="E43" s="225"/>
      <c r="F43" s="225"/>
      <c r="G43" s="225"/>
      <c r="H43" s="225"/>
      <c r="I43" s="293"/>
      <c r="J43" s="225"/>
      <c r="K43" s="225"/>
      <c r="L43" s="225"/>
      <c r="M43" s="225"/>
      <c r="N43" s="225"/>
      <c r="O43" s="225"/>
      <c r="P43" s="292"/>
      <c r="Q43" s="292"/>
      <c r="R43" s="292"/>
      <c r="S43" s="292"/>
      <c r="T43" s="292"/>
      <c r="U43" s="292"/>
      <c r="V43" s="292"/>
      <c r="W43" s="292"/>
      <c r="X43" s="292"/>
      <c r="Y43" s="292"/>
      <c r="Z43" s="292"/>
      <c r="AB43" s="225"/>
      <c r="AC43" s="225"/>
      <c r="AD43" s="225"/>
      <c r="AE43" s="292"/>
      <c r="AF43" s="292"/>
      <c r="AG43" s="292"/>
      <c r="AH43" s="292"/>
    </row>
    <row r="44" spans="2:34" ht="14">
      <c r="B44" s="225" t="s">
        <v>508</v>
      </c>
      <c r="C44" s="225"/>
      <c r="D44" s="225"/>
      <c r="E44" s="225"/>
      <c r="F44" s="225"/>
      <c r="G44" s="225"/>
      <c r="H44" s="225"/>
      <c r="I44" s="225"/>
      <c r="J44" s="225"/>
      <c r="K44" s="225">
        <f>91*24</f>
        <v>2184</v>
      </c>
      <c r="L44" s="225">
        <f>91*24</f>
        <v>2184</v>
      </c>
      <c r="M44" s="225">
        <f>92*24</f>
        <v>2208</v>
      </c>
      <c r="N44" s="225">
        <f>92*24</f>
        <v>2208</v>
      </c>
      <c r="O44" s="225">
        <f>90*24</f>
        <v>2160</v>
      </c>
      <c r="P44" s="225">
        <f>91*24</f>
        <v>2184</v>
      </c>
      <c r="Q44" s="225">
        <f>92*24</f>
        <v>2208</v>
      </c>
      <c r="R44" s="225">
        <f>92*24</f>
        <v>2208</v>
      </c>
      <c r="S44" s="225">
        <f>90*24</f>
        <v>2160</v>
      </c>
      <c r="T44" s="225">
        <f>91*24</f>
        <v>2184</v>
      </c>
      <c r="U44" s="225">
        <f>92*24</f>
        <v>2208</v>
      </c>
      <c r="V44" s="225">
        <f>92*24</f>
        <v>2208</v>
      </c>
      <c r="W44" s="225">
        <f>91*24</f>
        <v>2184</v>
      </c>
      <c r="X44" s="225">
        <f>91*24</f>
        <v>2184</v>
      </c>
      <c r="Y44" s="225">
        <f>92*24</f>
        <v>2208</v>
      </c>
      <c r="Z44" s="225">
        <f>92*24</f>
        <v>2208</v>
      </c>
      <c r="AE44" s="225">
        <f t="shared" ref="AE44" si="17">SUM(K44:N44)</f>
        <v>8784</v>
      </c>
      <c r="AF44" s="225">
        <f t="shared" ref="AF44" si="18">SUM(O44:R44)</f>
        <v>8760</v>
      </c>
      <c r="AG44" s="225">
        <f t="shared" ref="AG44" si="19">SUM(S44:V44)</f>
        <v>8760</v>
      </c>
      <c r="AH44" s="225">
        <f t="shared" ref="AH44" si="20">SUM(W44:Z44)</f>
        <v>8784</v>
      </c>
    </row>
    <row r="45" spans="2:34" ht="14">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c r="AE45" s="225"/>
      <c r="AF45" s="225"/>
      <c r="AG45" s="225"/>
      <c r="AH45" s="225"/>
    </row>
    <row r="58" spans="11:26">
      <c r="K58" s="534"/>
      <c r="L58" s="369"/>
      <c r="M58" s="369"/>
      <c r="N58" s="369"/>
      <c r="O58" s="369"/>
      <c r="P58" s="369"/>
      <c r="Q58" s="369"/>
      <c r="R58" s="369"/>
      <c r="S58" s="369"/>
      <c r="T58" s="369"/>
      <c r="U58" s="369"/>
      <c r="V58" s="369"/>
      <c r="W58" s="369"/>
      <c r="X58" s="369"/>
      <c r="Y58" s="369"/>
      <c r="Z58" s="369"/>
    </row>
    <row r="59" spans="11:26">
      <c r="K59" s="534"/>
      <c r="L59" s="369"/>
      <c r="M59" s="369"/>
      <c r="N59" s="369"/>
      <c r="O59" s="369"/>
      <c r="P59" s="369"/>
      <c r="Q59" s="369"/>
      <c r="R59" s="369"/>
      <c r="S59" s="369"/>
      <c r="T59" s="369"/>
      <c r="U59" s="369"/>
      <c r="V59" s="369"/>
      <c r="W59" s="369"/>
      <c r="X59" s="369"/>
      <c r="Y59" s="369"/>
      <c r="Z59" s="369"/>
    </row>
    <row r="60" spans="11:26">
      <c r="K60" s="534"/>
      <c r="L60" s="369"/>
      <c r="M60" s="369"/>
      <c r="N60" s="369"/>
      <c r="O60" s="369"/>
      <c r="P60" s="369"/>
      <c r="Q60" s="369"/>
      <c r="R60" s="369"/>
      <c r="S60" s="369"/>
      <c r="T60" s="369"/>
      <c r="U60" s="369"/>
      <c r="V60" s="369"/>
      <c r="W60" s="369"/>
      <c r="X60" s="369"/>
      <c r="Y60" s="369"/>
      <c r="Z60" s="369"/>
    </row>
    <row r="61" spans="11:26">
      <c r="K61" s="534"/>
      <c r="L61" s="369"/>
      <c r="M61" s="369"/>
      <c r="N61" s="369"/>
      <c r="O61" s="369"/>
      <c r="P61" s="369"/>
      <c r="Q61" s="369"/>
      <c r="R61" s="369"/>
      <c r="S61" s="369"/>
      <c r="T61" s="369"/>
      <c r="U61" s="369"/>
      <c r="V61" s="369"/>
      <c r="W61" s="369"/>
      <c r="X61" s="369"/>
      <c r="Y61" s="369"/>
      <c r="Z61" s="369"/>
    </row>
    <row r="63" spans="11:26">
      <c r="K63" s="535"/>
      <c r="L63" s="535"/>
      <c r="M63" s="535"/>
      <c r="N63" s="535"/>
      <c r="O63" s="535"/>
      <c r="P63" s="535"/>
      <c r="Q63" s="535"/>
      <c r="R63" s="535"/>
      <c r="S63" s="535"/>
      <c r="T63" s="535"/>
      <c r="U63" s="535"/>
      <c r="V63" s="535"/>
      <c r="W63" s="535"/>
      <c r="X63" s="535"/>
      <c r="Y63" s="535"/>
      <c r="Z63" s="535"/>
    </row>
  </sheetData>
  <dataConsolidate/>
  <pageMargins left="0.511811024" right="0.511811024" top="0.78740157499999996" bottom="0.78740157499999996" header="0.31496062000000002" footer="0.31496062000000002"/>
  <pageSetup paperSize="9" orientation="portrait" r:id="rId1"/>
  <ignoredErrors>
    <ignoredError sqref="AE24:AH24 AE21:AH22 AE9:AH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tabColor rgb="FF00B050"/>
    <pageSetUpPr fitToPage="1"/>
  </sheetPr>
  <dimension ref="A1:EN30"/>
  <sheetViews>
    <sheetView showGridLines="0" zoomScale="80" zoomScaleNormal="80" zoomScaleSheetLayoutView="90" workbookViewId="0">
      <pane xSplit="2" ySplit="7" topLeftCell="W8" activePane="bottomRight" state="frozen"/>
      <selection activeCell="AC26" sqref="AC26"/>
      <selection pane="topRight" activeCell="AC26" sqref="AC26"/>
      <selection pane="bottomLeft" activeCell="AC26" sqref="AC26"/>
      <selection pane="bottomRight" activeCell="AF22" sqref="AF22"/>
    </sheetView>
  </sheetViews>
  <sheetFormatPr defaultColWidth="9.1796875" defaultRowHeight="12.5" outlineLevelCol="1"/>
  <cols>
    <col min="1" max="1" width="2.1796875" style="231" customWidth="1"/>
    <col min="2" max="2" width="41.453125" style="231" customWidth="1"/>
    <col min="3" max="3" width="11.1796875" style="231" hidden="1" customWidth="1" outlineLevel="1"/>
    <col min="4" max="14" width="9.1796875" style="231" hidden="1" customWidth="1" outlineLevel="1"/>
    <col min="15" max="15" width="10.453125" style="231" hidden="1" customWidth="1" outlineLevel="1"/>
    <col min="16" max="16" width="9.81640625" style="231" hidden="1" customWidth="1" outlineLevel="1"/>
    <col min="17" max="22" width="0" style="231" hidden="1" customWidth="1" outlineLevel="1"/>
    <col min="23" max="23" width="9.1796875" style="231" collapsed="1"/>
    <col min="24" max="32" width="9.1796875" style="231"/>
    <col min="33" max="37" width="0" style="231" hidden="1" customWidth="1" outlineLevel="1"/>
    <col min="38" max="38" width="9.1796875" style="231" collapsed="1"/>
    <col min="39" max="39" width="9.1796875" style="231" customWidth="1"/>
    <col min="40" max="40" width="9.1796875" style="231"/>
    <col min="41" max="44" width="0" style="231" hidden="1" customWidth="1" outlineLevel="1"/>
    <col min="45" max="45" width="9.1796875" style="231" collapsed="1"/>
    <col min="46" max="16384" width="9.1796875" style="231"/>
  </cols>
  <sheetData>
    <row r="1" spans="1:144">
      <c r="A1" s="229"/>
      <c r="B1" s="230"/>
    </row>
    <row r="2" spans="1:144">
      <c r="A2" s="229"/>
      <c r="B2" s="230"/>
    </row>
    <row r="3" spans="1:144">
      <c r="A3" s="229"/>
      <c r="B3" s="230"/>
    </row>
    <row r="4" spans="1:144" ht="21" customHeight="1">
      <c r="A4" s="229"/>
      <c r="B4" s="232"/>
    </row>
    <row r="5" spans="1:144" ht="13">
      <c r="B5" s="233"/>
    </row>
    <row r="6" spans="1:144" ht="12" customHeight="1">
      <c r="B6" s="234"/>
      <c r="C6" s="581"/>
      <c r="D6" s="581"/>
      <c r="E6" s="581"/>
      <c r="F6" s="581"/>
      <c r="G6" s="581"/>
      <c r="H6" s="581"/>
      <c r="I6" s="581"/>
      <c r="J6" s="581"/>
      <c r="K6" s="581"/>
      <c r="L6" s="581"/>
      <c r="M6" s="581"/>
      <c r="N6" s="581"/>
      <c r="O6" s="581"/>
      <c r="P6" s="581"/>
      <c r="Q6" s="235"/>
      <c r="R6" s="235"/>
    </row>
    <row r="7" spans="1:144" s="236" customFormat="1" ht="14.25" customHeight="1" thickBot="1">
      <c r="B7" s="237" t="s">
        <v>83</v>
      </c>
      <c r="C7" s="238" t="s">
        <v>84</v>
      </c>
      <c r="D7" s="238" t="s">
        <v>85</v>
      </c>
      <c r="E7" s="238" t="s">
        <v>86</v>
      </c>
      <c r="F7" s="238" t="s">
        <v>87</v>
      </c>
      <c r="G7" s="238" t="s">
        <v>88</v>
      </c>
      <c r="H7" s="238" t="s">
        <v>89</v>
      </c>
      <c r="I7" s="238" t="s">
        <v>90</v>
      </c>
      <c r="J7" s="238" t="s">
        <v>91</v>
      </c>
      <c r="K7" s="238" t="s">
        <v>92</v>
      </c>
      <c r="L7" s="238" t="s">
        <v>93</v>
      </c>
      <c r="M7" s="238" t="s">
        <v>94</v>
      </c>
      <c r="N7" s="238" t="s">
        <v>95</v>
      </c>
      <c r="O7" s="238" t="s">
        <v>96</v>
      </c>
      <c r="P7" s="238" t="s">
        <v>97</v>
      </c>
      <c r="Q7" s="238" t="s">
        <v>98</v>
      </c>
      <c r="R7" s="238" t="s">
        <v>99</v>
      </c>
      <c r="S7" s="238" t="s">
        <v>100</v>
      </c>
      <c r="T7" s="238" t="s">
        <v>101</v>
      </c>
      <c r="U7" s="238" t="s">
        <v>342</v>
      </c>
      <c r="V7" s="238" t="s">
        <v>348</v>
      </c>
      <c r="W7" s="238" t="s">
        <v>363</v>
      </c>
      <c r="X7" s="238" t="s">
        <v>392</v>
      </c>
      <c r="Y7" s="238" t="s">
        <v>404</v>
      </c>
      <c r="Z7" s="238" t="s">
        <v>405</v>
      </c>
      <c r="AA7" s="238" t="s">
        <v>478</v>
      </c>
      <c r="AB7" s="238" t="s">
        <v>483</v>
      </c>
      <c r="AC7" s="238" t="s">
        <v>488</v>
      </c>
      <c r="AD7" s="238" t="s">
        <v>490</v>
      </c>
      <c r="AE7" s="239"/>
      <c r="AG7" s="238">
        <v>2018</v>
      </c>
      <c r="AH7" s="238">
        <v>2019</v>
      </c>
      <c r="AI7" s="238">
        <v>2020</v>
      </c>
      <c r="AJ7" s="238">
        <v>2021</v>
      </c>
      <c r="AK7" s="238">
        <v>2022</v>
      </c>
      <c r="AL7" s="238">
        <v>2023</v>
      </c>
      <c r="AM7" s="238">
        <v>2024</v>
      </c>
      <c r="AO7" s="238" t="s">
        <v>100</v>
      </c>
      <c r="AP7" s="238" t="s">
        <v>101</v>
      </c>
      <c r="AQ7" s="238" t="s">
        <v>342</v>
      </c>
      <c r="AR7" s="238" t="s">
        <v>348</v>
      </c>
      <c r="AS7" s="238" t="s">
        <v>363</v>
      </c>
      <c r="AT7" s="238" t="s">
        <v>392</v>
      </c>
      <c r="AU7" s="238" t="s">
        <v>404</v>
      </c>
      <c r="AV7" s="238" t="s">
        <v>405</v>
      </c>
      <c r="AW7" s="238" t="s">
        <v>478</v>
      </c>
      <c r="AX7" s="238" t="s">
        <v>483</v>
      </c>
      <c r="AY7" s="238" t="s">
        <v>488</v>
      </c>
      <c r="AZ7" s="503" t="s">
        <v>490</v>
      </c>
    </row>
    <row r="8" spans="1:144" ht="14.25" customHeight="1" thickTop="1">
      <c r="B8" s="240"/>
      <c r="L8" s="241"/>
      <c r="AE8" s="229"/>
      <c r="AG8" s="242"/>
      <c r="AH8" s="242"/>
      <c r="AI8" s="242"/>
      <c r="AJ8" s="242"/>
      <c r="AK8" s="242"/>
      <c r="AL8" s="242"/>
      <c r="AM8" s="242"/>
      <c r="AO8" s="242"/>
      <c r="AP8" s="242"/>
      <c r="AQ8" s="242"/>
    </row>
    <row r="9" spans="1:144" s="236" customFormat="1" ht="14.5" thickBot="1">
      <c r="B9" s="243" t="s">
        <v>74</v>
      </c>
      <c r="C9" s="244">
        <f t="shared" ref="C9:AC9" si="0">SUM(C10,C13,C17)</f>
        <v>112.89437155300001</v>
      </c>
      <c r="D9" s="244">
        <f t="shared" si="0"/>
        <v>108.97964737</v>
      </c>
      <c r="E9" s="244">
        <f t="shared" si="0"/>
        <v>113.08253432399999</v>
      </c>
      <c r="F9" s="244">
        <f t="shared" si="0"/>
        <v>107.871675829</v>
      </c>
      <c r="G9" s="244">
        <f t="shared" si="0"/>
        <v>103.44017012099999</v>
      </c>
      <c r="H9" s="244">
        <f t="shared" si="0"/>
        <v>100.370531649</v>
      </c>
      <c r="I9" s="244">
        <f t="shared" si="0"/>
        <v>101.44061324500002</v>
      </c>
      <c r="J9" s="244">
        <f t="shared" si="0"/>
        <v>93.765105867000003</v>
      </c>
      <c r="K9" s="244">
        <f t="shared" si="0"/>
        <v>106.24764933500001</v>
      </c>
      <c r="L9" s="244">
        <f t="shared" si="0"/>
        <v>93.516977307999994</v>
      </c>
      <c r="M9" s="244">
        <f t="shared" si="0"/>
        <v>123.194917874</v>
      </c>
      <c r="N9" s="244">
        <f t="shared" si="0"/>
        <v>118.13206369500001</v>
      </c>
      <c r="O9" s="244">
        <f t="shared" si="0"/>
        <v>119.73352715</v>
      </c>
      <c r="P9" s="244">
        <f t="shared" si="0"/>
        <v>119.32094736799999</v>
      </c>
      <c r="Q9" s="244">
        <f t="shared" si="0"/>
        <v>123.513382165</v>
      </c>
      <c r="R9" s="244">
        <f t="shared" si="0"/>
        <v>122.179759633</v>
      </c>
      <c r="S9" s="244">
        <f t="shared" si="0"/>
        <v>109</v>
      </c>
      <c r="T9" s="244">
        <f t="shared" si="0"/>
        <v>112</v>
      </c>
      <c r="U9" s="244">
        <f t="shared" si="0"/>
        <v>129</v>
      </c>
      <c r="V9" s="244">
        <f t="shared" si="0"/>
        <v>122.46210662099998</v>
      </c>
      <c r="W9" s="244">
        <f t="shared" si="0"/>
        <v>106</v>
      </c>
      <c r="X9" s="244">
        <f t="shared" si="0"/>
        <v>105</v>
      </c>
      <c r="Y9" s="244">
        <f t="shared" si="0"/>
        <v>119</v>
      </c>
      <c r="Z9" s="244">
        <f t="shared" si="0"/>
        <v>128.00780246599999</v>
      </c>
      <c r="AA9" s="244">
        <f t="shared" si="0"/>
        <v>119.74037091399998</v>
      </c>
      <c r="AB9" s="244">
        <f t="shared" si="0"/>
        <v>128.45955910900003</v>
      </c>
      <c r="AC9" s="244">
        <f t="shared" si="0"/>
        <v>128.76663717800002</v>
      </c>
      <c r="AD9" s="244">
        <f>SUM(AD10,AD13,AD17)</f>
        <v>124.57268817400001</v>
      </c>
      <c r="AE9" s="245"/>
      <c r="AG9" s="246">
        <v>1</v>
      </c>
      <c r="AH9" s="246">
        <v>1</v>
      </c>
      <c r="AI9" s="246">
        <v>1</v>
      </c>
      <c r="AJ9" s="246">
        <v>1</v>
      </c>
      <c r="AK9" s="246">
        <v>1</v>
      </c>
      <c r="AL9" s="246">
        <f>SUM(AL10,AL13,AL17)</f>
        <v>1</v>
      </c>
      <c r="AM9" s="246">
        <f>SUM(AM10,AM13,AM17)</f>
        <v>1</v>
      </c>
      <c r="AO9" s="246">
        <v>1</v>
      </c>
      <c r="AP9" s="246">
        <v>1</v>
      </c>
      <c r="AQ9" s="246">
        <v>1</v>
      </c>
      <c r="AR9" s="246">
        <v>1</v>
      </c>
      <c r="AS9" s="246">
        <v>1</v>
      </c>
      <c r="AT9" s="246">
        <v>1</v>
      </c>
      <c r="AU9" s="246">
        <v>1</v>
      </c>
      <c r="AV9" s="246">
        <f>SUM(AV10,AV13,AV17)</f>
        <v>1</v>
      </c>
      <c r="AW9" s="246">
        <f>SUM(AW10,AW13,AW17)</f>
        <v>1</v>
      </c>
      <c r="AX9" s="246">
        <f>SUM(AX10,AX13,AX17)</f>
        <v>1</v>
      </c>
      <c r="AY9" s="246">
        <f>SUM(AY10,AY13,AY17)</f>
        <v>1</v>
      </c>
      <c r="AZ9" s="246">
        <f>SUM(AZ10,AZ13,AZ17)</f>
        <v>1</v>
      </c>
      <c r="EN9" s="407" t="e" cm="1">
        <f t="array" ref="EN9">EI16EI11EI11CG7+CU7+DD7</f>
        <v>#NAME?</v>
      </c>
    </row>
    <row r="10" spans="1:144" ht="14.25" customHeight="1" thickBot="1">
      <c r="B10" s="247" t="s">
        <v>102</v>
      </c>
      <c r="C10" s="248">
        <f>SUM(C11:C12)</f>
        <v>67.302429000000004</v>
      </c>
      <c r="D10" s="248">
        <f t="shared" ref="D10:Q10" si="1">SUM(D11:D12)</f>
        <v>62.631048899999996</v>
      </c>
      <c r="E10" s="248">
        <f t="shared" si="1"/>
        <v>61.544618</v>
      </c>
      <c r="F10" s="248">
        <f t="shared" si="1"/>
        <v>59.126366991000005</v>
      </c>
      <c r="G10" s="248">
        <f t="shared" si="1"/>
        <v>54.335425426999997</v>
      </c>
      <c r="H10" s="248">
        <f t="shared" si="1"/>
        <v>54.805229999999995</v>
      </c>
      <c r="I10" s="248">
        <f t="shared" si="1"/>
        <v>60.521159593</v>
      </c>
      <c r="J10" s="248">
        <f t="shared" si="1"/>
        <v>51.064089999999993</v>
      </c>
      <c r="K10" s="248">
        <f t="shared" si="1"/>
        <v>58.648728999999996</v>
      </c>
      <c r="L10" s="248">
        <f t="shared" si="1"/>
        <v>53.227482999999999</v>
      </c>
      <c r="M10" s="248">
        <f t="shared" si="1"/>
        <v>65.377861999999993</v>
      </c>
      <c r="N10" s="248">
        <f t="shared" si="1"/>
        <v>63.190384999999992</v>
      </c>
      <c r="O10" s="248">
        <f t="shared" si="1"/>
        <v>61.475999999999999</v>
      </c>
      <c r="P10" s="248">
        <f t="shared" si="1"/>
        <v>61.634</v>
      </c>
      <c r="Q10" s="248">
        <f t="shared" si="1"/>
        <v>62.716999999999999</v>
      </c>
      <c r="R10" s="248">
        <v>65.878</v>
      </c>
      <c r="S10" s="248">
        <f t="shared" ref="S10:AA10" si="2">SUM(S11:S12)</f>
        <v>52</v>
      </c>
      <c r="T10" s="248">
        <f t="shared" si="2"/>
        <v>55</v>
      </c>
      <c r="U10" s="248">
        <f t="shared" si="2"/>
        <v>65</v>
      </c>
      <c r="V10" s="248">
        <f t="shared" si="2"/>
        <v>62.288383859999996</v>
      </c>
      <c r="W10" s="248">
        <f t="shared" si="2"/>
        <v>53</v>
      </c>
      <c r="X10" s="248">
        <f t="shared" si="2"/>
        <v>53</v>
      </c>
      <c r="Y10" s="248">
        <f t="shared" si="2"/>
        <v>67</v>
      </c>
      <c r="Z10" s="248">
        <f t="shared" si="2"/>
        <v>76.961147202999996</v>
      </c>
      <c r="AA10" s="248">
        <f t="shared" si="2"/>
        <v>66.084968289999992</v>
      </c>
      <c r="AB10" s="248">
        <v>71.690663190000024</v>
      </c>
      <c r="AC10" s="248">
        <v>66.853626202000044</v>
      </c>
      <c r="AD10" s="248">
        <f>SUM(AD11:AD12)</f>
        <v>65.880043763000003</v>
      </c>
      <c r="AE10" s="245"/>
      <c r="AG10" s="249">
        <f>SUM(C10:F10)/SUM(C9:F9)</f>
        <v>0.56591799356131445</v>
      </c>
      <c r="AH10" s="249">
        <f>SUM(G10:J10)/SUM($G$9:$J$9)</f>
        <v>0.55317499097430534</v>
      </c>
      <c r="AI10" s="249">
        <f>SUM(K10:N10)/SUM($K$9:$N$9)</f>
        <v>0.5451122953226446</v>
      </c>
      <c r="AJ10" s="249">
        <f>SUM(O10:R10)/SUM($O$9:$R$9)</f>
        <v>0.51924958788434172</v>
      </c>
      <c r="AK10" s="249">
        <f t="shared" ref="AK10:AK19" si="3">SUM(S10:V10)/SUM($S$9:$V$9)</f>
        <v>0.49588820050692795</v>
      </c>
      <c r="AL10" s="249">
        <f t="shared" ref="AL10:AL11" si="4">SUM(W10:Z10)/SUM($W$9:$Z$9)</f>
        <v>0.54575739945294</v>
      </c>
      <c r="AM10" s="249">
        <f t="shared" ref="AM10:AM19" si="5">SUM(AA10:AD10)/SUM($AA$9:$AD$9)</f>
        <v>0.53935818292576265</v>
      </c>
      <c r="AO10" s="249">
        <f t="shared" ref="AO10:AO19" si="6">S10/$S$9</f>
        <v>0.47706422018348627</v>
      </c>
      <c r="AP10" s="249">
        <f t="shared" ref="AP10:AZ19" si="7">T10/T$9</f>
        <v>0.49107142857142855</v>
      </c>
      <c r="AQ10" s="249">
        <f t="shared" si="7"/>
        <v>0.50387596899224807</v>
      </c>
      <c r="AR10" s="249">
        <f t="shared" si="7"/>
        <v>0.50863394056066891</v>
      </c>
      <c r="AS10" s="249">
        <f t="shared" si="7"/>
        <v>0.5</v>
      </c>
      <c r="AT10" s="249">
        <f t="shared" si="7"/>
        <v>0.50476190476190474</v>
      </c>
      <c r="AU10" s="249">
        <f t="shared" si="7"/>
        <v>0.56302521008403361</v>
      </c>
      <c r="AV10" s="249">
        <f t="shared" si="7"/>
        <v>0.6012223139557572</v>
      </c>
      <c r="AW10" s="249">
        <f t="shared" si="7"/>
        <v>0.55190215117559294</v>
      </c>
      <c r="AX10" s="249">
        <f t="shared" si="7"/>
        <v>0.55807962978581716</v>
      </c>
      <c r="AY10" s="249">
        <f t="shared" si="7"/>
        <v>0.51918437622615876</v>
      </c>
      <c r="AZ10" s="249">
        <f t="shared" si="7"/>
        <v>0.52884821487500067</v>
      </c>
      <c r="EN10" s="408" t="e" cm="1">
        <f t="array" ref="EN10">EI16EI11EI11CG7+CU7+DD7</f>
        <v>#NAME?</v>
      </c>
    </row>
    <row r="11" spans="1:144" ht="14">
      <c r="B11" s="250" t="s">
        <v>103</v>
      </c>
      <c r="C11" s="251">
        <v>28.820508000000004</v>
      </c>
      <c r="D11" s="251">
        <v>19.130030999999999</v>
      </c>
      <c r="E11" s="251">
        <v>19.785311999999998</v>
      </c>
      <c r="F11" s="251">
        <v>15.902756990999999</v>
      </c>
      <c r="G11" s="251">
        <v>16.527532426999997</v>
      </c>
      <c r="H11" s="251">
        <v>12.984525999999997</v>
      </c>
      <c r="I11" s="251">
        <v>21.018723593000004</v>
      </c>
      <c r="J11" s="251">
        <v>16.730824999999996</v>
      </c>
      <c r="K11" s="251">
        <v>15.699796999999997</v>
      </c>
      <c r="L11" s="251">
        <v>38.591225999999999</v>
      </c>
      <c r="M11" s="251">
        <v>31.359652999999994</v>
      </c>
      <c r="N11" s="251">
        <v>23.252006999999995</v>
      </c>
      <c r="O11" s="251">
        <v>13.062580222000014</v>
      </c>
      <c r="P11" s="251">
        <v>9.706273999999997</v>
      </c>
      <c r="Q11" s="251">
        <v>9.2005250000000007</v>
      </c>
      <c r="R11" s="251">
        <v>15.667989</v>
      </c>
      <c r="S11" s="251">
        <v>14</v>
      </c>
      <c r="T11" s="251">
        <v>21</v>
      </c>
      <c r="U11" s="251">
        <v>30</v>
      </c>
      <c r="V11" s="251">
        <v>20.128543860000001</v>
      </c>
      <c r="W11" s="251">
        <v>7</v>
      </c>
      <c r="X11" s="251">
        <v>10</v>
      </c>
      <c r="Y11" s="251">
        <v>21</v>
      </c>
      <c r="Z11" s="251">
        <v>27.490092099999998</v>
      </c>
      <c r="AA11" s="489">
        <v>13.544537999999996</v>
      </c>
      <c r="AB11" s="251">
        <v>17.620719000000005</v>
      </c>
      <c r="AC11" s="251">
        <v>18.103810725000002</v>
      </c>
      <c r="AD11" s="251">
        <v>15.4128206</v>
      </c>
      <c r="AE11" s="360"/>
      <c r="AG11" s="252">
        <f>SUM(C11:F11)/SUM(C9:F9)</f>
        <v>0.18887370429278935</v>
      </c>
      <c r="AH11" s="252">
        <f>SUM(G11:J11)/SUM($G$9:$J$9)</f>
        <v>0.16856851873745585</v>
      </c>
      <c r="AI11" s="252">
        <f t="shared" ref="AI11:AI19" si="8">SUM(K11:N11)/SUM($K$9:$N$9)</f>
        <v>0.24689357261056427</v>
      </c>
      <c r="AJ11" s="252">
        <f t="shared" ref="AJ11:AJ19" si="9">SUM(O11:R11)/SUM($O$9:$R$9)</f>
        <v>9.8272516704746182E-2</v>
      </c>
      <c r="AK11" s="252">
        <f t="shared" si="3"/>
        <v>0.18018068045463059</v>
      </c>
      <c r="AL11" s="252">
        <f t="shared" si="4"/>
        <v>0.14298903151297651</v>
      </c>
      <c r="AM11" s="252">
        <f t="shared" si="5"/>
        <v>0.12896675112028363</v>
      </c>
      <c r="AO11" s="252">
        <f t="shared" si="6"/>
        <v>0.12844036697247707</v>
      </c>
      <c r="AP11" s="252">
        <f t="shared" ref="AP11:AU19" si="10">T11/T$9</f>
        <v>0.1875</v>
      </c>
      <c r="AQ11" s="252">
        <f t="shared" si="10"/>
        <v>0.23255813953488372</v>
      </c>
      <c r="AR11" s="252">
        <f t="shared" si="10"/>
        <v>0.1643654875405216</v>
      </c>
      <c r="AS11" s="252">
        <f t="shared" si="10"/>
        <v>6.6037735849056603E-2</v>
      </c>
      <c r="AT11" s="252">
        <f t="shared" si="10"/>
        <v>9.5238095238095233E-2</v>
      </c>
      <c r="AU11" s="252">
        <f t="shared" si="10"/>
        <v>0.17647058823529413</v>
      </c>
      <c r="AV11" s="252">
        <f t="shared" si="7"/>
        <v>0.21475325386748681</v>
      </c>
      <c r="AW11" s="252">
        <f t="shared" si="7"/>
        <v>0.11311588478148246</v>
      </c>
      <c r="AX11" s="252">
        <f t="shared" si="7"/>
        <v>0.13716938717692886</v>
      </c>
      <c r="AY11" s="252">
        <f t="shared" si="7"/>
        <v>0.14059395447265019</v>
      </c>
      <c r="AZ11" s="252">
        <f t="shared" si="7"/>
        <v>0.12372551982238481</v>
      </c>
    </row>
    <row r="12" spans="1:144" ht="14">
      <c r="B12" s="253" t="s">
        <v>104</v>
      </c>
      <c r="C12" s="254">
        <v>38.481921</v>
      </c>
      <c r="D12" s="254">
        <v>43.501017899999994</v>
      </c>
      <c r="E12" s="254">
        <v>41.759306000000002</v>
      </c>
      <c r="F12" s="254">
        <v>43.223610000000008</v>
      </c>
      <c r="G12" s="254">
        <v>37.807893</v>
      </c>
      <c r="H12" s="254">
        <v>41.820703999999999</v>
      </c>
      <c r="I12" s="254">
        <v>39.502435999999996</v>
      </c>
      <c r="J12" s="254">
        <v>34.333264999999997</v>
      </c>
      <c r="K12" s="254">
        <v>42.948931999999999</v>
      </c>
      <c r="L12" s="254">
        <v>14.636256999999999</v>
      </c>
      <c r="M12" s="254">
        <v>34.018208999999999</v>
      </c>
      <c r="N12" s="254">
        <v>39.938378</v>
      </c>
      <c r="O12" s="254">
        <v>48.413419777999984</v>
      </c>
      <c r="P12" s="254">
        <v>51.927726000000007</v>
      </c>
      <c r="Q12" s="254">
        <v>53.516475</v>
      </c>
      <c r="R12" s="254">
        <v>50.210011000000002</v>
      </c>
      <c r="S12" s="254">
        <v>38</v>
      </c>
      <c r="T12" s="254">
        <v>34</v>
      </c>
      <c r="U12" s="254">
        <v>35</v>
      </c>
      <c r="V12" s="254">
        <v>42.159839999999996</v>
      </c>
      <c r="W12" s="254">
        <v>46</v>
      </c>
      <c r="X12" s="254">
        <v>43</v>
      </c>
      <c r="Y12" s="254">
        <v>46</v>
      </c>
      <c r="Z12" s="254">
        <v>49.471055103000005</v>
      </c>
      <c r="AA12" s="490">
        <v>52.540430289999996</v>
      </c>
      <c r="AB12" s="254">
        <v>54.069944190000015</v>
      </c>
      <c r="AC12" s="254">
        <v>48.749815477000034</v>
      </c>
      <c r="AD12" s="254">
        <v>50.467223163</v>
      </c>
      <c r="AE12" s="245"/>
      <c r="AG12" s="255">
        <f>SUM(C12:F12)/SUM(C9:F9)</f>
        <v>0.37704428926852507</v>
      </c>
      <c r="AH12" s="255">
        <f>SUM(G12:J12)/SUM($G$9:$J$9)</f>
        <v>0.38460647223684952</v>
      </c>
      <c r="AI12" s="255">
        <f t="shared" si="8"/>
        <v>0.29821872271208033</v>
      </c>
      <c r="AJ12" s="255">
        <f t="shared" si="9"/>
        <v>0.4209770711795956</v>
      </c>
      <c r="AK12" s="255">
        <f t="shared" si="3"/>
        <v>0.31570752005229735</v>
      </c>
      <c r="AL12" s="255">
        <f>SUM(W12:Z12)/SUM($W$9:$Z$9)</f>
        <v>0.40276836793996351</v>
      </c>
      <c r="AM12" s="255">
        <f t="shared" si="5"/>
        <v>0.41039143180547899</v>
      </c>
      <c r="AO12" s="255">
        <f t="shared" si="6"/>
        <v>0.34862385321100919</v>
      </c>
      <c r="AP12" s="255">
        <f t="shared" si="10"/>
        <v>0.30357142857142855</v>
      </c>
      <c r="AQ12" s="255">
        <f t="shared" si="10"/>
        <v>0.27131782945736432</v>
      </c>
      <c r="AR12" s="255">
        <f t="shared" si="10"/>
        <v>0.34426845302014725</v>
      </c>
      <c r="AS12" s="255">
        <f t="shared" si="10"/>
        <v>0.43396226415094341</v>
      </c>
      <c r="AT12" s="255">
        <f t="shared" si="10"/>
        <v>0.40952380952380951</v>
      </c>
      <c r="AU12" s="255">
        <f t="shared" si="10"/>
        <v>0.38655462184873951</v>
      </c>
      <c r="AV12" s="255">
        <f t="shared" si="7"/>
        <v>0.38646906008827048</v>
      </c>
      <c r="AW12" s="255">
        <f t="shared" si="7"/>
        <v>0.4387862663941105</v>
      </c>
      <c r="AX12" s="255">
        <f t="shared" si="7"/>
        <v>0.42091024260888821</v>
      </c>
      <c r="AY12" s="255">
        <f t="shared" si="7"/>
        <v>0.37859042175350849</v>
      </c>
      <c r="AZ12" s="255">
        <f t="shared" si="7"/>
        <v>0.40512269505261578</v>
      </c>
    </row>
    <row r="13" spans="1:144" ht="14.5" thickBot="1">
      <c r="B13" s="243" t="s">
        <v>105</v>
      </c>
      <c r="C13" s="244">
        <f>SUM(C14:C16)</f>
        <v>21.849239433000001</v>
      </c>
      <c r="D13" s="244">
        <f t="shared" ref="D13:Q13" si="11">SUM(D14:D16)</f>
        <v>21.156238260000002</v>
      </c>
      <c r="E13" s="244">
        <f t="shared" si="11"/>
        <v>26.802773402</v>
      </c>
      <c r="F13" s="244">
        <f t="shared" si="11"/>
        <v>26.801142587999998</v>
      </c>
      <c r="G13" s="244">
        <f t="shared" si="11"/>
        <v>26.811185641999998</v>
      </c>
      <c r="H13" s="244">
        <f t="shared" si="11"/>
        <v>24.009905988999996</v>
      </c>
      <c r="I13" s="244">
        <f t="shared" si="11"/>
        <v>18.902411745999999</v>
      </c>
      <c r="J13" s="244">
        <f t="shared" si="11"/>
        <v>18.027284611000006</v>
      </c>
      <c r="K13" s="244">
        <f t="shared" si="11"/>
        <v>24.745711639000007</v>
      </c>
      <c r="L13" s="244">
        <f t="shared" si="11"/>
        <v>26.021858814000005</v>
      </c>
      <c r="M13" s="244">
        <f t="shared" si="11"/>
        <v>34.798597752999996</v>
      </c>
      <c r="N13" s="244">
        <f t="shared" si="11"/>
        <v>34.455406182000004</v>
      </c>
      <c r="O13" s="244">
        <f t="shared" si="11"/>
        <v>37.768581999999995</v>
      </c>
      <c r="P13" s="244">
        <f t="shared" si="11"/>
        <v>35.350337367999998</v>
      </c>
      <c r="Q13" s="244">
        <f t="shared" si="11"/>
        <v>38.164663165</v>
      </c>
      <c r="R13" s="244">
        <v>35.327348633</v>
      </c>
      <c r="S13" s="244">
        <f t="shared" ref="S13:AA13" si="12">SUM(S14:S16)</f>
        <v>33</v>
      </c>
      <c r="T13" s="244">
        <f t="shared" si="12"/>
        <v>32</v>
      </c>
      <c r="U13" s="244">
        <f t="shared" si="12"/>
        <v>34</v>
      </c>
      <c r="V13" s="244">
        <f t="shared" si="12"/>
        <v>32.920320684999993</v>
      </c>
      <c r="W13" s="244">
        <f t="shared" si="12"/>
        <v>33</v>
      </c>
      <c r="X13" s="244">
        <f t="shared" si="12"/>
        <v>30</v>
      </c>
      <c r="Y13" s="244">
        <f t="shared" si="12"/>
        <v>32</v>
      </c>
      <c r="Z13" s="244">
        <f t="shared" si="12"/>
        <v>31.866948262999991</v>
      </c>
      <c r="AA13" s="244">
        <f t="shared" si="12"/>
        <v>32.104370624000005</v>
      </c>
      <c r="AB13" s="244">
        <v>33.247879355999999</v>
      </c>
      <c r="AC13" s="244">
        <v>32.910507560999989</v>
      </c>
      <c r="AD13" s="244">
        <f>SUM(AD14:AD16)</f>
        <v>34.517418245000002</v>
      </c>
      <c r="AE13" s="245"/>
      <c r="AG13" s="246">
        <f>SUM(C13:F13)/SUM(C9:F9)</f>
        <v>0.21816448758152571</v>
      </c>
      <c r="AH13" s="246">
        <f>SUM(G13:J13)/SUM($G$9:$J$9)</f>
        <v>0.21991773620251653</v>
      </c>
      <c r="AI13" s="246">
        <f t="shared" si="8"/>
        <v>0.27210124190418639</v>
      </c>
      <c r="AJ13" s="246">
        <f t="shared" si="9"/>
        <v>0.30244796721274941</v>
      </c>
      <c r="AK13" s="246">
        <f t="shared" si="3"/>
        <v>0.27921883858259117</v>
      </c>
      <c r="AL13" s="246">
        <f t="shared" ref="AL13:AL19" si="13">SUM(W13:Z13)/SUM($W$9:$Z$9)</f>
        <v>0.27699735152965632</v>
      </c>
      <c r="AM13" s="246">
        <f t="shared" si="5"/>
        <v>0.26474533022688423</v>
      </c>
      <c r="AO13" s="246">
        <f t="shared" si="6"/>
        <v>0.30275229357798167</v>
      </c>
      <c r="AP13" s="246">
        <f t="shared" si="10"/>
        <v>0.2857142857142857</v>
      </c>
      <c r="AQ13" s="246">
        <f t="shared" si="10"/>
        <v>0.26356589147286824</v>
      </c>
      <c r="AR13" s="246">
        <f t="shared" si="10"/>
        <v>0.26882046694560757</v>
      </c>
      <c r="AS13" s="246">
        <f t="shared" si="10"/>
        <v>0.31132075471698112</v>
      </c>
      <c r="AT13" s="246">
        <f t="shared" si="10"/>
        <v>0.2857142857142857</v>
      </c>
      <c r="AU13" s="246">
        <f t="shared" si="10"/>
        <v>0.26890756302521007</v>
      </c>
      <c r="AV13" s="246">
        <f t="shared" si="7"/>
        <v>0.24894535840082199</v>
      </c>
      <c r="AW13" s="246">
        <f t="shared" si="7"/>
        <v>0.26811651224179045</v>
      </c>
      <c r="AX13" s="246">
        <f t="shared" si="7"/>
        <v>0.25881981525243003</v>
      </c>
      <c r="AY13" s="246">
        <f t="shared" si="7"/>
        <v>0.25558256612313551</v>
      </c>
      <c r="AZ13" s="246">
        <f t="shared" si="7"/>
        <v>0.27708656488801892</v>
      </c>
    </row>
    <row r="14" spans="1:144" ht="14">
      <c r="B14" s="250" t="s">
        <v>106</v>
      </c>
      <c r="C14" s="251">
        <v>7.7414242700000013</v>
      </c>
      <c r="D14" s="251">
        <v>7.7920490820000001</v>
      </c>
      <c r="E14" s="251">
        <v>12.240301650999999</v>
      </c>
      <c r="F14" s="251">
        <v>11.628609453000001</v>
      </c>
      <c r="G14" s="251">
        <v>13.063120272999999</v>
      </c>
      <c r="H14" s="251">
        <v>9.2690898119999989</v>
      </c>
      <c r="I14" s="251">
        <v>6.9609749380000006</v>
      </c>
      <c r="J14" s="251">
        <v>6.7663581129999999</v>
      </c>
      <c r="K14" s="251">
        <v>8.313239982999999</v>
      </c>
      <c r="L14" s="251">
        <v>7.2726355590000002</v>
      </c>
      <c r="M14" s="251">
        <v>11.189902652000001</v>
      </c>
      <c r="N14" s="251">
        <v>12.549597534</v>
      </c>
      <c r="O14" s="251">
        <v>14.864000000000001</v>
      </c>
      <c r="P14" s="251">
        <v>13.696301757999999</v>
      </c>
      <c r="Q14" s="251">
        <v>15.148364015</v>
      </c>
      <c r="R14" s="251">
        <v>14.172973257999999</v>
      </c>
      <c r="S14" s="251">
        <v>13</v>
      </c>
      <c r="T14" s="251">
        <v>12</v>
      </c>
      <c r="U14" s="251">
        <v>11</v>
      </c>
      <c r="V14" s="251">
        <v>10.521738605999998</v>
      </c>
      <c r="W14" s="251">
        <v>11</v>
      </c>
      <c r="X14" s="251">
        <v>11</v>
      </c>
      <c r="Y14" s="251">
        <v>11</v>
      </c>
      <c r="Z14" s="251">
        <v>10.461696932999992</v>
      </c>
      <c r="AA14" s="489">
        <v>11.675292282000003</v>
      </c>
      <c r="AB14" s="251">
        <v>11.416684611999997</v>
      </c>
      <c r="AC14" s="251">
        <v>11.573134056999992</v>
      </c>
      <c r="AD14" s="251">
        <v>11.455805352999999</v>
      </c>
      <c r="AE14" s="360"/>
      <c r="AG14" s="256">
        <f>SUM(C14:F14)/SUM(C9:F9)</f>
        <v>8.8978935552994312E-2</v>
      </c>
      <c r="AH14" s="256">
        <f t="shared" ref="AH14:AH19" si="14">SUM(G14:J14)/SUM($G$9:$J$9)</f>
        <v>9.0371075597071207E-2</v>
      </c>
      <c r="AI14" s="256">
        <f t="shared" si="8"/>
        <v>8.9154667637882629E-2</v>
      </c>
      <c r="AJ14" s="256">
        <f t="shared" si="9"/>
        <v>0.11940572182879552</v>
      </c>
      <c r="AK14" s="256">
        <f t="shared" si="3"/>
        <v>9.8466602832380887E-2</v>
      </c>
      <c r="AL14" s="256">
        <f t="shared" si="13"/>
        <v>9.4892918197013357E-2</v>
      </c>
      <c r="AM14" s="256">
        <f t="shared" si="5"/>
        <v>9.1958736648670616E-2</v>
      </c>
      <c r="AO14" s="256">
        <f t="shared" si="6"/>
        <v>0.11926605504587157</v>
      </c>
      <c r="AP14" s="256">
        <f t="shared" si="10"/>
        <v>0.10714285714285714</v>
      </c>
      <c r="AQ14" s="256">
        <f t="shared" si="10"/>
        <v>8.5271317829457363E-2</v>
      </c>
      <c r="AR14" s="256">
        <f t="shared" si="10"/>
        <v>8.5918321155155727E-2</v>
      </c>
      <c r="AS14" s="256">
        <f t="shared" si="10"/>
        <v>0.10377358490566038</v>
      </c>
      <c r="AT14" s="256">
        <f t="shared" si="10"/>
        <v>0.10476190476190476</v>
      </c>
      <c r="AU14" s="256">
        <f t="shared" si="10"/>
        <v>9.2436974789915971E-2</v>
      </c>
      <c r="AV14" s="256">
        <f t="shared" si="7"/>
        <v>8.1727025473925408E-2</v>
      </c>
      <c r="AW14" s="256">
        <f t="shared" si="7"/>
        <v>9.7505061934253068E-2</v>
      </c>
      <c r="AX14" s="256">
        <f t="shared" si="7"/>
        <v>8.8873764562065444E-2</v>
      </c>
      <c r="AY14" s="256">
        <f t="shared" si="7"/>
        <v>8.9876805907433285E-2</v>
      </c>
      <c r="AZ14" s="256">
        <f t="shared" si="7"/>
        <v>9.1960810358357334E-2</v>
      </c>
    </row>
    <row r="15" spans="1:144" ht="14">
      <c r="B15" s="253" t="s">
        <v>107</v>
      </c>
      <c r="C15" s="254">
        <v>3.4224137699999999</v>
      </c>
      <c r="D15" s="254">
        <v>3.3780349230000026</v>
      </c>
      <c r="E15" s="254">
        <v>4.0994903209999993</v>
      </c>
      <c r="F15" s="254">
        <v>3.8977554830000001</v>
      </c>
      <c r="G15" s="254">
        <v>3.667836599000001</v>
      </c>
      <c r="H15" s="254">
        <v>3.8347721639999994</v>
      </c>
      <c r="I15" s="254">
        <v>4.3248990430000012</v>
      </c>
      <c r="J15" s="254">
        <v>4.261538748000004</v>
      </c>
      <c r="K15" s="254">
        <v>4.1067749030000025</v>
      </c>
      <c r="L15" s="254">
        <v>3.2280229950000017</v>
      </c>
      <c r="M15" s="254">
        <v>4.5709807050000002</v>
      </c>
      <c r="N15" s="254">
        <v>4.3858410380000006</v>
      </c>
      <c r="O15" s="254">
        <v>5.1710000000000003</v>
      </c>
      <c r="P15" s="254">
        <v>5.7569999999999997</v>
      </c>
      <c r="Q15" s="254">
        <v>5.5229999999999997</v>
      </c>
      <c r="R15" s="254">
        <v>4.5609999999999999</v>
      </c>
      <c r="S15" s="254">
        <v>4</v>
      </c>
      <c r="T15" s="254">
        <v>4</v>
      </c>
      <c r="U15" s="254">
        <v>5</v>
      </c>
      <c r="V15" s="254">
        <v>4.4799350909999989</v>
      </c>
      <c r="W15" s="254">
        <v>5</v>
      </c>
      <c r="X15" s="254">
        <v>4</v>
      </c>
      <c r="Y15" s="254">
        <v>5</v>
      </c>
      <c r="Z15" s="254">
        <v>6.7504497280000004</v>
      </c>
      <c r="AA15" s="490">
        <v>5.0248760230000027</v>
      </c>
      <c r="AB15" s="254">
        <v>5.091320847000004</v>
      </c>
      <c r="AC15" s="254">
        <v>4.8267214040000015</v>
      </c>
      <c r="AD15" s="254">
        <v>5.0616128920000012</v>
      </c>
      <c r="AE15" s="360"/>
      <c r="AG15" s="257">
        <f>SUM(C15:F15)/SUM($C$9:$F$9)</f>
        <v>3.3416330589124126E-2</v>
      </c>
      <c r="AH15" s="257">
        <f t="shared" si="14"/>
        <v>4.0321765501370121E-2</v>
      </c>
      <c r="AI15" s="257">
        <f t="shared" si="8"/>
        <v>3.6934775764697461E-2</v>
      </c>
      <c r="AJ15" s="257">
        <f t="shared" si="9"/>
        <v>4.3346267815998048E-2</v>
      </c>
      <c r="AK15" s="257">
        <f t="shared" si="3"/>
        <v>3.6997538735994477E-2</v>
      </c>
      <c r="AL15" s="257">
        <f t="shared" si="13"/>
        <v>4.530588696584574E-2</v>
      </c>
      <c r="AM15" s="257">
        <f t="shared" si="5"/>
        <v>3.9886272014824947E-2</v>
      </c>
      <c r="AO15" s="257">
        <f t="shared" si="6"/>
        <v>3.669724770642202E-2</v>
      </c>
      <c r="AP15" s="257">
        <f t="shared" si="10"/>
        <v>3.5714285714285712E-2</v>
      </c>
      <c r="AQ15" s="257">
        <f t="shared" si="10"/>
        <v>3.875968992248062E-2</v>
      </c>
      <c r="AR15" s="257">
        <f t="shared" si="10"/>
        <v>3.6582214814127434E-2</v>
      </c>
      <c r="AS15" s="257">
        <f t="shared" si="10"/>
        <v>4.716981132075472E-2</v>
      </c>
      <c r="AT15" s="257">
        <f t="shared" si="10"/>
        <v>3.8095238095238099E-2</v>
      </c>
      <c r="AU15" s="257">
        <f t="shared" si="10"/>
        <v>4.2016806722689079E-2</v>
      </c>
      <c r="AV15" s="257">
        <f t="shared" si="7"/>
        <v>5.2734673964838823E-2</v>
      </c>
      <c r="AW15" s="257">
        <f t="shared" si="7"/>
        <v>4.1964760795746764E-2</v>
      </c>
      <c r="AX15" s="257">
        <f t="shared" si="7"/>
        <v>3.9633647214061631E-2</v>
      </c>
      <c r="AY15" s="257">
        <f t="shared" si="7"/>
        <v>3.7484254538136329E-2</v>
      </c>
      <c r="AZ15" s="257">
        <f t="shared" si="7"/>
        <v>4.0631802734561427E-2</v>
      </c>
    </row>
    <row r="16" spans="1:144" ht="14">
      <c r="B16" s="253" t="s">
        <v>108</v>
      </c>
      <c r="C16" s="254">
        <v>10.685401392999999</v>
      </c>
      <c r="D16" s="254">
        <v>9.9861542549999989</v>
      </c>
      <c r="E16" s="254">
        <v>10.462981430000001</v>
      </c>
      <c r="F16" s="254">
        <v>11.274777651999999</v>
      </c>
      <c r="G16" s="254">
        <v>10.080228769999998</v>
      </c>
      <c r="H16" s="254">
        <v>10.906044012999997</v>
      </c>
      <c r="I16" s="254">
        <v>7.6165377649999986</v>
      </c>
      <c r="J16" s="254">
        <v>6.9993877500000004</v>
      </c>
      <c r="K16" s="254">
        <v>12.325696753000004</v>
      </c>
      <c r="L16" s="254">
        <v>15.521200260000002</v>
      </c>
      <c r="M16" s="254">
        <v>19.037714395999998</v>
      </c>
      <c r="N16" s="254">
        <v>17.519967609999998</v>
      </c>
      <c r="O16" s="254">
        <v>17.733581999999995</v>
      </c>
      <c r="P16" s="254">
        <v>15.89703561</v>
      </c>
      <c r="Q16" s="254">
        <v>17.493299149999999</v>
      </c>
      <c r="R16" s="254">
        <v>16.593375375000004</v>
      </c>
      <c r="S16" s="254">
        <v>16</v>
      </c>
      <c r="T16" s="254">
        <v>16</v>
      </c>
      <c r="U16" s="254">
        <v>18</v>
      </c>
      <c r="V16" s="254">
        <v>17.918646987999999</v>
      </c>
      <c r="W16" s="254">
        <v>17</v>
      </c>
      <c r="X16" s="254">
        <v>15</v>
      </c>
      <c r="Y16" s="254">
        <v>16</v>
      </c>
      <c r="Z16" s="254">
        <v>14.654801601999997</v>
      </c>
      <c r="AA16" s="490">
        <v>15.404202318999998</v>
      </c>
      <c r="AB16" s="254">
        <v>16.739873896999999</v>
      </c>
      <c r="AC16" s="254">
        <v>16.510652099999994</v>
      </c>
      <c r="AD16" s="254">
        <v>18</v>
      </c>
      <c r="AE16" s="360"/>
      <c r="AG16" s="252">
        <f>SUM(C16:F16)/SUM($C$9:$F$9)</f>
        <v>9.5769221439407248E-2</v>
      </c>
      <c r="AH16" s="252">
        <f t="shared" si="14"/>
        <v>8.9224895104075247E-2</v>
      </c>
      <c r="AI16" s="252">
        <f t="shared" si="8"/>
        <v>0.14601179850160625</v>
      </c>
      <c r="AJ16" s="252">
        <f t="shared" si="9"/>
        <v>0.13969597756795582</v>
      </c>
      <c r="AK16" s="252">
        <f t="shared" si="3"/>
        <v>0.14375469701421587</v>
      </c>
      <c r="AL16" s="252">
        <f t="shared" si="13"/>
        <v>0.13679854636679722</v>
      </c>
      <c r="AM16" s="252">
        <f t="shared" si="5"/>
        <v>0.13290032156338863</v>
      </c>
      <c r="AO16" s="252">
        <f t="shared" si="6"/>
        <v>0.14678899082568808</v>
      </c>
      <c r="AP16" s="252">
        <f t="shared" si="10"/>
        <v>0.14285714285714285</v>
      </c>
      <c r="AQ16" s="252">
        <f t="shared" si="10"/>
        <v>0.13953488372093023</v>
      </c>
      <c r="AR16" s="252">
        <f t="shared" si="10"/>
        <v>0.14631993097632442</v>
      </c>
      <c r="AS16" s="252">
        <f t="shared" si="10"/>
        <v>0.16037735849056603</v>
      </c>
      <c r="AT16" s="252">
        <f t="shared" si="10"/>
        <v>0.14285714285714285</v>
      </c>
      <c r="AU16" s="252">
        <f t="shared" si="10"/>
        <v>0.13445378151260504</v>
      </c>
      <c r="AV16" s="252">
        <f t="shared" si="7"/>
        <v>0.11448365896205775</v>
      </c>
      <c r="AW16" s="252">
        <f t="shared" si="7"/>
        <v>0.12864668951179059</v>
      </c>
      <c r="AX16" s="252">
        <f t="shared" si="7"/>
        <v>0.13031240347630293</v>
      </c>
      <c r="AY16" s="252">
        <f t="shared" si="7"/>
        <v>0.12822150567756588</v>
      </c>
      <c r="AZ16" s="252">
        <f t="shared" si="7"/>
        <v>0.14449395179510016</v>
      </c>
    </row>
    <row r="17" spans="2:52" ht="14.5" thickBot="1">
      <c r="B17" s="243" t="s">
        <v>109</v>
      </c>
      <c r="C17" s="244">
        <f>SUM(C18:C19)</f>
        <v>23.742703120000009</v>
      </c>
      <c r="D17" s="244">
        <f t="shared" ref="D17:Q17" si="15">SUM(D18:D19)</f>
        <v>25.192360209999986</v>
      </c>
      <c r="E17" s="244">
        <f t="shared" si="15"/>
        <v>24.735142921999994</v>
      </c>
      <c r="F17" s="244">
        <f t="shared" si="15"/>
        <v>21.944166249999988</v>
      </c>
      <c r="G17" s="244">
        <f t="shared" si="15"/>
        <v>22.293559052000013</v>
      </c>
      <c r="H17" s="244">
        <f t="shared" si="15"/>
        <v>21.555395659999999</v>
      </c>
      <c r="I17" s="244">
        <f t="shared" si="15"/>
        <v>22.017041906000017</v>
      </c>
      <c r="J17" s="244">
        <f t="shared" si="15"/>
        <v>24.673731256000014</v>
      </c>
      <c r="K17" s="244">
        <f t="shared" si="15"/>
        <v>22.853208695999999</v>
      </c>
      <c r="L17" s="244">
        <f t="shared" si="15"/>
        <v>14.267635493999993</v>
      </c>
      <c r="M17" s="244">
        <f t="shared" si="15"/>
        <v>23.018458121000002</v>
      </c>
      <c r="N17" s="244">
        <f t="shared" si="15"/>
        <v>20.486272513000014</v>
      </c>
      <c r="O17" s="244">
        <f t="shared" si="15"/>
        <v>20.488945150000003</v>
      </c>
      <c r="P17" s="244">
        <f t="shared" si="15"/>
        <v>22.336609999999993</v>
      </c>
      <c r="Q17" s="244">
        <f t="shared" si="15"/>
        <v>22.631718999999997</v>
      </c>
      <c r="R17" s="244">
        <v>20.974410999999996</v>
      </c>
      <c r="S17" s="244">
        <f t="shared" ref="S17:AA17" si="16">SUM(S18:S19)</f>
        <v>24</v>
      </c>
      <c r="T17" s="244">
        <f t="shared" si="16"/>
        <v>25</v>
      </c>
      <c r="U17" s="244">
        <f t="shared" si="16"/>
        <v>30</v>
      </c>
      <c r="V17" s="244">
        <f t="shared" si="16"/>
        <v>27.253402075999993</v>
      </c>
      <c r="W17" s="244">
        <f t="shared" si="16"/>
        <v>20</v>
      </c>
      <c r="X17" s="244">
        <f t="shared" si="16"/>
        <v>22</v>
      </c>
      <c r="Y17" s="244">
        <f t="shared" si="16"/>
        <v>20</v>
      </c>
      <c r="Z17" s="244">
        <f t="shared" si="16"/>
        <v>19.179707000000001</v>
      </c>
      <c r="AA17" s="244">
        <f t="shared" si="16"/>
        <v>21.551031999999999</v>
      </c>
      <c r="AB17" s="244">
        <v>23.521016563000003</v>
      </c>
      <c r="AC17" s="244">
        <v>29.002503415</v>
      </c>
      <c r="AD17" s="244">
        <f>SUM(AD18:AD19)</f>
        <v>24.175226165999995</v>
      </c>
      <c r="AE17" s="245"/>
      <c r="AG17" s="246">
        <f>SUM(C17:F17)/SUM(C9:F9)</f>
        <v>0.21591751885715998</v>
      </c>
      <c r="AH17" s="246">
        <f t="shared" si="14"/>
        <v>0.22690727282317813</v>
      </c>
      <c r="AI17" s="246">
        <f t="shared" si="8"/>
        <v>0.18278646277316907</v>
      </c>
      <c r="AJ17" s="246">
        <f t="shared" si="9"/>
        <v>0.17830244490290886</v>
      </c>
      <c r="AK17" s="246">
        <f t="shared" si="3"/>
        <v>0.22489296091048086</v>
      </c>
      <c r="AL17" s="246">
        <f t="shared" si="13"/>
        <v>0.17724524901740368</v>
      </c>
      <c r="AM17" s="246">
        <f t="shared" si="5"/>
        <v>0.1958964868473532</v>
      </c>
      <c r="AO17" s="246">
        <f t="shared" si="6"/>
        <v>0.22018348623853212</v>
      </c>
      <c r="AP17" s="246">
        <f t="shared" si="10"/>
        <v>0.22321428571428573</v>
      </c>
      <c r="AQ17" s="246">
        <f t="shared" si="10"/>
        <v>0.23255813953488372</v>
      </c>
      <c r="AR17" s="246">
        <f t="shared" si="10"/>
        <v>0.2225455924937236</v>
      </c>
      <c r="AS17" s="246">
        <f t="shared" si="10"/>
        <v>0.18867924528301888</v>
      </c>
      <c r="AT17" s="246">
        <f t="shared" si="10"/>
        <v>0.20952380952380953</v>
      </c>
      <c r="AU17" s="246">
        <f t="shared" si="10"/>
        <v>0.16806722689075632</v>
      </c>
      <c r="AV17" s="246">
        <f t="shared" si="7"/>
        <v>0.1498323276434208</v>
      </c>
      <c r="AW17" s="246">
        <f t="shared" si="7"/>
        <v>0.17998133658261672</v>
      </c>
      <c r="AX17" s="246">
        <f t="shared" si="7"/>
        <v>0.1831005549617529</v>
      </c>
      <c r="AY17" s="246">
        <f t="shared" si="7"/>
        <v>0.22523305765070584</v>
      </c>
      <c r="AZ17" s="246">
        <f t="shared" si="7"/>
        <v>0.19406522023698039</v>
      </c>
    </row>
    <row r="18" spans="2:52" ht="14">
      <c r="B18" s="258" t="s">
        <v>110</v>
      </c>
      <c r="C18" s="259">
        <v>15.903005120000008</v>
      </c>
      <c r="D18" s="259">
        <v>16.219191209999991</v>
      </c>
      <c r="E18" s="259">
        <v>16.462892921999998</v>
      </c>
      <c r="F18" s="259">
        <v>15.104305249999987</v>
      </c>
      <c r="G18" s="259">
        <v>14.932924052000013</v>
      </c>
      <c r="H18" s="259">
        <v>15.019213660000002</v>
      </c>
      <c r="I18" s="259">
        <v>14.892277906000015</v>
      </c>
      <c r="J18" s="259">
        <v>18.095719256000017</v>
      </c>
      <c r="K18" s="259">
        <v>16.037484696000007</v>
      </c>
      <c r="L18" s="259">
        <v>10.820729493999995</v>
      </c>
      <c r="M18" s="259">
        <v>17.034508120999998</v>
      </c>
      <c r="N18" s="259">
        <v>13.905561513000022</v>
      </c>
      <c r="O18" s="259">
        <v>14.542796150000003</v>
      </c>
      <c r="P18" s="259">
        <v>16.138854999999996</v>
      </c>
      <c r="Q18" s="259">
        <v>15.847426999999998</v>
      </c>
      <c r="R18" s="259">
        <v>14.653885999999995</v>
      </c>
      <c r="S18" s="259">
        <v>14</v>
      </c>
      <c r="T18" s="259">
        <v>14</v>
      </c>
      <c r="U18" s="259">
        <v>16</v>
      </c>
      <c r="V18" s="259">
        <v>13.424488075999996</v>
      </c>
      <c r="W18" s="259">
        <v>9</v>
      </c>
      <c r="X18" s="259">
        <v>12</v>
      </c>
      <c r="Y18" s="259">
        <v>10</v>
      </c>
      <c r="Z18" s="259">
        <v>9.0980250000000016</v>
      </c>
      <c r="AA18" s="491">
        <v>8.5653979999999983</v>
      </c>
      <c r="AB18" s="259">
        <v>11.157155063000005</v>
      </c>
      <c r="AC18" s="259">
        <v>15.996385914999998</v>
      </c>
      <c r="AD18" s="259">
        <v>14.175226165999996</v>
      </c>
      <c r="AE18" s="251"/>
      <c r="AG18" s="257">
        <f>SUM(C18:F18)/SUM($C$9:$F$9)</f>
        <v>0.14382415194011799</v>
      </c>
      <c r="AH18" s="257">
        <f t="shared" si="14"/>
        <v>0.15773820720178622</v>
      </c>
      <c r="AI18" s="257">
        <f t="shared" si="8"/>
        <v>0.13103464846744642</v>
      </c>
      <c r="AJ18" s="257">
        <f t="shared" si="9"/>
        <v>0.12621612173151089</v>
      </c>
      <c r="AK18" s="257">
        <f t="shared" si="3"/>
        <v>0.12154305556205128</v>
      </c>
      <c r="AL18" s="257">
        <f t="shared" si="13"/>
        <v>8.7548781448928831E-2</v>
      </c>
      <c r="AM18" s="257">
        <f t="shared" si="5"/>
        <v>9.9482073654821312E-2</v>
      </c>
      <c r="AO18" s="257">
        <f t="shared" si="6"/>
        <v>0.12844036697247707</v>
      </c>
      <c r="AP18" s="257">
        <f t="shared" si="10"/>
        <v>0.125</v>
      </c>
      <c r="AQ18" s="257">
        <f t="shared" si="10"/>
        <v>0.12403100775193798</v>
      </c>
      <c r="AR18" s="257">
        <f t="shared" si="10"/>
        <v>0.10962156740898286</v>
      </c>
      <c r="AS18" s="257">
        <f t="shared" si="10"/>
        <v>8.4905660377358486E-2</v>
      </c>
      <c r="AT18" s="257">
        <f t="shared" si="10"/>
        <v>0.11428571428571428</v>
      </c>
      <c r="AU18" s="257">
        <f t="shared" si="10"/>
        <v>8.4033613445378158E-2</v>
      </c>
      <c r="AV18" s="257">
        <f t="shared" si="7"/>
        <v>7.1073987872079261E-2</v>
      </c>
      <c r="AW18" s="257">
        <f t="shared" si="7"/>
        <v>7.1533083909952513E-2</v>
      </c>
      <c r="AX18" s="257">
        <f t="shared" si="7"/>
        <v>8.6853443530294047E-2</v>
      </c>
      <c r="AY18" s="257">
        <f t="shared" si="7"/>
        <v>0.12422772129155986</v>
      </c>
      <c r="AZ18" s="257">
        <f t="shared" si="7"/>
        <v>0.11379080257303588</v>
      </c>
    </row>
    <row r="19" spans="2:52" ht="14">
      <c r="B19" s="258" t="s">
        <v>111</v>
      </c>
      <c r="C19" s="259">
        <v>7.8396980000000021</v>
      </c>
      <c r="D19" s="259">
        <v>8.9731689999999951</v>
      </c>
      <c r="E19" s="259">
        <v>8.2722499999999979</v>
      </c>
      <c r="F19" s="259">
        <v>6.8398609999999991</v>
      </c>
      <c r="G19" s="259">
        <v>7.360635000000002</v>
      </c>
      <c r="H19" s="259">
        <v>6.5361819999999957</v>
      </c>
      <c r="I19" s="259">
        <v>7.1247640000000008</v>
      </c>
      <c r="J19" s="259">
        <v>6.5780119999999975</v>
      </c>
      <c r="K19" s="259">
        <v>6.8157239999999932</v>
      </c>
      <c r="L19" s="259">
        <v>3.4469059999999985</v>
      </c>
      <c r="M19" s="259">
        <v>5.9839500000000019</v>
      </c>
      <c r="N19" s="259">
        <v>6.5807109999999929</v>
      </c>
      <c r="O19" s="259">
        <v>5.946149000000001</v>
      </c>
      <c r="P19" s="259">
        <v>6.197754999999999</v>
      </c>
      <c r="Q19" s="259">
        <v>6.784291999999998</v>
      </c>
      <c r="R19" s="259">
        <v>6.3205250000000026</v>
      </c>
      <c r="S19" s="259">
        <v>10</v>
      </c>
      <c r="T19" s="259">
        <v>11</v>
      </c>
      <c r="U19" s="259">
        <v>14</v>
      </c>
      <c r="V19" s="259">
        <v>13.828913999999999</v>
      </c>
      <c r="W19" s="259">
        <v>11</v>
      </c>
      <c r="X19" s="259">
        <v>10</v>
      </c>
      <c r="Y19" s="259">
        <v>10</v>
      </c>
      <c r="Z19" s="259">
        <v>10.081682000000001</v>
      </c>
      <c r="AA19" s="491">
        <v>12.985634000000001</v>
      </c>
      <c r="AB19" s="259">
        <v>12.363861499999999</v>
      </c>
      <c r="AC19" s="259">
        <v>13.006117500000002</v>
      </c>
      <c r="AD19" s="259">
        <v>10</v>
      </c>
      <c r="AE19" s="251"/>
      <c r="AG19" s="252">
        <f>SUM(C19:F19)/SUM($C$9:$F$9)</f>
        <v>7.2093366917042004E-2</v>
      </c>
      <c r="AH19" s="252">
        <f t="shared" si="14"/>
        <v>6.9169065621391926E-2</v>
      </c>
      <c r="AI19" s="252">
        <f t="shared" si="8"/>
        <v>5.1751814305722642E-2</v>
      </c>
      <c r="AJ19" s="252">
        <f t="shared" si="9"/>
        <v>5.2086323171397962E-2</v>
      </c>
      <c r="AK19" s="252">
        <f t="shared" si="3"/>
        <v>0.1033499053484296</v>
      </c>
      <c r="AL19" s="252">
        <f t="shared" si="13"/>
        <v>8.9696467568474839E-2</v>
      </c>
      <c r="AM19" s="252">
        <f t="shared" si="5"/>
        <v>9.6414413192531856E-2</v>
      </c>
      <c r="AO19" s="252">
        <f t="shared" si="6"/>
        <v>9.1743119266055051E-2</v>
      </c>
      <c r="AP19" s="252">
        <f t="shared" si="10"/>
        <v>9.8214285714285712E-2</v>
      </c>
      <c r="AQ19" s="252">
        <f t="shared" si="10"/>
        <v>0.10852713178294573</v>
      </c>
      <c r="AR19" s="252">
        <f t="shared" si="10"/>
        <v>0.11292402508474077</v>
      </c>
      <c r="AS19" s="252">
        <f t="shared" si="10"/>
        <v>0.10377358490566038</v>
      </c>
      <c r="AT19" s="252">
        <f t="shared" si="10"/>
        <v>9.5238095238095233E-2</v>
      </c>
      <c r="AU19" s="252">
        <f t="shared" si="10"/>
        <v>8.4033613445378158E-2</v>
      </c>
      <c r="AV19" s="252">
        <f t="shared" si="7"/>
        <v>7.8758339771341557E-2</v>
      </c>
      <c r="AW19" s="252">
        <f t="shared" si="7"/>
        <v>0.1084482526726642</v>
      </c>
      <c r="AX19" s="252">
        <f t="shared" si="7"/>
        <v>9.6247111431458837E-2</v>
      </c>
      <c r="AY19" s="252">
        <f t="shared" si="7"/>
        <v>0.10100533635914596</v>
      </c>
      <c r="AZ19" s="252">
        <f t="shared" si="7"/>
        <v>8.0274417663944525E-2</v>
      </c>
    </row>
    <row r="20" spans="2:52" ht="14">
      <c r="B20" s="250"/>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G20" s="260"/>
      <c r="AH20" s="260"/>
      <c r="AI20" s="260"/>
      <c r="AJ20" s="260"/>
      <c r="AK20" s="260"/>
      <c r="AL20" s="260"/>
      <c r="AM20" s="260"/>
      <c r="AO20" s="260"/>
      <c r="AP20" s="260"/>
      <c r="AQ20" s="260"/>
      <c r="AR20" s="260"/>
      <c r="AS20" s="260"/>
      <c r="AT20" s="260"/>
      <c r="AU20" s="260"/>
      <c r="AV20" s="260"/>
      <c r="AW20" s="260"/>
      <c r="AX20" s="260"/>
      <c r="AY20" s="260"/>
      <c r="AZ20" s="260"/>
    </row>
    <row r="21" spans="2:52" ht="14">
      <c r="B21" s="384" t="s">
        <v>370</v>
      </c>
      <c r="C21" s="385">
        <v>6.0861586946115681E-2</v>
      </c>
      <c r="D21" s="385">
        <v>7.7829844440613305E-2</v>
      </c>
      <c r="E21" s="385">
        <v>0.11231588923900179</v>
      </c>
      <c r="F21" s="385">
        <v>0.14977171791241073</v>
      </c>
      <c r="G21" s="385">
        <v>0.13194738213437165</v>
      </c>
      <c r="H21" s="385">
        <v>0.11079044277544974</v>
      </c>
      <c r="I21" s="385">
        <v>5.8856747145052228E-2</v>
      </c>
      <c r="J21" s="385">
        <v>6.8369280701214272E-2</v>
      </c>
      <c r="K21" s="385">
        <v>7.202524719273129E-2</v>
      </c>
      <c r="L21" s="385">
        <v>0.33233711056164889</v>
      </c>
      <c r="M21" s="385">
        <v>0.10522496110804135</v>
      </c>
      <c r="N21" s="385">
        <v>9.4000213097690924E-2</v>
      </c>
      <c r="O21" s="385">
        <v>0.12155816952394868</v>
      </c>
      <c r="P21" s="385">
        <v>0.12221225035220255</v>
      </c>
      <c r="Q21" s="385">
        <v>0.14276756499504939</v>
      </c>
      <c r="R21" s="385">
        <v>0.20737940803868204</v>
      </c>
      <c r="S21" s="385">
        <v>0.11998273510994163</v>
      </c>
      <c r="T21" s="385">
        <v>0.10222918749999996</v>
      </c>
      <c r="U21" s="385">
        <v>6.7339448162790749E-2</v>
      </c>
      <c r="V21" s="385">
        <v>5.9157542172785849E-2</v>
      </c>
      <c r="W21" s="385">
        <v>7.0000000000000007E-2</v>
      </c>
      <c r="X21" s="385">
        <v>0.05</v>
      </c>
      <c r="Y21" s="385">
        <v>7.8539744316575621E-2</v>
      </c>
      <c r="Z21" s="385">
        <v>7.0000000000000007E-2</v>
      </c>
      <c r="AA21" s="385">
        <v>0.1</v>
      </c>
      <c r="AB21" s="385">
        <v>0.13</v>
      </c>
      <c r="AC21" s="385">
        <v>0.11</v>
      </c>
      <c r="AD21" s="385">
        <v>6.7598228525493242E-2</v>
      </c>
      <c r="AE21" s="386"/>
      <c r="AG21" s="387"/>
      <c r="AH21" s="387"/>
      <c r="AI21" s="387"/>
      <c r="AJ21" s="387"/>
      <c r="AK21" s="387"/>
      <c r="AL21" s="387"/>
      <c r="AM21" s="387"/>
      <c r="AO21" s="387"/>
      <c r="AP21" s="387"/>
      <c r="AQ21" s="387"/>
      <c r="AR21" s="387"/>
      <c r="AS21" s="387"/>
      <c r="AT21" s="387"/>
      <c r="AU21" s="387"/>
      <c r="AV21" s="387"/>
      <c r="AW21" s="387"/>
      <c r="AX21" s="387"/>
      <c r="AY21" s="387"/>
      <c r="AZ21" s="387"/>
    </row>
    <row r="22" spans="2:52" ht="14">
      <c r="B22" s="384" t="s">
        <v>371</v>
      </c>
      <c r="C22" s="385">
        <v>0.93913841305388446</v>
      </c>
      <c r="D22" s="385">
        <v>0.92217015555938642</v>
      </c>
      <c r="E22" s="385">
        <v>0.88768411076099829</v>
      </c>
      <c r="F22" s="385">
        <v>0.85022828208758916</v>
      </c>
      <c r="G22" s="385">
        <v>0.8680526178656286</v>
      </c>
      <c r="H22" s="385">
        <v>0.8892095572245502</v>
      </c>
      <c r="I22" s="385">
        <v>0.9411432528549476</v>
      </c>
      <c r="J22" s="385">
        <v>0.93163071929878571</v>
      </c>
      <c r="K22" s="385">
        <v>0.92797475280726882</v>
      </c>
      <c r="L22" s="385">
        <v>0.66766288943835117</v>
      </c>
      <c r="M22" s="385">
        <v>0.89477503889195853</v>
      </c>
      <c r="N22" s="385">
        <v>0.9059997869023092</v>
      </c>
      <c r="O22" s="385">
        <v>0.88284939931296424</v>
      </c>
      <c r="P22" s="385">
        <v>0.87393806229505377</v>
      </c>
      <c r="Q22" s="385">
        <v>0.85764292747233595</v>
      </c>
      <c r="R22" s="385">
        <v>0.79069237288716321</v>
      </c>
      <c r="S22" s="385">
        <v>0.8827215844819527</v>
      </c>
      <c r="T22" s="385">
        <v>0.90336519126785697</v>
      </c>
      <c r="U22" s="385">
        <v>0.93239285138759698</v>
      </c>
      <c r="V22" s="385">
        <v>0.9408424578272141</v>
      </c>
      <c r="W22" s="385">
        <v>0.93</v>
      </c>
      <c r="X22" s="385">
        <v>0.95</v>
      </c>
      <c r="Y22" s="385">
        <v>0.92146025568342449</v>
      </c>
      <c r="Z22" s="385">
        <v>0.93</v>
      </c>
      <c r="AA22" s="385">
        <v>0.9</v>
      </c>
      <c r="AB22" s="385">
        <v>0.87</v>
      </c>
      <c r="AC22" s="385">
        <v>0.89</v>
      </c>
      <c r="AD22" s="385">
        <v>0.93240177147450676</v>
      </c>
      <c r="AE22" s="386"/>
      <c r="AG22" s="387"/>
      <c r="AH22" s="387"/>
      <c r="AI22" s="387"/>
      <c r="AJ22" s="387"/>
      <c r="AK22" s="387"/>
      <c r="AL22" s="387"/>
      <c r="AM22" s="387"/>
      <c r="AO22" s="387"/>
      <c r="AP22" s="387"/>
      <c r="AQ22" s="387"/>
      <c r="AR22" s="387"/>
      <c r="AS22" s="387"/>
      <c r="AT22" s="387"/>
      <c r="AU22" s="387"/>
      <c r="AV22" s="387"/>
      <c r="AW22" s="387"/>
      <c r="AX22" s="387"/>
      <c r="AY22" s="387"/>
      <c r="AZ22" s="387"/>
    </row>
    <row r="23" spans="2:52" ht="14">
      <c r="B23" s="25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c r="AE23" s="251"/>
      <c r="AG23" s="260"/>
      <c r="AH23" s="260"/>
      <c r="AI23" s="260"/>
      <c r="AJ23" s="260"/>
      <c r="AK23" s="260"/>
      <c r="AL23" s="260"/>
      <c r="AM23" s="260"/>
      <c r="AO23" s="260"/>
      <c r="AP23" s="260"/>
      <c r="AQ23" s="260"/>
      <c r="AR23" s="260"/>
      <c r="AS23" s="260"/>
      <c r="AT23" s="260"/>
      <c r="AU23" s="260"/>
      <c r="AV23" s="260"/>
      <c r="AW23" s="260"/>
      <c r="AX23" s="260"/>
      <c r="AY23" s="260"/>
      <c r="AZ23" s="260"/>
    </row>
    <row r="24" spans="2:52" ht="14.5" thickBot="1">
      <c r="B24" s="243" t="s">
        <v>112</v>
      </c>
      <c r="C24" s="244">
        <f>SUM(C25:C27)</f>
        <v>77.641544307000004</v>
      </c>
      <c r="D24" s="244">
        <f t="shared" ref="D24:Q24" si="17">SUM(D25:D27)</f>
        <v>109.94406289199999</v>
      </c>
      <c r="E24" s="244">
        <f t="shared" si="17"/>
        <v>76.657510399000003</v>
      </c>
      <c r="F24" s="244">
        <f t="shared" si="17"/>
        <v>83.634122278999996</v>
      </c>
      <c r="G24" s="244">
        <f t="shared" si="17"/>
        <v>69.343831260000002</v>
      </c>
      <c r="H24" s="244">
        <f t="shared" si="17"/>
        <v>76.864452054000012</v>
      </c>
      <c r="I24" s="244">
        <f t="shared" si="17"/>
        <v>80.795289935999989</v>
      </c>
      <c r="J24" s="244">
        <f t="shared" si="17"/>
        <v>90.699982214000016</v>
      </c>
      <c r="K24" s="244">
        <f t="shared" si="17"/>
        <v>71.340493295000002</v>
      </c>
      <c r="L24" s="244">
        <f t="shared" si="17"/>
        <v>83.083679769999989</v>
      </c>
      <c r="M24" s="244">
        <f t="shared" si="17"/>
        <v>98.629878641999994</v>
      </c>
      <c r="N24" s="244">
        <f t="shared" si="17"/>
        <v>49.110717475000001</v>
      </c>
      <c r="O24" s="244">
        <f t="shared" si="17"/>
        <v>99.317999999999984</v>
      </c>
      <c r="P24" s="244">
        <f t="shared" si="17"/>
        <v>76.420332000000002</v>
      </c>
      <c r="Q24" s="244">
        <f t="shared" si="17"/>
        <v>150.30603400000001</v>
      </c>
      <c r="R24" s="244">
        <v>88.364221999999998</v>
      </c>
      <c r="S24" s="244">
        <f t="shared" ref="S24:AA24" si="18">SUM(S25:S27)</f>
        <v>77</v>
      </c>
      <c r="T24" s="244">
        <f t="shared" si="18"/>
        <v>121</v>
      </c>
      <c r="U24" s="244">
        <f t="shared" si="18"/>
        <v>95</v>
      </c>
      <c r="V24" s="244">
        <f t="shared" si="18"/>
        <v>63.918865140000001</v>
      </c>
      <c r="W24" s="244">
        <f t="shared" si="18"/>
        <v>70</v>
      </c>
      <c r="X24" s="244">
        <f t="shared" si="18"/>
        <v>76</v>
      </c>
      <c r="Y24" s="244">
        <f t="shared" si="18"/>
        <v>99</v>
      </c>
      <c r="Z24" s="244">
        <f t="shared" si="18"/>
        <v>102.76431966999999</v>
      </c>
      <c r="AA24" s="244">
        <f t="shared" si="18"/>
        <v>76.044326000000012</v>
      </c>
      <c r="AB24" s="244">
        <v>104.05676200000002</v>
      </c>
      <c r="AC24" s="244">
        <v>65.781452000000002</v>
      </c>
      <c r="AD24" s="244">
        <f>SUM(AD25:AD27)</f>
        <v>74.954833999999991</v>
      </c>
      <c r="AE24" s="245"/>
      <c r="AG24" s="261">
        <f>SUM(C24:F24)/SUM($C$24:$F$24)</f>
        <v>1</v>
      </c>
      <c r="AH24" s="261">
        <f>SUM(G24:J24)/SUM($G$24:$J$24)</f>
        <v>1</v>
      </c>
      <c r="AI24" s="261">
        <f>SUM(K24:N24)/SUM($K$24:$N$24)</f>
        <v>1</v>
      </c>
      <c r="AJ24" s="261">
        <f>SUM(O24:R24)/SUM($O$24:$R$24)</f>
        <v>1</v>
      </c>
      <c r="AK24" s="261">
        <f>SUM(S24:V24)/SUM($S$24:$V$24)</f>
        <v>1</v>
      </c>
      <c r="AL24" s="261">
        <f>SUM(AL25:AL27)</f>
        <v>1</v>
      </c>
      <c r="AM24" s="261">
        <f>SUM(AM25:AM27)</f>
        <v>1</v>
      </c>
      <c r="AN24" s="262"/>
      <c r="AO24" s="261">
        <f>S24/$S$24</f>
        <v>1</v>
      </c>
      <c r="AP24" s="261">
        <f t="shared" ref="AP24:AU24" si="19">T24/T$24</f>
        <v>1</v>
      </c>
      <c r="AQ24" s="261">
        <f t="shared" si="19"/>
        <v>1</v>
      </c>
      <c r="AR24" s="261">
        <f t="shared" si="19"/>
        <v>1</v>
      </c>
      <c r="AS24" s="261">
        <f t="shared" si="19"/>
        <v>1</v>
      </c>
      <c r="AT24" s="261">
        <f t="shared" si="19"/>
        <v>1</v>
      </c>
      <c r="AU24" s="261">
        <f t="shared" si="19"/>
        <v>1</v>
      </c>
      <c r="AV24" s="261">
        <f>SUM(AV25:AV27)</f>
        <v>1</v>
      </c>
      <c r="AW24" s="261">
        <f>SUM(AW25:AW27)</f>
        <v>1</v>
      </c>
      <c r="AX24" s="261">
        <f>SUM(AX25:AX27)</f>
        <v>1</v>
      </c>
      <c r="AY24" s="261">
        <f>SUM(AY25:AY27)</f>
        <v>1</v>
      </c>
      <c r="AZ24" s="261">
        <f>SUM(AZ25:AZ27)</f>
        <v>1</v>
      </c>
    </row>
    <row r="25" spans="2:52" ht="14">
      <c r="B25" s="258" t="s">
        <v>113</v>
      </c>
      <c r="C25" s="259">
        <v>10.12533206</v>
      </c>
      <c r="D25" s="259">
        <v>15.675384237999999</v>
      </c>
      <c r="E25" s="259">
        <v>12.922318450000001</v>
      </c>
      <c r="F25" s="259">
        <v>18.657504320000001</v>
      </c>
      <c r="G25" s="259">
        <v>9.1780918760000016</v>
      </c>
      <c r="H25" s="259">
        <v>11.389824150999999</v>
      </c>
      <c r="I25" s="259">
        <v>12.235593348999998</v>
      </c>
      <c r="J25" s="259">
        <v>9.4482463729999999</v>
      </c>
      <c r="K25" s="259">
        <v>9.6393049370000004</v>
      </c>
      <c r="L25" s="259">
        <v>6.3630703510000002</v>
      </c>
      <c r="M25" s="259">
        <v>6.7301339999999996</v>
      </c>
      <c r="N25" s="259">
        <v>19.468394647</v>
      </c>
      <c r="O25" s="259">
        <v>16.277999999999999</v>
      </c>
      <c r="P25" s="259">
        <v>17.087</v>
      </c>
      <c r="Q25" s="259">
        <v>26.210999999999999</v>
      </c>
      <c r="R25" s="259">
        <v>27.231999999999999</v>
      </c>
      <c r="S25" s="259">
        <v>14</v>
      </c>
      <c r="T25" s="259">
        <v>1</v>
      </c>
      <c r="U25" s="259">
        <v>0</v>
      </c>
      <c r="V25" s="259">
        <v>1.3419400000000001</v>
      </c>
      <c r="W25" s="259">
        <v>7</v>
      </c>
      <c r="X25" s="259">
        <v>4</v>
      </c>
      <c r="Y25" s="259">
        <v>4</v>
      </c>
      <c r="Z25" s="259">
        <v>0.38559400000000005</v>
      </c>
      <c r="AA25" s="491">
        <v>0</v>
      </c>
      <c r="AB25" s="259">
        <v>0</v>
      </c>
      <c r="AC25" s="259">
        <v>0</v>
      </c>
      <c r="AD25" s="259">
        <v>0</v>
      </c>
      <c r="AE25" s="360"/>
      <c r="AG25" s="263">
        <f>SUM(C25:F25)/SUM($C$24:$F$24)</f>
        <v>0.164944792272953</v>
      </c>
      <c r="AH25" s="263">
        <f t="shared" ref="AH25:AH27" si="20">SUM(G25:J25)/SUM($G$24:$J$24)</f>
        <v>0.13299113284172129</v>
      </c>
      <c r="AI25" s="263">
        <f t="shared" ref="AI25:AI27" si="21">SUM(K25:N25)/SUM($K$24:$N$24)</f>
        <v>0.13966189390392345</v>
      </c>
      <c r="AJ25" s="263">
        <f t="shared" ref="AJ25:AJ27" si="22">SUM(O25:R25)/SUM($O$24:$R$24)</f>
        <v>0.20947442334375563</v>
      </c>
      <c r="AK25" s="263">
        <f>SUM(S25:V25)/SUM($S$24:$V$24)</f>
        <v>4.5786148046811539E-2</v>
      </c>
      <c r="AL25" s="263">
        <f>SUM(W25:Z25)/SUM($W$24:$Z$24)</f>
        <v>4.4241439186744849E-2</v>
      </c>
      <c r="AM25" s="263">
        <f>SUM(AA25:AB25)/SUM($AA$24:$AB$24)</f>
        <v>0</v>
      </c>
      <c r="AN25" s="264"/>
      <c r="AO25" s="263">
        <f t="shared" ref="AO25:AO27" si="23">S25/$S$24</f>
        <v>0.18181818181818182</v>
      </c>
      <c r="AP25" s="263">
        <f t="shared" ref="AP25:AZ27" si="24">T25/T$24</f>
        <v>8.2644628099173556E-3</v>
      </c>
      <c r="AQ25" s="263">
        <f t="shared" si="24"/>
        <v>0</v>
      </c>
      <c r="AR25" s="263">
        <f t="shared" si="24"/>
        <v>2.0994427811895287E-2</v>
      </c>
      <c r="AS25" s="263">
        <f t="shared" si="24"/>
        <v>0.1</v>
      </c>
      <c r="AT25" s="263">
        <f t="shared" si="24"/>
        <v>5.2631578947368418E-2</v>
      </c>
      <c r="AU25" s="263">
        <f t="shared" si="24"/>
        <v>4.0404040404040407E-2</v>
      </c>
      <c r="AV25" s="263">
        <f t="shared" si="24"/>
        <v>3.7522167347405363E-3</v>
      </c>
      <c r="AW25" s="263">
        <f t="shared" si="24"/>
        <v>0</v>
      </c>
      <c r="AX25" s="263">
        <f t="shared" si="24"/>
        <v>0</v>
      </c>
      <c r="AY25" s="263">
        <f t="shared" si="24"/>
        <v>0</v>
      </c>
      <c r="AZ25" s="263">
        <f t="shared" si="24"/>
        <v>0</v>
      </c>
    </row>
    <row r="26" spans="2:52" ht="14">
      <c r="B26" s="258" t="s">
        <v>114</v>
      </c>
      <c r="C26" s="259">
        <v>0</v>
      </c>
      <c r="D26" s="259">
        <v>62.987079999999999</v>
      </c>
      <c r="E26" s="259">
        <v>31.15597</v>
      </c>
      <c r="F26" s="259">
        <v>26.251439999999999</v>
      </c>
      <c r="G26" s="259">
        <v>26.250810000000001</v>
      </c>
      <c r="H26" s="259">
        <v>30.80414</v>
      </c>
      <c r="I26" s="259">
        <v>36.75047</v>
      </c>
      <c r="J26" s="259">
        <v>47.501480000000001</v>
      </c>
      <c r="K26" s="259">
        <v>31.500299999999999</v>
      </c>
      <c r="L26" s="259">
        <v>54.975319999999996</v>
      </c>
      <c r="M26" s="259">
        <v>63.004020000000004</v>
      </c>
      <c r="N26" s="259">
        <v>0</v>
      </c>
      <c r="O26" s="259">
        <v>52.5</v>
      </c>
      <c r="P26" s="259">
        <v>30.102</v>
      </c>
      <c r="Q26" s="259">
        <v>94.506</v>
      </c>
      <c r="R26" s="259">
        <v>31.501999999999999</v>
      </c>
      <c r="S26" s="259">
        <v>36</v>
      </c>
      <c r="T26" s="259">
        <v>93</v>
      </c>
      <c r="U26" s="259">
        <v>63</v>
      </c>
      <c r="V26" s="259">
        <v>30.40211</v>
      </c>
      <c r="W26" s="259">
        <v>33</v>
      </c>
      <c r="X26" s="259">
        <v>34</v>
      </c>
      <c r="Y26" s="259">
        <v>64</v>
      </c>
      <c r="Z26" s="259">
        <v>65.366830000000007</v>
      </c>
      <c r="AA26" s="491">
        <v>36.050940000000004</v>
      </c>
      <c r="AB26" s="259">
        <v>67.320310000000006</v>
      </c>
      <c r="AC26" s="259">
        <v>33.6</v>
      </c>
      <c r="AD26" s="259">
        <v>30.939</v>
      </c>
      <c r="AE26" s="251"/>
      <c r="AG26" s="532">
        <f>SUM(C26:F26)/SUM(C24:F24)</f>
        <v>0.34608326213743751</v>
      </c>
      <c r="AH26" s="263">
        <f t="shared" si="20"/>
        <v>0.44477594779707119</v>
      </c>
      <c r="AI26" s="263">
        <f t="shared" si="21"/>
        <v>0.49469579264538732</v>
      </c>
      <c r="AJ26" s="263">
        <f t="shared" si="22"/>
        <v>0.50339207738619562</v>
      </c>
      <c r="AK26" s="263">
        <f>SUM(S26:V26)/SUM($S$24:$V$24)</f>
        <v>0.62311671284946979</v>
      </c>
      <c r="AL26" s="263">
        <f t="shared" ref="AL26:AL27" si="25">SUM(W26:Z26)/SUM($W$24:$Z$24)</f>
        <v>0.5646549082043153</v>
      </c>
      <c r="AM26" s="263">
        <f t="shared" ref="AM26:AM27" si="26">SUM(AA26:AB26)/SUM($AA$24:$AB$24)</f>
        <v>0.57396238494683605</v>
      </c>
      <c r="AN26" s="264"/>
      <c r="AO26" s="263">
        <f t="shared" si="23"/>
        <v>0.46753246753246752</v>
      </c>
      <c r="AP26" s="263">
        <f t="shared" si="24"/>
        <v>0.76859504132231404</v>
      </c>
      <c r="AQ26" s="263">
        <f t="shared" si="24"/>
        <v>0.66315789473684206</v>
      </c>
      <c r="AR26" s="263">
        <f t="shared" si="24"/>
        <v>0.47563594775049539</v>
      </c>
      <c r="AS26" s="263">
        <f t="shared" si="24"/>
        <v>0.47142857142857142</v>
      </c>
      <c r="AT26" s="263">
        <f t="shared" si="24"/>
        <v>0.44736842105263158</v>
      </c>
      <c r="AU26" s="263">
        <f t="shared" si="24"/>
        <v>0.64646464646464652</v>
      </c>
      <c r="AV26" s="263">
        <f t="shared" si="24"/>
        <v>0.63608488052962375</v>
      </c>
      <c r="AW26" s="263">
        <f t="shared" si="24"/>
        <v>0.47407797394377588</v>
      </c>
      <c r="AX26" s="263">
        <f t="shared" si="24"/>
        <v>0.64695757109951191</v>
      </c>
      <c r="AY26" s="263">
        <f t="shared" si="24"/>
        <v>0.51078227947902399</v>
      </c>
      <c r="AZ26" s="263">
        <f t="shared" si="24"/>
        <v>0.41276857473928907</v>
      </c>
    </row>
    <row r="27" spans="2:52" ht="14">
      <c r="B27" s="258" t="s">
        <v>115</v>
      </c>
      <c r="C27" s="259">
        <v>67.516212246999999</v>
      </c>
      <c r="D27" s="259">
        <v>31.281598653999996</v>
      </c>
      <c r="E27" s="259">
        <v>32.579221949000001</v>
      </c>
      <c r="F27" s="259">
        <v>38.725177959</v>
      </c>
      <c r="G27" s="259">
        <v>33.914929383999997</v>
      </c>
      <c r="H27" s="259">
        <v>34.670487903000009</v>
      </c>
      <c r="I27" s="259">
        <v>31.809226586999998</v>
      </c>
      <c r="J27" s="259">
        <v>33.750255841000005</v>
      </c>
      <c r="K27" s="259">
        <v>30.200888357999997</v>
      </c>
      <c r="L27" s="259">
        <v>21.745289418999995</v>
      </c>
      <c r="M27" s="259">
        <v>28.895724641999998</v>
      </c>
      <c r="N27" s="259">
        <v>29.642322828000001</v>
      </c>
      <c r="O27" s="259">
        <v>30.54</v>
      </c>
      <c r="P27" s="259">
        <v>29.231331999999998</v>
      </c>
      <c r="Q27" s="259">
        <v>29.589033999999998</v>
      </c>
      <c r="R27" s="259">
        <v>29.630222</v>
      </c>
      <c r="S27" s="259">
        <v>27</v>
      </c>
      <c r="T27" s="259">
        <v>27</v>
      </c>
      <c r="U27" s="259">
        <v>32</v>
      </c>
      <c r="V27" s="259">
        <v>32.17481514</v>
      </c>
      <c r="W27" s="259">
        <v>30</v>
      </c>
      <c r="X27" s="259">
        <v>38</v>
      </c>
      <c r="Y27" s="259">
        <v>31</v>
      </c>
      <c r="Z27" s="259">
        <v>37.011895669999987</v>
      </c>
      <c r="AA27" s="491">
        <v>39.993386000000001</v>
      </c>
      <c r="AB27" s="259">
        <v>36.736452000000014</v>
      </c>
      <c r="AC27" s="259">
        <v>32.181452000000007</v>
      </c>
      <c r="AD27" s="259">
        <v>44.015833999999991</v>
      </c>
      <c r="AE27" s="251"/>
      <c r="AG27" s="533">
        <f>SUM(C27:F27)/SUM($C$24:$F$24)</f>
        <v>0.48897194558960955</v>
      </c>
      <c r="AH27" s="263">
        <f t="shared" si="20"/>
        <v>0.42223291936120738</v>
      </c>
      <c r="AI27" s="263">
        <f t="shared" si="21"/>
        <v>0.36564231345068915</v>
      </c>
      <c r="AJ27" s="263">
        <f t="shared" si="22"/>
        <v>0.28713349927004894</v>
      </c>
      <c r="AK27" s="263">
        <f>SUM(S27:V27)/SUM($S$24:$V$24)</f>
        <v>0.33109713910371869</v>
      </c>
      <c r="AL27" s="263">
        <f t="shared" si="25"/>
        <v>0.39110365260893992</v>
      </c>
      <c r="AM27" s="263">
        <f t="shared" si="26"/>
        <v>0.42603761505316395</v>
      </c>
      <c r="AN27" s="264"/>
      <c r="AO27" s="263">
        <f t="shared" si="23"/>
        <v>0.35064935064935066</v>
      </c>
      <c r="AP27" s="263">
        <f t="shared" si="24"/>
        <v>0.2231404958677686</v>
      </c>
      <c r="AQ27" s="263">
        <f t="shared" si="24"/>
        <v>0.33684210526315789</v>
      </c>
      <c r="AR27" s="263">
        <f t="shared" si="24"/>
        <v>0.50336962443760935</v>
      </c>
      <c r="AS27" s="263">
        <f t="shared" si="24"/>
        <v>0.42857142857142855</v>
      </c>
      <c r="AT27" s="263">
        <f t="shared" si="24"/>
        <v>0.5</v>
      </c>
      <c r="AU27" s="263">
        <f t="shared" si="24"/>
        <v>0.31313131313131315</v>
      </c>
      <c r="AV27" s="263">
        <f t="shared" si="24"/>
        <v>0.36016290273563573</v>
      </c>
      <c r="AW27" s="263">
        <f t="shared" si="24"/>
        <v>0.52592202605622407</v>
      </c>
      <c r="AX27" s="263">
        <f t="shared" si="24"/>
        <v>0.35304242890048804</v>
      </c>
      <c r="AY27" s="263">
        <f t="shared" si="24"/>
        <v>0.48921772052097612</v>
      </c>
      <c r="AZ27" s="263">
        <f t="shared" si="24"/>
        <v>0.58723142526071093</v>
      </c>
    </row>
    <row r="28" spans="2:52" ht="13">
      <c r="B28" s="265" t="s">
        <v>116</v>
      </c>
      <c r="T28" s="266"/>
      <c r="AG28" s="264"/>
      <c r="AH28" s="264"/>
      <c r="AI28" s="264"/>
      <c r="AJ28" s="264"/>
      <c r="AK28" s="264"/>
      <c r="AL28" s="264"/>
      <c r="AM28" s="264"/>
      <c r="AN28" s="264"/>
      <c r="AO28" s="264"/>
      <c r="AP28" s="264"/>
    </row>
    <row r="29" spans="2:52" ht="13">
      <c r="B29" s="265" t="s">
        <v>117</v>
      </c>
      <c r="C29" s="266"/>
      <c r="D29" s="266"/>
      <c r="E29" s="266"/>
      <c r="F29" s="266"/>
      <c r="G29" s="266"/>
      <c r="H29" s="266"/>
      <c r="I29" s="266"/>
      <c r="J29" s="266"/>
      <c r="K29" s="266"/>
      <c r="L29" s="266"/>
      <c r="M29" s="266"/>
      <c r="N29" s="266"/>
      <c r="O29" s="266"/>
      <c r="P29" s="266"/>
      <c r="Q29" s="266"/>
      <c r="R29" s="266"/>
      <c r="AG29" s="264"/>
      <c r="AH29" s="264"/>
      <c r="AI29" s="264"/>
      <c r="AJ29" s="264"/>
      <c r="AK29" s="264"/>
      <c r="AL29" s="264"/>
      <c r="AM29" s="264"/>
      <c r="AN29" s="264"/>
      <c r="AO29" s="264"/>
      <c r="AP29" s="264"/>
    </row>
    <row r="30" spans="2:52" ht="13">
      <c r="B30" s="265" t="s">
        <v>118</v>
      </c>
      <c r="C30" s="266"/>
      <c r="D30" s="266"/>
      <c r="E30" s="266"/>
      <c r="F30" s="266"/>
      <c r="G30" s="266"/>
      <c r="H30" s="266"/>
      <c r="I30" s="266"/>
      <c r="J30" s="266"/>
      <c r="K30" s="266"/>
      <c r="L30" s="266"/>
      <c r="M30" s="266"/>
      <c r="N30" s="266"/>
      <c r="O30" s="266"/>
      <c r="P30" s="266"/>
      <c r="Q30" s="266"/>
      <c r="R30" s="266"/>
      <c r="AG30" s="264"/>
      <c r="AH30" s="264"/>
      <c r="AI30" s="264"/>
      <c r="AJ30" s="264"/>
      <c r="AK30" s="264"/>
      <c r="AL30" s="264"/>
      <c r="AM30" s="264"/>
      <c r="AN30" s="264"/>
      <c r="AO30" s="264"/>
      <c r="AP30" s="264"/>
    </row>
  </sheetData>
  <mergeCells count="1">
    <mergeCell ref="C6:P6"/>
  </mergeCells>
  <phoneticPr fontId="6"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tabColor rgb="FF00B050"/>
    <pageSetUpPr fitToPage="1"/>
  </sheetPr>
  <dimension ref="B5:AO43"/>
  <sheetViews>
    <sheetView showGridLines="0" zoomScale="80" zoomScaleNormal="80" zoomScaleSheetLayoutView="80" workbookViewId="0">
      <pane xSplit="2" ySplit="6" topLeftCell="C7" activePane="bottomRight" state="frozen"/>
      <selection activeCell="AC26" sqref="AC26"/>
      <selection pane="topRight" activeCell="AC26" sqref="AC26"/>
      <selection pane="bottomLeft" activeCell="AC26" sqref="AC26"/>
      <selection pane="bottomRight" activeCell="Y41" sqref="Y41"/>
    </sheetView>
  </sheetViews>
  <sheetFormatPr defaultColWidth="9.1796875" defaultRowHeight="12.5" outlineLevelCol="1"/>
  <cols>
    <col min="1" max="1" width="2.1796875" style="40" customWidth="1"/>
    <col min="2" max="2" width="47.81640625" style="40" customWidth="1"/>
    <col min="3" max="17" width="8.1796875" style="40" hidden="1" customWidth="1" outlineLevel="1"/>
    <col min="18" max="18" width="8.81640625" style="40" hidden="1" customWidth="1" outlineLevel="1"/>
    <col min="19" max="22" width="9.1796875" style="40" hidden="1" customWidth="1" outlineLevel="1"/>
    <col min="23" max="23" width="9.1796875" style="40" collapsed="1"/>
    <col min="24" max="26" width="9.1796875" style="40"/>
    <col min="27" max="28" width="10.81640625" style="40" bestFit="1" customWidth="1"/>
    <col min="29" max="30" width="10.81640625" style="40" customWidth="1"/>
    <col min="31" max="32" width="11.1796875" style="40" bestFit="1" customWidth="1"/>
    <col min="33" max="33" width="10.1796875" style="40" bestFit="1" customWidth="1"/>
    <col min="34" max="16384" width="9.1796875" style="40"/>
  </cols>
  <sheetData>
    <row r="5" spans="2:41" ht="18" customHeight="1">
      <c r="B5" s="41"/>
    </row>
    <row r="6" spans="2:41" ht="14.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342</v>
      </c>
      <c r="V6" s="54" t="s">
        <v>348</v>
      </c>
      <c r="W6" s="54" t="s">
        <v>363</v>
      </c>
      <c r="X6" s="54" t="s">
        <v>392</v>
      </c>
      <c r="Y6" s="54" t="s">
        <v>404</v>
      </c>
      <c r="Z6" s="54" t="s">
        <v>405</v>
      </c>
      <c r="AA6" s="54" t="s">
        <v>478</v>
      </c>
      <c r="AB6" s="54" t="s">
        <v>483</v>
      </c>
      <c r="AC6" s="54" t="s">
        <v>488</v>
      </c>
      <c r="AD6" s="54" t="s">
        <v>490</v>
      </c>
    </row>
    <row r="7" spans="2:41" ht="14.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row>
    <row r="8" spans="2:41" s="43" customFormat="1" ht="14.25" customHeight="1" thickBot="1">
      <c r="B8" s="93" t="s">
        <v>120</v>
      </c>
      <c r="C8" s="146">
        <v>238.93799999999999</v>
      </c>
      <c r="D8" s="146">
        <v>193.37700000000001</v>
      </c>
      <c r="E8" s="146">
        <v>163.18899999999999</v>
      </c>
      <c r="F8" s="146">
        <v>118.095</v>
      </c>
      <c r="G8" s="146">
        <v>135.06100000000001</v>
      </c>
      <c r="H8" s="146">
        <v>124.26902001798319</v>
      </c>
      <c r="I8" s="146">
        <v>144.9937248166915</v>
      </c>
      <c r="J8" s="146">
        <v>126.56036483350766</v>
      </c>
      <c r="K8" s="146">
        <v>158.99118751278539</v>
      </c>
      <c r="L8" s="146">
        <v>127.53195661799795</v>
      </c>
      <c r="M8" s="146">
        <v>161.8117794433341</v>
      </c>
      <c r="N8" s="146">
        <v>63.838999999999999</v>
      </c>
      <c r="O8" s="146">
        <v>89.61</v>
      </c>
      <c r="P8" s="146">
        <v>60</v>
      </c>
      <c r="Q8" s="146">
        <v>87</v>
      </c>
      <c r="R8" s="146">
        <v>69.382999999999996</v>
      </c>
      <c r="S8" s="146">
        <v>92.506</v>
      </c>
      <c r="T8" s="146">
        <v>68</v>
      </c>
      <c r="U8" s="146">
        <v>126</v>
      </c>
      <c r="V8" s="146">
        <v>108</v>
      </c>
      <c r="W8" s="146">
        <v>124.751</v>
      </c>
      <c r="X8" s="146">
        <v>115</v>
      </c>
      <c r="Y8" s="146">
        <v>108</v>
      </c>
      <c r="Z8" s="146">
        <v>103.107</v>
      </c>
      <c r="AA8" s="146">
        <v>274.98</v>
      </c>
      <c r="AB8" s="146">
        <v>277.38099999999997</v>
      </c>
      <c r="AC8" s="146">
        <v>272</v>
      </c>
      <c r="AD8" s="146">
        <v>117</v>
      </c>
      <c r="AJ8" s="44"/>
      <c r="AK8" s="44"/>
      <c r="AL8" s="44"/>
      <c r="AM8" s="44"/>
      <c r="AN8" s="44"/>
      <c r="AO8" s="44"/>
    </row>
    <row r="9" spans="2:41" s="45" customFormat="1" ht="14.25" customHeight="1">
      <c r="B9" s="9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J9" s="44"/>
      <c r="AK9" s="44"/>
      <c r="AL9" s="44"/>
      <c r="AM9" s="44"/>
      <c r="AN9" s="44"/>
      <c r="AO9" s="44"/>
    </row>
    <row r="10" spans="2:41" s="43" customFormat="1" ht="14.25" customHeight="1" thickBot="1">
      <c r="B10" s="93" t="s">
        <v>121</v>
      </c>
      <c r="C10" s="146">
        <v>2571.6379999999999</v>
      </c>
      <c r="D10" s="146">
        <v>1969.777</v>
      </c>
      <c r="E10" s="146">
        <v>1992.5550000000001</v>
      </c>
      <c r="F10" s="146">
        <v>1940.7719999999999</v>
      </c>
      <c r="G10" s="146">
        <v>1930.1010000000001</v>
      </c>
      <c r="H10" s="146">
        <v>1953.2140004</v>
      </c>
      <c r="I10" s="146">
        <v>2130.1550003999996</v>
      </c>
      <c r="J10" s="146">
        <v>2053.9435004000002</v>
      </c>
      <c r="K10" s="146">
        <v>2822.2581347951018</v>
      </c>
      <c r="L10" s="146">
        <v>2982.8553897949596</v>
      </c>
      <c r="M10" s="146">
        <v>3230.6062217404219</v>
      </c>
      <c r="N10" s="146">
        <v>2882.6660000000002</v>
      </c>
      <c r="O10" s="146">
        <v>3116.6350000000002</v>
      </c>
      <c r="P10" s="146">
        <v>2752</v>
      </c>
      <c r="Q10" s="146">
        <v>2946</v>
      </c>
      <c r="R10" s="146">
        <v>3036.6819999999998</v>
      </c>
      <c r="S10" s="146">
        <v>2637.21</v>
      </c>
      <c r="T10" s="146">
        <v>2809.8389999999999</v>
      </c>
      <c r="U10" s="146">
        <v>2917</v>
      </c>
      <c r="V10" s="146">
        <v>2861</v>
      </c>
      <c r="W10" s="146">
        <v>3510.4549999999999</v>
      </c>
      <c r="X10" s="146">
        <v>3849</v>
      </c>
      <c r="Y10" s="146">
        <v>4328</v>
      </c>
      <c r="Z10" s="146">
        <v>4241.3850000000002</v>
      </c>
      <c r="AA10" s="146">
        <v>4214.2120000000004</v>
      </c>
      <c r="AB10" s="146">
        <v>5055.1220000000003</v>
      </c>
      <c r="AC10" s="146">
        <v>4512</v>
      </c>
      <c r="AD10" s="146">
        <v>4512</v>
      </c>
      <c r="AJ10" s="44"/>
      <c r="AK10" s="44"/>
      <c r="AL10" s="44"/>
      <c r="AM10" s="44"/>
      <c r="AN10" s="44"/>
      <c r="AO10" s="44"/>
    </row>
    <row r="11" spans="2:41" ht="14.25" customHeight="1">
      <c r="B11" s="95"/>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J11" s="44"/>
      <c r="AK11" s="44"/>
      <c r="AL11" s="44"/>
      <c r="AM11" s="44"/>
      <c r="AN11" s="44"/>
      <c r="AO11" s="44"/>
    </row>
    <row r="12" spans="2:41" ht="14.25" customHeight="1" thickBot="1">
      <c r="B12" s="93" t="s">
        <v>122</v>
      </c>
      <c r="C12" s="146">
        <v>2810.576</v>
      </c>
      <c r="D12" s="146">
        <v>2163.154</v>
      </c>
      <c r="E12" s="146">
        <v>2155.7440000000001</v>
      </c>
      <c r="F12" s="146">
        <v>2058.8669999999997</v>
      </c>
      <c r="G12" s="146">
        <v>2065.1620000000003</v>
      </c>
      <c r="H12" s="146">
        <v>2077.4830204179834</v>
      </c>
      <c r="I12" s="146">
        <v>2275.1487252166912</v>
      </c>
      <c r="J12" s="146">
        <v>2180.5038652335079</v>
      </c>
      <c r="K12" s="146">
        <v>2981.2493223078873</v>
      </c>
      <c r="L12" s="146">
        <v>3110.3873464129574</v>
      </c>
      <c r="M12" s="146">
        <v>3392.4180011837561</v>
      </c>
      <c r="N12" s="146">
        <v>2946.5050000000001</v>
      </c>
      <c r="O12" s="146">
        <v>3206.2450000000003</v>
      </c>
      <c r="P12" s="146">
        <v>2812</v>
      </c>
      <c r="Q12" s="146">
        <v>3033</v>
      </c>
      <c r="R12" s="146">
        <v>3106.0649999999996</v>
      </c>
      <c r="S12" s="146">
        <v>2729.7159999999999</v>
      </c>
      <c r="T12" s="146">
        <v>2877.8389999999999</v>
      </c>
      <c r="U12" s="146">
        <v>3043</v>
      </c>
      <c r="V12" s="146">
        <v>2969</v>
      </c>
      <c r="W12" s="146">
        <f>W8+W10</f>
        <v>3635.2060000000001</v>
      </c>
      <c r="X12" s="146">
        <f t="shared" ref="X12:AC12" si="0">X8+X10</f>
        <v>3964</v>
      </c>
      <c r="Y12" s="146">
        <f t="shared" si="0"/>
        <v>4436</v>
      </c>
      <c r="Z12" s="146">
        <f t="shared" si="0"/>
        <v>4344.4920000000002</v>
      </c>
      <c r="AA12" s="146">
        <f t="shared" si="0"/>
        <v>4489.1920000000009</v>
      </c>
      <c r="AB12" s="146">
        <f t="shared" si="0"/>
        <v>5332.5030000000006</v>
      </c>
      <c r="AC12" s="146">
        <f t="shared" si="0"/>
        <v>4784</v>
      </c>
      <c r="AD12" s="146">
        <v>4629</v>
      </c>
      <c r="AE12" s="193"/>
      <c r="AF12" s="45"/>
      <c r="AJ12" s="44"/>
      <c r="AK12" s="44"/>
      <c r="AL12" s="44"/>
      <c r="AM12" s="44"/>
      <c r="AN12" s="44"/>
      <c r="AO12" s="44"/>
    </row>
    <row r="13" spans="2:41" ht="14.25" customHeight="1">
      <c r="B13" s="95"/>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J13" s="44"/>
      <c r="AK13" s="44"/>
      <c r="AL13" s="44"/>
      <c r="AM13" s="44"/>
      <c r="AN13" s="44"/>
      <c r="AO13" s="44"/>
    </row>
    <row r="14" spans="2:41" ht="14.25" customHeight="1" thickBot="1">
      <c r="B14" s="96" t="s">
        <v>123</v>
      </c>
      <c r="C14" s="145">
        <v>-46.537999999999997</v>
      </c>
      <c r="D14" s="145">
        <v>-48.152999999999999</v>
      </c>
      <c r="E14" s="145">
        <v>-32.043999999999997</v>
      </c>
      <c r="F14" s="145">
        <v>-116.81100000000001</v>
      </c>
      <c r="G14" s="145">
        <v>-76.706000000000003</v>
      </c>
      <c r="H14" s="145">
        <v>-59.725000000000001</v>
      </c>
      <c r="I14" s="145">
        <v>-87.718000000000004</v>
      </c>
      <c r="J14" s="145">
        <v>-190.321</v>
      </c>
      <c r="K14" s="145">
        <v>-193.85400000000001</v>
      </c>
      <c r="L14" s="145">
        <v>-172.03899999999999</v>
      </c>
      <c r="M14" s="145">
        <v>-458</v>
      </c>
      <c r="N14" s="145">
        <v>-632.43799999999999</v>
      </c>
      <c r="O14" s="145">
        <v>-514.62400000000002</v>
      </c>
      <c r="P14" s="145">
        <v>-296</v>
      </c>
      <c r="Q14" s="145">
        <v>-686</v>
      </c>
      <c r="R14" s="145">
        <v>-1449.345</v>
      </c>
      <c r="S14" s="145">
        <v>-1263.009</v>
      </c>
      <c r="T14" s="145">
        <v>-1126</v>
      </c>
      <c r="U14" s="145">
        <v>-1177</v>
      </c>
      <c r="V14" s="145">
        <v>-849</v>
      </c>
      <c r="W14" s="145">
        <v>-886.06299999999999</v>
      </c>
      <c r="X14" s="145">
        <v>-1028</v>
      </c>
      <c r="Y14" s="145">
        <v>-937</v>
      </c>
      <c r="Z14" s="145">
        <v>-1350.229</v>
      </c>
      <c r="AA14" s="145">
        <v>-1072.8920000000001</v>
      </c>
      <c r="AB14" s="145">
        <v>-1580.2940000000001</v>
      </c>
      <c r="AC14" s="145">
        <v>-1284</v>
      </c>
      <c r="AD14" s="145">
        <v>-1142</v>
      </c>
      <c r="AE14" s="193"/>
      <c r="AF14" s="193"/>
      <c r="AG14" s="193"/>
      <c r="AJ14" s="44"/>
      <c r="AK14" s="44"/>
      <c r="AL14" s="44"/>
      <c r="AM14" s="44"/>
      <c r="AN14" s="44"/>
      <c r="AO14" s="44"/>
    </row>
    <row r="15" spans="2:41" ht="14.25" customHeight="1" thickBot="1">
      <c r="B15" s="96" t="s">
        <v>124</v>
      </c>
      <c r="C15" s="145">
        <v>-21.651</v>
      </c>
      <c r="D15" s="145">
        <v>153.012</v>
      </c>
      <c r="E15" s="145">
        <v>101.964</v>
      </c>
      <c r="F15" s="145">
        <v>-110.52600000000001</v>
      </c>
      <c r="G15" s="145">
        <v>-79.686000000000007</v>
      </c>
      <c r="H15" s="145">
        <v>-78.290512183516725</v>
      </c>
      <c r="I15" s="145">
        <v>-28.971102527477704</v>
      </c>
      <c r="J15" s="145">
        <v>-23.435157180000001</v>
      </c>
      <c r="K15" s="145">
        <v>110.42942256464863</v>
      </c>
      <c r="L15" s="145">
        <v>236.49829787719776</v>
      </c>
      <c r="M15" s="145">
        <v>430.98965287222745</v>
      </c>
      <c r="N15" s="145">
        <v>324.12699999999995</v>
      </c>
      <c r="O15" s="145">
        <v>667.84299999999996</v>
      </c>
      <c r="P15" s="145">
        <v>365</v>
      </c>
      <c r="Q15" s="145">
        <v>591</v>
      </c>
      <c r="R15" s="145">
        <v>301.15500000000003</v>
      </c>
      <c r="S15" s="145">
        <v>-33.256</v>
      </c>
      <c r="T15" s="145">
        <v>-78.242999999999995</v>
      </c>
      <c r="U15" s="145">
        <v>-94</v>
      </c>
      <c r="V15" s="145">
        <v>-104</v>
      </c>
      <c r="W15" s="145">
        <v>-146</v>
      </c>
      <c r="X15" s="145">
        <v>-321</v>
      </c>
      <c r="Y15" s="145">
        <v>-160</v>
      </c>
      <c r="Z15" s="145">
        <v>-303</v>
      </c>
      <c r="AA15" s="145">
        <v>-183.453</v>
      </c>
      <c r="AB15" s="145">
        <v>172</v>
      </c>
      <c r="AC15" s="145">
        <v>216</v>
      </c>
      <c r="AD15" s="145">
        <v>627</v>
      </c>
      <c r="AE15" s="193"/>
      <c r="AF15" s="193"/>
      <c r="AJ15" s="44"/>
      <c r="AK15" s="44"/>
      <c r="AL15" s="44"/>
      <c r="AM15" s="44"/>
      <c r="AN15" s="44"/>
      <c r="AO15" s="44"/>
    </row>
    <row r="16" spans="2:41" ht="14.25" customHeight="1" thickBot="1">
      <c r="B16" s="96" t="s">
        <v>125</v>
      </c>
      <c r="C16" s="145">
        <v>0</v>
      </c>
      <c r="D16" s="145">
        <v>0</v>
      </c>
      <c r="E16" s="145">
        <v>0</v>
      </c>
      <c r="F16" s="145">
        <v>0</v>
      </c>
      <c r="G16" s="145">
        <v>25.639000000000003</v>
      </c>
      <c r="H16" s="145">
        <v>20.811999999999998</v>
      </c>
      <c r="I16" s="145">
        <v>15.691000000000001</v>
      </c>
      <c r="J16" s="145">
        <v>15.782999999999999</v>
      </c>
      <c r="K16" s="145">
        <v>13.385999999999999</v>
      </c>
      <c r="L16" s="145">
        <v>10.949000000000002</v>
      </c>
      <c r="M16" s="145">
        <v>12.685</v>
      </c>
      <c r="N16" s="145">
        <v>15.914999999999999</v>
      </c>
      <c r="O16" s="145">
        <v>20.756</v>
      </c>
      <c r="P16" s="145">
        <v>44</v>
      </c>
      <c r="Q16" s="145">
        <v>47</v>
      </c>
      <c r="R16" s="145">
        <v>44.689</v>
      </c>
      <c r="S16" s="145">
        <v>41.478999999999999</v>
      </c>
      <c r="T16" s="145">
        <v>41.111000000000004</v>
      </c>
      <c r="U16" s="145">
        <v>31</v>
      </c>
      <c r="V16" s="145">
        <v>31</v>
      </c>
      <c r="W16" s="145">
        <v>24.746000000000002</v>
      </c>
      <c r="X16" s="145">
        <v>25</v>
      </c>
      <c r="Y16" s="145">
        <v>34</v>
      </c>
      <c r="Z16" s="145">
        <v>48.472999999999999</v>
      </c>
      <c r="AA16" s="145">
        <v>41.201999999999998</v>
      </c>
      <c r="AB16" s="145">
        <v>40.137</v>
      </c>
      <c r="AC16" s="145">
        <v>59</v>
      </c>
      <c r="AD16" s="145">
        <v>184</v>
      </c>
      <c r="AE16" s="193"/>
      <c r="AJ16" s="44"/>
      <c r="AK16" s="44"/>
      <c r="AL16" s="44"/>
      <c r="AM16" s="44"/>
      <c r="AN16" s="44"/>
      <c r="AO16" s="44"/>
    </row>
    <row r="17" spans="2:41" ht="14.25" customHeight="1" thickBot="1">
      <c r="B17" s="96" t="s">
        <v>126</v>
      </c>
      <c r="C17" s="145">
        <v>-913.71999999999991</v>
      </c>
      <c r="D17" s="145">
        <v>-780.226</v>
      </c>
      <c r="E17" s="145">
        <v>-553.904</v>
      </c>
      <c r="F17" s="145">
        <v>-455.55200000000002</v>
      </c>
      <c r="G17" s="145">
        <v>-502.06</v>
      </c>
      <c r="H17" s="145">
        <v>-583.07800000000009</v>
      </c>
      <c r="I17" s="145">
        <v>-633.846</v>
      </c>
      <c r="J17" s="145">
        <v>-418.43900000000002</v>
      </c>
      <c r="K17" s="145">
        <v>-411.29300000000001</v>
      </c>
      <c r="L17" s="145">
        <v>-374.26800000000003</v>
      </c>
      <c r="M17" s="145">
        <v>-548.58799999999997</v>
      </c>
      <c r="N17" s="145">
        <v>-617</v>
      </c>
      <c r="O17" s="145">
        <v>-339.04</v>
      </c>
      <c r="P17" s="145">
        <v>-424</v>
      </c>
      <c r="Q17" s="145">
        <v>-693.06399999999996</v>
      </c>
      <c r="R17" s="145">
        <v>-337.41400000000004</v>
      </c>
      <c r="S17" s="145">
        <v>-321.87600000000003</v>
      </c>
      <c r="T17" s="145">
        <v>-356</v>
      </c>
      <c r="U17" s="145">
        <v>-457</v>
      </c>
      <c r="V17" s="145">
        <v>-340</v>
      </c>
      <c r="W17" s="145">
        <v>-410.37099999999998</v>
      </c>
      <c r="X17" s="145">
        <v>-344</v>
      </c>
      <c r="Y17" s="145">
        <v>-390</v>
      </c>
      <c r="Z17" s="145">
        <v>-379.04199999999997</v>
      </c>
      <c r="AA17" s="145">
        <v>-365.952</v>
      </c>
      <c r="AB17" s="145">
        <v>-383.52800000000002</v>
      </c>
      <c r="AC17" s="145">
        <v>-380</v>
      </c>
      <c r="AD17" s="145">
        <v>-385</v>
      </c>
      <c r="AE17" s="193"/>
      <c r="AJ17" s="44"/>
      <c r="AK17" s="44"/>
      <c r="AL17" s="44"/>
      <c r="AM17" s="44"/>
      <c r="AN17" s="44"/>
      <c r="AO17" s="44"/>
    </row>
    <row r="18" spans="2:41" ht="14.25" customHeight="1">
      <c r="B18" s="95"/>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J18" s="44"/>
      <c r="AK18" s="44"/>
      <c r="AL18" s="44"/>
      <c r="AM18" s="44"/>
      <c r="AN18" s="44"/>
      <c r="AO18" s="44"/>
    </row>
    <row r="19" spans="2:41" ht="14.25" customHeight="1" thickBot="1">
      <c r="B19" s="93" t="s">
        <v>127</v>
      </c>
      <c r="C19" s="146">
        <v>1828.6670000000004</v>
      </c>
      <c r="D19" s="146">
        <v>1487.7870000000003</v>
      </c>
      <c r="E19" s="146">
        <v>1671.7600000000002</v>
      </c>
      <c r="F19" s="146">
        <v>1375.9779999999996</v>
      </c>
      <c r="G19" s="146">
        <v>1432.3490000000004</v>
      </c>
      <c r="H19" s="146">
        <v>1377.2015082344665</v>
      </c>
      <c r="I19" s="146">
        <v>1540.3046226892134</v>
      </c>
      <c r="J19" s="146">
        <v>1564.0917080535078</v>
      </c>
      <c r="K19" s="146">
        <v>2499.9177448725359</v>
      </c>
      <c r="L19" s="146">
        <v>2811.5276442901554</v>
      </c>
      <c r="M19" s="146">
        <v>2829.5046540559833</v>
      </c>
      <c r="N19" s="146">
        <v>2037.1089999999999</v>
      </c>
      <c r="O19" s="146">
        <v>3041.2439999999997</v>
      </c>
      <c r="P19" s="146">
        <v>2500</v>
      </c>
      <c r="Q19" s="146">
        <v>2291.9360000000001</v>
      </c>
      <c r="R19" s="146">
        <v>1665.1499999999996</v>
      </c>
      <c r="S19" s="146">
        <v>1153.0539999999999</v>
      </c>
      <c r="T19" s="146">
        <v>1358.7070000000001</v>
      </c>
      <c r="U19" s="146">
        <v>1346</v>
      </c>
      <c r="V19" s="146">
        <v>1707</v>
      </c>
      <c r="W19" s="146">
        <f>SUM(W12:W17)</f>
        <v>2217.518</v>
      </c>
      <c r="X19" s="146">
        <f>SUM(X12:X17)</f>
        <v>2296</v>
      </c>
      <c r="Y19" s="146">
        <f t="shared" ref="Y19:AC19" si="1">SUM(Y12:Y17)</f>
        <v>2983</v>
      </c>
      <c r="Z19" s="146">
        <f t="shared" si="1"/>
        <v>2360.694</v>
      </c>
      <c r="AA19" s="146">
        <f t="shared" si="1"/>
        <v>2908.0970000000007</v>
      </c>
      <c r="AB19" s="146">
        <f t="shared" si="1"/>
        <v>3580.8180000000011</v>
      </c>
      <c r="AC19" s="146">
        <f t="shared" si="1"/>
        <v>3395</v>
      </c>
      <c r="AD19" s="146">
        <f>SUM(AD12:AD17)</f>
        <v>3913</v>
      </c>
      <c r="AE19" s="462"/>
      <c r="AJ19" s="44"/>
      <c r="AK19" s="44"/>
      <c r="AL19" s="44"/>
      <c r="AM19" s="44"/>
      <c r="AN19" s="44"/>
      <c r="AO19" s="44"/>
    </row>
    <row r="20" spans="2:41" ht="14.25" customHeight="1" thickBot="1">
      <c r="B20" s="9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J20" s="44"/>
      <c r="AK20" s="44"/>
      <c r="AL20" s="44"/>
      <c r="AM20" s="44"/>
      <c r="AN20" s="44"/>
      <c r="AO20" s="44"/>
    </row>
    <row r="21" spans="2:41" ht="14.5" thickBot="1">
      <c r="B21" s="98" t="s">
        <v>128</v>
      </c>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J21" s="44"/>
      <c r="AK21" s="44"/>
      <c r="AL21" s="44"/>
      <c r="AM21" s="44"/>
      <c r="AN21" s="44"/>
      <c r="AO21" s="44"/>
    </row>
    <row r="22" spans="2:41" ht="14">
      <c r="B22" s="99" t="s">
        <v>129</v>
      </c>
      <c r="C22" s="149">
        <v>633.30700000000002</v>
      </c>
      <c r="D22" s="149">
        <v>614.63499999999999</v>
      </c>
      <c r="E22" s="149">
        <v>533.12400000000002</v>
      </c>
      <c r="F22" s="149">
        <v>514.22900000000004</v>
      </c>
      <c r="G22" s="149">
        <v>492.87799999999999</v>
      </c>
      <c r="H22" s="149">
        <v>474.45499999999993</v>
      </c>
      <c r="I22" s="149">
        <v>510.20900000000006</v>
      </c>
      <c r="J22" s="149">
        <v>491.90600000000001</v>
      </c>
      <c r="K22" s="149">
        <v>472.46100000000001</v>
      </c>
      <c r="L22" s="149">
        <v>495.80500000000006</v>
      </c>
      <c r="M22" s="149">
        <v>404.88100000000009</v>
      </c>
      <c r="N22" s="149">
        <v>219.61799999999999</v>
      </c>
      <c r="O22" s="149">
        <v>213.91900000000001</v>
      </c>
      <c r="P22" s="149">
        <v>209</v>
      </c>
      <c r="Q22" s="149">
        <v>175</v>
      </c>
      <c r="R22" s="149">
        <v>480</v>
      </c>
      <c r="S22" s="149">
        <v>482</v>
      </c>
      <c r="T22" s="149">
        <v>470.113</v>
      </c>
      <c r="U22" s="149">
        <v>441</v>
      </c>
      <c r="V22" s="149">
        <v>465</v>
      </c>
      <c r="W22" s="149">
        <v>508.92884000000009</v>
      </c>
      <c r="X22" s="149">
        <v>991</v>
      </c>
      <c r="Y22" s="149">
        <v>1064.6399999999999</v>
      </c>
      <c r="Z22" s="149">
        <v>999.23316000000011</v>
      </c>
      <c r="AA22" s="149">
        <v>897.83840000000021</v>
      </c>
      <c r="AB22" s="149">
        <v>906.52551000000017</v>
      </c>
      <c r="AC22" s="149">
        <v>908.96</v>
      </c>
      <c r="AD22" s="149">
        <v>1431</v>
      </c>
      <c r="AE22" s="193"/>
      <c r="AJ22" s="44"/>
      <c r="AK22" s="44"/>
      <c r="AL22" s="44"/>
      <c r="AM22" s="44"/>
      <c r="AN22" s="44"/>
      <c r="AO22" s="44"/>
    </row>
    <row r="23" spans="2:41" ht="14.25" customHeight="1" thickBot="1">
      <c r="B23" s="100" t="s">
        <v>130</v>
      </c>
      <c r="C23" s="150">
        <f t="shared" ref="C23:V23" si="2">C12-C22</f>
        <v>2177.2690000000002</v>
      </c>
      <c r="D23" s="150">
        <f t="shared" si="2"/>
        <v>1548.519</v>
      </c>
      <c r="E23" s="150">
        <f t="shared" si="2"/>
        <v>1622.6200000000001</v>
      </c>
      <c r="F23" s="150">
        <f t="shared" si="2"/>
        <v>1544.6379999999997</v>
      </c>
      <c r="G23" s="150">
        <f t="shared" si="2"/>
        <v>1572.2840000000003</v>
      </c>
      <c r="H23" s="150">
        <f t="shared" si="2"/>
        <v>1603.0280204179835</v>
      </c>
      <c r="I23" s="150">
        <f t="shared" si="2"/>
        <v>1764.9397252166912</v>
      </c>
      <c r="J23" s="150">
        <f t="shared" si="2"/>
        <v>1688.5978652335079</v>
      </c>
      <c r="K23" s="150">
        <f t="shared" si="2"/>
        <v>2508.788322307887</v>
      </c>
      <c r="L23" s="150">
        <f t="shared" si="2"/>
        <v>2614.5823464129571</v>
      </c>
      <c r="M23" s="150">
        <f t="shared" si="2"/>
        <v>2987.5370011837558</v>
      </c>
      <c r="N23" s="150">
        <f t="shared" si="2"/>
        <v>2726.8870000000002</v>
      </c>
      <c r="O23" s="150">
        <f t="shared" si="2"/>
        <v>2992.3260000000005</v>
      </c>
      <c r="P23" s="150">
        <f t="shared" si="2"/>
        <v>2603</v>
      </c>
      <c r="Q23" s="150">
        <f t="shared" si="2"/>
        <v>2858</v>
      </c>
      <c r="R23" s="150">
        <f t="shared" si="2"/>
        <v>2626.0649999999996</v>
      </c>
      <c r="S23" s="150">
        <f t="shared" si="2"/>
        <v>2247.7159999999999</v>
      </c>
      <c r="T23" s="150">
        <f t="shared" si="2"/>
        <v>2407.7260000000001</v>
      </c>
      <c r="U23" s="150">
        <f t="shared" si="2"/>
        <v>2602</v>
      </c>
      <c r="V23" s="150">
        <f t="shared" si="2"/>
        <v>2504</v>
      </c>
      <c r="W23" s="150">
        <f t="shared" ref="W23:AD23" si="3">W12-W22</f>
        <v>3126.2771600000001</v>
      </c>
      <c r="X23" s="150">
        <f t="shared" si="3"/>
        <v>2973</v>
      </c>
      <c r="Y23" s="150">
        <f t="shared" si="3"/>
        <v>3371.36</v>
      </c>
      <c r="Z23" s="150">
        <f t="shared" si="3"/>
        <v>3345.25884</v>
      </c>
      <c r="AA23" s="150">
        <f t="shared" si="3"/>
        <v>3591.3536000000008</v>
      </c>
      <c r="AB23" s="150">
        <f t="shared" si="3"/>
        <v>4425.9774900000002</v>
      </c>
      <c r="AC23" s="150">
        <f t="shared" si="3"/>
        <v>3875.04</v>
      </c>
      <c r="AD23" s="150">
        <f t="shared" si="3"/>
        <v>3198</v>
      </c>
      <c r="AE23" s="193"/>
      <c r="AJ23" s="44"/>
      <c r="AK23" s="44"/>
      <c r="AL23" s="44"/>
      <c r="AM23" s="44"/>
      <c r="AN23" s="44"/>
      <c r="AO23" s="44"/>
    </row>
    <row r="24" spans="2:41" ht="14">
      <c r="B24" s="57"/>
      <c r="C24" s="151"/>
      <c r="D24" s="151"/>
      <c r="E24" s="151"/>
      <c r="F24" s="151"/>
      <c r="G24" s="94"/>
      <c r="H24" s="152"/>
      <c r="I24" s="152"/>
      <c r="J24" s="151"/>
      <c r="K24" s="151"/>
      <c r="L24" s="151"/>
      <c r="M24" s="151"/>
      <c r="N24" s="151"/>
      <c r="O24" s="151"/>
      <c r="P24" s="183"/>
      <c r="Q24" s="151"/>
      <c r="R24" s="151"/>
      <c r="S24" s="151"/>
      <c r="T24" s="151"/>
      <c r="U24" s="151"/>
      <c r="V24" s="151"/>
      <c r="W24" s="183"/>
      <c r="X24" s="183"/>
      <c r="Y24" s="183"/>
      <c r="Z24" s="183"/>
      <c r="AA24" s="183"/>
      <c r="AB24" s="183"/>
      <c r="AC24" s="183"/>
      <c r="AD24" s="183"/>
    </row>
    <row r="25" spans="2:41" ht="14.5" thickBot="1">
      <c r="B25" s="101" t="s">
        <v>131</v>
      </c>
      <c r="C25" s="93"/>
      <c r="D25" s="93"/>
      <c r="E25" s="93"/>
      <c r="F25" s="9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row>
    <row r="26" spans="2:41" ht="14.25" customHeight="1">
      <c r="B26" s="102">
        <v>2018</v>
      </c>
      <c r="C26" s="154">
        <v>214.917</v>
      </c>
      <c r="D26" s="154">
        <v>143.67599999999999</v>
      </c>
      <c r="E26" s="154">
        <v>52.478999999999999</v>
      </c>
      <c r="F26" s="154">
        <v>0</v>
      </c>
      <c r="G26" s="154">
        <v>0</v>
      </c>
      <c r="H26" s="154">
        <v>0</v>
      </c>
      <c r="I26" s="154">
        <v>0</v>
      </c>
      <c r="J26" s="154">
        <v>0</v>
      </c>
      <c r="K26" s="154">
        <v>0</v>
      </c>
      <c r="L26" s="154">
        <v>0</v>
      </c>
      <c r="M26" s="154">
        <v>0</v>
      </c>
      <c r="N26" s="154">
        <v>0</v>
      </c>
      <c r="O26" s="154">
        <v>0</v>
      </c>
      <c r="P26" s="154">
        <v>0</v>
      </c>
      <c r="Q26" s="154">
        <v>0</v>
      </c>
      <c r="R26" s="154">
        <v>0</v>
      </c>
      <c r="S26" s="154">
        <v>0</v>
      </c>
      <c r="T26" s="154">
        <v>0</v>
      </c>
      <c r="U26" s="154">
        <v>0</v>
      </c>
      <c r="V26" s="154">
        <v>0</v>
      </c>
      <c r="W26" s="154">
        <v>0</v>
      </c>
      <c r="X26" s="154">
        <v>0</v>
      </c>
      <c r="Y26" s="154">
        <v>0</v>
      </c>
      <c r="Z26" s="154">
        <v>0</v>
      </c>
      <c r="AA26" s="154">
        <v>0</v>
      </c>
      <c r="AB26" s="154">
        <v>0</v>
      </c>
      <c r="AC26" s="154">
        <v>0</v>
      </c>
      <c r="AD26" s="154">
        <v>0</v>
      </c>
      <c r="AF26" s="193"/>
    </row>
    <row r="27" spans="2:41" ht="14.25" customHeight="1">
      <c r="B27" s="102">
        <v>2019</v>
      </c>
      <c r="C27" s="154">
        <v>125.113</v>
      </c>
      <c r="D27" s="154">
        <v>128.36699999999999</v>
      </c>
      <c r="E27" s="154">
        <v>136.99199999999999</v>
      </c>
      <c r="F27" s="154">
        <v>118.095</v>
      </c>
      <c r="G27" s="154">
        <v>114.61779442034361</v>
      </c>
      <c r="H27" s="154">
        <v>86.747</v>
      </c>
      <c r="I27" s="154">
        <v>61.167051490514908</v>
      </c>
      <c r="J27" s="154">
        <v>0</v>
      </c>
      <c r="K27" s="154">
        <v>0</v>
      </c>
      <c r="L27" s="154">
        <v>0</v>
      </c>
      <c r="M27" s="154">
        <v>0</v>
      </c>
      <c r="N27" s="154">
        <v>0</v>
      </c>
      <c r="O27" s="154">
        <v>0</v>
      </c>
      <c r="P27" s="154">
        <v>0</v>
      </c>
      <c r="Q27" s="154">
        <v>0</v>
      </c>
      <c r="R27" s="154">
        <v>0</v>
      </c>
      <c r="S27" s="154">
        <v>0</v>
      </c>
      <c r="T27" s="154">
        <v>0</v>
      </c>
      <c r="U27" s="154">
        <v>0</v>
      </c>
      <c r="V27" s="154">
        <v>0</v>
      </c>
      <c r="W27" s="154">
        <v>0</v>
      </c>
      <c r="X27" s="154">
        <v>0</v>
      </c>
      <c r="Y27" s="154">
        <v>0</v>
      </c>
      <c r="Z27" s="154">
        <v>0</v>
      </c>
      <c r="AA27" s="154">
        <v>0</v>
      </c>
      <c r="AB27" s="154">
        <v>0</v>
      </c>
      <c r="AC27" s="154">
        <v>0</v>
      </c>
      <c r="AD27" s="154">
        <v>0</v>
      </c>
    </row>
    <row r="28" spans="2:41" ht="14.25" customHeight="1">
      <c r="B28" s="102">
        <v>2020</v>
      </c>
      <c r="C28" s="154">
        <v>106.904</v>
      </c>
      <c r="D28" s="154">
        <v>109.70399999999999</v>
      </c>
      <c r="E28" s="154">
        <v>117.858</v>
      </c>
      <c r="F28" s="154">
        <v>112.489</v>
      </c>
      <c r="G28" s="154">
        <v>112.79650540505985</v>
      </c>
      <c r="H28" s="154">
        <v>112.901</v>
      </c>
      <c r="I28" s="154">
        <v>113.215</v>
      </c>
      <c r="J28" s="154">
        <v>126.48399999999999</v>
      </c>
      <c r="K28" s="154">
        <v>135.39058413639734</v>
      </c>
      <c r="L28" s="154">
        <v>66.585091650508829</v>
      </c>
      <c r="M28" s="154">
        <v>50.231518297236747</v>
      </c>
      <c r="N28" s="154">
        <v>0</v>
      </c>
      <c r="O28" s="154">
        <v>0</v>
      </c>
      <c r="P28" s="154">
        <v>0</v>
      </c>
      <c r="Q28" s="154">
        <v>0</v>
      </c>
      <c r="R28" s="154">
        <v>0</v>
      </c>
      <c r="S28" s="154">
        <v>0</v>
      </c>
      <c r="T28" s="154">
        <v>0</v>
      </c>
      <c r="U28" s="154">
        <v>0</v>
      </c>
      <c r="V28" s="154">
        <v>0</v>
      </c>
      <c r="W28" s="154">
        <v>0</v>
      </c>
      <c r="X28" s="154">
        <v>0</v>
      </c>
      <c r="Y28" s="154">
        <v>0</v>
      </c>
      <c r="Z28" s="154">
        <v>0</v>
      </c>
      <c r="AA28" s="154">
        <v>0</v>
      </c>
      <c r="AB28" s="154">
        <v>0</v>
      </c>
      <c r="AC28" s="154">
        <v>0</v>
      </c>
      <c r="AD28" s="154">
        <v>0</v>
      </c>
    </row>
    <row r="29" spans="2:41" ht="14.25" customHeight="1">
      <c r="B29" s="103">
        <v>2021</v>
      </c>
      <c r="C29" s="144">
        <v>893.37300000000005</v>
      </c>
      <c r="D29" s="144">
        <v>98.006</v>
      </c>
      <c r="E29" s="144">
        <v>105.518</v>
      </c>
      <c r="F29" s="144">
        <v>109.76</v>
      </c>
      <c r="G29" s="144">
        <v>110.05271779526474</v>
      </c>
      <c r="H29" s="144">
        <v>110.14</v>
      </c>
      <c r="I29" s="144">
        <v>116.337</v>
      </c>
      <c r="J29" s="144">
        <v>117.325</v>
      </c>
      <c r="K29" s="144">
        <v>118.68951890289104</v>
      </c>
      <c r="L29" s="144">
        <v>139.43615139158186</v>
      </c>
      <c r="M29" s="144">
        <v>113.85479014189693</v>
      </c>
      <c r="N29" s="144">
        <v>63.84</v>
      </c>
      <c r="O29" s="144">
        <v>86.688999999999993</v>
      </c>
      <c r="P29" s="144">
        <v>55</v>
      </c>
      <c r="Q29" s="144">
        <v>47</v>
      </c>
      <c r="R29" s="144">
        <v>0</v>
      </c>
      <c r="S29" s="144">
        <v>0</v>
      </c>
      <c r="T29" s="144">
        <v>0</v>
      </c>
      <c r="U29" s="144">
        <v>0</v>
      </c>
      <c r="V29" s="144">
        <v>0</v>
      </c>
      <c r="W29" s="144">
        <v>0</v>
      </c>
      <c r="X29" s="144">
        <v>0</v>
      </c>
      <c r="Y29" s="144">
        <v>0</v>
      </c>
      <c r="Z29" s="144">
        <v>0</v>
      </c>
      <c r="AA29" s="144">
        <v>0</v>
      </c>
      <c r="AB29" s="144">
        <v>0</v>
      </c>
      <c r="AC29" s="144">
        <v>0</v>
      </c>
      <c r="AD29" s="144">
        <v>0</v>
      </c>
    </row>
    <row r="30" spans="2:41" ht="14.25" customHeight="1">
      <c r="B30" s="102">
        <v>2022</v>
      </c>
      <c r="C30" s="154">
        <v>66.046999999999997</v>
      </c>
      <c r="D30" s="154">
        <v>66.283000000000001</v>
      </c>
      <c r="E30" s="154">
        <v>66.453000000000003</v>
      </c>
      <c r="F30" s="154">
        <v>70.388000000000005</v>
      </c>
      <c r="G30" s="154">
        <v>70.48438918115987</v>
      </c>
      <c r="H30" s="154">
        <v>70.361999999999995</v>
      </c>
      <c r="I30" s="154">
        <v>76.915999999999997</v>
      </c>
      <c r="J30" s="154">
        <v>76.816000000000003</v>
      </c>
      <c r="K30" s="154">
        <v>76.401518902891027</v>
      </c>
      <c r="L30" s="154">
        <v>83.625151391581866</v>
      </c>
      <c r="M30" s="154">
        <v>72.250790141896928</v>
      </c>
      <c r="N30" s="154">
        <v>42.707000000000001</v>
      </c>
      <c r="O30" s="154">
        <v>42.728000000000002</v>
      </c>
      <c r="P30" s="154">
        <v>42</v>
      </c>
      <c r="Q30" s="154">
        <v>43</v>
      </c>
      <c r="R30" s="154">
        <v>69</v>
      </c>
      <c r="S30" s="154">
        <v>88</v>
      </c>
      <c r="T30" s="154">
        <v>59.398000000000003</v>
      </c>
      <c r="U30" s="154">
        <v>47</v>
      </c>
      <c r="V30" s="154">
        <v>0</v>
      </c>
      <c r="W30" s="154">
        <v>0</v>
      </c>
      <c r="X30" s="154">
        <v>0</v>
      </c>
      <c r="Y30" s="154">
        <v>0</v>
      </c>
      <c r="Z30" s="154">
        <v>0</v>
      </c>
      <c r="AA30" s="154">
        <v>0</v>
      </c>
      <c r="AB30" s="154">
        <v>0</v>
      </c>
      <c r="AC30" s="154">
        <v>0</v>
      </c>
      <c r="AD30" s="154">
        <v>0</v>
      </c>
    </row>
    <row r="31" spans="2:41" ht="14.25" customHeight="1">
      <c r="B31" s="104">
        <v>2023</v>
      </c>
      <c r="C31" s="144">
        <v>23.108000000000001</v>
      </c>
      <c r="D31" s="144">
        <v>23.132999999999999</v>
      </c>
      <c r="E31" s="144">
        <v>23.157</v>
      </c>
      <c r="F31" s="144">
        <v>27.06</v>
      </c>
      <c r="G31" s="144">
        <v>27.127402451275177</v>
      </c>
      <c r="H31" s="144">
        <v>26.995000000000001</v>
      </c>
      <c r="I31" s="144">
        <v>33.548000000000002</v>
      </c>
      <c r="J31" s="144">
        <v>33.548000000000002</v>
      </c>
      <c r="K31" s="144">
        <v>98.008573758339509</v>
      </c>
      <c r="L31" s="144">
        <v>105.60658181248876</v>
      </c>
      <c r="M31" s="144">
        <v>99.94528304705004</v>
      </c>
      <c r="N31" s="144">
        <v>78.501000000000005</v>
      </c>
      <c r="O31" s="144">
        <v>88.165999999999997</v>
      </c>
      <c r="P31" s="144">
        <v>69</v>
      </c>
      <c r="Q31" s="144">
        <v>74</v>
      </c>
      <c r="R31" s="144">
        <v>82</v>
      </c>
      <c r="S31" s="144">
        <v>72</v>
      </c>
      <c r="T31" s="144">
        <v>78.141000000000005</v>
      </c>
      <c r="U31" s="144">
        <v>84</v>
      </c>
      <c r="V31" s="144">
        <v>108</v>
      </c>
      <c r="W31" s="144">
        <v>119.77200000000001</v>
      </c>
      <c r="X31" s="144">
        <v>100</v>
      </c>
      <c r="Y31" s="144">
        <v>65</v>
      </c>
      <c r="Z31" s="144">
        <v>0</v>
      </c>
      <c r="AA31" s="144">
        <v>0</v>
      </c>
      <c r="AB31" s="144">
        <v>0</v>
      </c>
      <c r="AC31" s="144">
        <v>0</v>
      </c>
      <c r="AD31" s="144">
        <v>0</v>
      </c>
      <c r="AE31" s="469"/>
    </row>
    <row r="32" spans="2:41" ht="14">
      <c r="B32" s="102">
        <v>2024</v>
      </c>
      <c r="C32" s="154">
        <v>1350.5450000000001</v>
      </c>
      <c r="D32" s="154">
        <v>1563.3720000000001</v>
      </c>
      <c r="E32" s="154">
        <v>1622.6320000000001</v>
      </c>
      <c r="F32" s="154">
        <v>1574.896</v>
      </c>
      <c r="G32" s="154">
        <v>1583.7245524304415</v>
      </c>
      <c r="H32" s="154">
        <v>575.98500000000001</v>
      </c>
      <c r="I32" s="154">
        <v>630.34900000000005</v>
      </c>
      <c r="J32" s="154">
        <v>611.10599999999999</v>
      </c>
      <c r="K32" s="154">
        <v>778.69251890289104</v>
      </c>
      <c r="L32" s="154">
        <v>822.57915139158183</v>
      </c>
      <c r="M32" s="154">
        <v>1102.468790141897</v>
      </c>
      <c r="N32" s="154">
        <v>1000.747</v>
      </c>
      <c r="O32" s="154">
        <v>1070.9949999999999</v>
      </c>
      <c r="P32" s="154">
        <v>942</v>
      </c>
      <c r="Q32" s="154">
        <v>1023</v>
      </c>
      <c r="R32" s="154">
        <v>776</v>
      </c>
      <c r="S32" s="154">
        <v>662</v>
      </c>
      <c r="T32" s="154">
        <v>671.92399999999998</v>
      </c>
      <c r="U32" s="154">
        <v>269</v>
      </c>
      <c r="V32" s="154">
        <v>260</v>
      </c>
      <c r="W32" s="154">
        <v>256.56799999999998</v>
      </c>
      <c r="X32" s="154">
        <v>250</v>
      </c>
      <c r="Y32" s="154">
        <v>53</v>
      </c>
      <c r="Z32" s="154">
        <v>103</v>
      </c>
      <c r="AA32" s="154">
        <v>265</v>
      </c>
      <c r="AB32" s="154">
        <v>246</v>
      </c>
      <c r="AC32" s="154">
        <v>215</v>
      </c>
      <c r="AD32" s="154">
        <v>0</v>
      </c>
    </row>
    <row r="33" spans="2:30" ht="14.25" customHeight="1">
      <c r="B33" s="104">
        <v>2025</v>
      </c>
      <c r="C33" s="144">
        <v>17.468</v>
      </c>
      <c r="D33" s="144">
        <v>17.492999999999999</v>
      </c>
      <c r="E33" s="144">
        <v>17.516999999999999</v>
      </c>
      <c r="F33" s="144">
        <v>21.42</v>
      </c>
      <c r="G33" s="144">
        <v>21.487583494617226</v>
      </c>
      <c r="H33" s="144">
        <v>420.40600000000001</v>
      </c>
      <c r="I33" s="144">
        <v>481.68980397470642</v>
      </c>
      <c r="J33" s="144">
        <v>460.959</v>
      </c>
      <c r="K33" s="144">
        <v>590.42031504818385</v>
      </c>
      <c r="L33" s="144">
        <v>625.80744744505387</v>
      </c>
      <c r="M33" s="144">
        <v>645.52986855862582</v>
      </c>
      <c r="N33" s="144">
        <v>583.21900000000005</v>
      </c>
      <c r="O33" s="144">
        <v>638.28499999999997</v>
      </c>
      <c r="P33" s="144">
        <v>562</v>
      </c>
      <c r="Q33" s="144">
        <v>610</v>
      </c>
      <c r="R33" s="144">
        <v>631</v>
      </c>
      <c r="S33" s="144">
        <v>538</v>
      </c>
      <c r="T33" s="144">
        <v>593.68600000000004</v>
      </c>
      <c r="U33" s="144">
        <v>612</v>
      </c>
      <c r="V33" s="144">
        <v>592</v>
      </c>
      <c r="W33" s="144">
        <v>581.81200000000001</v>
      </c>
      <c r="X33" s="144">
        <v>553</v>
      </c>
      <c r="Y33" s="144">
        <v>43</v>
      </c>
      <c r="Z33" s="144">
        <v>44</v>
      </c>
      <c r="AA33" s="144">
        <v>41</v>
      </c>
      <c r="AB33" s="144">
        <v>55</v>
      </c>
      <c r="AC33" s="144">
        <v>70</v>
      </c>
      <c r="AD33" s="144">
        <v>117</v>
      </c>
    </row>
    <row r="34" spans="2:30" ht="14">
      <c r="B34" s="102">
        <v>2026</v>
      </c>
      <c r="C34" s="154">
        <v>13.101000000000001</v>
      </c>
      <c r="D34" s="154">
        <v>13.12</v>
      </c>
      <c r="E34" s="154">
        <v>13.138</v>
      </c>
      <c r="F34" s="154">
        <v>17.030999999999999</v>
      </c>
      <c r="G34" s="154">
        <v>17.087569077212919</v>
      </c>
      <c r="H34" s="154">
        <v>450.00400000000002</v>
      </c>
      <c r="I34" s="154">
        <v>477.2868039747064</v>
      </c>
      <c r="J34" s="154">
        <v>456.55599999999998</v>
      </c>
      <c r="K34" s="154">
        <v>586.01731504818383</v>
      </c>
      <c r="L34" s="154">
        <v>620.99144744505384</v>
      </c>
      <c r="M34" s="154">
        <v>641.1268685586258</v>
      </c>
      <c r="N34" s="154">
        <v>583.21900000000005</v>
      </c>
      <c r="O34" s="154">
        <v>638.28499999999997</v>
      </c>
      <c r="P34" s="154">
        <v>562</v>
      </c>
      <c r="Q34" s="154">
        <v>610</v>
      </c>
      <c r="R34" s="154">
        <v>631</v>
      </c>
      <c r="S34" s="154">
        <v>538</v>
      </c>
      <c r="T34" s="154">
        <v>593.68600000000004</v>
      </c>
      <c r="U34" s="154">
        <v>612</v>
      </c>
      <c r="V34" s="154">
        <v>596</v>
      </c>
      <c r="W34" s="154">
        <v>590.58199999999999</v>
      </c>
      <c r="X34" s="154">
        <v>562</v>
      </c>
      <c r="Y34" s="154">
        <v>52</v>
      </c>
      <c r="Z34" s="154">
        <v>56</v>
      </c>
      <c r="AA34" s="154">
        <v>50</v>
      </c>
      <c r="AB34" s="154">
        <v>54</v>
      </c>
      <c r="AC34" s="154">
        <v>54</v>
      </c>
      <c r="AD34" s="154">
        <v>60</v>
      </c>
    </row>
    <row r="35" spans="2:30" ht="14">
      <c r="B35" s="102" t="s">
        <v>132</v>
      </c>
      <c r="C35" s="155">
        <v>0</v>
      </c>
      <c r="D35" s="155">
        <v>0</v>
      </c>
      <c r="E35" s="155">
        <v>0</v>
      </c>
      <c r="F35" s="154">
        <v>7.7279999999996107</v>
      </c>
      <c r="G35" s="154">
        <v>7.7750516500000009</v>
      </c>
      <c r="H35" s="154">
        <v>224</v>
      </c>
      <c r="I35" s="154">
        <v>284.46134056007224</v>
      </c>
      <c r="J35" s="154">
        <v>297.7098652335078</v>
      </c>
      <c r="K35" s="154">
        <v>598</v>
      </c>
      <c r="L35" s="154">
        <v>645.75632388510928</v>
      </c>
      <c r="M35" s="154">
        <v>666.61409111277078</v>
      </c>
      <c r="N35" s="154">
        <v>594.27199999999993</v>
      </c>
      <c r="O35" s="154">
        <v>641.09700000000066</v>
      </c>
      <c r="P35" s="154">
        <v>580</v>
      </c>
      <c r="Q35" s="154">
        <v>626</v>
      </c>
      <c r="R35" s="154">
        <v>917</v>
      </c>
      <c r="S35" s="154">
        <v>832</v>
      </c>
      <c r="T35" s="154">
        <v>880.89400000000001</v>
      </c>
      <c r="U35" s="154">
        <v>1419</v>
      </c>
      <c r="V35" s="154">
        <v>1413</v>
      </c>
      <c r="W35" s="154">
        <v>2086</v>
      </c>
      <c r="X35" s="154">
        <v>2499</v>
      </c>
      <c r="Y35" s="154">
        <v>4223</v>
      </c>
      <c r="Z35" s="154">
        <v>4141</v>
      </c>
      <c r="AA35" s="154">
        <v>4133</v>
      </c>
      <c r="AB35" s="154">
        <v>4978</v>
      </c>
      <c r="AC35" s="154">
        <v>4445</v>
      </c>
      <c r="AD35" s="154">
        <v>4335</v>
      </c>
    </row>
    <row r="36" spans="2:30" ht="14">
      <c r="B36" s="105"/>
      <c r="C36" s="156"/>
      <c r="D36" s="156"/>
      <c r="E36" s="156"/>
      <c r="F36" s="157"/>
      <c r="G36" s="156"/>
      <c r="H36" s="156"/>
      <c r="I36" s="156"/>
      <c r="J36" s="157"/>
      <c r="K36" s="156"/>
      <c r="L36" s="156"/>
      <c r="M36" s="156"/>
      <c r="N36" s="157"/>
      <c r="O36" s="157"/>
      <c r="P36" s="157"/>
      <c r="Q36" s="157"/>
      <c r="R36" s="157"/>
      <c r="S36" s="157"/>
      <c r="T36" s="157"/>
      <c r="U36" s="157"/>
      <c r="V36" s="157"/>
      <c r="W36" s="157"/>
      <c r="X36" s="157"/>
      <c r="Y36" s="157"/>
      <c r="Z36" s="157"/>
      <c r="AA36" s="157"/>
      <c r="AB36" s="157"/>
      <c r="AC36" s="157"/>
      <c r="AD36" s="157"/>
    </row>
    <row r="37" spans="2:30" ht="28.5" thickBot="1">
      <c r="B37" s="106" t="s">
        <v>133</v>
      </c>
      <c r="C37" s="158">
        <v>2.91</v>
      </c>
      <c r="D37" s="158">
        <v>2.2799999999999998</v>
      </c>
      <c r="E37" s="158">
        <v>2.2799999999999998</v>
      </c>
      <c r="F37" s="158">
        <v>1.405580940181155</v>
      </c>
      <c r="G37" s="158">
        <v>1.4783538948539607</v>
      </c>
      <c r="H37" s="158">
        <v>1.3100197646442173</v>
      </c>
      <c r="I37" s="158">
        <v>1.6184753643100227</v>
      </c>
      <c r="J37" s="158">
        <v>1.5827587649270576</v>
      </c>
      <c r="K37" s="158">
        <v>2.7144281433271038</v>
      </c>
      <c r="L37" s="158">
        <v>3.7590635047392693</v>
      </c>
      <c r="M37" s="158">
        <v>3.637699663750833</v>
      </c>
      <c r="N37" s="158">
        <v>3.0779106380921304</v>
      </c>
      <c r="O37" s="158">
        <v>3.5345095491508451</v>
      </c>
      <c r="P37" s="158">
        <v>2.3783882519036612</v>
      </c>
      <c r="Q37" s="158">
        <v>1.9009226333591633</v>
      </c>
      <c r="R37" s="158">
        <v>1.0830920174527963</v>
      </c>
      <c r="S37" s="158">
        <v>0.67</v>
      </c>
      <c r="T37" s="158">
        <v>0.67666409854035114</v>
      </c>
      <c r="U37" s="158">
        <v>0.67</v>
      </c>
      <c r="V37" s="158">
        <v>1.0492024954669781</v>
      </c>
      <c r="W37" s="158">
        <v>1.9129874768542676</v>
      </c>
      <c r="X37" s="468">
        <f>X19/SUM('10 - Resultados por negócio'!U14:X14)</f>
        <v>3.877127023188164</v>
      </c>
      <c r="Y37" s="158">
        <v>9.7203802125253809</v>
      </c>
      <c r="Z37" s="158">
        <f>Z19/SUM('10 - Resultados por negócio'!W14:Z14)</f>
        <v>7.7025032301849405</v>
      </c>
      <c r="AA37" s="158">
        <f>AA19/SUM('10 - Resultados por negócio'!X14:AA14)</f>
        <v>7.8944158703374026</v>
      </c>
      <c r="AB37" s="158">
        <v>5.66</v>
      </c>
      <c r="AC37" s="158">
        <f>AC19/SUM('9 - Demonstrativos Financeiros'!Z35:AC35)</f>
        <v>3.4052361398363478</v>
      </c>
      <c r="AD37" s="158">
        <v>2.84</v>
      </c>
    </row>
    <row r="39" spans="2:30">
      <c r="O39" s="218"/>
      <c r="P39" s="218"/>
      <c r="Q39" s="218"/>
      <c r="R39" s="218"/>
      <c r="S39" s="218"/>
      <c r="T39" s="218"/>
      <c r="U39" s="218"/>
      <c r="V39" s="218"/>
      <c r="W39" s="218"/>
      <c r="X39" s="218"/>
      <c r="Y39" s="218"/>
      <c r="Z39" s="218"/>
      <c r="AA39" s="218"/>
      <c r="AB39" s="218"/>
      <c r="AC39" s="218"/>
      <c r="AD39" s="218"/>
    </row>
    <row r="40" spans="2:30">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row>
    <row r="41" spans="2:30">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row>
    <row r="42" spans="2:30">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row>
    <row r="43" spans="2:30">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row>
  </sheetData>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8994656E46934AB6AA0A0B9F9495D6" ma:contentTypeVersion="4" ma:contentTypeDescription="Crie um novo documento." ma:contentTypeScope="" ma:versionID="3bec772c02083a38dba572dd5aa25ddb">
  <xsd:schema xmlns:xsd="http://www.w3.org/2001/XMLSchema" xmlns:xs="http://www.w3.org/2001/XMLSchema" xmlns:p="http://schemas.microsoft.com/office/2006/metadata/properties" xmlns:ns2="d0552f67-21e1-4584-b4d4-c086249b585a" targetNamespace="http://schemas.microsoft.com/office/2006/metadata/properties" ma:root="true" ma:fieldsID="f90e5d35b90a7e6745d6dd15239991d3" ns2:_="">
    <xsd:import namespace="d0552f67-21e1-4584-b4d4-c086249b585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552f67-21e1-4584-b4d4-c086249b58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8BA5F4-E866-4A7A-8041-3CCC42E638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552f67-21e1-4584-b4d4-c086249b58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A92D2-0A72-41B8-8E6D-A8EA6B0FFADF}">
  <ds:schemaRefs>
    <ds:schemaRef ds:uri="http://purl.org/dc/term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schemas.microsoft.com/office/infopath/2007/PartnerControls"/>
    <ds:schemaRef ds:uri="d0552f67-21e1-4584-b4d4-c086249b585a"/>
    <ds:schemaRef ds:uri="http://www.w3.org/XML/1998/namespace"/>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DRE e Balanço Energia</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2025-02-25T23:17:29Z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0x010100FD8994656E46934AB6AA0A0B9F9495D6</vt:lpwstr>
  </property>
  <property fmtid="{D5CDD505-2E9C-101B-9397-08002B2CF9AE}" pid="3" name="MediaServiceImageTags">
    <vt:lpwstr/>
  </property>
  <property fmtid="{D5CDD505-2E9C-101B-9397-08002B2CF9AE}" pid="4" name="{A44787D4-0540-4523-9961-78E4036D8C6D}">
    <vt:lpwstr>{4D75AD63-B7ED-4904-BA9B-857B8BE3CA04}</vt:lpwstr>
  </property>
</Properties>
</file>