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larissa.silva\Desktop\"/>
    </mc:Choice>
  </mc:AlternateContent>
  <xr:revisionPtr revIDLastSave="0" documentId="8_{B3C7BD86-36DF-4BE8-8840-49000681FB6D}" xr6:coauthVersionLast="47" xr6:coauthVersionMax="47" xr10:uidLastSave="{00000000-0000-0000-0000-000000000000}"/>
  <bookViews>
    <workbookView xWindow="-28920" yWindow="-120" windowWidth="29040" windowHeight="15720" tabRatio="931" xr2:uid="{5B738333-77F9-4C79-BB25-715E01FAB529}"/>
  </bookViews>
  <sheets>
    <sheet name="Index" sheetId="14" r:id="rId1"/>
    <sheet name="1. Production Processes" sheetId="20" r:id="rId2"/>
    <sheet name="2. Income Statement" sheetId="11" r:id="rId3"/>
    <sheet name="3. Balance Sheet" sheetId="9" r:id="rId4"/>
    <sheet name="4. Cash Flow" sheetId="12" r:id="rId5"/>
    <sheet name="5. Operational Data" sheetId="15" r:id="rId6"/>
    <sheet name="5.1. Aranzazu" sheetId="4" r:id="rId7"/>
    <sheet name="5.2. Apoena" sheetId="3" r:id="rId8"/>
    <sheet name="5.3. Minosa" sheetId="6" r:id="rId9"/>
    <sheet name="5.4. Almas" sheetId="7" r:id="rId10"/>
    <sheet name="5.5 Borborema" sheetId="24" r:id="rId11"/>
    <sheet name="5.6 MSG" sheetId="25" r:id="rId12"/>
    <sheet name="Debt Opening" sheetId="23" r:id="rId13"/>
    <sheet name="Tax and Royalties" sheetId="22" r:id="rId14"/>
  </sheets>
  <externalReferences>
    <externalReference r:id="rId15"/>
  </externalReferences>
  <definedNames>
    <definedName name="ozton">[1]AppQt.Data!$B$5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25" l="1"/>
  <c r="B48" i="25" s="1"/>
  <c r="B53" i="25" s="1"/>
  <c r="C42" i="25"/>
  <c r="C48" i="25" s="1"/>
  <c r="C53" i="25" s="1"/>
  <c r="P47" i="7"/>
  <c r="P46" i="7"/>
  <c r="P49" i="7" s="1"/>
  <c r="P54" i="7" s="1"/>
  <c r="O47" i="7"/>
  <c r="O46" i="7"/>
  <c r="N47" i="7"/>
  <c r="N46" i="7"/>
  <c r="M54" i="7"/>
  <c r="R54" i="7"/>
  <c r="N49" i="7"/>
  <c r="N54" i="7" s="1"/>
  <c r="M49" i="7"/>
  <c r="R49" i="7"/>
  <c r="P42" i="7"/>
  <c r="O42" i="7"/>
  <c r="N42" i="7"/>
  <c r="M42" i="7"/>
  <c r="R42" i="7"/>
  <c r="Q47" i="7"/>
  <c r="Q45" i="7"/>
  <c r="AQ47" i="6"/>
  <c r="AQ46" i="6"/>
  <c r="AR46" i="6" s="1"/>
  <c r="AR47" i="6"/>
  <c r="AS47" i="6" s="1"/>
  <c r="AT47" i="6" s="1"/>
  <c r="AT45" i="6"/>
  <c r="AT44" i="6"/>
  <c r="AT40" i="6"/>
  <c r="AU54" i="6"/>
  <c r="AQ49" i="6"/>
  <c r="AQ54" i="6" s="1"/>
  <c r="AP49" i="6"/>
  <c r="AP54" i="6" s="1"/>
  <c r="AU49" i="6"/>
  <c r="AS42" i="6"/>
  <c r="AR42" i="6"/>
  <c r="AQ42" i="6"/>
  <c r="AP42" i="6"/>
  <c r="AU42" i="6"/>
  <c r="AQ46" i="3"/>
  <c r="AR46" i="3" s="1"/>
  <c r="AS46" i="3" s="1"/>
  <c r="AT46" i="3" s="1"/>
  <c r="AQ45" i="3"/>
  <c r="AT44" i="3"/>
  <c r="AT43" i="3"/>
  <c r="AS41" i="3"/>
  <c r="AR41" i="3"/>
  <c r="AQ41" i="3"/>
  <c r="AP41" i="3"/>
  <c r="AT41" i="3" s="1"/>
  <c r="AU41" i="3"/>
  <c r="AU48" i="3" s="1"/>
  <c r="AP48" i="3"/>
  <c r="AP53" i="3" s="1"/>
  <c r="AT39" i="3"/>
  <c r="AO62" i="4"/>
  <c r="AM69" i="4"/>
  <c r="AN69" i="4" s="1"/>
  <c r="AM68" i="4"/>
  <c r="AN68" i="4" s="1"/>
  <c r="AL64" i="4"/>
  <c r="AL71" i="4" s="1"/>
  <c r="AM64" i="4"/>
  <c r="AM71" i="4" s="1"/>
  <c r="AN64" i="4"/>
  <c r="E46" i="24"/>
  <c r="E48" i="24" s="1"/>
  <c r="E53" i="24" s="1"/>
  <c r="E45" i="24"/>
  <c r="D45" i="24"/>
  <c r="D46" i="24"/>
  <c r="C46" i="24"/>
  <c r="C45" i="24"/>
  <c r="E42" i="24"/>
  <c r="C42" i="24"/>
  <c r="D42" i="24"/>
  <c r="D48" i="24" s="1"/>
  <c r="D53" i="24" s="1"/>
  <c r="B53" i="24"/>
  <c r="B48" i="24"/>
  <c r="F46" i="24"/>
  <c r="F44" i="24"/>
  <c r="B42" i="24"/>
  <c r="G48" i="24"/>
  <c r="G53" i="24"/>
  <c r="G42" i="24"/>
  <c r="C55" i="25"/>
  <c r="G55" i="24"/>
  <c r="R56" i="7"/>
  <c r="AU56" i="6"/>
  <c r="AU55" i="3"/>
  <c r="AQ78" i="4"/>
  <c r="AQ54" i="4"/>
  <c r="AQ57" i="4" s="1"/>
  <c r="AQ64" i="4" s="1"/>
  <c r="AQ71" i="4" s="1"/>
  <c r="AQ76" i="4" s="1"/>
  <c r="AP57" i="4"/>
  <c r="C27" i="25"/>
  <c r="C26" i="25"/>
  <c r="G27" i="24"/>
  <c r="G26" i="24"/>
  <c r="R27" i="7"/>
  <c r="R26" i="7"/>
  <c r="AU27" i="6"/>
  <c r="AU26" i="6"/>
  <c r="AU26" i="3"/>
  <c r="AU25" i="3"/>
  <c r="AQ49" i="4"/>
  <c r="AQ48" i="4"/>
  <c r="I30" i="23"/>
  <c r="C61" i="25"/>
  <c r="G61" i="24"/>
  <c r="R62" i="7"/>
  <c r="AU62" i="6"/>
  <c r="AQ84" i="4"/>
  <c r="AU12" i="15"/>
  <c r="AU36" i="12"/>
  <c r="AU20" i="12"/>
  <c r="AU13" i="12"/>
  <c r="AU59" i="9"/>
  <c r="AS59" i="9"/>
  <c r="AU53" i="9"/>
  <c r="AU45" i="9"/>
  <c r="AU46" i="9" s="1"/>
  <c r="AU35" i="9"/>
  <c r="AU24" i="9"/>
  <c r="AU17" i="9"/>
  <c r="AU30" i="11"/>
  <c r="AU18" i="11"/>
  <c r="AU23" i="11" s="1"/>
  <c r="AU11" i="11"/>
  <c r="F56" i="7"/>
  <c r="E56" i="7"/>
  <c r="C56" i="7"/>
  <c r="G59" i="7"/>
  <c r="G58" i="7"/>
  <c r="G57" i="7"/>
  <c r="D56" i="7"/>
  <c r="G56" i="7" s="1"/>
  <c r="AU25" i="9" l="1"/>
  <c r="AU54" i="9"/>
  <c r="AO69" i="4"/>
  <c r="AP69" i="4" s="1"/>
  <c r="AO68" i="4"/>
  <c r="AP68" i="4"/>
  <c r="O49" i="7"/>
  <c r="O54" i="7" s="1"/>
  <c r="Q46" i="7"/>
  <c r="AR49" i="6"/>
  <c r="AS46" i="6"/>
  <c r="AS49" i="6"/>
  <c r="AS54" i="6" s="1"/>
  <c r="AT46" i="6"/>
  <c r="AR45" i="3"/>
  <c r="AQ48" i="3"/>
  <c r="AQ53" i="3" s="1"/>
  <c r="AO64" i="4"/>
  <c r="AP62" i="4"/>
  <c r="AN71" i="4"/>
  <c r="AP64" i="4"/>
  <c r="F45" i="24"/>
  <c r="C48" i="24"/>
  <c r="C53" i="24" s="1"/>
  <c r="J31" i="23"/>
  <c r="J32" i="23"/>
  <c r="F24" i="24"/>
  <c r="F23" i="24"/>
  <c r="F19" i="24"/>
  <c r="F15" i="24"/>
  <c r="F14" i="24"/>
  <c r="AO71" i="4" l="1"/>
  <c r="AP71" i="4"/>
  <c r="AR54" i="6"/>
  <c r="AT49" i="6"/>
  <c r="AS45" i="3"/>
  <c r="AR48" i="3"/>
  <c r="AR53" i="3" s="1"/>
  <c r="Q24" i="7"/>
  <c r="Q23" i="7"/>
  <c r="Q19" i="7"/>
  <c r="AS48" i="3" l="1"/>
  <c r="AS53" i="3" s="1"/>
  <c r="AT45" i="3"/>
  <c r="Q15" i="7"/>
  <c r="Q14" i="7"/>
  <c r="AT24" i="6"/>
  <c r="AT23" i="6"/>
  <c r="AT19" i="6"/>
  <c r="AT15" i="6" l="1"/>
  <c r="AT14" i="6"/>
  <c r="AT23" i="3"/>
  <c r="AT22" i="3"/>
  <c r="AT14" i="3" l="1"/>
  <c r="AT13" i="3"/>
  <c r="AT42" i="12"/>
  <c r="AT18" i="15" l="1"/>
  <c r="AT21" i="15"/>
  <c r="F55" i="24"/>
  <c r="F56" i="24"/>
  <c r="F58" i="24"/>
  <c r="AT22" i="15"/>
  <c r="Q32" i="7"/>
  <c r="Q56" i="7"/>
  <c r="Q57" i="7"/>
  <c r="Q58" i="7"/>
  <c r="Q59" i="7"/>
  <c r="Q38" i="7"/>
  <c r="Q42" i="7"/>
  <c r="Q43" i="7"/>
  <c r="Q40" i="7"/>
  <c r="Q49" i="7"/>
  <c r="Q51" i="7"/>
  <c r="Q52" i="7"/>
  <c r="Q54" i="7"/>
  <c r="Q55" i="7"/>
  <c r="Q61" i="7"/>
  <c r="Q30" i="7"/>
  <c r="Q31" i="7"/>
  <c r="Q33" i="7"/>
  <c r="Q34" i="7"/>
  <c r="Q35" i="7"/>
  <c r="AT56" i="6" l="1"/>
  <c r="AT57" i="6"/>
  <c r="AT58" i="6"/>
  <c r="AT59" i="6"/>
  <c r="AT61" i="6"/>
  <c r="AT54" i="6"/>
  <c r="AT51" i="6"/>
  <c r="AT52" i="6"/>
  <c r="AT37" i="6"/>
  <c r="AT38" i="6"/>
  <c r="AT42" i="6"/>
  <c r="AT35" i="6"/>
  <c r="AT32" i="6"/>
  <c r="AT33" i="6"/>
  <c r="AT30" i="6"/>
  <c r="AT55" i="3"/>
  <c r="AT56" i="3"/>
  <c r="AT57" i="3"/>
  <c r="AT58" i="3"/>
  <c r="AP79" i="4"/>
  <c r="AP80" i="4"/>
  <c r="AP81" i="4"/>
  <c r="AT29" i="3"/>
  <c r="AT30" i="3"/>
  <c r="AT31" i="3"/>
  <c r="AT32" i="3"/>
  <c r="AT34" i="3"/>
  <c r="AS8" i="15"/>
  <c r="F60" i="24"/>
  <c r="F50" i="24"/>
  <c r="F51" i="24"/>
  <c r="F40" i="24"/>
  <c r="F42" i="24"/>
  <c r="F37" i="24"/>
  <c r="F38" i="24"/>
  <c r="F39" i="24"/>
  <c r="F35" i="24"/>
  <c r="F31" i="24"/>
  <c r="F32" i="24"/>
  <c r="F33" i="24"/>
  <c r="F30" i="24"/>
  <c r="Q37" i="7"/>
  <c r="AT31" i="6"/>
  <c r="AT60" i="3"/>
  <c r="AT51" i="3"/>
  <c r="AT50" i="3"/>
  <c r="AT38" i="3"/>
  <c r="AT37" i="3"/>
  <c r="AT36" i="3"/>
  <c r="AT19" i="12"/>
  <c r="H30" i="23"/>
  <c r="E61" i="24"/>
  <c r="F61" i="24" s="1"/>
  <c r="F18" i="24"/>
  <c r="F12" i="24"/>
  <c r="F11" i="24"/>
  <c r="F10" i="24"/>
  <c r="P62" i="7"/>
  <c r="Q62" i="7"/>
  <c r="Q21" i="7"/>
  <c r="Q18" i="7"/>
  <c r="Q12" i="7"/>
  <c r="Q11" i="7"/>
  <c r="Q10" i="7"/>
  <c r="AS62" i="6"/>
  <c r="AT62" i="6"/>
  <c r="AT18" i="6"/>
  <c r="AT12" i="6"/>
  <c r="AT11" i="6"/>
  <c r="AT10" i="6"/>
  <c r="AP83" i="4"/>
  <c r="AP76" i="4"/>
  <c r="AP74" i="4"/>
  <c r="AP73" i="4"/>
  <c r="AP66" i="4"/>
  <c r="AP61" i="4"/>
  <c r="AP60" i="4"/>
  <c r="AP59" i="4"/>
  <c r="AP55" i="4"/>
  <c r="AP54" i="4"/>
  <c r="AP53" i="4"/>
  <c r="AP52" i="4"/>
  <c r="AP46" i="4"/>
  <c r="AP45" i="4"/>
  <c r="AO61" i="3"/>
  <c r="AT17" i="3"/>
  <c r="AT10" i="3"/>
  <c r="AT11" i="3"/>
  <c r="AT9" i="3"/>
  <c r="AS61" i="3"/>
  <c r="AT61" i="3" s="1"/>
  <c r="AO84" i="4"/>
  <c r="AP84" i="4" s="1"/>
  <c r="B61" i="25"/>
  <c r="AP23" i="4"/>
  <c r="AP22" i="4"/>
  <c r="AP20" i="4"/>
  <c r="AQ20" i="4" s="1"/>
  <c r="AP19" i="4"/>
  <c r="AQ19" i="4" s="1"/>
  <c r="AP18" i="4"/>
  <c r="AQ18" i="4" s="1"/>
  <c r="AP16" i="4"/>
  <c r="AQ16" i="4" s="1"/>
  <c r="AP15" i="4"/>
  <c r="AQ15" i="4" s="1"/>
  <c r="AP14" i="4"/>
  <c r="AQ14" i="4" s="1"/>
  <c r="AP12" i="4"/>
  <c r="AQ12" i="4" s="1"/>
  <c r="AP11" i="4"/>
  <c r="AQ11" i="4" s="1"/>
  <c r="AP10" i="4"/>
  <c r="AQ10" i="4" s="1"/>
  <c r="AK23" i="4"/>
  <c r="AK22" i="4"/>
  <c r="AK20" i="4"/>
  <c r="AK19" i="4"/>
  <c r="AK18" i="4"/>
  <c r="AK16" i="4"/>
  <c r="AK15" i="4"/>
  <c r="AK14" i="4"/>
  <c r="AK12" i="4"/>
  <c r="AK11" i="4"/>
  <c r="AK10" i="4"/>
  <c r="AT20" i="15"/>
  <c r="AT17" i="15"/>
  <c r="AT14" i="15"/>
  <c r="AT15" i="15"/>
  <c r="AT16" i="15"/>
  <c r="AT13" i="15"/>
  <c r="AT12" i="15"/>
  <c r="AT9" i="15"/>
  <c r="AT10" i="15"/>
  <c r="AS36" i="12"/>
  <c r="AR36" i="12"/>
  <c r="AQ36" i="12"/>
  <c r="AP36" i="12"/>
  <c r="AT36" i="12" s="1"/>
  <c r="AQ20" i="12"/>
  <c r="AR20" i="12"/>
  <c r="AS20" i="12"/>
  <c r="AP20" i="12"/>
  <c r="AT20" i="12" s="1"/>
  <c r="AP13" i="12"/>
  <c r="AQ13" i="12"/>
  <c r="AR13" i="12"/>
  <c r="AS13" i="12"/>
  <c r="AT23" i="12"/>
  <c r="AT24" i="12"/>
  <c r="AT25" i="12"/>
  <c r="AT26" i="12"/>
  <c r="AT27" i="12"/>
  <c r="AT28" i="12"/>
  <c r="AT29" i="12"/>
  <c r="AT30" i="12"/>
  <c r="AT31" i="12"/>
  <c r="AT32" i="12"/>
  <c r="AT33" i="12"/>
  <c r="AT34" i="12"/>
  <c r="AT22" i="12"/>
  <c r="AT16" i="12"/>
  <c r="AT17" i="12"/>
  <c r="AT18" i="12"/>
  <c r="AT15" i="12"/>
  <c r="AT9" i="12"/>
  <c r="AT10" i="12"/>
  <c r="AT11" i="12"/>
  <c r="AT12" i="12"/>
  <c r="AT8" i="12"/>
  <c r="AS53" i="9"/>
  <c r="AS45" i="9"/>
  <c r="AS35" i="9"/>
  <c r="AT35" i="9" s="1"/>
  <c r="AS24" i="9"/>
  <c r="AS25" i="9" s="1"/>
  <c r="AT25" i="9" s="1"/>
  <c r="AS17" i="9"/>
  <c r="AT68" i="9"/>
  <c r="AT67" i="9"/>
  <c r="AT65" i="9"/>
  <c r="AT63" i="9"/>
  <c r="AT62" i="9"/>
  <c r="AT61" i="9"/>
  <c r="AT59" i="9"/>
  <c r="AT58" i="9"/>
  <c r="AT57" i="9"/>
  <c r="AT52" i="9"/>
  <c r="AT51" i="9"/>
  <c r="AT50" i="9"/>
  <c r="AT49" i="9"/>
  <c r="AT44" i="9"/>
  <c r="AT43" i="9"/>
  <c r="AT42" i="9"/>
  <c r="AT41" i="9"/>
  <c r="AT40" i="9"/>
  <c r="AT38" i="9"/>
  <c r="AT34" i="9"/>
  <c r="AT33" i="9"/>
  <c r="AT32" i="9"/>
  <c r="AT31" i="9"/>
  <c r="AT30" i="9"/>
  <c r="AT29" i="9"/>
  <c r="AT28" i="9"/>
  <c r="AT27" i="9"/>
  <c r="AT23" i="9"/>
  <c r="AT22" i="9"/>
  <c r="AT21" i="9"/>
  <c r="AT20" i="9"/>
  <c r="AT19" i="9"/>
  <c r="AT16" i="9"/>
  <c r="AT15" i="9"/>
  <c r="AT14" i="9"/>
  <c r="AT13" i="9"/>
  <c r="AT12" i="9"/>
  <c r="AT11" i="9"/>
  <c r="AT10" i="9"/>
  <c r="AT9" i="9"/>
  <c r="AT8" i="9"/>
  <c r="AT43" i="12" s="1"/>
  <c r="AT33" i="11"/>
  <c r="AT32" i="11"/>
  <c r="AT26" i="11"/>
  <c r="AT25" i="11"/>
  <c r="AT21" i="11"/>
  <c r="AT20" i="11"/>
  <c r="AT16" i="11"/>
  <c r="AT15" i="11"/>
  <c r="AT14" i="11"/>
  <c r="AT13" i="11"/>
  <c r="AT9" i="11"/>
  <c r="AO21" i="11"/>
  <c r="AP18" i="11"/>
  <c r="AQ18" i="11"/>
  <c r="AQ23" i="11" s="1"/>
  <c r="AR18" i="11"/>
  <c r="AR23" i="11" s="1"/>
  <c r="AS8" i="11"/>
  <c r="AS54" i="9" l="1"/>
  <c r="AT53" i="9"/>
  <c r="AS46" i="9"/>
  <c r="F53" i="24"/>
  <c r="F48" i="24"/>
  <c r="AP23" i="11"/>
  <c r="AS11" i="11"/>
  <c r="AT8" i="11"/>
  <c r="AT13" i="12"/>
  <c r="AT24" i="9"/>
  <c r="AT17" i="9"/>
  <c r="AT45" i="9"/>
  <c r="AT46" i="9" s="1"/>
  <c r="AT54" i="9" s="1"/>
  <c r="AT53" i="3" l="1"/>
  <c r="AT48" i="3"/>
  <c r="AS18" i="11"/>
  <c r="AT11" i="11"/>
  <c r="E35" i="9"/>
  <c r="D35" i="9"/>
  <c r="C35" i="9"/>
  <c r="B35" i="9"/>
  <c r="J35" i="9"/>
  <c r="I35" i="9"/>
  <c r="H35" i="9"/>
  <c r="G35" i="9"/>
  <c r="O35" i="9"/>
  <c r="N35" i="9"/>
  <c r="M35" i="9"/>
  <c r="L35" i="9"/>
  <c r="T35" i="9"/>
  <c r="S35" i="9"/>
  <c r="R35" i="9"/>
  <c r="Q35" i="9"/>
  <c r="Y35" i="9"/>
  <c r="X35" i="9"/>
  <c r="W35" i="9"/>
  <c r="V35" i="9"/>
  <c r="AD35" i="9"/>
  <c r="AC35" i="9"/>
  <c r="AB35" i="9"/>
  <c r="AA35" i="9"/>
  <c r="O24" i="9"/>
  <c r="N24" i="9"/>
  <c r="M24" i="9"/>
  <c r="L24" i="9"/>
  <c r="O17" i="9"/>
  <c r="N17" i="9"/>
  <c r="M17" i="9"/>
  <c r="L17" i="9"/>
  <c r="T24" i="9"/>
  <c r="S24" i="9"/>
  <c r="R24" i="9"/>
  <c r="Q24" i="9"/>
  <c r="T17" i="9"/>
  <c r="S17" i="9"/>
  <c r="R17" i="9"/>
  <c r="Q17" i="9"/>
  <c r="Y17" i="9"/>
  <c r="X17" i="9"/>
  <c r="W17" i="9"/>
  <c r="V17" i="9"/>
  <c r="X24" i="9"/>
  <c r="X25" i="9" s="1"/>
  <c r="W24" i="9"/>
  <c r="V24" i="9"/>
  <c r="Y24" i="9"/>
  <c r="AT18" i="11" l="1"/>
  <c r="AS23" i="11"/>
  <c r="M25" i="9"/>
  <c r="L25" i="9"/>
  <c r="N25" i="9"/>
  <c r="O25" i="9"/>
  <c r="Q25" i="9"/>
  <c r="R25" i="9"/>
  <c r="S25" i="9"/>
  <c r="T25" i="9"/>
  <c r="V25" i="9"/>
  <c r="Y25" i="9"/>
  <c r="W25" i="9"/>
  <c r="AD24" i="9"/>
  <c r="AC24" i="9"/>
  <c r="AB24" i="9"/>
  <c r="AA24" i="9"/>
  <c r="AD17" i="9"/>
  <c r="AC17" i="9"/>
  <c r="AB17" i="9"/>
  <c r="AA17" i="9"/>
  <c r="AI24" i="9"/>
  <c r="AH24" i="9"/>
  <c r="AH25" i="9" s="1"/>
  <c r="AG24" i="9"/>
  <c r="AF24" i="9"/>
  <c r="AJ21" i="9"/>
  <c r="AI17" i="9"/>
  <c r="AH17" i="9"/>
  <c r="AG17" i="9"/>
  <c r="AF17" i="9"/>
  <c r="AO21" i="9"/>
  <c r="AN24" i="9"/>
  <c r="AM24" i="9"/>
  <c r="AM25" i="9" s="1"/>
  <c r="AL24" i="9"/>
  <c r="AL25" i="9" s="1"/>
  <c r="AK24" i="9"/>
  <c r="AK25" i="9" s="1"/>
  <c r="AN17" i="9"/>
  <c r="AM17" i="9"/>
  <c r="AL17" i="9"/>
  <c r="AK17" i="9"/>
  <c r="AQ17" i="9"/>
  <c r="AP17" i="9"/>
  <c r="AR17" i="9"/>
  <c r="AQ24" i="9"/>
  <c r="AP24" i="9"/>
  <c r="AP25" i="9" s="1"/>
  <c r="AR24" i="9"/>
  <c r="E53" i="9"/>
  <c r="E54" i="9" s="1"/>
  <c r="D53" i="9"/>
  <c r="D54" i="9" s="1"/>
  <c r="C53" i="9"/>
  <c r="C54" i="9" s="1"/>
  <c r="B53" i="9"/>
  <c r="B54" i="9" s="1"/>
  <c r="J53" i="9"/>
  <c r="J54" i="9" s="1"/>
  <c r="I53" i="9"/>
  <c r="I54" i="9" s="1"/>
  <c r="H53" i="9"/>
  <c r="H54" i="9" s="1"/>
  <c r="G53" i="9"/>
  <c r="G54" i="9" s="1"/>
  <c r="K53" i="9"/>
  <c r="K54" i="9" s="1"/>
  <c r="O53" i="9"/>
  <c r="O54" i="9" s="1"/>
  <c r="N53" i="9"/>
  <c r="N54" i="9" s="1"/>
  <c r="M53" i="9"/>
  <c r="M54" i="9" s="1"/>
  <c r="L53" i="9"/>
  <c r="L54" i="9" s="1"/>
  <c r="X51" i="9"/>
  <c r="X53" i="9" s="1"/>
  <c r="X54" i="9" s="1"/>
  <c r="T53" i="9"/>
  <c r="T54" i="9" s="1"/>
  <c r="S53" i="9"/>
  <c r="S54" i="9" s="1"/>
  <c r="R53" i="9"/>
  <c r="R54" i="9" s="1"/>
  <c r="Q53" i="9"/>
  <c r="Q54" i="9" s="1"/>
  <c r="W53" i="9"/>
  <c r="W54" i="9" s="1"/>
  <c r="V53" i="9"/>
  <c r="V54" i="9" s="1"/>
  <c r="F52" i="9"/>
  <c r="F51" i="9"/>
  <c r="F50" i="9"/>
  <c r="F49" i="9"/>
  <c r="K52" i="9"/>
  <c r="K51" i="9"/>
  <c r="K50" i="9"/>
  <c r="K49" i="9"/>
  <c r="P52" i="9"/>
  <c r="P51" i="9"/>
  <c r="P50" i="9"/>
  <c r="P49" i="9"/>
  <c r="U52" i="9"/>
  <c r="U51" i="9"/>
  <c r="U50" i="9"/>
  <c r="U49" i="9"/>
  <c r="Z52" i="9"/>
  <c r="Z50" i="9"/>
  <c r="Z49" i="9"/>
  <c r="AC51" i="9"/>
  <c r="AC53" i="9" s="1"/>
  <c r="AA51" i="9"/>
  <c r="AA53" i="9" s="1"/>
  <c r="Y51" i="9"/>
  <c r="Z51" i="9" s="1"/>
  <c r="AB51" i="9"/>
  <c r="AB53" i="9"/>
  <c r="AB54" i="9" s="1"/>
  <c r="AE52" i="9"/>
  <c r="AE51" i="9"/>
  <c r="AE50" i="9"/>
  <c r="AE49" i="9"/>
  <c r="AJ49" i="9"/>
  <c r="AJ50" i="9"/>
  <c r="AJ51" i="9"/>
  <c r="AJ52" i="9"/>
  <c r="AO49" i="9"/>
  <c r="AO50" i="9"/>
  <c r="AO51" i="9"/>
  <c r="AO52" i="9"/>
  <c r="AD45" i="9"/>
  <c r="AC45" i="9"/>
  <c r="AA45" i="9"/>
  <c r="AF45" i="9"/>
  <c r="AG45" i="9"/>
  <c r="AD53" i="9"/>
  <c r="AD54" i="9" s="1"/>
  <c r="AG53" i="9"/>
  <c r="AF53" i="9"/>
  <c r="AH53" i="9"/>
  <c r="AF35" i="9"/>
  <c r="AG35" i="9"/>
  <c r="AH35" i="9"/>
  <c r="AN45" i="9"/>
  <c r="AN53" i="9"/>
  <c r="AI53" i="9"/>
  <c r="AR25" i="9" l="1"/>
  <c r="Y53" i="9"/>
  <c r="Y54" i="9" s="1"/>
  <c r="AA25" i="9"/>
  <c r="AB25" i="9"/>
  <c r="AC25" i="9"/>
  <c r="AD25" i="9"/>
  <c r="AT23" i="11"/>
  <c r="AS30" i="11"/>
  <c r="AT30" i="11" s="1"/>
  <c r="AG25" i="9"/>
  <c r="AI25" i="9"/>
  <c r="AF25" i="9"/>
  <c r="AN25" i="9"/>
  <c r="AQ25" i="9"/>
  <c r="Z53" i="9"/>
  <c r="Z54" i="9" s="1"/>
  <c r="F53" i="9"/>
  <c r="F54" i="9" s="1"/>
  <c r="P53" i="9"/>
  <c r="P54" i="9" s="1"/>
  <c r="U53" i="9"/>
  <c r="U54" i="9" s="1"/>
  <c r="AE53" i="9"/>
  <c r="AE54" i="9" s="1"/>
  <c r="AJ30" i="9" l="1"/>
  <c r="AK35" i="9"/>
  <c r="AK53" i="9"/>
  <c r="AM53" i="9"/>
  <c r="AL53" i="9"/>
  <c r="AP52" i="9"/>
  <c r="AP53" i="9" s="1"/>
  <c r="AQ53" i="9"/>
  <c r="AR53" i="9"/>
  <c r="AQ45" i="9"/>
  <c r="AP45" i="9"/>
  <c r="AR45" i="9"/>
  <c r="AN35" i="9" l="1"/>
  <c r="AN46" i="9" s="1"/>
  <c r="AN54" i="9" s="1"/>
  <c r="AM35" i="9"/>
  <c r="AL35" i="9"/>
  <c r="AK46" i="9"/>
  <c r="AK54" i="9" s="1"/>
  <c r="AO30" i="9"/>
  <c r="AP35" i="9"/>
  <c r="AP46" i="9" s="1"/>
  <c r="AP54" i="9" s="1"/>
  <c r="AQ35" i="9"/>
  <c r="AQ46" i="9" s="1"/>
  <c r="AQ54" i="9" s="1"/>
  <c r="AR35" i="9"/>
  <c r="AR46" i="9" s="1"/>
  <c r="AR54" i="9" s="1"/>
  <c r="AL78" i="4"/>
  <c r="AP78" i="4" s="1"/>
  <c r="L59" i="7"/>
  <c r="L58" i="7"/>
  <c r="L57" i="7"/>
  <c r="L56" i="7"/>
  <c r="Z57" i="3"/>
  <c r="Z56" i="3"/>
  <c r="Z58" i="3"/>
  <c r="U58" i="3"/>
  <c r="U57" i="3"/>
  <c r="U56" i="3"/>
  <c r="AJ65" i="9"/>
  <c r="AM65" i="9"/>
  <c r="AO65" i="9"/>
  <c r="AQ65" i="9"/>
  <c r="AL45" i="9"/>
  <c r="AL46" i="9" s="1"/>
  <c r="AM45" i="9"/>
  <c r="AI35" i="9"/>
  <c r="AG46" i="9"/>
  <c r="AG54" i="9" s="1"/>
  <c r="AF46" i="9"/>
  <c r="AF54" i="9" s="1"/>
  <c r="AL54" i="9" l="1"/>
  <c r="AI46" i="9"/>
  <c r="AI54" i="9" s="1"/>
  <c r="AM46" i="9"/>
  <c r="AM54" i="9" s="1"/>
  <c r="AR8" i="15"/>
  <c r="AT8" i="15" s="1"/>
  <c r="AO62" i="9"/>
  <c r="AO59" i="6" l="1"/>
  <c r="AO58" i="6"/>
  <c r="AO57" i="6"/>
  <c r="AO56" i="6"/>
  <c r="AJ59" i="6"/>
  <c r="AJ58" i="6"/>
  <c r="AJ57" i="6"/>
  <c r="AJ56" i="6"/>
  <c r="AE59" i="6"/>
  <c r="AE58" i="6"/>
  <c r="AE57" i="6"/>
  <c r="AE56" i="6"/>
  <c r="Z59" i="6"/>
  <c r="Z58" i="6"/>
  <c r="Z57" i="6"/>
  <c r="Z56" i="6"/>
  <c r="U59" i="6"/>
  <c r="U58" i="6"/>
  <c r="U57" i="6"/>
  <c r="U56" i="6"/>
  <c r="P59" i="6"/>
  <c r="P58" i="6"/>
  <c r="P57" i="6"/>
  <c r="P56" i="6"/>
  <c r="K59" i="6"/>
  <c r="K58" i="6"/>
  <c r="K57" i="6"/>
  <c r="K56" i="6"/>
  <c r="F59" i="6"/>
  <c r="F58" i="6"/>
  <c r="F57" i="6"/>
  <c r="F56" i="6"/>
  <c r="F58" i="3"/>
  <c r="F57" i="3"/>
  <c r="F56" i="3"/>
  <c r="F55" i="3"/>
  <c r="K58" i="3"/>
  <c r="K57" i="3"/>
  <c r="K56" i="3"/>
  <c r="K55" i="3"/>
  <c r="P58" i="3"/>
  <c r="P57" i="3"/>
  <c r="P56" i="3"/>
  <c r="P55" i="3"/>
  <c r="U55" i="3"/>
  <c r="Z55" i="3"/>
  <c r="AE58" i="3"/>
  <c r="AE57" i="3"/>
  <c r="AE56" i="3"/>
  <c r="AE55" i="3"/>
  <c r="AJ58" i="3"/>
  <c r="AJ57" i="3"/>
  <c r="AJ56" i="3"/>
  <c r="AJ55" i="3"/>
  <c r="AO58" i="3"/>
  <c r="AO57" i="3"/>
  <c r="AO56" i="3"/>
  <c r="AO55" i="3"/>
  <c r="G78" i="4"/>
  <c r="L78" i="4"/>
  <c r="Q78" i="4"/>
  <c r="V81" i="4"/>
  <c r="V80" i="4"/>
  <c r="V79" i="4"/>
  <c r="V78" i="4"/>
  <c r="AA81" i="4"/>
  <c r="AA80" i="4"/>
  <c r="AA79" i="4"/>
  <c r="AA78" i="4"/>
  <c r="AF81" i="4"/>
  <c r="AF80" i="4"/>
  <c r="AF79" i="4"/>
  <c r="AF78" i="4"/>
  <c r="AK81" i="4"/>
  <c r="AK80" i="4"/>
  <c r="AK79" i="4"/>
  <c r="AK78" i="4"/>
  <c r="D61" i="24" l="1"/>
  <c r="C61" i="24"/>
  <c r="G30" i="23" l="1"/>
  <c r="O62" i="7"/>
  <c r="AR62" i="6"/>
  <c r="AR61" i="3"/>
  <c r="AN84" i="4"/>
  <c r="AM84" i="4" l="1"/>
  <c r="F30" i="23" l="1"/>
  <c r="E30" i="23"/>
  <c r="AJ68" i="9"/>
  <c r="AJ67" i="9"/>
  <c r="AJ63" i="9"/>
  <c r="AJ62" i="9"/>
  <c r="AJ61" i="9"/>
  <c r="AJ59" i="9"/>
  <c r="AJ58" i="9"/>
  <c r="AJ57" i="9"/>
  <c r="AJ53" i="9"/>
  <c r="AJ45" i="9"/>
  <c r="AJ44" i="9"/>
  <c r="AJ43" i="9"/>
  <c r="AJ42" i="9"/>
  <c r="AJ41" i="9"/>
  <c r="AJ40" i="9"/>
  <c r="AJ38" i="9"/>
  <c r="AJ34" i="9"/>
  <c r="AJ35" i="9"/>
  <c r="AJ33" i="9"/>
  <c r="AJ32" i="9"/>
  <c r="AJ31" i="9"/>
  <c r="AJ29" i="9"/>
  <c r="AJ28" i="9"/>
  <c r="AJ27" i="9"/>
  <c r="AJ25" i="9"/>
  <c r="AJ24" i="9"/>
  <c r="AJ23" i="9"/>
  <c r="AJ22" i="9"/>
  <c r="AJ20" i="9"/>
  <c r="AJ19" i="9"/>
  <c r="AJ17" i="9"/>
  <c r="AJ16" i="9"/>
  <c r="AJ15" i="9"/>
  <c r="AJ14" i="9"/>
  <c r="AJ13" i="9"/>
  <c r="AJ12" i="9"/>
  <c r="AJ11" i="9"/>
  <c r="AJ10" i="9"/>
  <c r="AJ9" i="9"/>
  <c r="AJ8" i="9"/>
  <c r="AO9" i="9"/>
  <c r="AO10" i="9"/>
  <c r="AO11" i="9"/>
  <c r="AO12" i="9"/>
  <c r="AO13" i="9"/>
  <c r="AO14" i="9"/>
  <c r="AO15" i="9"/>
  <c r="AO16" i="9"/>
  <c r="AO17" i="9"/>
  <c r="AO19" i="9"/>
  <c r="AO20" i="9"/>
  <c r="AO22" i="9"/>
  <c r="AO23" i="9"/>
  <c r="AO24" i="9"/>
  <c r="AO25" i="9"/>
  <c r="AO27" i="9"/>
  <c r="AO28" i="9"/>
  <c r="AO29" i="9"/>
  <c r="AO31" i="9"/>
  <c r="AO32" i="9"/>
  <c r="AO33" i="9"/>
  <c r="AO35" i="9"/>
  <c r="AO34" i="9"/>
  <c r="AO38" i="9"/>
  <c r="AO40" i="9"/>
  <c r="AO41" i="9"/>
  <c r="AO42" i="9"/>
  <c r="AO43" i="9"/>
  <c r="AO44" i="9"/>
  <c r="AO45" i="9"/>
  <c r="AO53" i="9"/>
  <c r="AO57" i="9"/>
  <c r="AO58" i="9"/>
  <c r="AO59" i="9"/>
  <c r="AO61" i="9"/>
  <c r="AO63" i="9"/>
  <c r="AO67" i="9"/>
  <c r="AO68" i="9"/>
  <c r="AO8" i="9"/>
  <c r="N62" i="7"/>
  <c r="AQ62" i="6"/>
  <c r="AQ61" i="3"/>
  <c r="AO46" i="9" l="1"/>
  <c r="AO54" i="9" s="1"/>
  <c r="AJ46" i="9"/>
  <c r="AJ54" i="9" s="1"/>
  <c r="L12" i="7"/>
  <c r="L11" i="7"/>
  <c r="L10" i="7"/>
  <c r="AO11" i="3"/>
  <c r="J33" i="11" l="1"/>
  <c r="J34" i="11" s="1"/>
  <c r="K33" i="11" l="1"/>
  <c r="K34" i="11" s="1"/>
  <c r="I33" i="11"/>
  <c r="H33" i="11"/>
  <c r="G33" i="11"/>
  <c r="AH46" i="9" l="1"/>
  <c r="AH54" i="9" s="1"/>
  <c r="C42" i="12"/>
  <c r="D42" i="12"/>
  <c r="E42" i="12"/>
  <c r="G42" i="12"/>
  <c r="K42" i="12" s="1"/>
  <c r="H42" i="12"/>
  <c r="I42" i="12"/>
  <c r="J42" i="12"/>
  <c r="L42" i="12"/>
  <c r="P42" i="12" s="1"/>
  <c r="M42" i="12"/>
  <c r="N42" i="12"/>
  <c r="O42" i="12"/>
  <c r="Q42" i="12"/>
  <c r="U42" i="12" s="1"/>
  <c r="R42" i="12"/>
  <c r="S42" i="12"/>
  <c r="T42" i="12"/>
  <c r="V42" i="12"/>
  <c r="Z42" i="12" s="1"/>
  <c r="W42" i="12"/>
  <c r="X42" i="12"/>
  <c r="Y42" i="12"/>
  <c r="AA42" i="12"/>
  <c r="AE42" i="12" s="1"/>
  <c r="AB42" i="12"/>
  <c r="AC42" i="12"/>
  <c r="AD42" i="12"/>
  <c r="AF42" i="12"/>
  <c r="AG42" i="12"/>
  <c r="AH42" i="12"/>
  <c r="B43" i="12"/>
  <c r="C43" i="12"/>
  <c r="D43" i="12"/>
  <c r="E43" i="12"/>
  <c r="F43" i="12"/>
  <c r="G43" i="12"/>
  <c r="H43" i="12"/>
  <c r="I43" i="12"/>
  <c r="J43" i="12"/>
  <c r="K43" i="12"/>
  <c r="L43" i="12"/>
  <c r="M43" i="12"/>
  <c r="N43" i="12"/>
  <c r="O43" i="12"/>
  <c r="P43" i="12"/>
  <c r="Q43" i="12"/>
  <c r="R43" i="12"/>
  <c r="S43" i="12"/>
  <c r="T43" i="12"/>
  <c r="U43" i="12"/>
  <c r="V43" i="12"/>
  <c r="W43" i="12"/>
  <c r="X43" i="12"/>
  <c r="Y43" i="12"/>
  <c r="Z43" i="12"/>
  <c r="AA43" i="12"/>
  <c r="AB43" i="12"/>
  <c r="AC43" i="12"/>
  <c r="AD43" i="12"/>
  <c r="AE43" i="12"/>
  <c r="AF43" i="12"/>
  <c r="AG43" i="12"/>
  <c r="AH43" i="12"/>
</calcChain>
</file>

<file path=xl/sharedStrings.xml><?xml version="1.0" encoding="utf-8"?>
<sst xmlns="http://schemas.openxmlformats.org/spreadsheetml/2006/main" count="828" uniqueCount="312">
  <si>
    <t xml:space="preserve">Modelling Support </t>
  </si>
  <si>
    <t>1. Production Processes</t>
  </si>
  <si>
    <t>2. Market Data</t>
  </si>
  <si>
    <t>3. Income Statemen</t>
  </si>
  <si>
    <t>4. Balance Sheet</t>
  </si>
  <si>
    <t>5. Cash Flow</t>
  </si>
  <si>
    <t>6. Operational Data</t>
  </si>
  <si>
    <t>6.1. Aranzazu</t>
  </si>
  <si>
    <t>6.2. Apoena (EPP)</t>
  </si>
  <si>
    <t>6.3. Minosa (San Andres)</t>
  </si>
  <si>
    <t>6.4. Almas</t>
  </si>
  <si>
    <t>Cautionary Statements</t>
  </si>
  <si>
    <t>Non-IFRS Financial Measures
This sheet includes certain non-IFRS financial measures, including cash operating costs per gold equivalent ounce produced, net debt and Adjusted EBITDA, which are not recognized under IFRS and do not have a standardized meaning prescribed by IFRS. The data is intended to provide additional information and should not be considered in isolation or as a substitute for measures of performance prepared in accordance with IFRS. Further details on non-IFRS financial measures are provided in our Management’s Discussion and Analysis accompanying our financial statements filed from time to time on SEDAR at www.sedar.com 
Technical Information
The technical information in this excel sheet has been approved and verified by Farshid Ghazanfari, P.Geo., who is the Qualified Person as that term is defined under NI 43-101 for Aura. Specific reference is made to, and the technical information in this presentation should be read in conjunction with, Section 21: Technical Information and the related technical disclosure contained in the MD&amp;A, together with qualifications and assumptions set out therein. Readers are further cautioned that mineral resources that are not mineral reserves do not have demonstrated economic viability. All technical information relating to Aura’s properties and the Company’s mineral reserves and resources is available on SEDAR at www.sedar.com. Readers are also advised to refer to the latest annual information form and technical reports of the Company as well as other continuous disclosure documents filed by the Company available at www.sedar.com, for detailed information (including qualifications, assumptions and notes set out accordingly) regarding the mineral reserve and mineral resource information contained in this MD&amp;A.</t>
  </si>
  <si>
    <t>Carbon-in-Leach (CIL) (Apoena, Almas)</t>
  </si>
  <si>
    <t>Heap Leach (Minosa)</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</si>
  <si>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</si>
  <si>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</si>
  <si>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</si>
  <si>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</si>
  <si>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</si>
  <si>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</si>
  <si>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</si>
  <si>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</si>
  <si>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</si>
  <si>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</si>
  <si>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</si>
  <si>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</si>
  <si>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</si>
  <si>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</si>
  <si>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</si>
  <si>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</si>
  <si>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</si>
  <si>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</si>
  <si>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</si>
  <si>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</si>
  <si>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</si>
  <si>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</si>
  <si>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</si>
  <si>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</si>
  <si>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</si>
  <si>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</si>
  <si>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</si>
  <si>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</si>
  <si>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1Q24</t>
  </si>
  <si>
    <t>2Q24</t>
  </si>
  <si>
    <t>3Q24</t>
  </si>
  <si>
    <t>4Q24</t>
  </si>
  <si>
    <t>1Q25</t>
  </si>
  <si>
    <t>2Q25</t>
  </si>
  <si>
    <t>3Q25</t>
  </si>
  <si>
    <t>4Q25</t>
  </si>
  <si>
    <t>1Q26</t>
  </si>
  <si>
    <t>2Q26</t>
  </si>
  <si>
    <t>3Q26</t>
  </si>
  <si>
    <t>4Q26</t>
  </si>
  <si>
    <t>Income Statement ('000 US$)</t>
  </si>
  <si>
    <t>Net Revenues</t>
  </si>
  <si>
    <t>Cost of goods sold</t>
  </si>
  <si>
    <t>Gross Profit</t>
  </si>
  <si>
    <t>General and administrative expenses</t>
  </si>
  <si>
    <t>Exploration expenses</t>
  </si>
  <si>
    <t>Change in estimate for mine closure and restoration</t>
  </si>
  <si>
    <t>Other expenses, net</t>
  </si>
  <si>
    <t>Operating Income</t>
  </si>
  <si>
    <t>Finance expense</t>
  </si>
  <si>
    <t>Finance income</t>
  </si>
  <si>
    <t>Income before income taxes</t>
  </si>
  <si>
    <t>Current tax</t>
  </si>
  <si>
    <t xml:space="preserve">Deferred tax </t>
  </si>
  <si>
    <t>Profit from discontinued operations</t>
  </si>
  <si>
    <t>Net Income</t>
  </si>
  <si>
    <t>Depletion and amortization</t>
  </si>
  <si>
    <t>Adjusted EBITDA</t>
  </si>
  <si>
    <t>Adjusted EBITDA Margin</t>
  </si>
  <si>
    <t>Balance Sheet ('000 US$)</t>
  </si>
  <si>
    <t>Cash and Equivalents</t>
  </si>
  <si>
    <t>Restricted Cash</t>
  </si>
  <si>
    <t>Short Term Investments</t>
  </si>
  <si>
    <t>Accounts Receivable</t>
  </si>
  <si>
    <t>Value added taxes and other recoverable taxes</t>
  </si>
  <si>
    <t>Inventories</t>
  </si>
  <si>
    <t>Assets Held for Resale</t>
  </si>
  <si>
    <t>Derivative Financial Instrument</t>
  </si>
  <si>
    <t>Other receivables and assets</t>
  </si>
  <si>
    <t>Current Assets</t>
  </si>
  <si>
    <t>Inventory</t>
  </si>
  <si>
    <t>Property, plant and equipment</t>
  </si>
  <si>
    <t>Deferred Income Tax Assets</t>
  </si>
  <si>
    <t>Non-current Assets</t>
  </si>
  <si>
    <t>Total Assets</t>
  </si>
  <si>
    <t>Current</t>
  </si>
  <si>
    <t>Trade and Other Payables</t>
  </si>
  <si>
    <t>Loans and Debentures</t>
  </si>
  <si>
    <t>Liability measured at fair value</t>
  </si>
  <si>
    <t>Current income tax liabilities</t>
  </si>
  <si>
    <t>Current portion of other liabilities</t>
  </si>
  <si>
    <t>Provision for mine closure and restoration</t>
  </si>
  <si>
    <t>-</t>
  </si>
  <si>
    <t>Liabilities directly associated with assets classified as held for sale</t>
  </si>
  <si>
    <t>Total current liabilities</t>
  </si>
  <si>
    <t>Loans and debentures</t>
  </si>
  <si>
    <t>Deferred Income Tax Liabilities</t>
  </si>
  <si>
    <t>Other Provisions</t>
  </si>
  <si>
    <t>Other Liabilities</t>
  </si>
  <si>
    <t>Non-current Liabilities</t>
  </si>
  <si>
    <t>Total Liabilities</t>
  </si>
  <si>
    <t>SHAREHOLDERS' EQUITY</t>
  </si>
  <si>
    <t>Share capital</t>
  </si>
  <si>
    <t>Contributed surplus</t>
  </si>
  <si>
    <t>Accumulated other comprehensive income</t>
  </si>
  <si>
    <t>Accumulated losses</t>
  </si>
  <si>
    <t>Total Equity</t>
  </si>
  <si>
    <t>Total Liabilities + Equity</t>
  </si>
  <si>
    <t>ST Debt</t>
  </si>
  <si>
    <t>LT Debt</t>
  </si>
  <si>
    <t>Gross Debt</t>
  </si>
  <si>
    <t>Derivative Financial Instruments</t>
  </si>
  <si>
    <t>Net Debt</t>
  </si>
  <si>
    <t>EBITDA</t>
  </si>
  <si>
    <t>Net Debt / LTM EBITDA</t>
  </si>
  <si>
    <t>Statement of Cash Flow ('000 US$)</t>
  </si>
  <si>
    <t>Earnings</t>
  </si>
  <si>
    <t>Items not Affecting Cash</t>
  </si>
  <si>
    <t>Changes in Working Capital</t>
  </si>
  <si>
    <t>Taxes Paid</t>
  </si>
  <si>
    <t>Other Assets and Liabilities</t>
  </si>
  <si>
    <t>Operating Cash Flow</t>
  </si>
  <si>
    <t>Purchase of property, plant and equipment</t>
  </si>
  <si>
    <t>Net Purchase of Short Term Investment</t>
  </si>
  <si>
    <t>Acquisition of investment – Bluestone Resources, net of cash aquired</t>
  </si>
  <si>
    <t>Acquisition of investment – Altamira</t>
  </si>
  <si>
    <t>Acquisition of investment - Mineração Serra Grande, net of cash aquired</t>
  </si>
  <si>
    <t>Investing Cash Flow</t>
  </si>
  <si>
    <t>Net Proceeds from the Nasdaq IPO</t>
  </si>
  <si>
    <t>Increase (decrease) in debt</t>
  </si>
  <si>
    <t>Payment of Dividends</t>
  </si>
  <si>
    <t>Acquisition of treasury shares</t>
  </si>
  <si>
    <t>Proceeds from exercise of stock options and restricted share units</t>
  </si>
  <si>
    <t>Proceeds from Royalty agreement</t>
  </si>
  <si>
    <t>Payment of principal and interest on lease liabilities</t>
  </si>
  <si>
    <t>Repayment of Gold Loans</t>
  </si>
  <si>
    <t>Repayment of Short Term Loans</t>
  </si>
  <si>
    <t>Swap settlement</t>
  </si>
  <si>
    <t>Repayment of Other Liabilities</t>
  </si>
  <si>
    <t>Interest Paid</t>
  </si>
  <si>
    <t>Share buyback</t>
  </si>
  <si>
    <t>Proceeds from exercise of stock options</t>
  </si>
  <si>
    <t>Financing cash flow</t>
  </si>
  <si>
    <t>Change in Cash Position</t>
  </si>
  <si>
    <t>Effect of Foreign Exchange Loss on Cash Equivalents</t>
  </si>
  <si>
    <t>Cash and Cash Equivalents, beginning of the period</t>
  </si>
  <si>
    <t>Cash and Cash Equivalents, end of the period</t>
  </si>
  <si>
    <t>Gold bullion produced (ounces)</t>
  </si>
  <si>
    <t>Copper concentrate produced (DMT)</t>
  </si>
  <si>
    <t>Total comercial production (GEO)</t>
  </si>
  <si>
    <t>Oz Sold  - Gold Equivalent Ounces (GEO)</t>
  </si>
  <si>
    <t xml:space="preserve">Minosa </t>
  </si>
  <si>
    <t xml:space="preserve">Apoena </t>
  </si>
  <si>
    <t>Aranzazu</t>
  </si>
  <si>
    <t>Almas</t>
  </si>
  <si>
    <t>Borborema</t>
  </si>
  <si>
    <t>MSG</t>
  </si>
  <si>
    <t>Gold sales revenues net of local sale taxes (000 US$)</t>
  </si>
  <si>
    <t>Average gold market price per oz (London PM fix)</t>
  </si>
  <si>
    <t>Realized average gold price per ounce sold (US$/GEO)</t>
  </si>
  <si>
    <t>Cash Costs per Ounce of Gold Sold (US$/GEO)</t>
  </si>
  <si>
    <t>Minosa (San Andres)</t>
  </si>
  <si>
    <t>Apoena (EPP)</t>
  </si>
  <si>
    <t>Consolidated Cash Cost (US$/GEO)</t>
  </si>
  <si>
    <t>All-in sustaining cash costs per Ounce of Gold Sold (US$/GEO)</t>
  </si>
  <si>
    <t>Minosa</t>
  </si>
  <si>
    <t>Consolidated AISC (US$/GEOI)</t>
  </si>
  <si>
    <t>Aranzazu ('000 US$)</t>
  </si>
  <si>
    <t>Reserves &amp; Resources</t>
  </si>
  <si>
    <t>P&amp;P Reserves (Cu, '000 lb.)</t>
  </si>
  <si>
    <t>M&amp;I Resources (Cu, '000 lb.)</t>
  </si>
  <si>
    <t>Inferred (Cu, '000 lb.)</t>
  </si>
  <si>
    <t>P&amp;P Reserves (Au oz)</t>
  </si>
  <si>
    <t>M&amp;I Resources (Au oz)</t>
  </si>
  <si>
    <t>Inferred (Au oz)</t>
  </si>
  <si>
    <t>P&amp;P Reserves (Ag oz)</t>
  </si>
  <si>
    <t>M&amp;I Resources (Ag oz)</t>
  </si>
  <si>
    <t>Inferred (Ag oz)</t>
  </si>
  <si>
    <t>Ore mined (ton)</t>
  </si>
  <si>
    <t>Ore processed (ton)</t>
  </si>
  <si>
    <t>Grade</t>
  </si>
  <si>
    <t>Copper (%)</t>
  </si>
  <si>
    <t>Gold (g/ton)</t>
  </si>
  <si>
    <t>Silver (g/ton)</t>
  </si>
  <si>
    <t>Molybdenum grade (%)</t>
  </si>
  <si>
    <t>Recovery Rate (%)</t>
  </si>
  <si>
    <t>Copper</t>
  </si>
  <si>
    <t>Gold</t>
  </si>
  <si>
    <t>Silver</t>
  </si>
  <si>
    <t>Molybdenum  recovery</t>
  </si>
  <si>
    <t>Concentrate production:</t>
  </si>
  <si>
    <t>Cooper concentrate produced (DMT)</t>
  </si>
  <si>
    <t>Cooper contained in concentrate (%)</t>
  </si>
  <si>
    <t>Gold contained in concentrate (g/DMT)</t>
  </si>
  <si>
    <t>Silver contained in concentrate (g/DMT)</t>
  </si>
  <si>
    <t>Copper Pounds Produced ('000 lb.)</t>
  </si>
  <si>
    <t>Molybdenum Production (Klbs)</t>
  </si>
  <si>
    <t>Gold Eq. Total Production (GEO)</t>
  </si>
  <si>
    <t>Gold Eq. Sales (GEO)</t>
  </si>
  <si>
    <t>Cash COGS (US$/GEO)</t>
  </si>
  <si>
    <t>AISC (US$/GEO)</t>
  </si>
  <si>
    <t>Gross Revenue</t>
  </si>
  <si>
    <t>Net Revenue</t>
  </si>
  <si>
    <t>Gross Margin</t>
  </si>
  <si>
    <t>Care-and-maintenance expenses</t>
  </si>
  <si>
    <t>Other income (losses)</t>
  </si>
  <si>
    <t>Financial expenses</t>
  </si>
  <si>
    <t>Financial income</t>
  </si>
  <si>
    <t>Income before taxes</t>
  </si>
  <si>
    <t>Income tax</t>
  </si>
  <si>
    <t>Deferred income tax</t>
  </si>
  <si>
    <t>Total CAPEX</t>
  </si>
  <si>
    <t>Sustaining</t>
  </si>
  <si>
    <t>Exploration</t>
  </si>
  <si>
    <t>Expansion</t>
  </si>
  <si>
    <t>Margin (%)</t>
  </si>
  <si>
    <t>Apoena ('000 US$)</t>
  </si>
  <si>
    <t>Minerable assets</t>
  </si>
  <si>
    <t>Waste mined (ton)</t>
  </si>
  <si>
    <t>Waste to ore ratio</t>
  </si>
  <si>
    <t>Ore plant feed (ton)</t>
  </si>
  <si>
    <t>Grade (g/ton)</t>
  </si>
  <si>
    <t>Recovery (g/ton)</t>
  </si>
  <si>
    <t>Gold Total Production (ounces)</t>
  </si>
  <si>
    <t>Gold Sales (ounces)</t>
  </si>
  <si>
    <t xml:space="preserve"> </t>
  </si>
  <si>
    <t>ARO change in estimate</t>
  </si>
  <si>
    <t>Finance cost</t>
  </si>
  <si>
    <t>Income taxes</t>
  </si>
  <si>
    <t>Deferred income taxes</t>
  </si>
  <si>
    <t>Minosa ('000 US$)</t>
  </si>
  <si>
    <t>Other Expenses</t>
  </si>
  <si>
    <t>Almas ('000 US$)</t>
  </si>
  <si>
    <t>Inferred</t>
  </si>
  <si>
    <t>Voltar ao índice</t>
  </si>
  <si>
    <t>Borborema ('000 US$)</t>
  </si>
  <si>
    <t>Dec25</t>
  </si>
  <si>
    <t>MSG ('000 US$)</t>
  </si>
  <si>
    <t>Operation</t>
  </si>
  <si>
    <t>Financial Debt</t>
  </si>
  <si>
    <t>Maturity</t>
  </si>
  <si>
    <t>Rate</t>
  </si>
  <si>
    <t>Banco Occidente</t>
  </si>
  <si>
    <t>Q2 2022 Loan Agreement ("5th Promissory Note")</t>
  </si>
  <si>
    <t>Q3 2022 Loan Agreement ("6th Promissory Note")</t>
  </si>
  <si>
    <t>Q1 2024 Loan Agreement (“8th Promissory Note”)</t>
  </si>
  <si>
    <t>Q3 2024 Loan Agreement (“9th Promissory Note”)</t>
  </si>
  <si>
    <t>Banco Atlántida</t>
  </si>
  <si>
    <t>Q2 2022 Loan Agreement ("7th Promissory Note")</t>
  </si>
  <si>
    <t>Banco Santander México</t>
  </si>
  <si>
    <t>Q3 2024 Loan Agreement (“5th Promissory Note”)</t>
  </si>
  <si>
    <t>SOFR + 3,8%</t>
  </si>
  <si>
    <t>Apoena</t>
  </si>
  <si>
    <t xml:space="preserve">Banco ABC Brasil S.A. </t>
  </si>
  <si>
    <t>Q1 2022 Loan Agreement ("5th Promissory Note")</t>
  </si>
  <si>
    <t>BTG Pactual</t>
  </si>
  <si>
    <t>Banco do Brasil</t>
  </si>
  <si>
    <t>Q1 2024 Loan Agreement ("1st Promissory Note")</t>
  </si>
  <si>
    <t>Banco Bradesco</t>
  </si>
  <si>
    <t>Q4 2024 Loan Agreement (“2nd Promissory Note”)</t>
  </si>
  <si>
    <t>Banco Santander Brasil</t>
  </si>
  <si>
    <t>Q3 2023 Loan Agreement ("4th Promissory Note")</t>
  </si>
  <si>
    <t>Gold Royalty Corp (a)</t>
  </si>
  <si>
    <t xml:space="preserve">Gold Linked Loan </t>
  </si>
  <si>
    <t>Debêntures</t>
  </si>
  <si>
    <t>Debentures – 2nd issuance</t>
  </si>
  <si>
    <t>CDI + 1,60%</t>
  </si>
  <si>
    <t>Banco Safra</t>
  </si>
  <si>
    <t>Q3 2024 Loan Agreement (“2nd Promissory Note”)</t>
  </si>
  <si>
    <t>Bluestone</t>
  </si>
  <si>
    <t>Nemesia SÀRL</t>
  </si>
  <si>
    <t>(a)</t>
  </si>
  <si>
    <t>(a) This loan was recognized in the Company’s financial statements as a result of the acquisition of Bluestone.</t>
  </si>
  <si>
    <t>Total</t>
  </si>
  <si>
    <t>Non-current</t>
  </si>
  <si>
    <t>Project</t>
  </si>
  <si>
    <t>Deposit</t>
  </si>
  <si>
    <t>Corporate Income Tax</t>
  </si>
  <si>
    <t>Government Royalties (% of NSR)</t>
  </si>
  <si>
    <t>Lavrinha</t>
  </si>
  <si>
    <t>34%</t>
  </si>
  <si>
    <t>Gold: 1.50%</t>
  </si>
  <si>
    <t>Japonês</t>
  </si>
  <si>
    <t>Ernesto</t>
  </si>
  <si>
    <t>Nosde</t>
  </si>
  <si>
    <t>Pau a Pique</t>
  </si>
  <si>
    <t>São Francisco</t>
  </si>
  <si>
    <t>Paiol</t>
  </si>
  <si>
    <t>Cata Funda</t>
  </si>
  <si>
    <t>Vira Saia</t>
  </si>
  <si>
    <t>Matupa</t>
  </si>
  <si>
    <t>X1</t>
  </si>
  <si>
    <t>Guarantã Ridge</t>
  </si>
  <si>
    <t>Base Metals: 0.00%</t>
  </si>
  <si>
    <t>Tolda Fria</t>
  </si>
  <si>
    <t>Gold: 0.00%</t>
  </si>
  <si>
    <t>30%</t>
  </si>
  <si>
    <t>Gold/Silver: 0.50%</t>
  </si>
  <si>
    <t>San Andrés</t>
  </si>
  <si>
    <t>25%</t>
  </si>
  <si>
    <t>Era Dourada</t>
  </si>
  <si>
    <t>ARO Change in estimate</t>
  </si>
  <si>
    <t>Finance costs ¹</t>
  </si>
  <si>
    <t>Financial expenses ¹</t>
  </si>
  <si>
    <t>Financial income ¹</t>
  </si>
  <si>
    <t>¹ Since Q4/2025 the Company started presenting its financial results disaggregated, meaning we present financial expenses and financial income by period. All quarterly comparisons from Q1/2025 onwards show the new breakdown.</t>
  </si>
  <si>
    <t>Finance cost 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</si>
</sst>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0_-;\-* #,##0_-;_-* &quot;-&quot;??_-;_-@_-"/>
    <numFmt numFmtId="166" formatCode="_(* #,##0_);_(* \(#,##0\);_(* &quot;-&quot;??_);_(@_)"/>
    <numFmt numFmtId="167" formatCode="0%_);\-0%_);&quot;-  &quot;;&quot; &quot;@&quot; &quot;"/>
    <numFmt numFmtId="168" formatCode="_(* #,##0.000_);_(* \(#,##0.000\);_(* &quot;-&quot;??_);_(@_)"/>
    <numFmt numFmtId="169" formatCode="_(* #,##0.0_);_(* \(#,##0.0\);_(* &quot;-&quot;??_);_(@_)"/>
    <numFmt numFmtId="170" formatCode="_(* #,##0.0_);_(* \(#,##0.0\);_(* &quot;-&quot;??_);_(@_)\X"/>
    <numFmt numFmtId="171" formatCode="_-* #,##0.0_-;\-* #,##0.0_-;_-* &quot;-&quot;??_-;_-@_-"/>
    <numFmt numFmtId="172" formatCode="0.0%"/>
    <numFmt numFmtId="173" formatCode="_-* #,##0.000_-;\-* #,##0.000_-;_-* &quot;-&quot;??_-;_-@_-"/>
  </numFmts>
  <fonts count="35">
    <font>
      <sz val="11"/>
      <color theme="1"/>
      <name val="Calibri"/>
      <family val="2"/>
      <scheme val="minor"/>
    </font>
    <font>
      <sz val="11"/>
      <color theme="1"/>
      <name val="Calibri"/>
      <family val="2"/>
      <scheme val="minor"/>
    </font>
    <font>
      <sz val="8"/>
      <name val="Calibri"/>
      <family val="2"/>
      <scheme val="minor"/>
    </font>
    <font>
      <sz val="10"/>
      <name val="Frutiger 45 Light"/>
    </font>
    <font>
      <u/>
      <sz val="11"/>
      <color theme="10"/>
      <name val="Calibri"/>
      <family val="2"/>
      <scheme val="minor"/>
    </font>
    <font>
      <sz val="11"/>
      <color theme="1"/>
      <name val="Aptos"/>
      <family val="2"/>
    </font>
    <font>
      <b/>
      <sz val="11"/>
      <color theme="1"/>
      <name val="Aptos"/>
      <family val="2"/>
    </font>
    <font>
      <sz val="11"/>
      <color rgb="FF2D3D70"/>
      <name val="Aptos"/>
      <family val="2"/>
    </font>
    <font>
      <b/>
      <u/>
      <sz val="22"/>
      <color rgb="FF2D3D70"/>
      <name val="Aptos"/>
      <family val="2"/>
    </font>
    <font>
      <b/>
      <sz val="18"/>
      <color rgb="FF2D3D70"/>
      <name val="Aptos"/>
      <family val="2"/>
    </font>
    <font>
      <sz val="10"/>
      <color rgb="FF2D3D70"/>
      <name val="Aptos"/>
      <family val="2"/>
    </font>
    <font>
      <sz val="10"/>
      <color rgb="FF002060"/>
      <name val="Aptos"/>
      <family val="2"/>
    </font>
    <font>
      <u/>
      <sz val="11"/>
      <color theme="10"/>
      <name val="Aptos"/>
      <family val="2"/>
    </font>
    <font>
      <sz val="11"/>
      <name val="Aptos"/>
      <family val="2"/>
    </font>
    <font>
      <b/>
      <sz val="11"/>
      <color theme="0"/>
      <name val="Aptos"/>
      <family val="2"/>
    </font>
    <font>
      <b/>
      <sz val="11"/>
      <color rgb="FF2D3D70"/>
      <name val="Aptos"/>
      <family val="2"/>
    </font>
    <font>
      <b/>
      <sz val="11"/>
      <name val="Aptos"/>
      <family val="2"/>
    </font>
    <font>
      <sz val="11"/>
      <color rgb="FF0000FF"/>
      <name val="Aptos"/>
      <family val="2"/>
    </font>
    <font>
      <i/>
      <sz val="11"/>
      <color rgb="FF2D3D70"/>
      <name val="Aptos"/>
      <family val="2"/>
    </font>
    <font>
      <sz val="10"/>
      <color theme="1"/>
      <name val="Arial"/>
      <family val="2"/>
    </font>
    <font>
      <sz val="11"/>
      <color rgb="FF2D3D70"/>
      <name val="Aptos"/>
      <family val="2"/>
    </font>
    <font>
      <b/>
      <sz val="11"/>
      <color rgb="FF2D3D70"/>
      <name val="Aptos"/>
      <family val="2"/>
    </font>
    <font>
      <b/>
      <sz val="8"/>
      <color rgb="FF000000"/>
      <name val="Calibri"/>
      <family val="2"/>
    </font>
    <font>
      <sz val="10"/>
      <color theme="1"/>
      <name val="Times New Roman"/>
      <family val="1"/>
    </font>
    <font>
      <sz val="8"/>
      <color rgb="FF000000"/>
      <name val="Calibri"/>
      <family val="2"/>
    </font>
    <font>
      <sz val="8"/>
      <color rgb="FF2D3D70"/>
      <name val="Aptos"/>
      <family val="2"/>
    </font>
    <font>
      <b/>
      <u/>
      <sz val="16"/>
      <color rgb="FF2D3D70"/>
      <name val="Aptos"/>
      <family val="2"/>
    </font>
    <font>
      <sz val="8"/>
      <color rgb="FF000000"/>
      <name val="Calibri"/>
      <family val="2"/>
      <scheme val="minor"/>
    </font>
    <font>
      <sz val="11"/>
      <color theme="1"/>
      <name val="Aptos"/>
    </font>
    <font>
      <b/>
      <sz val="11"/>
      <color theme="0"/>
      <name val="Aptos"/>
    </font>
    <font>
      <sz val="11"/>
      <color rgb="FF2D3D70"/>
      <name val="Aptos"/>
    </font>
    <font>
      <b/>
      <sz val="11"/>
      <color rgb="FF2D3D70"/>
      <name val="Aptos"/>
    </font>
    <font>
      <sz val="8"/>
      <color rgb="FF595959"/>
      <name val="Aptos"/>
      <family val="2"/>
    </font>
    <font>
      <u/>
      <sz val="11"/>
      <color rgb="FF2D3D70"/>
      <name val="Aptos"/>
      <family val="2"/>
    </font>
    <font>
      <sz val="1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rgb="FF2D3D70"/>
        <bgColor indexed="64"/>
      </patternFill>
    </fill>
    <fill>
      <patternFill patternType="solid">
        <fgColor rgb="FFF4614D"/>
        <bgColor indexed="64"/>
      </patternFill>
    </fill>
  </fills>
  <borders count="49">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rgb="FF002060"/>
      </left>
      <right/>
      <top style="medium">
        <color rgb="FF002060"/>
      </top>
      <bottom style="medium">
        <color rgb="FF002060"/>
      </bottom>
      <diagonal/>
    </border>
    <border>
      <left/>
      <right style="thin">
        <color theme="4" tint="-0.499984740745262"/>
      </right>
      <top/>
      <bottom style="thin">
        <color indexed="64"/>
      </bottom>
      <diagonal/>
    </border>
    <border>
      <left/>
      <right style="thin">
        <color theme="4" tint="-0.499984740745262"/>
      </right>
      <top/>
      <bottom/>
      <diagonal/>
    </border>
    <border>
      <left/>
      <right style="thin">
        <color theme="4" tint="-0.499984740745262"/>
      </right>
      <top style="thin">
        <color indexed="64"/>
      </top>
      <bottom/>
      <diagonal/>
    </border>
    <border>
      <left style="thin">
        <color theme="4" tint="-0.499984740745262"/>
      </left>
      <right style="thin">
        <color indexed="64"/>
      </right>
      <top style="thin">
        <color theme="4" tint="-0.499984740745262"/>
      </top>
      <bottom/>
      <diagonal/>
    </border>
    <border>
      <left/>
      <right/>
      <top style="thin">
        <color theme="4" tint="-0.499984740745262"/>
      </top>
      <bottom/>
      <diagonal/>
    </border>
    <border>
      <left style="thin">
        <color indexed="64"/>
      </left>
      <right style="thin">
        <color indexed="64"/>
      </right>
      <top style="thin">
        <color theme="4" tint="-0.499984740745262"/>
      </top>
      <bottom/>
      <diagonal/>
    </border>
    <border>
      <left style="thin">
        <color indexed="64"/>
      </left>
      <right style="thin">
        <color theme="4" tint="-0.499984740745262"/>
      </right>
      <top style="thin">
        <color theme="4" tint="-0.499984740745262"/>
      </top>
      <bottom/>
      <diagonal/>
    </border>
    <border>
      <left style="thin">
        <color theme="4" tint="-0.499984740745262"/>
      </left>
      <right style="thin">
        <color indexed="64"/>
      </right>
      <top/>
      <bottom style="thin">
        <color theme="4" tint="-0.499984740745262"/>
      </bottom>
      <diagonal/>
    </border>
    <border>
      <left/>
      <right/>
      <top/>
      <bottom style="thin">
        <color theme="4" tint="-0.499984740745262"/>
      </bottom>
      <diagonal/>
    </border>
    <border>
      <left style="thin">
        <color indexed="64"/>
      </left>
      <right style="thin">
        <color indexed="64"/>
      </right>
      <top/>
      <bottom style="thin">
        <color theme="4" tint="-0.499984740745262"/>
      </bottom>
      <diagonal/>
    </border>
    <border>
      <left style="thin">
        <color indexed="64"/>
      </left>
      <right style="thin">
        <color theme="4" tint="-0.499984740745262"/>
      </right>
      <top/>
      <bottom style="thin">
        <color theme="4" tint="-0.499984740745262"/>
      </bottom>
      <diagonal/>
    </border>
    <border>
      <left/>
      <right style="thin">
        <color indexed="64"/>
      </right>
      <top/>
      <bottom style="thin">
        <color theme="4" tint="-0.499984740745262"/>
      </bottom>
      <diagonal/>
    </border>
    <border>
      <left style="thin">
        <color theme="4" tint="-0.499984740745262"/>
      </left>
      <right/>
      <top/>
      <bottom/>
      <diagonal/>
    </border>
    <border>
      <left style="thin">
        <color indexed="64"/>
      </left>
      <right/>
      <top/>
      <bottom/>
      <diagonal/>
    </border>
    <border>
      <left style="thin">
        <color indexed="64"/>
      </left>
      <right/>
      <top/>
      <bottom style="thin">
        <color indexed="64"/>
      </bottom>
      <diagonal/>
    </border>
    <border>
      <left/>
      <right/>
      <top/>
      <bottom style="medium">
        <color theme="0" tint="-0.24994659260841701"/>
      </bottom>
      <diagonal/>
    </border>
    <border>
      <left/>
      <right/>
      <top/>
      <bottom style="medium">
        <color rgb="FFBFBFBF"/>
      </bottom>
      <diagonal/>
    </border>
    <border>
      <left/>
      <right/>
      <top style="medium">
        <color theme="0" tint="-0.2499465926084170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diagonal/>
    </border>
    <border>
      <left/>
      <right style="medium">
        <color theme="0" tint="-0.24994659260841701"/>
      </right>
      <top/>
      <bottom/>
      <diagonal/>
    </border>
    <border>
      <left/>
      <right style="medium">
        <color theme="0" tint="-0.24994659260841701"/>
      </right>
      <top/>
      <bottom style="medium">
        <color theme="0" tint="-0.24994659260841701"/>
      </bottom>
      <diagonal/>
    </border>
    <border>
      <left style="medium">
        <color theme="0" tint="-0.24994659260841701"/>
      </left>
      <right/>
      <top style="medium">
        <color theme="0" tint="-0.24994659260841701"/>
      </top>
      <bottom/>
      <diagonal/>
    </border>
    <border>
      <left style="medium">
        <color theme="0" tint="-0.24994659260841701"/>
      </left>
      <right/>
      <top/>
      <bottom style="medium">
        <color theme="0" tint="-0.24994659260841701"/>
      </bottom>
      <diagonal/>
    </border>
    <border>
      <left style="medium">
        <color theme="0" tint="-0.24994659260841701"/>
      </left>
      <right/>
      <top/>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style="medium">
        <color rgb="FF002060"/>
      </left>
      <right style="medium">
        <color rgb="FF002060"/>
      </right>
      <top style="medium">
        <color rgb="FF002060"/>
      </top>
      <bottom style="medium">
        <color rgb="FF002060"/>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applyNumberFormat="0" applyFill="0" applyBorder="0" applyAlignment="0" applyProtection="0"/>
    <xf numFmtId="164" fontId="19" fillId="0" borderId="0" applyFont="0" applyFill="0" applyBorder="0" applyAlignment="0" applyProtection="0"/>
    <xf numFmtId="164" fontId="1" fillId="0" borderId="0" applyFont="0" applyFill="0" applyBorder="0" applyAlignment="0" applyProtection="0"/>
    <xf numFmtId="0" fontId="34" fillId="0" borderId="0"/>
  </cellStyleXfs>
  <cellXfs count="275">
    <xf numFmtId="0" fontId="0" fillId="0" borderId="0" xfId="0"/>
    <xf numFmtId="0" fontId="5" fillId="0" borderId="0" xfId="0" applyFont="1"/>
    <xf numFmtId="0" fontId="6" fillId="0" borderId="0" xfId="0" applyFont="1"/>
    <xf numFmtId="0" fontId="7" fillId="0" borderId="0" xfId="0" applyFont="1"/>
    <xf numFmtId="0" fontId="11"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horizontal="left" vertical="center" wrapText="1"/>
    </xf>
    <xf numFmtId="0" fontId="12" fillId="0" borderId="0" xfId="4" applyFont="1"/>
    <xf numFmtId="0" fontId="13" fillId="0" borderId="0" xfId="3" applyFont="1" applyAlignment="1">
      <alignment horizontal="left" indent="1"/>
    </xf>
    <xf numFmtId="0" fontId="14" fillId="6" borderId="16" xfId="0" quotePrefix="1" applyFont="1" applyFill="1" applyBorder="1" applyAlignment="1">
      <alignment horizontal="left"/>
    </xf>
    <xf numFmtId="0" fontId="14" fillId="6" borderId="17" xfId="0" applyFont="1" applyFill="1" applyBorder="1" applyAlignment="1">
      <alignment horizontal="right"/>
    </xf>
    <xf numFmtId="0" fontId="14" fillId="6" borderId="18" xfId="0" applyFont="1" applyFill="1" applyBorder="1" applyAlignment="1">
      <alignment horizontal="right"/>
    </xf>
    <xf numFmtId="0" fontId="14" fillId="6" borderId="19" xfId="0" applyFont="1" applyFill="1" applyBorder="1" applyAlignment="1">
      <alignment horizontal="right"/>
    </xf>
    <xf numFmtId="0" fontId="14" fillId="5" borderId="20" xfId="0" applyFont="1" applyFill="1" applyBorder="1" applyAlignment="1">
      <alignment horizontal="left" indent="1"/>
    </xf>
    <xf numFmtId="0" fontId="14" fillId="5" borderId="21" xfId="0" applyFont="1" applyFill="1" applyBorder="1"/>
    <xf numFmtId="0" fontId="14" fillId="5" borderId="22" xfId="0" applyFont="1" applyFill="1" applyBorder="1"/>
    <xf numFmtId="0" fontId="14" fillId="5" borderId="23" xfId="0" applyFont="1" applyFill="1" applyBorder="1"/>
    <xf numFmtId="0" fontId="5" fillId="0" borderId="4" xfId="0" applyFont="1" applyBorder="1"/>
    <xf numFmtId="0" fontId="5" fillId="2" borderId="1" xfId="0" applyFont="1" applyFill="1" applyBorder="1"/>
    <xf numFmtId="0" fontId="15" fillId="0" borderId="4" xfId="0" applyFont="1" applyBorder="1" applyAlignment="1">
      <alignment horizontal="left" indent="1"/>
    </xf>
    <xf numFmtId="166" fontId="15" fillId="0" borderId="0" xfId="1" applyNumberFormat="1" applyFont="1"/>
    <xf numFmtId="166" fontId="15" fillId="2" borderId="1" xfId="1" applyNumberFormat="1" applyFont="1" applyFill="1" applyBorder="1"/>
    <xf numFmtId="166" fontId="7" fillId="0" borderId="0" xfId="1" applyNumberFormat="1" applyFont="1"/>
    <xf numFmtId="166" fontId="7" fillId="2" borderId="1" xfId="1" applyNumberFormat="1" applyFont="1" applyFill="1" applyBorder="1"/>
    <xf numFmtId="0" fontId="7" fillId="0" borderId="4" xfId="0" applyFont="1" applyBorder="1" applyAlignment="1">
      <alignment horizontal="left" indent="2"/>
    </xf>
    <xf numFmtId="168" fontId="7" fillId="0" borderId="0" xfId="3" applyNumberFormat="1" applyFont="1"/>
    <xf numFmtId="0" fontId="7" fillId="0" borderId="4" xfId="0" applyFont="1" applyBorder="1" applyAlignment="1">
      <alignment horizontal="left" indent="1"/>
    </xf>
    <xf numFmtId="166" fontId="7" fillId="0" borderId="0" xfId="3" applyNumberFormat="1" applyFont="1"/>
    <xf numFmtId="166" fontId="5" fillId="0" borderId="0" xfId="0" applyNumberFormat="1" applyFont="1"/>
    <xf numFmtId="166" fontId="7" fillId="0" borderId="0" xfId="1" applyNumberFormat="1" applyFont="1" applyAlignment="1">
      <alignment vertical="top"/>
    </xf>
    <xf numFmtId="168" fontId="7" fillId="0" borderId="0" xfId="2" applyNumberFormat="1" applyFont="1" applyAlignment="1">
      <alignment vertical="top"/>
    </xf>
    <xf numFmtId="0" fontId="15" fillId="0" borderId="4" xfId="3" applyFont="1" applyBorder="1" applyAlignment="1">
      <alignment horizontal="left" indent="1"/>
    </xf>
    <xf numFmtId="168" fontId="15" fillId="0" borderId="0" xfId="1" applyNumberFormat="1" applyFont="1"/>
    <xf numFmtId="0" fontId="7" fillId="0" borderId="4" xfId="3" applyFont="1" applyBorder="1" applyAlignment="1">
      <alignment horizontal="left" indent="2"/>
    </xf>
    <xf numFmtId="168" fontId="15" fillId="3" borderId="0" xfId="1" applyNumberFormat="1" applyFont="1" applyFill="1"/>
    <xf numFmtId="166" fontId="7" fillId="0" borderId="0" xfId="1" applyNumberFormat="1" applyFont="1" applyFill="1"/>
    <xf numFmtId="168" fontId="7" fillId="0" borderId="0" xfId="1" applyNumberFormat="1" applyFont="1" applyFill="1"/>
    <xf numFmtId="169" fontId="7" fillId="0" borderId="0" xfId="1" applyNumberFormat="1" applyFont="1" applyFill="1"/>
    <xf numFmtId="166" fontId="15" fillId="0" borderId="0" xfId="3" applyNumberFormat="1" applyFont="1" applyAlignment="1">
      <alignment horizontal="left"/>
    </xf>
    <xf numFmtId="0" fontId="15" fillId="0" borderId="4" xfId="3" applyFont="1" applyBorder="1" applyAlignment="1">
      <alignment horizontal="left" indent="2"/>
    </xf>
    <xf numFmtId="9" fontId="15" fillId="0" borderId="0" xfId="2" applyFont="1" applyAlignment="1">
      <alignment horizontal="right"/>
    </xf>
    <xf numFmtId="9" fontId="15" fillId="2" borderId="1" xfId="2" applyFont="1" applyFill="1" applyBorder="1"/>
    <xf numFmtId="0" fontId="6" fillId="0" borderId="5" xfId="0" applyFont="1" applyBorder="1" applyAlignment="1">
      <alignment horizontal="left" indent="1"/>
    </xf>
    <xf numFmtId="168" fontId="16" fillId="0" borderId="6" xfId="1" applyNumberFormat="1" applyFont="1" applyBorder="1"/>
    <xf numFmtId="168" fontId="16" fillId="2" borderId="7" xfId="1" applyNumberFormat="1" applyFont="1" applyFill="1" applyBorder="1"/>
    <xf numFmtId="0" fontId="14" fillId="6" borderId="16" xfId="0" applyFont="1" applyFill="1" applyBorder="1" applyAlignment="1">
      <alignment horizontal="right"/>
    </xf>
    <xf numFmtId="0" fontId="5" fillId="5" borderId="21" xfId="0" applyFont="1" applyFill="1" applyBorder="1"/>
    <xf numFmtId="0" fontId="5" fillId="5" borderId="22" xfId="0" applyFont="1" applyFill="1" applyBorder="1"/>
    <xf numFmtId="0" fontId="5" fillId="5" borderId="23" xfId="0" applyFont="1" applyFill="1" applyBorder="1"/>
    <xf numFmtId="0" fontId="7" fillId="0" borderId="4" xfId="3" applyFont="1" applyBorder="1" applyAlignment="1">
      <alignment horizontal="left" indent="1"/>
    </xf>
    <xf numFmtId="166" fontId="7" fillId="2" borderId="1" xfId="3" applyNumberFormat="1" applyFont="1" applyFill="1" applyBorder="1"/>
    <xf numFmtId="166" fontId="15" fillId="0" borderId="0" xfId="3" applyNumberFormat="1" applyFont="1"/>
    <xf numFmtId="166" fontId="15" fillId="2" borderId="1" xfId="3" applyNumberFormat="1" applyFont="1" applyFill="1" applyBorder="1"/>
    <xf numFmtId="0" fontId="16" fillId="0" borderId="5" xfId="3" applyFont="1" applyBorder="1" applyAlignment="1">
      <alignment horizontal="left" indent="1"/>
    </xf>
    <xf numFmtId="166" fontId="16" fillId="0" borderId="6" xfId="3" applyNumberFormat="1" applyFont="1" applyBorder="1"/>
    <xf numFmtId="166" fontId="16" fillId="2" borderId="7" xfId="3" applyNumberFormat="1" applyFont="1" applyFill="1" applyBorder="1"/>
    <xf numFmtId="0" fontId="13" fillId="0" borderId="4" xfId="3" applyFont="1" applyBorder="1" applyAlignment="1">
      <alignment horizontal="left" indent="1"/>
    </xf>
    <xf numFmtId="166" fontId="17" fillId="0" borderId="0" xfId="1" applyNumberFormat="1" applyFont="1" applyFill="1"/>
    <xf numFmtId="166" fontId="7" fillId="0" borderId="0" xfId="0" applyNumberFormat="1" applyFont="1"/>
    <xf numFmtId="166" fontId="7" fillId="2" borderId="1" xfId="0" applyNumberFormat="1" applyFont="1" applyFill="1" applyBorder="1"/>
    <xf numFmtId="166" fontId="7" fillId="0" borderId="0" xfId="1" applyNumberFormat="1" applyFont="1" applyFill="1" applyBorder="1"/>
    <xf numFmtId="0" fontId="15" fillId="0" borderId="3" xfId="3" applyFont="1" applyBorder="1" applyAlignment="1">
      <alignment horizontal="left" indent="1"/>
    </xf>
    <xf numFmtId="166" fontId="15" fillId="0" borderId="2" xfId="0" applyNumberFormat="1" applyFont="1" applyBorder="1"/>
    <xf numFmtId="166" fontId="15" fillId="2" borderId="3" xfId="0" applyNumberFormat="1" applyFont="1" applyFill="1" applyBorder="1"/>
    <xf numFmtId="166" fontId="15" fillId="0" borderId="0" xfId="0" applyNumberFormat="1" applyFont="1"/>
    <xf numFmtId="166" fontId="15" fillId="2" borderId="1" xfId="0" applyNumberFormat="1" applyFont="1" applyFill="1" applyBorder="1"/>
    <xf numFmtId="0" fontId="5" fillId="4" borderId="1" xfId="0" applyFont="1" applyFill="1" applyBorder="1"/>
    <xf numFmtId="166" fontId="15" fillId="0" borderId="0" xfId="1" applyNumberFormat="1" applyFont="1" applyFill="1"/>
    <xf numFmtId="166" fontId="15" fillId="4" borderId="1" xfId="0" applyNumberFormat="1" applyFont="1" applyFill="1" applyBorder="1"/>
    <xf numFmtId="0" fontId="7" fillId="4" borderId="1" xfId="0" applyFont="1" applyFill="1" applyBorder="1"/>
    <xf numFmtId="166" fontId="7" fillId="4" borderId="1" xfId="0" applyNumberFormat="1" applyFont="1" applyFill="1" applyBorder="1"/>
    <xf numFmtId="165" fontId="7" fillId="4" borderId="1" xfId="1" applyNumberFormat="1" applyFont="1" applyFill="1" applyBorder="1"/>
    <xf numFmtId="165" fontId="15" fillId="4" borderId="1" xfId="1" applyNumberFormat="1" applyFont="1" applyFill="1" applyBorder="1"/>
    <xf numFmtId="0" fontId="15" fillId="4" borderId="1" xfId="0" applyFont="1" applyFill="1" applyBorder="1"/>
    <xf numFmtId="165" fontId="7" fillId="4" borderId="1" xfId="1" applyNumberFormat="1" applyFont="1" applyFill="1" applyBorder="1" applyAlignment="1">
      <alignment horizontal="right"/>
    </xf>
    <xf numFmtId="0" fontId="15" fillId="0" borderId="5" xfId="3" applyFont="1" applyBorder="1" applyAlignment="1">
      <alignment horizontal="left" indent="1"/>
    </xf>
    <xf numFmtId="166" fontId="15" fillId="0" borderId="6" xfId="1" applyNumberFormat="1" applyFont="1" applyFill="1" applyBorder="1"/>
    <xf numFmtId="0" fontId="15" fillId="4" borderId="7" xfId="0" applyFont="1" applyFill="1" applyBorder="1"/>
    <xf numFmtId="165" fontId="15" fillId="4" borderId="7" xfId="1" applyNumberFormat="1" applyFont="1" applyFill="1" applyBorder="1"/>
    <xf numFmtId="0" fontId="5" fillId="0" borderId="14" xfId="0" applyFont="1" applyBorder="1"/>
    <xf numFmtId="0" fontId="15" fillId="0" borderId="14" xfId="3" applyFont="1" applyBorder="1" applyAlignment="1">
      <alignment horizontal="left" indent="1"/>
    </xf>
    <xf numFmtId="166" fontId="15" fillId="4" borderId="1" xfId="1" applyNumberFormat="1" applyFont="1" applyFill="1" applyBorder="1"/>
    <xf numFmtId="0" fontId="15" fillId="0" borderId="0" xfId="3" applyFont="1" applyAlignment="1">
      <alignment horizontal="left" indent="1"/>
    </xf>
    <xf numFmtId="0" fontId="7" fillId="0" borderId="14" xfId="3" applyFont="1" applyBorder="1" applyAlignment="1">
      <alignment horizontal="left" indent="2"/>
    </xf>
    <xf numFmtId="165" fontId="7" fillId="0" borderId="0" xfId="1" applyNumberFormat="1" applyFont="1" applyFill="1"/>
    <xf numFmtId="164" fontId="7" fillId="0" borderId="0" xfId="1" applyNumberFormat="1" applyFont="1" applyFill="1"/>
    <xf numFmtId="166" fontId="7" fillId="4" borderId="1" xfId="1" applyNumberFormat="1" applyFont="1" applyFill="1" applyBorder="1"/>
    <xf numFmtId="9" fontId="7" fillId="0" borderId="0" xfId="2" applyFont="1" applyFill="1"/>
    <xf numFmtId="0" fontId="7" fillId="0" borderId="0" xfId="3" applyFont="1" applyAlignment="1">
      <alignment horizontal="left" indent="2"/>
    </xf>
    <xf numFmtId="0" fontId="15" fillId="0" borderId="0" xfId="0" applyFont="1"/>
    <xf numFmtId="165" fontId="15" fillId="0" borderId="0" xfId="1" applyNumberFormat="1" applyFont="1" applyFill="1"/>
    <xf numFmtId="0" fontId="15" fillId="0" borderId="14" xfId="3" applyFont="1" applyBorder="1" applyAlignment="1">
      <alignment horizontal="left" indent="2"/>
    </xf>
    <xf numFmtId="0" fontId="15" fillId="0" borderId="0" xfId="3" applyFont="1" applyAlignment="1">
      <alignment horizontal="left" indent="2"/>
    </xf>
    <xf numFmtId="0" fontId="7" fillId="0" borderId="14" xfId="3" applyFont="1" applyBorder="1" applyAlignment="1">
      <alignment horizontal="left" indent="3"/>
    </xf>
    <xf numFmtId="0" fontId="7" fillId="0" borderId="0" xfId="3" applyFont="1" applyAlignment="1">
      <alignment horizontal="left" indent="3"/>
    </xf>
    <xf numFmtId="43" fontId="7" fillId="4" borderId="1" xfId="1" applyFont="1" applyFill="1" applyBorder="1"/>
    <xf numFmtId="9" fontId="7" fillId="0" borderId="0" xfId="2" applyFont="1"/>
    <xf numFmtId="167" fontId="7" fillId="4" borderId="1" xfId="2" applyNumberFormat="1" applyFont="1" applyFill="1" applyBorder="1" applyAlignment="1">
      <alignment vertical="top"/>
    </xf>
    <xf numFmtId="167" fontId="18" fillId="4" borderId="1" xfId="2" applyNumberFormat="1" applyFont="1" applyFill="1" applyBorder="1" applyAlignment="1">
      <alignment vertical="top"/>
    </xf>
    <xf numFmtId="9" fontId="7" fillId="4" borderId="1" xfId="0" applyNumberFormat="1" applyFont="1" applyFill="1" applyBorder="1"/>
    <xf numFmtId="164" fontId="7" fillId="4" borderId="1" xfId="0" applyNumberFormat="1" applyFont="1" applyFill="1" applyBorder="1"/>
    <xf numFmtId="166" fontId="15" fillId="0" borderId="0" xfId="1" applyNumberFormat="1" applyFont="1" applyFill="1" applyBorder="1"/>
    <xf numFmtId="0" fontId="16" fillId="0" borderId="15" xfId="3" applyFont="1" applyBorder="1" applyAlignment="1">
      <alignment horizontal="left" indent="1"/>
    </xf>
    <xf numFmtId="166" fontId="5" fillId="4" borderId="10" xfId="0" applyNumberFormat="1" applyFont="1" applyFill="1" applyBorder="1"/>
    <xf numFmtId="0" fontId="16" fillId="0" borderId="9" xfId="3" applyFont="1" applyBorder="1" applyAlignment="1">
      <alignment horizontal="left" indent="1"/>
    </xf>
    <xf numFmtId="166" fontId="17" fillId="0" borderId="9" xfId="1" applyNumberFormat="1" applyFont="1" applyFill="1" applyBorder="1"/>
    <xf numFmtId="166" fontId="16" fillId="4" borderId="10" xfId="1" applyNumberFormat="1" applyFont="1" applyFill="1" applyBorder="1"/>
    <xf numFmtId="0" fontId="5" fillId="0" borderId="9" xfId="0" applyFont="1" applyBorder="1"/>
    <xf numFmtId="0" fontId="15" fillId="0" borderId="14" xfId="0" applyFont="1" applyBorder="1" applyAlignment="1">
      <alignment horizontal="left" indent="1"/>
    </xf>
    <xf numFmtId="0" fontId="15" fillId="0" borderId="0" xfId="0" applyFont="1" applyAlignment="1">
      <alignment horizontal="left" indent="1"/>
    </xf>
    <xf numFmtId="0" fontId="7" fillId="0" borderId="14" xfId="0" applyFont="1" applyBorder="1" applyAlignment="1">
      <alignment horizontal="left" indent="2"/>
    </xf>
    <xf numFmtId="0" fontId="7" fillId="0" borderId="0" xfId="0" applyFont="1" applyAlignment="1">
      <alignment horizontal="left" indent="2"/>
    </xf>
    <xf numFmtId="0" fontId="7" fillId="0" borderId="14" xfId="0" applyFont="1" applyBorder="1" applyAlignment="1">
      <alignment horizontal="left" indent="1"/>
    </xf>
    <xf numFmtId="0" fontId="7" fillId="0" borderId="0" xfId="0" applyFont="1" applyAlignment="1">
      <alignment horizontal="left" indent="1"/>
    </xf>
    <xf numFmtId="0" fontId="7" fillId="0" borderId="14" xfId="3" applyFont="1" applyBorder="1" applyAlignment="1">
      <alignment horizontal="left" indent="1"/>
    </xf>
    <xf numFmtId="0" fontId="7" fillId="0" borderId="0" xfId="3" applyFont="1" applyAlignment="1">
      <alignment horizontal="left" indent="1"/>
    </xf>
    <xf numFmtId="0" fontId="18" fillId="0" borderId="14" xfId="3" applyFont="1" applyBorder="1" applyAlignment="1">
      <alignment horizontal="left" indent="2"/>
    </xf>
    <xf numFmtId="0" fontId="18" fillId="0" borderId="0" xfId="3" applyFont="1" applyAlignment="1">
      <alignment horizontal="left" indent="2"/>
    </xf>
    <xf numFmtId="9" fontId="7" fillId="4" borderId="1" xfId="2" applyFont="1" applyFill="1" applyBorder="1"/>
    <xf numFmtId="9" fontId="15" fillId="4" borderId="1" xfId="2" applyFont="1" applyFill="1" applyBorder="1"/>
    <xf numFmtId="0" fontId="18" fillId="0" borderId="13" xfId="3" applyFont="1" applyBorder="1" applyAlignment="1">
      <alignment horizontal="left" indent="2"/>
    </xf>
    <xf numFmtId="0" fontId="7" fillId="0" borderId="6" xfId="0" applyFont="1" applyBorder="1"/>
    <xf numFmtId="166" fontId="7" fillId="4" borderId="7" xfId="0" applyNumberFormat="1" applyFont="1" applyFill="1" applyBorder="1"/>
    <xf numFmtId="166" fontId="15" fillId="0" borderId="6" xfId="1" applyNumberFormat="1" applyFont="1" applyBorder="1"/>
    <xf numFmtId="166" fontId="15" fillId="4" borderId="7" xfId="1" applyNumberFormat="1" applyFont="1" applyFill="1" applyBorder="1"/>
    <xf numFmtId="166" fontId="15" fillId="4" borderId="7" xfId="0" applyNumberFormat="1" applyFont="1" applyFill="1" applyBorder="1"/>
    <xf numFmtId="0" fontId="7" fillId="0" borderId="4" xfId="0" applyFont="1" applyBorder="1"/>
    <xf numFmtId="2" fontId="7" fillId="4" borderId="1" xfId="0" applyNumberFormat="1" applyFont="1" applyFill="1" applyBorder="1"/>
    <xf numFmtId="10" fontId="7" fillId="4" borderId="1" xfId="2" applyNumberFormat="1" applyFont="1" applyFill="1" applyBorder="1"/>
    <xf numFmtId="0" fontId="7" fillId="0" borderId="4" xfId="3" applyFont="1" applyBorder="1" applyAlignment="1">
      <alignment horizontal="left" indent="3"/>
    </xf>
    <xf numFmtId="168" fontId="15" fillId="4" borderId="1" xfId="0" applyNumberFormat="1" applyFont="1" applyFill="1" applyBorder="1"/>
    <xf numFmtId="0" fontId="7" fillId="0" borderId="8" xfId="0" applyFont="1" applyBorder="1"/>
    <xf numFmtId="166" fontId="7" fillId="0" borderId="9" xfId="1" applyNumberFormat="1" applyFont="1" applyFill="1" applyBorder="1"/>
    <xf numFmtId="0" fontId="7" fillId="4" borderId="10" xfId="0" applyFont="1" applyFill="1" applyBorder="1"/>
    <xf numFmtId="0" fontId="18" fillId="0" borderId="4" xfId="3" applyFont="1" applyBorder="1" applyAlignment="1">
      <alignment horizontal="left" indent="2"/>
    </xf>
    <xf numFmtId="0" fontId="18" fillId="0" borderId="24" xfId="3" applyFont="1" applyBorder="1" applyAlignment="1">
      <alignment horizontal="left" indent="2"/>
    </xf>
    <xf numFmtId="9" fontId="7" fillId="0" borderId="21" xfId="2" applyFont="1" applyBorder="1"/>
    <xf numFmtId="9" fontId="7" fillId="4" borderId="22" xfId="2" applyFont="1" applyFill="1" applyBorder="1"/>
    <xf numFmtId="165" fontId="5" fillId="0" borderId="0" xfId="0" applyNumberFormat="1" applyFont="1"/>
    <xf numFmtId="166" fontId="16" fillId="4" borderId="1" xfId="1" applyNumberFormat="1" applyFont="1" applyFill="1" applyBorder="1"/>
    <xf numFmtId="166" fontId="7" fillId="0" borderId="11" xfId="1" applyNumberFormat="1" applyFont="1" applyFill="1" applyBorder="1"/>
    <xf numFmtId="166" fontId="7" fillId="0" borderId="8" xfId="1" applyNumberFormat="1" applyFont="1" applyFill="1" applyBorder="1"/>
    <xf numFmtId="0" fontId="7" fillId="4" borderId="7" xfId="0" applyFont="1" applyFill="1" applyBorder="1"/>
    <xf numFmtId="165" fontId="6" fillId="4" borderId="1" xfId="1" applyNumberFormat="1" applyFont="1" applyFill="1" applyBorder="1"/>
    <xf numFmtId="164" fontId="7" fillId="4" borderId="1" xfId="2" applyNumberFormat="1" applyFont="1" applyFill="1" applyBorder="1"/>
    <xf numFmtId="0" fontId="7" fillId="0" borderId="5" xfId="0" applyFont="1" applyBorder="1"/>
    <xf numFmtId="0" fontId="15" fillId="0" borderId="8" xfId="3" applyFont="1" applyBorder="1" applyAlignment="1">
      <alignment horizontal="left" indent="1"/>
    </xf>
    <xf numFmtId="166" fontId="15" fillId="0" borderId="9" xfId="3" applyNumberFormat="1" applyFont="1" applyBorder="1"/>
    <xf numFmtId="166" fontId="15" fillId="2" borderId="10" xfId="3" applyNumberFormat="1" applyFont="1" applyFill="1" applyBorder="1"/>
    <xf numFmtId="169" fontId="7" fillId="0" borderId="0" xfId="3" applyNumberFormat="1" applyFont="1"/>
    <xf numFmtId="169" fontId="7" fillId="2" borderId="1" xfId="3" applyNumberFormat="1" applyFont="1" applyFill="1" applyBorder="1"/>
    <xf numFmtId="0" fontId="8" fillId="0" borderId="0" xfId="0" applyFont="1"/>
    <xf numFmtId="2" fontId="7" fillId="4" borderId="1" xfId="2" applyNumberFormat="1" applyFont="1" applyFill="1" applyBorder="1"/>
    <xf numFmtId="9" fontId="7" fillId="0" borderId="0" xfId="2" applyFont="1" applyFill="1" applyBorder="1"/>
    <xf numFmtId="9" fontId="18" fillId="0" borderId="0" xfId="2" applyFont="1"/>
    <xf numFmtId="9" fontId="18" fillId="4" borderId="1" xfId="2" applyFont="1" applyFill="1" applyBorder="1"/>
    <xf numFmtId="9" fontId="18" fillId="0" borderId="0" xfId="2" applyFont="1" applyFill="1" applyBorder="1"/>
    <xf numFmtId="0" fontId="18" fillId="0" borderId="0" xfId="0" applyFont="1"/>
    <xf numFmtId="2" fontId="7" fillId="0" borderId="0" xfId="1" applyNumberFormat="1" applyFont="1" applyFill="1"/>
    <xf numFmtId="0" fontId="0" fillId="5" borderId="0" xfId="0" applyFill="1"/>
    <xf numFmtId="166" fontId="15" fillId="0" borderId="26" xfId="1" applyNumberFormat="1" applyFont="1" applyFill="1" applyBorder="1"/>
    <xf numFmtId="166" fontId="15" fillId="0" borderId="4" xfId="1" applyNumberFormat="1" applyFont="1" applyFill="1" applyBorder="1"/>
    <xf numFmtId="0" fontId="5" fillId="0" borderId="0" xfId="0" applyFont="1" applyAlignment="1">
      <alignment horizontal="right"/>
    </xf>
    <xf numFmtId="0" fontId="20" fillId="0" borderId="0" xfId="0" applyFont="1"/>
    <xf numFmtId="166" fontId="15" fillId="0" borderId="26" xfId="1" applyNumberFormat="1" applyFont="1" applyBorder="1"/>
    <xf numFmtId="166" fontId="15" fillId="0" borderId="27" xfId="1" applyNumberFormat="1" applyFont="1" applyFill="1" applyBorder="1"/>
    <xf numFmtId="168" fontId="15" fillId="4" borderId="7" xfId="0" applyNumberFormat="1" applyFont="1" applyFill="1" applyBorder="1"/>
    <xf numFmtId="0" fontId="21" fillId="0" borderId="0" xfId="0" applyFont="1"/>
    <xf numFmtId="10" fontId="7" fillId="0" borderId="0" xfId="2" applyNumberFormat="1" applyFont="1" applyFill="1"/>
    <xf numFmtId="164" fontId="7" fillId="0" borderId="0" xfId="1" applyNumberFormat="1" applyFont="1"/>
    <xf numFmtId="166" fontId="15" fillId="0" borderId="0" xfId="1" applyNumberFormat="1" applyFont="1" applyBorder="1"/>
    <xf numFmtId="0" fontId="22" fillId="0" borderId="0" xfId="0" applyFont="1" applyAlignment="1">
      <alignment vertical="center" wrapText="1"/>
    </xf>
    <xf numFmtId="0" fontId="23" fillId="0" borderId="0" xfId="0" applyFont="1" applyAlignment="1">
      <alignment vertical="center" wrapText="1"/>
    </xf>
    <xf numFmtId="0" fontId="23" fillId="0" borderId="0" xfId="0" applyFont="1" applyAlignment="1">
      <alignment horizontal="center" vertical="center" wrapText="1"/>
    </xf>
    <xf numFmtId="0" fontId="24" fillId="0" borderId="0" xfId="0" applyFont="1" applyAlignment="1">
      <alignment horizontal="right" vertical="center" wrapText="1"/>
    </xf>
    <xf numFmtId="0" fontId="15" fillId="0" borderId="28" xfId="3" applyFont="1" applyBorder="1" applyAlignment="1">
      <alignment horizontal="left" indent="1"/>
    </xf>
    <xf numFmtId="17" fontId="7"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3" fontId="7" fillId="0" borderId="30" xfId="0" applyNumberFormat="1" applyFont="1" applyBorder="1" applyAlignment="1">
      <alignment horizontal="center" vertical="center" wrapText="1"/>
    </xf>
    <xf numFmtId="0" fontId="7" fillId="0" borderId="0" xfId="0" applyFont="1" applyAlignment="1">
      <alignment horizontal="center" vertical="center" wrapText="1"/>
    </xf>
    <xf numFmtId="0" fontId="22" fillId="0" borderId="29" xfId="0" applyFont="1" applyBorder="1" applyAlignment="1">
      <alignment horizontal="center" vertical="center" wrapText="1"/>
    </xf>
    <xf numFmtId="0" fontId="10" fillId="0" borderId="0" xfId="0" applyFont="1" applyAlignment="1">
      <alignment horizontal="center" vertical="center" wrapText="1"/>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0" xfId="0"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14" fillId="5" borderId="20" xfId="0" applyFont="1" applyFill="1" applyBorder="1" applyAlignment="1">
      <alignment horizontal="center"/>
    </xf>
    <xf numFmtId="0" fontId="15" fillId="0" borderId="30" xfId="3" applyFont="1" applyBorder="1" applyAlignment="1">
      <alignment horizontal="left" indent="1"/>
    </xf>
    <xf numFmtId="0" fontId="24" fillId="0" borderId="30" xfId="0" applyFont="1" applyBorder="1" applyAlignment="1">
      <alignment vertical="center" wrapText="1"/>
    </xf>
    <xf numFmtId="0" fontId="24" fillId="0" borderId="30" xfId="0" applyFont="1" applyBorder="1" applyAlignment="1">
      <alignment horizontal="center" vertical="center" wrapText="1"/>
    </xf>
    <xf numFmtId="0" fontId="24" fillId="0" borderId="30" xfId="0" applyFont="1" applyBorder="1" applyAlignment="1">
      <alignment horizontal="right" vertical="center" wrapText="1"/>
    </xf>
    <xf numFmtId="10" fontId="7" fillId="0" borderId="0" xfId="2" applyNumberFormat="1" applyFont="1" applyBorder="1"/>
    <xf numFmtId="0" fontId="24" fillId="0" borderId="0" xfId="0" applyFont="1" applyAlignment="1">
      <alignment horizontal="center" vertical="center" wrapText="1"/>
    </xf>
    <xf numFmtId="0" fontId="7" fillId="0" borderId="28" xfId="3" applyFont="1" applyBorder="1" applyAlignment="1">
      <alignment horizontal="left" indent="2"/>
    </xf>
    <xf numFmtId="17" fontId="7" fillId="0" borderId="28" xfId="0" applyNumberFormat="1" applyFont="1" applyBorder="1" applyAlignment="1">
      <alignment horizontal="center" vertical="center" wrapText="1"/>
    </xf>
    <xf numFmtId="10" fontId="7" fillId="0" borderId="28" xfId="2" applyNumberFormat="1" applyFont="1" applyBorder="1"/>
    <xf numFmtId="3" fontId="7" fillId="0" borderId="28" xfId="0" applyNumberFormat="1" applyFont="1" applyBorder="1" applyAlignment="1">
      <alignment horizontal="center" vertical="center" wrapText="1"/>
    </xf>
    <xf numFmtId="0" fontId="15" fillId="0" borderId="43" xfId="3" applyFont="1" applyBorder="1" applyAlignment="1">
      <alignment horizontal="left" indent="1"/>
    </xf>
    <xf numFmtId="0" fontId="7" fillId="0" borderId="30" xfId="0" applyFont="1" applyBorder="1" applyAlignment="1">
      <alignment horizontal="center" vertical="center" wrapText="1"/>
    </xf>
    <xf numFmtId="0" fontId="15" fillId="0" borderId="0" xfId="0" applyFont="1" applyAlignment="1">
      <alignment horizontal="center" vertical="center" wrapText="1"/>
    </xf>
    <xf numFmtId="0" fontId="22" fillId="0" borderId="0" xfId="0" applyFont="1" applyAlignment="1">
      <alignment horizontal="center" vertical="center" wrapText="1"/>
    </xf>
    <xf numFmtId="0" fontId="7" fillId="0" borderId="44" xfId="3" applyFont="1" applyBorder="1" applyAlignment="1">
      <alignment horizontal="left" indent="2"/>
    </xf>
    <xf numFmtId="0" fontId="7" fillId="0" borderId="45" xfId="3" applyFont="1" applyBorder="1" applyAlignment="1">
      <alignment horizontal="left" indent="2"/>
    </xf>
    <xf numFmtId="0" fontId="15" fillId="0" borderId="45" xfId="3" applyFont="1" applyBorder="1" applyAlignment="1">
      <alignment horizontal="left" indent="1"/>
    </xf>
    <xf numFmtId="0" fontId="15" fillId="0" borderId="46" xfId="3" applyFont="1" applyBorder="1" applyAlignment="1">
      <alignment horizontal="center" vertical="center"/>
    </xf>
    <xf numFmtId="0" fontId="15" fillId="0" borderId="47" xfId="3" applyFont="1" applyBorder="1" applyAlignment="1">
      <alignment horizontal="left" indent="1"/>
    </xf>
    <xf numFmtId="0" fontId="7" fillId="0" borderId="39" xfId="0" applyFont="1" applyBorder="1" applyAlignment="1">
      <alignment horizontal="center" vertical="center" wrapText="1"/>
    </xf>
    <xf numFmtId="10" fontId="7" fillId="0" borderId="39" xfId="2" applyNumberFormat="1" applyFont="1" applyBorder="1"/>
    <xf numFmtId="3" fontId="7" fillId="0" borderId="39" xfId="0" applyNumberFormat="1" applyFont="1" applyBorder="1" applyAlignment="1">
      <alignment horizontal="center" vertical="center" wrapText="1"/>
    </xf>
    <xf numFmtId="0" fontId="14" fillId="5" borderId="20" xfId="0" applyFont="1" applyFill="1" applyBorder="1" applyAlignment="1">
      <alignment horizontal="center" vertical="center"/>
    </xf>
    <xf numFmtId="0" fontId="0" fillId="0" borderId="30" xfId="0" applyBorder="1"/>
    <xf numFmtId="0" fontId="25" fillId="0" borderId="30" xfId="3" applyFont="1" applyBorder="1" applyAlignment="1">
      <alignment horizontal="left" indent="2"/>
    </xf>
    <xf numFmtId="3" fontId="0" fillId="0" borderId="0" xfId="0" applyNumberFormat="1"/>
    <xf numFmtId="166" fontId="7" fillId="0" borderId="0" xfId="1" applyNumberFormat="1" applyFont="1" applyAlignment="1">
      <alignment horizontal="center" vertical="center"/>
    </xf>
    <xf numFmtId="0" fontId="26" fillId="0" borderId="12" xfId="4" applyFont="1" applyBorder="1" applyAlignment="1">
      <alignment horizontal="center"/>
    </xf>
    <xf numFmtId="166" fontId="7" fillId="0" borderId="0" xfId="1" applyNumberFormat="1" applyFont="1" applyFill="1" applyAlignment="1">
      <alignment vertical="top"/>
    </xf>
    <xf numFmtId="166" fontId="15" fillId="0" borderId="0" xfId="1" applyNumberFormat="1" applyFont="1" applyFill="1" applyAlignment="1">
      <alignment vertical="top"/>
    </xf>
    <xf numFmtId="170" fontId="7" fillId="0" borderId="0" xfId="3" applyNumberFormat="1" applyFont="1"/>
    <xf numFmtId="3" fontId="27" fillId="0" borderId="0" xfId="0" applyNumberFormat="1" applyFont="1"/>
    <xf numFmtId="3" fontId="24" fillId="0" borderId="0" xfId="0" applyNumberFormat="1" applyFont="1" applyAlignment="1">
      <alignment horizontal="right" vertical="center" wrapText="1"/>
    </xf>
    <xf numFmtId="165" fontId="7" fillId="0" borderId="0" xfId="1" applyNumberFormat="1" applyFont="1"/>
    <xf numFmtId="9" fontId="7" fillId="4" borderId="1" xfId="2" applyFont="1" applyFill="1" applyBorder="1" applyAlignment="1">
      <alignment vertical="top"/>
    </xf>
    <xf numFmtId="10" fontId="7" fillId="0" borderId="0" xfId="2" applyNumberFormat="1" applyFont="1"/>
    <xf numFmtId="10" fontId="7" fillId="4" borderId="1" xfId="2" applyNumberFormat="1" applyFont="1" applyFill="1" applyBorder="1" applyAlignment="1">
      <alignment vertical="top"/>
    </xf>
    <xf numFmtId="166" fontId="7" fillId="0" borderId="11" xfId="1" applyNumberFormat="1" applyFont="1" applyBorder="1"/>
    <xf numFmtId="166" fontId="7" fillId="0" borderId="9" xfId="1" applyNumberFormat="1" applyFont="1" applyBorder="1"/>
    <xf numFmtId="0" fontId="28" fillId="0" borderId="0" xfId="0" applyFont="1"/>
    <xf numFmtId="0" fontId="29" fillId="6" borderId="17" xfId="0" applyFont="1" applyFill="1" applyBorder="1" applyAlignment="1">
      <alignment horizontal="right"/>
    </xf>
    <xf numFmtId="0" fontId="28" fillId="5" borderId="21" xfId="0" applyFont="1" applyFill="1" applyBorder="1"/>
    <xf numFmtId="0" fontId="30" fillId="0" borderId="0" xfId="0" applyFont="1"/>
    <xf numFmtId="166" fontId="30" fillId="0" borderId="0" xfId="1" applyNumberFormat="1" applyFont="1"/>
    <xf numFmtId="166" fontId="30" fillId="0" borderId="0" xfId="3" applyNumberFormat="1" applyFont="1"/>
    <xf numFmtId="166" fontId="31" fillId="0" borderId="0" xfId="1" applyNumberFormat="1" applyFont="1"/>
    <xf numFmtId="164" fontId="30" fillId="0" borderId="0" xfId="1" applyNumberFormat="1" applyFont="1"/>
    <xf numFmtId="9" fontId="30" fillId="0" borderId="0" xfId="2" applyFont="1"/>
    <xf numFmtId="166" fontId="31" fillId="0" borderId="6" xfId="1" applyNumberFormat="1" applyFont="1" applyBorder="1"/>
    <xf numFmtId="166" fontId="31" fillId="4" borderId="1" xfId="1" applyNumberFormat="1" applyFont="1" applyFill="1" applyBorder="1"/>
    <xf numFmtId="166" fontId="28" fillId="0" borderId="0" xfId="0" applyNumberFormat="1" applyFont="1"/>
    <xf numFmtId="166" fontId="30" fillId="4" borderId="1" xfId="0" applyNumberFormat="1" applyFont="1" applyFill="1" applyBorder="1"/>
    <xf numFmtId="166" fontId="31" fillId="4" borderId="1" xfId="0" applyNumberFormat="1" applyFont="1" applyFill="1" applyBorder="1"/>
    <xf numFmtId="165" fontId="15" fillId="0" borderId="0" xfId="1" applyNumberFormat="1" applyFont="1"/>
    <xf numFmtId="165" fontId="28" fillId="0" borderId="0" xfId="0" applyNumberFormat="1" applyFont="1"/>
    <xf numFmtId="166" fontId="0" fillId="0" borderId="0" xfId="0" applyNumberFormat="1"/>
    <xf numFmtId="43" fontId="7" fillId="4" borderId="1" xfId="1" applyFont="1" applyFill="1" applyBorder="1" applyAlignment="1">
      <alignment vertical="top"/>
    </xf>
    <xf numFmtId="171" fontId="7" fillId="4" borderId="1" xfId="1" applyNumberFormat="1" applyFont="1" applyFill="1" applyBorder="1"/>
    <xf numFmtId="172" fontId="7" fillId="4" borderId="1" xfId="2" applyNumberFormat="1" applyFont="1" applyFill="1" applyBorder="1"/>
    <xf numFmtId="173" fontId="15" fillId="4" borderId="1" xfId="1" applyNumberFormat="1" applyFont="1" applyFill="1" applyBorder="1"/>
    <xf numFmtId="166" fontId="15" fillId="0" borderId="1" xfId="1" applyNumberFormat="1" applyFont="1" applyFill="1" applyBorder="1"/>
    <xf numFmtId="166" fontId="7" fillId="0" borderId="1" xfId="1" applyNumberFormat="1" applyFont="1" applyFill="1" applyBorder="1"/>
    <xf numFmtId="9" fontId="7" fillId="0" borderId="30" xfId="2" applyFont="1" applyBorder="1" applyAlignment="1">
      <alignment horizontal="right" vertical="center" wrapText="1"/>
    </xf>
    <xf numFmtId="9" fontId="7" fillId="0" borderId="0" xfId="2" applyFont="1" applyAlignment="1">
      <alignment horizontal="right" vertical="center" wrapText="1"/>
    </xf>
    <xf numFmtId="3" fontId="5" fillId="0" borderId="0" xfId="0" applyNumberFormat="1" applyFont="1"/>
    <xf numFmtId="10" fontId="5" fillId="0" borderId="0" xfId="2" applyNumberFormat="1" applyFont="1"/>
    <xf numFmtId="0" fontId="32" fillId="0" borderId="0" xfId="0" applyFont="1"/>
    <xf numFmtId="9" fontId="15" fillId="2" borderId="1" xfId="2" quotePrefix="1" applyFont="1" applyFill="1" applyBorder="1" applyAlignment="1">
      <alignment horizontal="right"/>
    </xf>
    <xf numFmtId="166" fontId="15" fillId="2" borderId="3" xfId="0" quotePrefix="1" applyNumberFormat="1" applyFont="1" applyFill="1" applyBorder="1" applyAlignment="1">
      <alignment horizontal="right"/>
    </xf>
    <xf numFmtId="166" fontId="15" fillId="2" borderId="1" xfId="0" quotePrefix="1" applyNumberFormat="1" applyFont="1" applyFill="1" applyBorder="1" applyAlignment="1">
      <alignment horizontal="right"/>
    </xf>
    <xf numFmtId="0" fontId="26" fillId="0" borderId="48" xfId="4" applyFont="1" applyBorder="1" applyAlignment="1">
      <alignment horizontal="center"/>
    </xf>
    <xf numFmtId="166" fontId="33" fillId="0" borderId="0" xfId="3" applyNumberFormat="1" applyFont="1"/>
    <xf numFmtId="166" fontId="15" fillId="0" borderId="0" xfId="1" applyNumberFormat="1" applyFont="1" applyAlignment="1">
      <alignment wrapText="1"/>
    </xf>
    <xf numFmtId="0" fontId="5" fillId="0" borderId="0" xfId="0" applyFont="1" applyAlignment="1">
      <alignment wrapText="1"/>
    </xf>
    <xf numFmtId="0" fontId="26" fillId="0" borderId="0" xfId="4" applyFont="1" applyBorder="1" applyAlignment="1">
      <alignment horizontal="center"/>
    </xf>
    <xf numFmtId="0" fontId="10" fillId="0" borderId="0" xfId="0" applyFont="1" applyAlignment="1">
      <alignment horizontal="left" vertical="center" wrapText="1"/>
    </xf>
    <xf numFmtId="0" fontId="8" fillId="0" borderId="0" xfId="0" applyFont="1" applyAlignment="1">
      <alignment horizontal="left"/>
    </xf>
    <xf numFmtId="0" fontId="9" fillId="0" borderId="0" xfId="0" applyFont="1" applyAlignment="1">
      <alignment horizontal="left"/>
    </xf>
    <xf numFmtId="0" fontId="14" fillId="5" borderId="25" xfId="0" applyFont="1" applyFill="1" applyBorder="1" applyAlignment="1">
      <alignment horizontal="left" indent="1"/>
    </xf>
    <xf numFmtId="0" fontId="14" fillId="5" borderId="0" xfId="0" applyFont="1" applyFill="1" applyAlignment="1">
      <alignment horizontal="left" indent="1"/>
    </xf>
    <xf numFmtId="0" fontId="15" fillId="0" borderId="40" xfId="3" applyFont="1" applyBorder="1" applyAlignment="1">
      <alignment horizontal="center" vertical="center"/>
    </xf>
    <xf numFmtId="0" fontId="15" fillId="0" borderId="41" xfId="3" applyFont="1" applyBorder="1" applyAlignment="1">
      <alignment horizontal="center" vertical="center"/>
    </xf>
    <xf numFmtId="0" fontId="15" fillId="0" borderId="42" xfId="3" applyFont="1" applyBorder="1" applyAlignment="1">
      <alignment horizontal="center" vertical="center"/>
    </xf>
  </cellXfs>
  <cellStyles count="8">
    <cellStyle name="Comma 2" xfId="5" xr:uid="{DD20B0C2-D53C-4A34-8E12-6BCA32C64C10}"/>
    <cellStyle name="Hiperlink" xfId="4" builtinId="8"/>
    <cellStyle name="Normal" xfId="0" builtinId="0"/>
    <cellStyle name="Normal 2" xfId="3" xr:uid="{6AE081F9-AFF6-4207-B282-56C28E9592ED}"/>
    <cellStyle name="Normal 3" xfId="7" xr:uid="{AA96B284-49F3-441D-9D8F-9031F4FD55B2}"/>
    <cellStyle name="Porcentagem" xfId="2" builtinId="5"/>
    <cellStyle name="Vírgula" xfId="1" builtinId="3"/>
    <cellStyle name="Vírgula 2" xfId="6" xr:uid="{4FADE6F5-BFE8-4AFE-900A-F598629276D4}"/>
  </cellStyles>
  <dxfs count="0"/>
  <tableStyles count="0" defaultTableStyle="TableStyleMedium2" defaultPivotStyle="PivotStyleLight16"/>
  <colors>
    <mruColors>
      <color rgb="FF2D3D70"/>
      <color rgb="FFF461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25</xdr:row>
      <xdr:rowOff>76199</xdr:rowOff>
    </xdr:to>
    <xdr:pic>
      <xdr:nvPicPr>
        <xdr:cNvPr id="13" name="Picture 12">
          <a:extLst>
            <a:ext uri="{FF2B5EF4-FFF2-40B4-BE49-F238E27FC236}">
              <a16:creationId xmlns:a16="http://schemas.microsoft.com/office/drawing/2014/main" id="{CCBC10B1-4A5B-4F4B-334A-0B667D33FC55}"/>
            </a:ext>
          </a:extLst>
        </xdr:cNvPr>
        <xdr:cNvPicPr>
          <a:picLocks noChangeAspect="1"/>
        </xdr:cNvPicPr>
      </xdr:nvPicPr>
      <xdr:blipFill>
        <a:blip xmlns:r="http://schemas.openxmlformats.org/officeDocument/2006/relationships" r:embed="rId1"/>
        <a:stretch>
          <a:fillRect/>
        </a:stretch>
      </xdr:blipFill>
      <xdr:spPr>
        <a:xfrm>
          <a:off x="0" y="0"/>
          <a:ext cx="8067675" cy="46005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106681</xdr:colOff>
      <xdr:row>2</xdr:row>
      <xdr:rowOff>5716</xdr:rowOff>
    </xdr:from>
    <xdr:to>
      <xdr:col>0</xdr:col>
      <xdr:colOff>1144906</xdr:colOff>
      <xdr:row>4</xdr:row>
      <xdr:rowOff>149676</xdr:rowOff>
    </xdr:to>
    <xdr:pic>
      <xdr:nvPicPr>
        <xdr:cNvPr id="2" name="Picture 1">
          <a:extLst>
            <a:ext uri="{FF2B5EF4-FFF2-40B4-BE49-F238E27FC236}">
              <a16:creationId xmlns:a16="http://schemas.microsoft.com/office/drawing/2014/main" id="{6DD8C97A-157F-4C4A-B220-7467954FFFA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06681" y="367666"/>
          <a:ext cx="1038225" cy="50591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xdr:colOff>
      <xdr:row>2</xdr:row>
      <xdr:rowOff>47625</xdr:rowOff>
    </xdr:from>
    <xdr:to>
      <xdr:col>0</xdr:col>
      <xdr:colOff>1209040</xdr:colOff>
      <xdr:row>4</xdr:row>
      <xdr:rowOff>159354</xdr:rowOff>
    </xdr:to>
    <xdr:pic>
      <xdr:nvPicPr>
        <xdr:cNvPr id="3" name="Picture 1">
          <a:extLst>
            <a:ext uri="{FF2B5EF4-FFF2-40B4-BE49-F238E27FC236}">
              <a16:creationId xmlns:a16="http://schemas.microsoft.com/office/drawing/2014/main" id="{2886F982-C5B3-4E1A-BFFD-87F0A956AB2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57150" y="419100"/>
          <a:ext cx="1155700" cy="5594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182880</xdr:colOff>
      <xdr:row>0</xdr:row>
      <xdr:rowOff>53340</xdr:rowOff>
    </xdr:from>
    <xdr:to>
      <xdr:col>0</xdr:col>
      <xdr:colOff>1336675</xdr:colOff>
      <xdr:row>2</xdr:row>
      <xdr:rowOff>248889</xdr:rowOff>
    </xdr:to>
    <xdr:pic>
      <xdr:nvPicPr>
        <xdr:cNvPr id="2" name="Picture 1">
          <a:extLst>
            <a:ext uri="{FF2B5EF4-FFF2-40B4-BE49-F238E27FC236}">
              <a16:creationId xmlns:a16="http://schemas.microsoft.com/office/drawing/2014/main" id="{3EC1B78C-FBDB-446C-903C-ABDD32A4AF4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80975" y="57150"/>
          <a:ext cx="1155700" cy="5632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7</xdr:row>
      <xdr:rowOff>25944</xdr:rowOff>
    </xdr:from>
    <xdr:ext cx="22852328" cy="8718006"/>
    <xdr:pic>
      <xdr:nvPicPr>
        <xdr:cNvPr id="2" name="Picture 1">
          <a:extLst>
            <a:ext uri="{FF2B5EF4-FFF2-40B4-BE49-F238E27FC236}">
              <a16:creationId xmlns:a16="http://schemas.microsoft.com/office/drawing/2014/main" id="{4D54A452-7A4B-41E4-A617-2CA7065FB9CC}"/>
            </a:ext>
          </a:extLst>
        </xdr:cNvPr>
        <xdr:cNvPicPr>
          <a:picLocks noChangeAspect="1"/>
        </xdr:cNvPicPr>
      </xdr:nvPicPr>
      <xdr:blipFill>
        <a:blip xmlns:r="http://schemas.openxmlformats.org/officeDocument/2006/relationships" r:embed="rId1"/>
        <a:stretch>
          <a:fillRect/>
        </a:stretch>
      </xdr:blipFill>
      <xdr:spPr>
        <a:xfrm>
          <a:off x="0" y="1405164"/>
          <a:ext cx="22852328" cy="8718006"/>
        </a:xfrm>
        <a:prstGeom prst="rect">
          <a:avLst/>
        </a:prstGeom>
      </xdr:spPr>
    </xdr:pic>
    <xdr:clientData/>
  </xdr:oneCellAnchor>
  <xdr:twoCellAnchor editAs="oneCell">
    <xdr:from>
      <xdr:col>0</xdr:col>
      <xdr:colOff>218440</xdr:colOff>
      <xdr:row>0</xdr:row>
      <xdr:rowOff>132080</xdr:rowOff>
    </xdr:from>
    <xdr:to>
      <xdr:col>0</xdr:col>
      <xdr:colOff>1405890</xdr:colOff>
      <xdr:row>4</xdr:row>
      <xdr:rowOff>21601</xdr:rowOff>
    </xdr:to>
    <xdr:pic>
      <xdr:nvPicPr>
        <xdr:cNvPr id="3" name="Picture 2">
          <a:extLst>
            <a:ext uri="{FF2B5EF4-FFF2-40B4-BE49-F238E27FC236}">
              <a16:creationId xmlns:a16="http://schemas.microsoft.com/office/drawing/2014/main" id="{1A4733D7-A84A-4745-93E1-FF3C45A92AC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20455"/>
        <a:stretch/>
      </xdr:blipFill>
      <xdr:spPr>
        <a:xfrm>
          <a:off x="218440" y="132080"/>
          <a:ext cx="1186180" cy="552288"/>
        </a:xfrm>
        <a:prstGeom prst="rect">
          <a:avLst/>
        </a:prstGeom>
      </xdr:spPr>
    </xdr:pic>
    <xdr:clientData/>
  </xdr:twoCellAnchor>
  <xdr:twoCellAnchor editAs="oneCell">
    <xdr:from>
      <xdr:col>0</xdr:col>
      <xdr:colOff>46989</xdr:colOff>
      <xdr:row>57</xdr:row>
      <xdr:rowOff>84211</xdr:rowOff>
    </xdr:from>
    <xdr:to>
      <xdr:col>11</xdr:col>
      <xdr:colOff>724110</xdr:colOff>
      <xdr:row>92</xdr:row>
      <xdr:rowOff>1</xdr:rowOff>
    </xdr:to>
    <xdr:pic>
      <xdr:nvPicPr>
        <xdr:cNvPr id="4" name="Picture 3">
          <a:extLst>
            <a:ext uri="{FF2B5EF4-FFF2-40B4-BE49-F238E27FC236}">
              <a16:creationId xmlns:a16="http://schemas.microsoft.com/office/drawing/2014/main" id="{467EADBF-D3AE-4497-9462-FA54F1F73BA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21" t="1434" r="1047" b="2061"/>
        <a:stretch/>
      </xdr:blipFill>
      <xdr:spPr bwMode="auto">
        <a:xfrm>
          <a:off x="46989" y="10607431"/>
          <a:ext cx="12616391" cy="6361039"/>
        </a:xfrm>
        <a:prstGeom prst="rect">
          <a:avLst/>
        </a:prstGeom>
        <a:ln w="38100" cap="sq">
          <a:solidFill>
            <a:srgbClr val="000000"/>
          </a:solidFill>
          <a:miter lim="800000"/>
        </a:ln>
        <a:effectLst>
          <a:outerShdw blurRad="57150" dist="50800" dir="2700000" algn="tl" rotWithShape="0">
            <a:srgbClr val="000000">
              <a:alpha val="4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262890</xdr:colOff>
      <xdr:row>58</xdr:row>
      <xdr:rowOff>29678</xdr:rowOff>
    </xdr:from>
    <xdr:to>
      <xdr:col>11</xdr:col>
      <xdr:colOff>530628</xdr:colOff>
      <xdr:row>61</xdr:row>
      <xdr:rowOff>3174</xdr:rowOff>
    </xdr:to>
    <xdr:pic>
      <xdr:nvPicPr>
        <xdr:cNvPr id="5" name="Picture 4">
          <a:extLst>
            <a:ext uri="{FF2B5EF4-FFF2-40B4-BE49-F238E27FC236}">
              <a16:creationId xmlns:a16="http://schemas.microsoft.com/office/drawing/2014/main" id="{53D28CB9-CCD7-4BCB-9F67-9F861179E11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20455"/>
        <a:stretch/>
      </xdr:blipFill>
      <xdr:spPr>
        <a:xfrm>
          <a:off x="11372850" y="10735778"/>
          <a:ext cx="1091968" cy="5113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76148</xdr:colOff>
      <xdr:row>0</xdr:row>
      <xdr:rowOff>97338</xdr:rowOff>
    </xdr:from>
    <xdr:to>
      <xdr:col>0</xdr:col>
      <xdr:colOff>1258518</xdr:colOff>
      <xdr:row>3</xdr:row>
      <xdr:rowOff>117496</xdr:rowOff>
    </xdr:to>
    <xdr:pic>
      <xdr:nvPicPr>
        <xdr:cNvPr id="4" name="Picture 3">
          <a:extLst>
            <a:ext uri="{FF2B5EF4-FFF2-40B4-BE49-F238E27FC236}">
              <a16:creationId xmlns:a16="http://schemas.microsoft.com/office/drawing/2014/main" id="{3A267DB6-FE35-4C92-943E-A4776714B59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76148" y="97338"/>
          <a:ext cx="1182370" cy="5630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1330325</xdr:colOff>
      <xdr:row>3</xdr:row>
      <xdr:rowOff>111729</xdr:rowOff>
    </xdr:to>
    <xdr:pic>
      <xdr:nvPicPr>
        <xdr:cNvPr id="2" name="Picture 1">
          <a:extLst>
            <a:ext uri="{FF2B5EF4-FFF2-40B4-BE49-F238E27FC236}">
              <a16:creationId xmlns:a16="http://schemas.microsoft.com/office/drawing/2014/main" id="{C14C2AD7-8CB4-4C87-ADB5-45A1843B89C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6050" y="97790"/>
          <a:ext cx="1177925" cy="560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1330325</xdr:colOff>
      <xdr:row>3</xdr:row>
      <xdr:rowOff>111729</xdr:rowOff>
    </xdr:to>
    <xdr:pic>
      <xdr:nvPicPr>
        <xdr:cNvPr id="2" name="Picture 1">
          <a:extLst>
            <a:ext uri="{FF2B5EF4-FFF2-40B4-BE49-F238E27FC236}">
              <a16:creationId xmlns:a16="http://schemas.microsoft.com/office/drawing/2014/main" id="{D20B75E0-2446-46A8-8BB3-7B750A051FC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6050" y="97790"/>
          <a:ext cx="1177925" cy="560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1298575</xdr:colOff>
      <xdr:row>3</xdr:row>
      <xdr:rowOff>111729</xdr:rowOff>
    </xdr:to>
    <xdr:pic>
      <xdr:nvPicPr>
        <xdr:cNvPr id="2" name="Picture 1">
          <a:extLst>
            <a:ext uri="{FF2B5EF4-FFF2-40B4-BE49-F238E27FC236}">
              <a16:creationId xmlns:a16="http://schemas.microsoft.com/office/drawing/2014/main" id="{38FEAF3B-5FF8-45C3-97EB-D78C7860D4D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6050" y="97790"/>
          <a:ext cx="1152525" cy="5663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55245</xdr:colOff>
      <xdr:row>2</xdr:row>
      <xdr:rowOff>72390</xdr:rowOff>
    </xdr:from>
    <xdr:to>
      <xdr:col>0</xdr:col>
      <xdr:colOff>929640</xdr:colOff>
      <xdr:row>4</xdr:row>
      <xdr:rowOff>140814</xdr:rowOff>
    </xdr:to>
    <xdr:pic>
      <xdr:nvPicPr>
        <xdr:cNvPr id="2" name="Picture 1">
          <a:extLst>
            <a:ext uri="{FF2B5EF4-FFF2-40B4-BE49-F238E27FC236}">
              <a16:creationId xmlns:a16="http://schemas.microsoft.com/office/drawing/2014/main" id="{611F9134-99E3-4FF7-BB7A-704B59BD825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55245" y="434340"/>
          <a:ext cx="878205" cy="4322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146050</xdr:colOff>
      <xdr:row>0</xdr:row>
      <xdr:rowOff>97790</xdr:rowOff>
    </xdr:from>
    <xdr:to>
      <xdr:col>0</xdr:col>
      <xdr:colOff>1330325</xdr:colOff>
      <xdr:row>3</xdr:row>
      <xdr:rowOff>79979</xdr:rowOff>
    </xdr:to>
    <xdr:pic>
      <xdr:nvPicPr>
        <xdr:cNvPr id="2" name="Picture 1">
          <a:extLst>
            <a:ext uri="{FF2B5EF4-FFF2-40B4-BE49-F238E27FC236}">
              <a16:creationId xmlns:a16="http://schemas.microsoft.com/office/drawing/2014/main" id="{B2DEADFA-6AC4-430F-B179-2C739BCB3A2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6050" y="97790"/>
          <a:ext cx="1184275" cy="5346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53340</xdr:colOff>
      <xdr:row>2</xdr:row>
      <xdr:rowOff>72390</xdr:rowOff>
    </xdr:from>
    <xdr:to>
      <xdr:col>0</xdr:col>
      <xdr:colOff>904875</xdr:colOff>
      <xdr:row>4</xdr:row>
      <xdr:rowOff>131247</xdr:rowOff>
    </xdr:to>
    <xdr:pic>
      <xdr:nvPicPr>
        <xdr:cNvPr id="2" name="Picture 1">
          <a:extLst>
            <a:ext uri="{FF2B5EF4-FFF2-40B4-BE49-F238E27FC236}">
              <a16:creationId xmlns:a16="http://schemas.microsoft.com/office/drawing/2014/main" id="{9CEBBBDD-3E0D-4894-9A7D-A6D7B02802E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53340" y="434340"/>
          <a:ext cx="851535" cy="4208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elipe.calvente/Downloads/GDT-Tables-Q124-EN.xlsx" TargetMode="External"/><Relationship Id="rId2" Type="http://schemas.openxmlformats.org/officeDocument/2006/relationships/externalLinkPath" Target="file:///C:\Users\felipe.calvente\Downloads\GDT-Tables-Q124-EN.xlsx" TargetMode="External"/><Relationship Id="rId1" Type="http://schemas.openxmlformats.org/officeDocument/2006/relationships/externalLinkPath" Target="/Users/felipe.calvente/Downloads/GDT-Tables-Q124-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ppQt.Data"/>
      <sheetName val="AppAn.Data"/>
      <sheetName val="User guide &amp; contents"/>
      <sheetName val="Disclaimer"/>
      <sheetName val="Exec Summary"/>
      <sheetName val="Snapshot"/>
      <sheetName val="Gold Balance"/>
      <sheetName val="Jewellery"/>
      <sheetName val="Bar &amp; Coin"/>
      <sheetName val="Consumer"/>
      <sheetName val="Consumer Per Capita"/>
      <sheetName val="Prices"/>
      <sheetName val="India Supply"/>
      <sheetName val="ETF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7CCDE-AEA1-46B2-9608-6DEE81613E86}">
  <sheetPr>
    <tabColor rgb="FF2D3D70"/>
  </sheetPr>
  <dimension ref="A1:M69"/>
  <sheetViews>
    <sheetView showGridLines="0" tabSelected="1" zoomScale="130" zoomScaleNormal="130" workbookViewId="0"/>
  </sheetViews>
  <sheetFormatPr defaultColWidth="0" defaultRowHeight="14.4" zeroHeight="1"/>
  <cols>
    <col min="1" max="1" width="5.109375" style="1" customWidth="1"/>
    <col min="2" max="5" width="8.88671875" style="1" customWidth="1"/>
    <col min="6" max="6" width="36.33203125" style="1" bestFit="1" customWidth="1"/>
    <col min="7" max="10" width="8.88671875" style="1" customWidth="1"/>
    <col min="11" max="11" width="5" style="1" customWidth="1"/>
    <col min="12" max="13" width="0" style="1" hidden="1" customWidth="1"/>
    <col min="14" max="16384" width="8.88671875" style="1" hidden="1"/>
  </cols>
  <sheetData>
    <row r="1"/>
    <row r="2"/>
    <row r="3"/>
    <row r="4"/>
    <row r="5"/>
    <row r="6"/>
    <row r="7"/>
    <row r="8"/>
    <row r="9"/>
    <row r="10"/>
    <row r="11"/>
    <row r="12"/>
    <row r="13"/>
    <row r="14"/>
    <row r="15"/>
    <row r="16"/>
    <row r="17" spans="1:13"/>
    <row r="18" spans="1:13">
      <c r="M18" s="2"/>
    </row>
    <row r="19" spans="1:13"/>
    <row r="20" spans="1:13"/>
    <row r="21" spans="1:13"/>
    <row r="22" spans="1:13"/>
    <row r="23" spans="1:13"/>
    <row r="24" spans="1:13"/>
    <row r="25" spans="1:13"/>
    <row r="26" spans="1:13"/>
    <row r="27" spans="1:13"/>
    <row r="28" spans="1:13" ht="37.950000000000003" customHeight="1">
      <c r="A28" s="3"/>
      <c r="B28" s="268" t="s">
        <v>0</v>
      </c>
      <c r="C28" s="268"/>
      <c r="D28" s="268"/>
      <c r="E28" s="268"/>
      <c r="F28" s="268"/>
      <c r="G28" s="268"/>
      <c r="H28" s="3"/>
      <c r="I28" s="3"/>
      <c r="J28" s="3"/>
    </row>
    <row r="29" spans="1:13">
      <c r="A29" s="3"/>
      <c r="B29" s="3"/>
      <c r="C29" s="3"/>
      <c r="D29" s="3"/>
      <c r="E29" s="3"/>
      <c r="F29" s="3"/>
      <c r="G29" s="3"/>
      <c r="H29" s="3"/>
      <c r="I29" s="3"/>
      <c r="J29" s="3"/>
      <c r="K29" s="3"/>
    </row>
    <row r="30" spans="1:13" ht="23.4">
      <c r="A30" s="3"/>
      <c r="B30" s="269" t="s">
        <v>1</v>
      </c>
      <c r="C30" s="269"/>
      <c r="D30" s="269"/>
      <c r="E30" s="269"/>
      <c r="F30" s="269"/>
      <c r="G30" s="269"/>
      <c r="H30" s="269"/>
      <c r="I30" s="269"/>
      <c r="J30" s="3"/>
      <c r="K30" s="3"/>
    </row>
    <row r="31" spans="1:13" ht="23.4">
      <c r="A31" s="3"/>
      <c r="B31" s="269" t="s">
        <v>2</v>
      </c>
      <c r="C31" s="269"/>
      <c r="D31" s="269"/>
      <c r="E31" s="269"/>
      <c r="F31" s="269"/>
      <c r="G31" s="269"/>
      <c r="H31" s="269"/>
      <c r="I31" s="269"/>
      <c r="J31" s="3"/>
      <c r="K31" s="3"/>
    </row>
    <row r="32" spans="1:13" ht="23.4">
      <c r="A32" s="3"/>
      <c r="B32" s="269" t="s">
        <v>3</v>
      </c>
      <c r="C32" s="269"/>
      <c r="D32" s="269"/>
      <c r="E32" s="269"/>
      <c r="F32" s="269"/>
      <c r="G32" s="269"/>
      <c r="H32" s="269"/>
      <c r="I32" s="269"/>
      <c r="J32" s="3"/>
    </row>
    <row r="33" spans="1:11" ht="23.4">
      <c r="A33" s="3"/>
      <c r="B33" s="269" t="s">
        <v>4</v>
      </c>
      <c r="C33" s="269"/>
      <c r="D33" s="269"/>
      <c r="E33" s="269"/>
      <c r="F33" s="269"/>
      <c r="G33" s="269"/>
      <c r="H33" s="269"/>
      <c r="I33" s="269"/>
      <c r="J33" s="3"/>
    </row>
    <row r="34" spans="1:11" ht="23.4">
      <c r="A34" s="3"/>
      <c r="B34" s="269" t="s">
        <v>5</v>
      </c>
      <c r="C34" s="269"/>
      <c r="D34" s="269"/>
      <c r="E34" s="269"/>
      <c r="F34" s="269"/>
      <c r="G34" s="269"/>
      <c r="H34" s="269"/>
      <c r="I34" s="269"/>
      <c r="J34" s="3"/>
    </row>
    <row r="35" spans="1:11" ht="23.4">
      <c r="A35" s="3"/>
      <c r="B35" s="269" t="s">
        <v>6</v>
      </c>
      <c r="C35" s="269"/>
      <c r="D35" s="269"/>
      <c r="E35" s="269"/>
      <c r="F35" s="269"/>
      <c r="G35" s="269"/>
      <c r="H35" s="269"/>
      <c r="I35" s="269"/>
      <c r="J35" s="3"/>
    </row>
    <row r="36" spans="1:11" ht="23.4">
      <c r="A36" s="3"/>
      <c r="B36" s="269" t="s">
        <v>7</v>
      </c>
      <c r="C36" s="269"/>
      <c r="D36" s="269"/>
      <c r="E36" s="269"/>
      <c r="F36" s="269"/>
      <c r="G36" s="269"/>
      <c r="H36" s="269"/>
      <c r="I36" s="269"/>
      <c r="J36" s="3"/>
    </row>
    <row r="37" spans="1:11" ht="23.4">
      <c r="A37" s="3"/>
      <c r="B37" s="269" t="s">
        <v>8</v>
      </c>
      <c r="C37" s="269"/>
      <c r="D37" s="269"/>
      <c r="E37" s="269"/>
      <c r="F37" s="269"/>
      <c r="G37" s="269"/>
      <c r="H37" s="269"/>
      <c r="I37" s="269"/>
      <c r="J37" s="3"/>
    </row>
    <row r="38" spans="1:11" ht="23.4">
      <c r="A38" s="3"/>
      <c r="B38" s="269" t="s">
        <v>9</v>
      </c>
      <c r="C38" s="269"/>
      <c r="D38" s="269"/>
      <c r="E38" s="269"/>
      <c r="F38" s="269"/>
      <c r="G38" s="269"/>
      <c r="H38" s="269"/>
      <c r="I38" s="269"/>
      <c r="J38" s="3"/>
    </row>
    <row r="39" spans="1:11" ht="23.4">
      <c r="A39" s="3"/>
      <c r="B39" s="269" t="s">
        <v>10</v>
      </c>
      <c r="C39" s="269"/>
      <c r="D39" s="269"/>
      <c r="E39" s="269"/>
      <c r="F39" s="269"/>
      <c r="G39" s="269"/>
      <c r="H39" s="269"/>
      <c r="I39" s="269"/>
      <c r="J39" s="3"/>
    </row>
    <row r="40" spans="1:11">
      <c r="A40" s="3"/>
      <c r="B40" s="3"/>
      <c r="C40" s="3"/>
      <c r="D40" s="3"/>
      <c r="E40" s="3"/>
      <c r="F40" s="3"/>
      <c r="G40" s="3"/>
      <c r="H40" s="3"/>
      <c r="I40" s="3"/>
      <c r="J40" s="3"/>
    </row>
    <row r="41" spans="1:11" ht="28.8">
      <c r="A41" s="3"/>
      <c r="B41" s="151" t="s">
        <v>11</v>
      </c>
      <c r="C41" s="151"/>
      <c r="D41" s="3"/>
      <c r="E41" s="3"/>
      <c r="F41" s="3"/>
      <c r="G41" s="3"/>
      <c r="H41" s="3"/>
      <c r="I41" s="3"/>
      <c r="J41" s="3"/>
    </row>
    <row r="42" spans="1:11" ht="102.6" customHeight="1">
      <c r="A42" s="3"/>
      <c r="B42" s="267" t="s">
        <v>12</v>
      </c>
      <c r="C42" s="267"/>
      <c r="D42" s="267"/>
      <c r="E42" s="267"/>
      <c r="F42" s="267"/>
      <c r="G42" s="267"/>
      <c r="H42" s="267"/>
      <c r="I42" s="267"/>
      <c r="J42" s="267"/>
      <c r="K42" s="4"/>
    </row>
    <row r="43" spans="1:11" ht="78.599999999999994" customHeight="1">
      <c r="A43" s="5"/>
      <c r="B43" s="267"/>
      <c r="C43" s="267"/>
      <c r="D43" s="267"/>
      <c r="E43" s="267"/>
      <c r="F43" s="267"/>
      <c r="G43" s="267"/>
      <c r="H43" s="267"/>
      <c r="I43" s="267"/>
      <c r="J43" s="267"/>
      <c r="K43" s="4"/>
    </row>
    <row r="44" spans="1:11" ht="14.4" customHeight="1">
      <c r="A44" s="5"/>
      <c r="B44" s="267"/>
      <c r="C44" s="267"/>
      <c r="D44" s="267"/>
      <c r="E44" s="267"/>
      <c r="F44" s="267"/>
      <c r="G44" s="267"/>
      <c r="H44" s="267"/>
      <c r="I44" s="267"/>
      <c r="J44" s="267"/>
      <c r="K44" s="4"/>
    </row>
    <row r="45" spans="1:11" ht="14.4" customHeight="1">
      <c r="A45" s="5"/>
      <c r="B45" s="267"/>
      <c r="C45" s="267"/>
      <c r="D45" s="267"/>
      <c r="E45" s="267"/>
      <c r="F45" s="267"/>
      <c r="G45" s="267"/>
      <c r="H45" s="267"/>
      <c r="I45" s="267"/>
      <c r="J45" s="267"/>
      <c r="K45" s="4"/>
    </row>
    <row r="46" spans="1:11" ht="21" customHeight="1">
      <c r="A46" s="5"/>
      <c r="B46" s="267"/>
      <c r="C46" s="267"/>
      <c r="D46" s="267"/>
      <c r="E46" s="267"/>
      <c r="F46" s="267"/>
      <c r="G46" s="267"/>
      <c r="H46" s="267"/>
      <c r="I46" s="267"/>
      <c r="J46" s="267"/>
      <c r="K46" s="4"/>
    </row>
    <row r="47" spans="1:11" ht="12" customHeight="1">
      <c r="A47" s="4"/>
      <c r="B47" s="4"/>
      <c r="C47" s="4"/>
      <c r="D47" s="4"/>
      <c r="E47" s="4"/>
      <c r="F47" s="4"/>
      <c r="G47" s="4"/>
      <c r="H47" s="4"/>
      <c r="I47" s="4"/>
      <c r="J47" s="4"/>
      <c r="K47" s="4"/>
    </row>
    <row r="48" spans="1:11" hidden="1">
      <c r="A48" s="6"/>
      <c r="B48" s="6"/>
      <c r="C48" s="6"/>
      <c r="D48" s="6"/>
      <c r="E48" s="6"/>
      <c r="F48" s="6"/>
      <c r="G48" s="6"/>
      <c r="H48" s="6"/>
      <c r="I48" s="6"/>
      <c r="J48" s="6"/>
      <c r="K48" s="6"/>
    </row>
    <row r="49" spans="6:7" ht="21.6" hidden="1" customHeight="1"/>
    <row r="50" spans="6:7"/>
    <row r="61" spans="6:7" hidden="1">
      <c r="F61" s="7"/>
      <c r="G61" s="7"/>
    </row>
    <row r="62" spans="6:7" hidden="1">
      <c r="F62" s="7"/>
    </row>
    <row r="63" spans="6:7" ht="19.95" hidden="1" customHeight="1">
      <c r="F63" s="7"/>
    </row>
    <row r="64" spans="6:7" hidden="1">
      <c r="F64" s="7"/>
    </row>
    <row r="65" spans="6:6" hidden="1">
      <c r="F65" s="7"/>
    </row>
    <row r="66" spans="6:6" hidden="1">
      <c r="F66" s="7"/>
    </row>
    <row r="67" spans="6:6" hidden="1">
      <c r="F67" s="7"/>
    </row>
    <row r="68" spans="6:6" hidden="1">
      <c r="F68" s="7"/>
    </row>
    <row r="69" spans="6:6" hidden="1">
      <c r="F69" s="7"/>
    </row>
  </sheetData>
  <mergeCells count="12">
    <mergeCell ref="B42:J46"/>
    <mergeCell ref="B28:G28"/>
    <mergeCell ref="B32:I32"/>
    <mergeCell ref="B30:I30"/>
    <mergeCell ref="B31:I31"/>
    <mergeCell ref="B33:I33"/>
    <mergeCell ref="B39:I39"/>
    <mergeCell ref="B34:I34"/>
    <mergeCell ref="B35:I35"/>
    <mergeCell ref="B36:I36"/>
    <mergeCell ref="B37:I37"/>
    <mergeCell ref="B38:I38"/>
  </mergeCells>
  <hyperlinks>
    <hyperlink ref="B32" location="'1. Income Statement'!A1" display="1. Income Statement" xr:uid="{38D08680-6807-43CF-A5AF-B76F7DC82F90}"/>
    <hyperlink ref="B33" location="'2. Balance Sheet'!A1" display="2. Balance Sheet" xr:uid="{E67D079E-5937-406D-B657-149967B67A74}"/>
    <hyperlink ref="B34" location="'3. Cash Flow'!A1" display="3. Cash Flow " xr:uid="{D18FE244-DB93-446F-9848-F0A7FDB21391}"/>
    <hyperlink ref="B35" location="'4. Operational Data'!A1" display="4. Operational Data" xr:uid="{27A78BF8-7EE0-444F-A7AC-09A352288DB0}"/>
    <hyperlink ref="B30" location="'1. Production Processes'!A1" display="1. Production Processes" xr:uid="{616BF119-F78E-475A-BED6-E57D1252F3EF}"/>
    <hyperlink ref="B31" location="'2. Market Data'!A1" display="2. Market Data" xr:uid="{4122CE92-32E1-479F-BD13-CE4CB2573A62}"/>
    <hyperlink ref="B32:I32" location="'3. Income Statement'!A1" display="3. Income Statement | Demonstração de Resultados do Exercício" xr:uid="{851A6909-7062-4A37-929C-6575FD26D25A}"/>
    <hyperlink ref="B36" location="'4.1. Aranzazu'!A1" display="4.1. Aranzazu" xr:uid="{BFA07DA9-0742-4737-BB6B-91428745CAAB}"/>
    <hyperlink ref="B37" location="'4.2. Minosa'!A1" display="4.2. Minosa (San Andres)" xr:uid="{C19A3967-F236-40DD-B3D5-3A8FB128E2AC}"/>
    <hyperlink ref="B38" location="'4.3. Apoena'!A1" display="4.3. Apoena (EPP)" xr:uid="{E4D21323-5AE6-4F3F-8BA5-53EC7A296A3E}"/>
    <hyperlink ref="B39" location="'4.4. Almas'!A1" display="4.4. Almas" xr:uid="{B4D8A742-6EF6-4229-9166-AF56A5F3CB5C}"/>
    <hyperlink ref="B36:D36" location="'4.1. Aranzazu'!A1" display="4.1. Aranzazu" xr:uid="{7C98848D-0D0F-49AF-B53D-B89DCD20B8FB}"/>
    <hyperlink ref="B37:F37" location="'6.2. Apoena'!A1" display="6.2. Apoena (EPP)" xr:uid="{D57636AF-A73D-4DAB-A34E-C517BAF52CE8}"/>
    <hyperlink ref="B38:E38" location="'4.3. Apoena'!A1" display="4.3. Apoena (EPP)" xr:uid="{79CECB84-B796-40E4-9A93-0E47D5038062}"/>
    <hyperlink ref="B39:C39" location="'4.4. Almas'!A1" display="4.4. Almas" xr:uid="{3FAA6515-70ED-4497-B206-B8DA0243C181}"/>
    <hyperlink ref="B36:F36" location="'6.1. Aranzazu'!A1" display="6.1. Aranzazu" xr:uid="{AAFB1173-8E91-447B-93B3-63C6CF1CFB9F}"/>
    <hyperlink ref="B38:F38" location="'6.3. Minosa'!A1" display="6.3. Minosa (San Andres)" xr:uid="{A5E75FDE-1AC9-45A8-BE84-EF409F353D4E}"/>
    <hyperlink ref="B39:F39" location="'6.4. Almas'!A1" display="6.4. Almas" xr:uid="{EEA070E4-A394-4FE2-9896-E2961E18FD5B}"/>
    <hyperlink ref="B33:F33" location="'4. Balance Sheet'!A1" display="4. Balance Sheet | Balanço Patrimonial" xr:uid="{DCDFA8FA-FA02-4A52-8144-805E15C2B34E}"/>
    <hyperlink ref="B34:G34" location="'5. Cash Flow'!A1" display="5. Cash Flow | Demonstração de Fluxo de Caixa" xr:uid="{86A4D1E8-3461-4E4F-8D77-33FE9FA62EE4}"/>
    <hyperlink ref="B35:F35" location="'6. Operational Data'!A1" display="6. Operational Data | Dados Operacionais" xr:uid="{FC027E4F-07AD-4055-A7D0-940E15287C9D}"/>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FC26D-16B6-4079-9688-2DECEFD9C083}">
  <sheetPr>
    <tabColor rgb="FF2D3D70"/>
  </sheetPr>
  <dimension ref="A3:W65"/>
  <sheetViews>
    <sheetView showGridLines="0" topLeftCell="A3" zoomScaleNormal="100" workbookViewId="0">
      <pane xSplit="1" ySplit="4" topLeftCell="B7" activePane="bottomRight" state="frozen"/>
      <selection activeCell="A3" sqref="A3"/>
      <selection pane="topRight" activeCell="B3" sqref="B3"/>
      <selection pane="bottomLeft" activeCell="A7" sqref="A7"/>
      <selection pane="bottomRight" activeCell="A6" sqref="A6"/>
    </sheetView>
  </sheetViews>
  <sheetFormatPr defaultColWidth="8.88671875" defaultRowHeight="14.4"/>
  <cols>
    <col min="1" max="1" width="40.33203125" style="1" bestFit="1" customWidth="1"/>
    <col min="2" max="4" width="10.5546875" style="1" bestFit="1" customWidth="1"/>
    <col min="5" max="6" width="12.109375" style="1" bestFit="1" customWidth="1"/>
    <col min="7" max="7" width="11.33203125" style="1" bestFit="1" customWidth="1"/>
    <col min="8" max="11" width="12.109375" style="1" bestFit="1" customWidth="1"/>
    <col min="12" max="12" width="11.33203125" style="1" bestFit="1" customWidth="1"/>
    <col min="13" max="13" width="12.109375" style="1" bestFit="1" customWidth="1"/>
    <col min="14" max="15" width="11" style="1" bestFit="1" customWidth="1"/>
    <col min="16" max="16" width="12.109375" style="1" bestFit="1" customWidth="1"/>
    <col min="17" max="17" width="12.33203125" style="1" bestFit="1" customWidth="1"/>
    <col min="18" max="18" width="12.109375" style="1" bestFit="1" customWidth="1"/>
    <col min="19" max="20" width="11" style="1" bestFit="1" customWidth="1"/>
    <col min="21" max="21" width="12.109375" style="1" bestFit="1" customWidth="1"/>
    <col min="22" max="22" width="12.33203125" style="1" bestFit="1" customWidth="1"/>
    <col min="23" max="29" width="10.44140625" style="1" bestFit="1" customWidth="1"/>
    <col min="30" max="30" width="11.6640625" style="1" bestFit="1" customWidth="1"/>
    <col min="31" max="34" width="11.5546875" style="1" bestFit="1" customWidth="1"/>
    <col min="35" max="35" width="10.44140625" style="1" bestFit="1" customWidth="1"/>
    <col min="36" max="16384" width="8.88671875" style="1"/>
  </cols>
  <sheetData>
    <row r="3" spans="1:22">
      <c r="B3"/>
      <c r="C3"/>
      <c r="D3"/>
    </row>
    <row r="5" spans="1:22">
      <c r="A5" s="8"/>
      <c r="C5" s="8"/>
      <c r="D5" s="8"/>
    </row>
    <row r="6" spans="1:22">
      <c r="A6" s="45"/>
      <c r="B6" s="11">
        <v>2022</v>
      </c>
      <c r="C6" s="10" t="s">
        <v>39</v>
      </c>
      <c r="D6" s="10" t="s">
        <v>40</v>
      </c>
      <c r="E6" s="10" t="s">
        <v>41</v>
      </c>
      <c r="F6" s="10" t="s">
        <v>42</v>
      </c>
      <c r="G6" s="12">
        <v>2023</v>
      </c>
      <c r="H6" s="10" t="s">
        <v>43</v>
      </c>
      <c r="I6" s="10" t="s">
        <v>44</v>
      </c>
      <c r="J6" s="10" t="s">
        <v>45</v>
      </c>
      <c r="K6" s="10" t="s">
        <v>46</v>
      </c>
      <c r="L6" s="12">
        <v>2024</v>
      </c>
      <c r="M6" s="10" t="s">
        <v>47</v>
      </c>
      <c r="N6" s="10" t="s">
        <v>48</v>
      </c>
      <c r="O6" s="10" t="s">
        <v>49</v>
      </c>
      <c r="P6" s="10" t="s">
        <v>50</v>
      </c>
      <c r="Q6" s="12">
        <v>2025</v>
      </c>
      <c r="R6" s="10" t="s">
        <v>51</v>
      </c>
      <c r="S6" s="10" t="s">
        <v>52</v>
      </c>
      <c r="T6" s="10" t="s">
        <v>53</v>
      </c>
      <c r="U6" s="10" t="s">
        <v>54</v>
      </c>
      <c r="V6" s="12">
        <v>2026</v>
      </c>
    </row>
    <row r="7" spans="1:22">
      <c r="A7" s="13" t="s">
        <v>237</v>
      </c>
      <c r="B7" s="47"/>
      <c r="C7" s="46"/>
      <c r="D7" s="46"/>
      <c r="E7" s="46"/>
      <c r="F7" s="46"/>
      <c r="G7" s="48"/>
      <c r="H7" s="46"/>
      <c r="I7" s="46"/>
      <c r="J7" s="46"/>
      <c r="K7" s="46"/>
      <c r="L7" s="48"/>
      <c r="M7" s="46"/>
      <c r="N7" s="46"/>
      <c r="O7" s="46"/>
      <c r="P7" s="46"/>
      <c r="Q7" s="48"/>
      <c r="R7" s="46"/>
      <c r="S7" s="46"/>
      <c r="T7" s="46"/>
      <c r="U7" s="46"/>
      <c r="V7" s="48"/>
    </row>
    <row r="8" spans="1:22">
      <c r="A8" s="17"/>
      <c r="B8" s="143"/>
      <c r="G8" s="143"/>
      <c r="L8" s="143"/>
      <c r="N8" s="3"/>
      <c r="O8" s="3"/>
      <c r="Q8" s="143"/>
      <c r="S8" s="3"/>
      <c r="T8" s="3"/>
      <c r="V8" s="143"/>
    </row>
    <row r="9" spans="1:22" s="3" customFormat="1">
      <c r="A9" s="31" t="s">
        <v>222</v>
      </c>
      <c r="B9" s="72"/>
      <c r="C9" s="82"/>
      <c r="D9" s="82"/>
      <c r="G9" s="72"/>
      <c r="L9" s="72"/>
      <c r="N9" s="35"/>
      <c r="O9" s="35"/>
      <c r="Q9" s="72"/>
      <c r="S9" s="35"/>
      <c r="T9" s="35"/>
      <c r="V9" s="72"/>
    </row>
    <row r="10" spans="1:22" s="3" customFormat="1">
      <c r="A10" s="33" t="s">
        <v>177</v>
      </c>
      <c r="B10" s="72">
        <v>645000</v>
      </c>
      <c r="C10" s="27">
        <v>645000</v>
      </c>
      <c r="D10" s="27">
        <v>645000</v>
      </c>
      <c r="E10" s="27">
        <v>645000</v>
      </c>
      <c r="F10" s="27">
        <v>645000</v>
      </c>
      <c r="G10" s="72">
        <v>695000</v>
      </c>
      <c r="H10" s="27">
        <v>695000</v>
      </c>
      <c r="I10" s="27">
        <v>695000</v>
      </c>
      <c r="J10" s="27">
        <v>695000</v>
      </c>
      <c r="K10" s="27">
        <v>695000</v>
      </c>
      <c r="L10" s="72">
        <f>488000+38000+104000+44000</f>
        <v>674000</v>
      </c>
      <c r="M10" s="27">
        <v>674000</v>
      </c>
      <c r="N10" s="27">
        <v>674000</v>
      </c>
      <c r="O10" s="27">
        <v>674000</v>
      </c>
      <c r="P10" s="27">
        <v>674000</v>
      </c>
      <c r="Q10" s="72">
        <f>P10</f>
        <v>674000</v>
      </c>
      <c r="R10" s="27">
        <v>890315.13</v>
      </c>
      <c r="S10" s="27"/>
      <c r="T10" s="27"/>
      <c r="U10" s="27"/>
      <c r="V10" s="72"/>
    </row>
    <row r="11" spans="1:22" s="3" customFormat="1">
      <c r="A11" s="33" t="s">
        <v>178</v>
      </c>
      <c r="B11" s="72">
        <v>745445</v>
      </c>
      <c r="C11" s="27">
        <v>745445</v>
      </c>
      <c r="D11" s="27">
        <v>745445</v>
      </c>
      <c r="E11" s="27">
        <v>745445</v>
      </c>
      <c r="F11" s="27">
        <v>745445</v>
      </c>
      <c r="G11" s="72">
        <v>876000</v>
      </c>
      <c r="H11" s="27">
        <v>876000</v>
      </c>
      <c r="I11" s="27">
        <v>876000</v>
      </c>
      <c r="J11" s="27">
        <v>876000</v>
      </c>
      <c r="K11" s="27">
        <v>876000</v>
      </c>
      <c r="L11" s="72">
        <f>690000+58000+160000+44000</f>
        <v>952000</v>
      </c>
      <c r="M11" s="27">
        <v>952000</v>
      </c>
      <c r="N11" s="27">
        <v>952000</v>
      </c>
      <c r="O11" s="27">
        <v>952000</v>
      </c>
      <c r="P11" s="27">
        <v>952000</v>
      </c>
      <c r="Q11" s="72">
        <f t="shared" ref="Q11:Q21" si="0">P11</f>
        <v>952000</v>
      </c>
      <c r="R11" s="27">
        <v>1056048.0900000001</v>
      </c>
      <c r="S11" s="27"/>
      <c r="T11" s="27"/>
      <c r="U11" s="27"/>
      <c r="V11" s="72"/>
    </row>
    <row r="12" spans="1:22" s="3" customFormat="1">
      <c r="A12" s="33" t="s">
        <v>238</v>
      </c>
      <c r="B12" s="72">
        <v>206000</v>
      </c>
      <c r="C12" s="35">
        <v>206000</v>
      </c>
      <c r="D12" s="35">
        <v>206000</v>
      </c>
      <c r="E12" s="35">
        <v>206000</v>
      </c>
      <c r="F12" s="35">
        <v>206000</v>
      </c>
      <c r="G12" s="72">
        <v>150000</v>
      </c>
      <c r="H12" s="35">
        <v>150000</v>
      </c>
      <c r="I12" s="35">
        <v>150000</v>
      </c>
      <c r="J12" s="35">
        <v>150000</v>
      </c>
      <c r="K12" s="35">
        <v>150000</v>
      </c>
      <c r="L12" s="72">
        <f>65000+25000+10000</f>
        <v>100000</v>
      </c>
      <c r="M12" s="35">
        <v>100000</v>
      </c>
      <c r="N12" s="35">
        <v>100000</v>
      </c>
      <c r="O12" s="35">
        <v>100000</v>
      </c>
      <c r="P12" s="35">
        <v>100000</v>
      </c>
      <c r="Q12" s="72">
        <f t="shared" si="0"/>
        <v>100000</v>
      </c>
      <c r="R12" s="35">
        <v>156212.44899999999</v>
      </c>
      <c r="S12" s="35"/>
      <c r="T12" s="35"/>
      <c r="U12" s="35"/>
      <c r="V12" s="72"/>
    </row>
    <row r="13" spans="1:22" s="3" customFormat="1">
      <c r="A13" s="33"/>
      <c r="B13" s="72"/>
      <c r="G13" s="69"/>
      <c r="L13" s="69"/>
      <c r="Q13" s="69"/>
      <c r="V13" s="69"/>
    </row>
    <row r="14" spans="1:22" s="3" customFormat="1">
      <c r="A14" s="31" t="s">
        <v>183</v>
      </c>
      <c r="B14" s="72"/>
      <c r="C14" s="67"/>
      <c r="D14" s="67"/>
      <c r="E14" s="67">
        <v>382405.1</v>
      </c>
      <c r="F14" s="67">
        <v>412589</v>
      </c>
      <c r="G14" s="72">
        <v>794994.1</v>
      </c>
      <c r="H14" s="67">
        <v>386398</v>
      </c>
      <c r="I14" s="67">
        <v>440508</v>
      </c>
      <c r="J14" s="67">
        <v>743063.01040139515</v>
      </c>
      <c r="K14" s="67">
        <v>792739</v>
      </c>
      <c r="L14" s="72">
        <v>2362708.139661395</v>
      </c>
      <c r="M14" s="20">
        <v>429661.60762563057</v>
      </c>
      <c r="N14" s="20">
        <v>715659</v>
      </c>
      <c r="O14" s="67">
        <v>1126933.3992558308</v>
      </c>
      <c r="P14" s="67">
        <v>993224</v>
      </c>
      <c r="Q14" s="72">
        <f>SUM(M14:P14)</f>
        <v>3265478.0068814615</v>
      </c>
      <c r="R14" s="20">
        <v>594471.21548015508</v>
      </c>
      <c r="S14" s="20"/>
      <c r="T14" s="67"/>
      <c r="U14" s="67"/>
      <c r="V14" s="72"/>
    </row>
    <row r="15" spans="1:22" s="3" customFormat="1">
      <c r="A15" s="31" t="s">
        <v>223</v>
      </c>
      <c r="B15" s="72"/>
      <c r="C15" s="67"/>
      <c r="D15" s="67"/>
      <c r="E15" s="67">
        <v>1966963.1</v>
      </c>
      <c r="F15" s="67">
        <v>2031294</v>
      </c>
      <c r="G15" s="72">
        <v>3998257.1</v>
      </c>
      <c r="H15" s="67">
        <v>2011909</v>
      </c>
      <c r="I15" s="67">
        <v>1804356</v>
      </c>
      <c r="J15" s="67">
        <v>3190838.5253210496</v>
      </c>
      <c r="K15" s="67">
        <v>2591269</v>
      </c>
      <c r="L15" s="72">
        <v>9598372.896197293</v>
      </c>
      <c r="M15" s="20">
        <v>3080044.3527610637</v>
      </c>
      <c r="N15" s="20">
        <v>4349512</v>
      </c>
      <c r="O15" s="67">
        <v>4999430.9104413008</v>
      </c>
      <c r="P15" s="67">
        <v>4195754.6100000003</v>
      </c>
      <c r="Q15" s="72">
        <f>SUM(M15:P15)</f>
        <v>16624741.873202365</v>
      </c>
      <c r="R15" s="20">
        <v>3869086</v>
      </c>
      <c r="S15" s="20"/>
      <c r="T15" s="67"/>
      <c r="U15" s="67"/>
      <c r="V15" s="72"/>
    </row>
    <row r="16" spans="1:22" s="3" customFormat="1">
      <c r="A16" s="39"/>
      <c r="B16" s="69"/>
      <c r="C16" s="35"/>
      <c r="D16" s="35"/>
      <c r="E16" s="35"/>
      <c r="F16" s="35"/>
      <c r="G16" s="69"/>
      <c r="H16" s="35"/>
      <c r="I16" s="35"/>
      <c r="J16" s="35"/>
      <c r="K16" s="35"/>
      <c r="L16" s="69"/>
      <c r="M16" s="22"/>
      <c r="N16" s="22"/>
      <c r="O16" s="35"/>
      <c r="P16" s="35"/>
      <c r="Q16" s="69"/>
      <c r="R16" s="22"/>
      <c r="S16" s="22"/>
      <c r="T16" s="35"/>
      <c r="U16" s="35"/>
      <c r="V16" s="69"/>
    </row>
    <row r="17" spans="1:23" s="3" customFormat="1">
      <c r="A17" s="31" t="s">
        <v>224</v>
      </c>
      <c r="B17" s="127"/>
      <c r="C17" s="85"/>
      <c r="D17" s="85"/>
      <c r="E17" s="85">
        <v>5.1436633559541969</v>
      </c>
      <c r="F17" s="85">
        <v>4.9232868544726109</v>
      </c>
      <c r="G17" s="127">
        <v>5.0292915381384597</v>
      </c>
      <c r="H17" s="85">
        <v>5.2068307806976231</v>
      </c>
      <c r="I17" s="85">
        <v>4.0960799803862811</v>
      </c>
      <c r="J17" s="85">
        <v>4.2941695127542294</v>
      </c>
      <c r="K17" s="85">
        <v>3.2687542810433192</v>
      </c>
      <c r="L17" s="127">
        <v>4.0624454349968326</v>
      </c>
      <c r="M17" s="169">
        <v>7.1685351869854381</v>
      </c>
      <c r="N17" s="169">
        <v>6.0776319448228833</v>
      </c>
      <c r="O17" s="85">
        <v>4.4363144385840982</v>
      </c>
      <c r="P17" s="85">
        <v>4.2243790021183543</v>
      </c>
      <c r="Q17" s="249">
        <v>5.0918682366178114</v>
      </c>
      <c r="R17" s="169">
        <v>6.5084496931864644</v>
      </c>
      <c r="S17" s="169"/>
      <c r="T17" s="85"/>
      <c r="U17" s="85"/>
      <c r="V17" s="249"/>
    </row>
    <row r="18" spans="1:23" s="3" customFormat="1">
      <c r="A18" s="39"/>
      <c r="B18" s="69"/>
      <c r="C18" s="35"/>
      <c r="D18" s="35"/>
      <c r="E18" s="35"/>
      <c r="F18" s="35"/>
      <c r="G18" s="69"/>
      <c r="H18" s="35"/>
      <c r="I18" s="35"/>
      <c r="J18" s="35"/>
      <c r="K18" s="35"/>
      <c r="L18" s="69"/>
      <c r="M18" s="22"/>
      <c r="N18" s="22"/>
      <c r="O18" s="35"/>
      <c r="P18" s="35"/>
      <c r="Q18" s="71">
        <f t="shared" si="0"/>
        <v>0</v>
      </c>
      <c r="R18" s="22"/>
      <c r="S18" s="22"/>
      <c r="T18" s="35"/>
      <c r="U18" s="35"/>
      <c r="V18" s="71"/>
    </row>
    <row r="19" spans="1:23" s="3" customFormat="1">
      <c r="A19" s="31" t="s">
        <v>225</v>
      </c>
      <c r="B19" s="71"/>
      <c r="C19" s="35"/>
      <c r="D19" s="35"/>
      <c r="E19" s="35">
        <v>368050.2</v>
      </c>
      <c r="F19" s="35">
        <v>398044</v>
      </c>
      <c r="G19" s="71">
        <v>766094.2</v>
      </c>
      <c r="H19" s="35">
        <v>367767</v>
      </c>
      <c r="I19" s="35">
        <v>384603</v>
      </c>
      <c r="J19" s="35">
        <v>430952.97</v>
      </c>
      <c r="K19" s="35">
        <v>454251</v>
      </c>
      <c r="L19" s="71">
        <v>1637573.97</v>
      </c>
      <c r="M19" s="22">
        <v>446428</v>
      </c>
      <c r="N19" s="22">
        <v>490003</v>
      </c>
      <c r="O19" s="35">
        <v>514926.51995949505</v>
      </c>
      <c r="P19" s="35">
        <v>551302</v>
      </c>
      <c r="Q19" s="71">
        <f>SUM(M19:P19)</f>
        <v>2002659.5199594949</v>
      </c>
      <c r="R19" s="22">
        <v>560344.4406284109</v>
      </c>
      <c r="S19" s="22"/>
      <c r="T19" s="35"/>
      <c r="U19" s="35"/>
      <c r="V19" s="71"/>
    </row>
    <row r="20" spans="1:23" s="3" customFormat="1">
      <c r="A20" s="31" t="s">
        <v>226</v>
      </c>
      <c r="B20" s="128"/>
      <c r="C20" s="85"/>
      <c r="D20" s="85"/>
      <c r="E20" s="85">
        <v>0.84517567724234421</v>
      </c>
      <c r="F20" s="85">
        <v>0.81</v>
      </c>
      <c r="G20" s="144">
        <v>0.82758783862117213</v>
      </c>
      <c r="H20" s="85">
        <v>1.1000000000000001</v>
      </c>
      <c r="I20" s="85">
        <v>0.97</v>
      </c>
      <c r="J20" s="85">
        <v>1.2127512465907793</v>
      </c>
      <c r="K20" s="85">
        <v>1.2182484028809064</v>
      </c>
      <c r="L20" s="144">
        <v>1.131313514676086</v>
      </c>
      <c r="M20" s="169">
        <v>1.057497199996416</v>
      </c>
      <c r="N20" s="169">
        <v>0.9365563505047646</v>
      </c>
      <c r="O20" s="85">
        <v>1.0061187166491881</v>
      </c>
      <c r="P20" s="85">
        <v>1.06</v>
      </c>
      <c r="Q20" s="95">
        <v>1.0153843379666425</v>
      </c>
      <c r="R20" s="169">
        <v>0.95381497749400979</v>
      </c>
      <c r="S20" s="169"/>
      <c r="T20" s="85"/>
      <c r="U20" s="85"/>
      <c r="V20" s="95"/>
    </row>
    <row r="21" spans="1:23" s="3" customFormat="1">
      <c r="A21" s="31" t="s">
        <v>227</v>
      </c>
      <c r="B21" s="118"/>
      <c r="C21" s="87"/>
      <c r="D21" s="87"/>
      <c r="E21" s="87">
        <v>0.9078899052196</v>
      </c>
      <c r="F21" s="87">
        <v>0.89859999999999995</v>
      </c>
      <c r="G21" s="118">
        <v>0.90324495260979998</v>
      </c>
      <c r="H21" s="87">
        <v>0.91400000000000003</v>
      </c>
      <c r="I21" s="87">
        <v>0.90700000000000003</v>
      </c>
      <c r="J21" s="87">
        <v>0.91261244702433764</v>
      </c>
      <c r="K21" s="87">
        <v>0.89517760791366907</v>
      </c>
      <c r="L21" s="118">
        <v>0.90666313692309664</v>
      </c>
      <c r="M21" s="96">
        <v>0.88566342284528521</v>
      </c>
      <c r="N21" s="96">
        <v>0.88491250859062331</v>
      </c>
      <c r="O21" s="87">
        <v>0.87883523538362318</v>
      </c>
      <c r="P21" s="87">
        <v>0.89096699999999995</v>
      </c>
      <c r="Q21" s="118">
        <f t="shared" si="0"/>
        <v>0.89096699999999995</v>
      </c>
      <c r="R21" s="96">
        <v>0.90168142919924332</v>
      </c>
      <c r="S21" s="96"/>
      <c r="T21" s="87"/>
      <c r="U21" s="87"/>
      <c r="V21" s="118"/>
    </row>
    <row r="22" spans="1:23" s="3" customFormat="1">
      <c r="A22" s="129"/>
      <c r="B22" s="69"/>
      <c r="C22" s="35"/>
      <c r="D22" s="35"/>
      <c r="E22" s="35"/>
      <c r="F22" s="35"/>
      <c r="G22" s="69"/>
      <c r="H22" s="35"/>
      <c r="I22" s="35"/>
      <c r="J22" s="35"/>
      <c r="K22" s="35"/>
      <c r="L22" s="69"/>
      <c r="M22" s="22"/>
      <c r="N22" s="22"/>
      <c r="O22" s="22"/>
      <c r="P22" s="35"/>
      <c r="Q22" s="69"/>
      <c r="R22" s="22"/>
      <c r="S22" s="22"/>
      <c r="T22" s="22"/>
      <c r="U22" s="35"/>
      <c r="V22" s="69"/>
    </row>
    <row r="23" spans="1:23" s="3" customFormat="1">
      <c r="A23" s="31" t="s">
        <v>228</v>
      </c>
      <c r="B23" s="71"/>
      <c r="C23" s="67"/>
      <c r="D23" s="67"/>
      <c r="E23" s="67">
        <v>8214</v>
      </c>
      <c r="F23" s="67">
        <v>9591</v>
      </c>
      <c r="G23" s="72">
        <v>17805</v>
      </c>
      <c r="H23" s="67">
        <v>11895</v>
      </c>
      <c r="I23" s="67">
        <v>10580</v>
      </c>
      <c r="J23" s="67">
        <v>14975</v>
      </c>
      <c r="K23" s="67">
        <v>16679</v>
      </c>
      <c r="L23" s="72">
        <v>54129</v>
      </c>
      <c r="M23" s="20">
        <v>13101.2</v>
      </c>
      <c r="N23" s="20">
        <v>12917</v>
      </c>
      <c r="O23" s="20">
        <v>15089</v>
      </c>
      <c r="P23" s="67">
        <v>15872.462832711972</v>
      </c>
      <c r="Q23" s="72">
        <f>SUM(M23:P23)</f>
        <v>56979.662832711969</v>
      </c>
      <c r="R23" s="20">
        <v>15838.041273838167</v>
      </c>
      <c r="S23" s="20"/>
      <c r="T23" s="20"/>
      <c r="U23" s="67"/>
      <c r="V23" s="72"/>
      <c r="W23" s="258"/>
    </row>
    <row r="24" spans="1:23" s="3" customFormat="1">
      <c r="A24" s="31" t="s">
        <v>229</v>
      </c>
      <c r="B24" s="71"/>
      <c r="C24" s="67"/>
      <c r="D24" s="67"/>
      <c r="E24" s="67">
        <v>8214</v>
      </c>
      <c r="F24" s="67">
        <v>9591</v>
      </c>
      <c r="G24" s="72">
        <v>17805</v>
      </c>
      <c r="H24" s="67">
        <v>11895</v>
      </c>
      <c r="I24" s="67">
        <v>10580</v>
      </c>
      <c r="J24" s="67">
        <v>14975</v>
      </c>
      <c r="K24" s="67">
        <v>16679</v>
      </c>
      <c r="L24" s="72">
        <v>54129</v>
      </c>
      <c r="M24" s="20">
        <v>13101.2</v>
      </c>
      <c r="N24" s="20">
        <v>12917</v>
      </c>
      <c r="O24" s="20">
        <v>15089</v>
      </c>
      <c r="P24" s="67">
        <v>15872</v>
      </c>
      <c r="Q24" s="72">
        <f>SUM(M24:P24)</f>
        <v>56979.199999999997</v>
      </c>
      <c r="R24" s="20">
        <v>15838.041273838167</v>
      </c>
      <c r="S24" s="20"/>
      <c r="T24" s="20"/>
      <c r="U24" s="67"/>
      <c r="V24" s="72"/>
    </row>
    <row r="25" spans="1:23" s="3" customFormat="1">
      <c r="A25" s="129"/>
      <c r="B25" s="69"/>
      <c r="C25" s="35"/>
      <c r="D25" s="35"/>
      <c r="E25" s="35"/>
      <c r="F25" s="35"/>
      <c r="G25" s="69"/>
      <c r="H25" s="35"/>
      <c r="I25" s="35"/>
      <c r="J25" s="35"/>
      <c r="K25" s="35"/>
      <c r="L25" s="69"/>
      <c r="M25" s="22"/>
      <c r="N25" s="22"/>
      <c r="O25" s="22"/>
      <c r="P25" s="35"/>
      <c r="Q25" s="69"/>
      <c r="R25" s="22"/>
      <c r="S25" s="22"/>
      <c r="T25" s="22"/>
      <c r="U25" s="35"/>
      <c r="V25" s="69"/>
    </row>
    <row r="26" spans="1:23" s="3" customFormat="1">
      <c r="A26" s="31" t="s">
        <v>204</v>
      </c>
      <c r="B26" s="72"/>
      <c r="C26" s="67"/>
      <c r="D26" s="67"/>
      <c r="E26" s="67">
        <v>958.85074263452645</v>
      </c>
      <c r="F26" s="67">
        <v>1486.8613138686133</v>
      </c>
      <c r="G26" s="72">
        <v>1243</v>
      </c>
      <c r="H26" s="67">
        <v>1151.0882083441916</v>
      </c>
      <c r="I26" s="67">
        <v>1203</v>
      </c>
      <c r="J26" s="67">
        <v>899.23205342237065</v>
      </c>
      <c r="K26" s="67">
        <v>692.48755920618737</v>
      </c>
      <c r="L26" s="72">
        <v>950.3517803280082</v>
      </c>
      <c r="M26" s="20">
        <v>1069.1362893144017</v>
      </c>
      <c r="N26" s="20">
        <v>1166.7003076868191</v>
      </c>
      <c r="O26" s="20">
        <v>986</v>
      </c>
      <c r="P26" s="67">
        <v>836.72964021664984</v>
      </c>
      <c r="Q26" s="72">
        <v>1004.4340572272197</v>
      </c>
      <c r="R26" s="20">
        <f>'5. Operational Data'!AU28</f>
        <v>1204</v>
      </c>
      <c r="S26" s="20"/>
      <c r="T26" s="20"/>
      <c r="U26" s="67"/>
      <c r="V26" s="72"/>
    </row>
    <row r="27" spans="1:23" s="3" customFormat="1">
      <c r="A27" s="31" t="s">
        <v>205</v>
      </c>
      <c r="B27" s="72"/>
      <c r="C27" s="67"/>
      <c r="D27" s="67"/>
      <c r="E27" s="67">
        <v>1306.8458576820062</v>
      </c>
      <c r="F27" s="67">
        <v>1514.9113660062565</v>
      </c>
      <c r="G27" s="72">
        <v>1419</v>
      </c>
      <c r="H27" s="67">
        <v>1421.8894222281999</v>
      </c>
      <c r="I27" s="67">
        <v>1434</v>
      </c>
      <c r="J27" s="67">
        <v>1181.9305930304261</v>
      </c>
      <c r="K27" s="67">
        <v>712.70267011775331</v>
      </c>
      <c r="L27" s="72">
        <v>1139.4949189127344</v>
      </c>
      <c r="M27" s="20">
        <v>1194.8399866223244</v>
      </c>
      <c r="N27" s="20">
        <v>1363.6366099686963</v>
      </c>
      <c r="O27" s="20">
        <v>1132</v>
      </c>
      <c r="P27" s="67">
        <v>962.18713927113686</v>
      </c>
      <c r="Q27" s="72">
        <v>1150.4926806974506</v>
      </c>
      <c r="R27" s="20">
        <f>'5. Operational Data'!AU37</f>
        <v>1376</v>
      </c>
      <c r="S27" s="20"/>
      <c r="T27" s="20"/>
      <c r="U27" s="67"/>
      <c r="V27" s="72"/>
    </row>
    <row r="28" spans="1:23" s="3" customFormat="1">
      <c r="A28" s="145"/>
      <c r="B28" s="78"/>
      <c r="C28" s="165"/>
      <c r="D28" s="76"/>
      <c r="E28" s="76"/>
      <c r="F28" s="76"/>
      <c r="G28" s="166"/>
      <c r="H28" s="76"/>
      <c r="I28" s="76"/>
      <c r="J28" s="76"/>
      <c r="K28" s="76"/>
      <c r="L28" s="166"/>
      <c r="M28" s="123"/>
      <c r="N28" s="123"/>
      <c r="O28" s="123"/>
      <c r="P28" s="76"/>
      <c r="Q28" s="69"/>
      <c r="R28" s="123"/>
      <c r="S28" s="123"/>
      <c r="T28" s="123"/>
      <c r="U28" s="76"/>
      <c r="V28" s="69"/>
    </row>
    <row r="29" spans="1:23" s="3" customFormat="1">
      <c r="A29" s="126"/>
      <c r="B29" s="72"/>
      <c r="C29" s="160"/>
      <c r="D29" s="101"/>
      <c r="E29" s="101"/>
      <c r="F29" s="101"/>
      <c r="G29" s="68"/>
      <c r="H29" s="101"/>
      <c r="I29" s="101"/>
      <c r="J29" s="101"/>
      <c r="K29" s="101"/>
      <c r="L29" s="68"/>
      <c r="M29" s="170"/>
      <c r="N29" s="170"/>
      <c r="O29" s="170"/>
      <c r="P29" s="101"/>
      <c r="Q29" s="133"/>
      <c r="R29" s="170"/>
      <c r="S29" s="170"/>
      <c r="T29" s="170"/>
      <c r="U29" s="101"/>
      <c r="V29" s="133"/>
    </row>
    <row r="30" spans="1:23" s="167" customFormat="1">
      <c r="A30" s="19" t="s">
        <v>206</v>
      </c>
      <c r="B30" s="68"/>
      <c r="C30" s="160"/>
      <c r="D30" s="67"/>
      <c r="E30" s="67">
        <v>15679.941999999999</v>
      </c>
      <c r="F30" s="67">
        <v>19091.331999999999</v>
      </c>
      <c r="G30" s="68">
        <v>34771</v>
      </c>
      <c r="H30" s="67">
        <v>24629.116000000002</v>
      </c>
      <c r="I30" s="67">
        <v>24608.646000000001</v>
      </c>
      <c r="J30" s="67">
        <v>37564.129999999997</v>
      </c>
      <c r="K30" s="67">
        <v>44993.004999999997</v>
      </c>
      <c r="L30" s="68">
        <v>131794.897</v>
      </c>
      <c r="M30" s="164">
        <v>37804</v>
      </c>
      <c r="N30" s="170">
        <v>42516</v>
      </c>
      <c r="O30" s="170">
        <v>52083</v>
      </c>
      <c r="P30" s="67">
        <v>66776</v>
      </c>
      <c r="Q30" s="72">
        <f t="shared" ref="Q30:Q35" si="1">SUM(M30:P30)</f>
        <v>199179</v>
      </c>
      <c r="R30" s="164">
        <v>68692922</v>
      </c>
      <c r="S30" s="170"/>
      <c r="T30" s="170"/>
      <c r="U30" s="67"/>
      <c r="V30" s="72"/>
      <c r="W30" s="89"/>
    </row>
    <row r="31" spans="1:23" s="89" customFormat="1">
      <c r="A31" s="19" t="s">
        <v>207</v>
      </c>
      <c r="B31" s="72"/>
      <c r="C31" s="160">
        <v>0</v>
      </c>
      <c r="D31" s="101">
        <v>0</v>
      </c>
      <c r="E31" s="101">
        <v>15444</v>
      </c>
      <c r="F31" s="161">
        <v>18806</v>
      </c>
      <c r="G31" s="68">
        <v>34250</v>
      </c>
      <c r="H31" s="160">
        <v>24262</v>
      </c>
      <c r="I31" s="101">
        <v>24217</v>
      </c>
      <c r="J31" s="101">
        <v>37002</v>
      </c>
      <c r="K31" s="161">
        <v>43930</v>
      </c>
      <c r="L31" s="68">
        <v>129411</v>
      </c>
      <c r="M31" s="164">
        <v>37127</v>
      </c>
      <c r="N31" s="170">
        <v>41751</v>
      </c>
      <c r="O31" s="170">
        <v>51329</v>
      </c>
      <c r="P31" s="161">
        <v>65774</v>
      </c>
      <c r="Q31" s="72">
        <f t="shared" si="1"/>
        <v>195981</v>
      </c>
      <c r="R31" s="164">
        <v>68693</v>
      </c>
      <c r="S31" s="170"/>
      <c r="T31" s="170"/>
      <c r="U31" s="161"/>
      <c r="V31" s="72"/>
      <c r="W31" s="258"/>
    </row>
    <row r="32" spans="1:23" s="89" customFormat="1">
      <c r="A32" s="19" t="s">
        <v>57</v>
      </c>
      <c r="B32" s="72"/>
      <c r="C32" s="101">
        <v>0</v>
      </c>
      <c r="D32" s="101">
        <v>0</v>
      </c>
      <c r="E32" s="101">
        <v>-8723</v>
      </c>
      <c r="F32" s="101">
        <v>-16958</v>
      </c>
      <c r="G32" s="68">
        <v>-25681</v>
      </c>
      <c r="H32" s="101">
        <v>-16556</v>
      </c>
      <c r="I32" s="101">
        <v>-14851</v>
      </c>
      <c r="J32" s="101">
        <v>-15570</v>
      </c>
      <c r="K32" s="101">
        <v>-18433</v>
      </c>
      <c r="L32" s="68">
        <v>-65410</v>
      </c>
      <c r="M32" s="20">
        <v>-16514</v>
      </c>
      <c r="N32" s="20">
        <v>-18036</v>
      </c>
      <c r="O32" s="20">
        <v>-18147</v>
      </c>
      <c r="P32" s="101">
        <v>-17043</v>
      </c>
      <c r="Q32" s="244">
        <f t="shared" si="1"/>
        <v>-69740</v>
      </c>
      <c r="R32" s="20">
        <v>-21670</v>
      </c>
      <c r="S32" s="20"/>
      <c r="T32" s="20"/>
      <c r="U32" s="101"/>
      <c r="V32" s="244"/>
    </row>
    <row r="33" spans="1:22" s="3" customFormat="1">
      <c r="A33" s="24" t="s">
        <v>71</v>
      </c>
      <c r="B33" s="71"/>
      <c r="C33" s="35">
        <v>0</v>
      </c>
      <c r="D33" s="35">
        <v>0</v>
      </c>
      <c r="E33" s="35">
        <v>847</v>
      </c>
      <c r="F33" s="35">
        <v>2699</v>
      </c>
      <c r="G33" s="70">
        <v>3546</v>
      </c>
      <c r="H33" s="35">
        <v>3404</v>
      </c>
      <c r="I33" s="35">
        <v>2583</v>
      </c>
      <c r="J33" s="35">
        <v>2440</v>
      </c>
      <c r="K33" s="35">
        <v>6027</v>
      </c>
      <c r="L33" s="70">
        <v>14454</v>
      </c>
      <c r="M33" s="22">
        <v>2507</v>
      </c>
      <c r="N33" s="35">
        <v>2892</v>
      </c>
      <c r="O33" s="35">
        <v>3285</v>
      </c>
      <c r="P33" s="35">
        <v>3824</v>
      </c>
      <c r="Q33" s="72">
        <f t="shared" si="1"/>
        <v>12508</v>
      </c>
      <c r="R33" s="22"/>
      <c r="S33" s="35"/>
      <c r="T33" s="35"/>
      <c r="U33" s="35"/>
      <c r="V33" s="72"/>
    </row>
    <row r="34" spans="1:22" s="3" customFormat="1">
      <c r="A34" s="26"/>
      <c r="B34" s="72"/>
      <c r="C34" s="67"/>
      <c r="D34" s="67"/>
      <c r="E34" s="67"/>
      <c r="F34" s="67"/>
      <c r="G34" s="70"/>
      <c r="H34" s="67"/>
      <c r="I34" s="67"/>
      <c r="J34" s="67"/>
      <c r="K34" s="67"/>
      <c r="L34" s="70"/>
      <c r="M34" s="20"/>
      <c r="N34" s="20"/>
      <c r="O34" s="20"/>
      <c r="P34" s="67"/>
      <c r="Q34" s="70">
        <f t="shared" si="1"/>
        <v>0</v>
      </c>
      <c r="R34" s="20"/>
      <c r="S34" s="20"/>
      <c r="T34" s="20"/>
      <c r="U34" s="67"/>
      <c r="V34" s="70"/>
    </row>
    <row r="35" spans="1:22" s="89" customFormat="1">
      <c r="A35" s="31" t="s">
        <v>208</v>
      </c>
      <c r="B35" s="72"/>
      <c r="C35" s="67">
        <v>0</v>
      </c>
      <c r="D35" s="67">
        <v>0</v>
      </c>
      <c r="E35" s="67">
        <v>6721</v>
      </c>
      <c r="F35" s="67">
        <v>1848</v>
      </c>
      <c r="G35" s="68">
        <v>8569</v>
      </c>
      <c r="H35" s="67">
        <v>7706</v>
      </c>
      <c r="I35" s="67">
        <v>9366</v>
      </c>
      <c r="J35" s="67">
        <v>21432</v>
      </c>
      <c r="K35" s="67">
        <v>25497</v>
      </c>
      <c r="L35" s="68">
        <v>64001</v>
      </c>
      <c r="M35" s="20">
        <v>20613</v>
      </c>
      <c r="N35" s="20">
        <v>23715</v>
      </c>
      <c r="O35" s="20">
        <v>33182</v>
      </c>
      <c r="P35" s="67">
        <v>48731</v>
      </c>
      <c r="Q35" s="72">
        <f t="shared" si="1"/>
        <v>126241</v>
      </c>
      <c r="R35" s="20">
        <v>47023</v>
      </c>
      <c r="S35" s="20"/>
      <c r="T35" s="20"/>
      <c r="U35" s="67"/>
      <c r="V35" s="72"/>
    </row>
    <row r="36" spans="1:22" s="3" customFormat="1">
      <c r="A36" s="49"/>
      <c r="B36" s="72"/>
      <c r="C36" s="35"/>
      <c r="D36" s="35"/>
      <c r="E36" s="35"/>
      <c r="F36" s="67"/>
      <c r="G36" s="70"/>
      <c r="H36" s="67"/>
      <c r="I36" s="67"/>
      <c r="J36" s="67"/>
      <c r="K36" s="67"/>
      <c r="L36" s="70"/>
      <c r="M36" s="20"/>
      <c r="N36" s="20"/>
      <c r="O36" s="20"/>
      <c r="P36" s="67"/>
      <c r="Q36" s="68"/>
      <c r="R36" s="20"/>
      <c r="S36" s="20"/>
      <c r="T36" s="20"/>
      <c r="U36" s="67"/>
      <c r="V36" s="68"/>
    </row>
    <row r="37" spans="1:22" s="3" customFormat="1">
      <c r="A37" s="33" t="s">
        <v>59</v>
      </c>
      <c r="B37" s="71"/>
      <c r="C37" s="35">
        <v>-218</v>
      </c>
      <c r="D37" s="35">
        <v>-2257</v>
      </c>
      <c r="E37" s="35">
        <v>-671</v>
      </c>
      <c r="F37" s="35">
        <v>1062</v>
      </c>
      <c r="G37" s="70">
        <v>-2084</v>
      </c>
      <c r="H37" s="35">
        <v>-1067</v>
      </c>
      <c r="I37" s="35">
        <v>-930</v>
      </c>
      <c r="J37" s="35">
        <v>-941</v>
      </c>
      <c r="K37" s="35">
        <v>130</v>
      </c>
      <c r="L37" s="70">
        <v>-2808</v>
      </c>
      <c r="M37" s="22">
        <v>-803</v>
      </c>
      <c r="N37" s="22">
        <v>-1475</v>
      </c>
      <c r="O37" s="22">
        <v>-1107</v>
      </c>
      <c r="P37" s="35">
        <v>-1099</v>
      </c>
      <c r="Q37" s="70">
        <f t="shared" ref="Q37" si="2">SUM(M37:P37)</f>
        <v>-4484</v>
      </c>
      <c r="R37" s="22">
        <v>-1137</v>
      </c>
      <c r="S37" s="22"/>
      <c r="T37" s="22"/>
      <c r="U37" s="35"/>
      <c r="V37" s="70"/>
    </row>
    <row r="38" spans="1:22" s="3" customFormat="1">
      <c r="A38" s="33" t="s">
        <v>60</v>
      </c>
      <c r="B38" s="72"/>
      <c r="C38" s="60">
        <v>0</v>
      </c>
      <c r="D38" s="60">
        <v>0</v>
      </c>
      <c r="E38" s="60">
        <v>0</v>
      </c>
      <c r="F38" s="35">
        <v>0</v>
      </c>
      <c r="G38" s="70">
        <v>0</v>
      </c>
      <c r="H38" s="35">
        <v>0</v>
      </c>
      <c r="I38" s="35">
        <v>0</v>
      </c>
      <c r="J38" s="35">
        <v>0</v>
      </c>
      <c r="K38" s="35">
        <v>-1134</v>
      </c>
      <c r="L38" s="70">
        <v>-1134</v>
      </c>
      <c r="M38" s="22">
        <v>-237</v>
      </c>
      <c r="N38" s="22">
        <v>-423</v>
      </c>
      <c r="O38" s="22">
        <v>-488</v>
      </c>
      <c r="P38" s="35">
        <v>-783</v>
      </c>
      <c r="Q38" s="70">
        <f>SUM(M38:P38)</f>
        <v>-1931</v>
      </c>
      <c r="R38" s="22">
        <v>-921</v>
      </c>
      <c r="S38" s="22"/>
      <c r="T38" s="22"/>
      <c r="U38" s="35"/>
      <c r="V38" s="70"/>
    </row>
    <row r="39" spans="1:22" s="3" customFormat="1">
      <c r="A39" s="33" t="s">
        <v>236</v>
      </c>
      <c r="B39" s="72"/>
      <c r="C39" s="27"/>
      <c r="D39" s="27"/>
      <c r="E39" s="27">
        <v>0</v>
      </c>
      <c r="F39" s="35">
        <v>0</v>
      </c>
      <c r="G39" s="70">
        <v>0</v>
      </c>
      <c r="H39" s="35">
        <v>0</v>
      </c>
      <c r="I39" s="35">
        <v>0</v>
      </c>
      <c r="J39" s="35">
        <v>0</v>
      </c>
      <c r="K39" s="35"/>
      <c r="L39" s="70"/>
      <c r="M39" s="22"/>
      <c r="N39" s="22"/>
      <c r="O39" s="22"/>
      <c r="P39" s="35"/>
      <c r="Q39" s="70"/>
      <c r="R39" s="22"/>
      <c r="S39" s="22"/>
      <c r="T39" s="22"/>
      <c r="U39" s="35"/>
      <c r="V39" s="70"/>
    </row>
    <row r="40" spans="1:22" s="3" customFormat="1">
      <c r="A40" s="33" t="s">
        <v>210</v>
      </c>
      <c r="B40" s="71"/>
      <c r="C40" s="27">
        <v>-56</v>
      </c>
      <c r="D40" s="27">
        <v>-17</v>
      </c>
      <c r="E40" s="27">
        <v>-439</v>
      </c>
      <c r="F40" s="35">
        <v>-1087</v>
      </c>
      <c r="G40" s="70">
        <v>-1599</v>
      </c>
      <c r="H40" s="35">
        <v>-22</v>
      </c>
      <c r="I40" s="35">
        <v>3</v>
      </c>
      <c r="J40" s="35">
        <v>-26</v>
      </c>
      <c r="K40" s="35">
        <v>119</v>
      </c>
      <c r="L40" s="70">
        <v>74</v>
      </c>
      <c r="M40" s="22">
        <v>-6</v>
      </c>
      <c r="N40" s="22">
        <v>-20</v>
      </c>
      <c r="O40" s="22">
        <v>-5</v>
      </c>
      <c r="P40" s="35">
        <v>-4838</v>
      </c>
      <c r="Q40" s="70">
        <f>SUM(M40:P40)</f>
        <v>-4869</v>
      </c>
      <c r="R40" s="22">
        <v>10</v>
      </c>
      <c r="S40" s="22"/>
      <c r="T40" s="22"/>
      <c r="U40" s="35"/>
      <c r="V40" s="70"/>
    </row>
    <row r="41" spans="1:22" s="3" customFormat="1">
      <c r="A41" s="33"/>
      <c r="B41" s="72"/>
      <c r="C41" s="27"/>
      <c r="D41" s="27"/>
      <c r="E41" s="27"/>
      <c r="F41" s="35"/>
      <c r="G41" s="70"/>
      <c r="H41" s="35"/>
      <c r="I41" s="35"/>
      <c r="J41" s="35"/>
      <c r="K41" s="35"/>
      <c r="L41" s="70"/>
      <c r="M41" s="22"/>
      <c r="N41" s="22"/>
      <c r="O41" s="22"/>
      <c r="P41" s="35"/>
      <c r="Q41" s="68"/>
      <c r="R41" s="22"/>
      <c r="S41" s="22"/>
      <c r="T41" s="22"/>
      <c r="U41" s="35"/>
      <c r="V41" s="68"/>
    </row>
    <row r="42" spans="1:22" s="3" customFormat="1">
      <c r="A42" s="31" t="s">
        <v>63</v>
      </c>
      <c r="B42" s="72"/>
      <c r="C42" s="51">
        <v>-66</v>
      </c>
      <c r="D42" s="51">
        <v>-2257</v>
      </c>
      <c r="E42" s="51">
        <v>6050</v>
      </c>
      <c r="F42" s="67">
        <v>2758</v>
      </c>
      <c r="G42" s="68">
        <v>6485</v>
      </c>
      <c r="H42" s="67">
        <v>6639</v>
      </c>
      <c r="I42" s="67">
        <v>8436</v>
      </c>
      <c r="J42" s="67">
        <v>20491</v>
      </c>
      <c r="K42" s="67">
        <v>24493</v>
      </c>
      <c r="L42" s="68">
        <v>60059</v>
      </c>
      <c r="M42" s="20">
        <f t="shared" ref="M42:P42" si="3">SUM(M35:M41)</f>
        <v>19567</v>
      </c>
      <c r="N42" s="20">
        <f t="shared" si="3"/>
        <v>21797</v>
      </c>
      <c r="O42" s="20">
        <f t="shared" si="3"/>
        <v>31582</v>
      </c>
      <c r="P42" s="20">
        <f t="shared" si="3"/>
        <v>42011</v>
      </c>
      <c r="Q42" s="72">
        <f>SUM(M42:P42)</f>
        <v>114957</v>
      </c>
      <c r="R42" s="20">
        <f>SUM(R35:R41)</f>
        <v>44975</v>
      </c>
      <c r="S42" s="20"/>
      <c r="T42" s="20"/>
      <c r="U42" s="67"/>
      <c r="V42" s="72"/>
    </row>
    <row r="43" spans="1:22" s="3" customFormat="1">
      <c r="A43" s="33"/>
      <c r="B43" s="72"/>
      <c r="C43" s="35"/>
      <c r="D43" s="35"/>
      <c r="E43" s="35"/>
      <c r="F43" s="67"/>
      <c r="G43" s="70"/>
      <c r="H43" s="67"/>
      <c r="I43" s="67"/>
      <c r="J43" s="67"/>
      <c r="K43" s="67"/>
      <c r="L43" s="70"/>
      <c r="M43" s="20"/>
      <c r="N43" s="20"/>
      <c r="O43" s="20"/>
      <c r="P43" s="67"/>
      <c r="Q43" s="68">
        <f>SUM(M43:P43)</f>
        <v>0</v>
      </c>
      <c r="R43" s="20"/>
      <c r="S43" s="20"/>
      <c r="T43" s="20"/>
      <c r="U43" s="67"/>
      <c r="V43" s="68"/>
    </row>
    <row r="44" spans="1:22" s="3" customFormat="1">
      <c r="A44" s="33" t="s">
        <v>210</v>
      </c>
      <c r="B44" s="71"/>
      <c r="C44" s="27"/>
      <c r="D44" s="27"/>
      <c r="E44" s="27"/>
      <c r="F44" s="35"/>
      <c r="G44" s="70"/>
      <c r="H44" s="35"/>
      <c r="I44" s="35"/>
      <c r="J44" s="35"/>
      <c r="K44" s="35"/>
      <c r="L44" s="70"/>
      <c r="M44" s="22"/>
      <c r="N44" s="22"/>
      <c r="O44" s="22"/>
      <c r="P44" s="35"/>
      <c r="Q44" s="70"/>
      <c r="R44" s="22"/>
      <c r="S44" s="22"/>
      <c r="T44" s="22"/>
      <c r="U44" s="35"/>
      <c r="V44" s="70"/>
    </row>
    <row r="45" spans="1:22" s="3" customFormat="1">
      <c r="A45" s="33" t="s">
        <v>311</v>
      </c>
      <c r="B45" s="71"/>
      <c r="C45" s="60">
        <v>9932</v>
      </c>
      <c r="D45" s="60">
        <v>-11167</v>
      </c>
      <c r="E45" s="60">
        <v>112</v>
      </c>
      <c r="F45" s="35">
        <v>-1975</v>
      </c>
      <c r="G45" s="70">
        <v>-3098</v>
      </c>
      <c r="H45" s="35">
        <v>-1093</v>
      </c>
      <c r="I45" s="35">
        <v>-3394</v>
      </c>
      <c r="J45" s="35">
        <v>-1345</v>
      </c>
      <c r="K45" s="35">
        <v>-6515</v>
      </c>
      <c r="L45" s="70">
        <v>-12347</v>
      </c>
      <c r="M45" s="22"/>
      <c r="N45" s="22"/>
      <c r="O45" s="22"/>
      <c r="P45" s="35"/>
      <c r="Q45" s="70">
        <f t="shared" ref="Q45:Q47" si="4">SUM(M45:P45)</f>
        <v>0</v>
      </c>
      <c r="R45" s="22">
        <v>0</v>
      </c>
      <c r="S45" s="22"/>
      <c r="T45" s="22"/>
      <c r="U45" s="35"/>
      <c r="V45" s="68"/>
    </row>
    <row r="46" spans="1:22" s="3" customFormat="1">
      <c r="A46" s="83" t="s">
        <v>308</v>
      </c>
      <c r="B46" s="71"/>
      <c r="C46" s="60"/>
      <c r="D46" s="60"/>
      <c r="E46" s="60"/>
      <c r="F46" s="35"/>
      <c r="G46" s="70"/>
      <c r="H46" s="35"/>
      <c r="I46" s="35"/>
      <c r="J46" s="35"/>
      <c r="K46" s="35"/>
      <c r="L46" s="70"/>
      <c r="M46" s="22">
        <v>-5008</v>
      </c>
      <c r="N46" s="22">
        <f>-8188-M46</f>
        <v>-3180</v>
      </c>
      <c r="O46" s="22">
        <f>-14048-N46-M46</f>
        <v>-5860</v>
      </c>
      <c r="P46" s="35">
        <f>-22903-O46-N46-M46</f>
        <v>-8855</v>
      </c>
      <c r="Q46" s="70">
        <f t="shared" si="4"/>
        <v>-22903</v>
      </c>
      <c r="R46" s="22">
        <v>-2026</v>
      </c>
      <c r="S46" s="22"/>
      <c r="T46" s="22"/>
      <c r="U46" s="35"/>
      <c r="V46" s="68"/>
    </row>
    <row r="47" spans="1:22" s="3" customFormat="1">
      <c r="A47" s="83" t="s">
        <v>309</v>
      </c>
      <c r="B47" s="71"/>
      <c r="C47" s="60"/>
      <c r="D47" s="60"/>
      <c r="E47" s="60"/>
      <c r="F47" s="35"/>
      <c r="G47" s="70"/>
      <c r="H47" s="35"/>
      <c r="I47" s="35"/>
      <c r="J47" s="35"/>
      <c r="K47" s="35"/>
      <c r="L47" s="70"/>
      <c r="M47" s="22">
        <v>1268</v>
      </c>
      <c r="N47" s="22">
        <f>2283-M47</f>
        <v>1015</v>
      </c>
      <c r="O47" s="22">
        <f>3439-N47-M47</f>
        <v>1156</v>
      </c>
      <c r="P47" s="35">
        <f>4351-O47-N47-M47</f>
        <v>912</v>
      </c>
      <c r="Q47" s="70">
        <f t="shared" si="4"/>
        <v>4351</v>
      </c>
      <c r="R47" s="22">
        <v>317</v>
      </c>
      <c r="S47" s="22"/>
      <c r="T47" s="22"/>
      <c r="U47" s="35"/>
      <c r="V47" s="68"/>
    </row>
    <row r="48" spans="1:22" s="3" customFormat="1">
      <c r="A48" s="33"/>
      <c r="B48" s="72"/>
      <c r="C48" s="27"/>
      <c r="D48" s="27"/>
      <c r="E48" s="27"/>
      <c r="F48" s="35"/>
      <c r="G48" s="70"/>
      <c r="H48" s="35"/>
      <c r="I48" s="35"/>
      <c r="J48" s="35"/>
      <c r="K48" s="35"/>
      <c r="L48" s="70"/>
      <c r="M48" s="22"/>
      <c r="N48" s="22"/>
      <c r="O48" s="22"/>
      <c r="P48" s="35"/>
      <c r="Q48" s="70"/>
      <c r="R48" s="22"/>
      <c r="S48" s="22"/>
      <c r="T48" s="22"/>
      <c r="U48" s="35"/>
      <c r="V48" s="70"/>
    </row>
    <row r="49" spans="1:22" s="3" customFormat="1">
      <c r="A49" s="31" t="s">
        <v>213</v>
      </c>
      <c r="B49" s="72"/>
      <c r="C49" s="67">
        <v>9810</v>
      </c>
      <c r="D49" s="67">
        <v>-13441</v>
      </c>
      <c r="E49" s="67">
        <v>5723</v>
      </c>
      <c r="F49" s="67">
        <v>-304</v>
      </c>
      <c r="G49" s="68">
        <v>1788</v>
      </c>
      <c r="H49" s="67">
        <v>-1913</v>
      </c>
      <c r="I49" s="67">
        <v>-6404</v>
      </c>
      <c r="J49" s="67">
        <v>19120</v>
      </c>
      <c r="K49" s="67">
        <v>18097</v>
      </c>
      <c r="L49" s="68">
        <v>47786</v>
      </c>
      <c r="M49" s="20">
        <f t="shared" ref="M49:P49" si="5">SUM(M42:M48)</f>
        <v>15827</v>
      </c>
      <c r="N49" s="20">
        <f t="shared" si="5"/>
        <v>19632</v>
      </c>
      <c r="O49" s="20">
        <f t="shared" si="5"/>
        <v>26878</v>
      </c>
      <c r="P49" s="20">
        <f t="shared" si="5"/>
        <v>34068</v>
      </c>
      <c r="Q49" s="72">
        <f>SUM(M49:P49)</f>
        <v>96405</v>
      </c>
      <c r="R49" s="20">
        <f>SUM(R42:R48)</f>
        <v>43266</v>
      </c>
      <c r="S49" s="20"/>
      <c r="T49" s="20"/>
      <c r="U49" s="67"/>
      <c r="V49" s="72"/>
    </row>
    <row r="50" spans="1:22" s="3" customFormat="1">
      <c r="A50" s="33"/>
      <c r="B50" s="72"/>
      <c r="C50" s="27"/>
      <c r="D50" s="27"/>
      <c r="E50" s="27"/>
      <c r="F50" s="67"/>
      <c r="G50" s="70"/>
      <c r="H50" s="67"/>
      <c r="I50" s="67"/>
      <c r="J50" s="67"/>
      <c r="K50" s="67"/>
      <c r="L50" s="70"/>
      <c r="M50" s="20"/>
      <c r="N50" s="20"/>
      <c r="O50" s="20"/>
      <c r="P50" s="67"/>
      <c r="Q50" s="68"/>
      <c r="R50" s="20"/>
      <c r="S50" s="20"/>
      <c r="T50" s="20"/>
      <c r="U50" s="67"/>
      <c r="V50" s="68"/>
    </row>
    <row r="51" spans="1:22" s="3" customFormat="1">
      <c r="A51" s="33" t="s">
        <v>233</v>
      </c>
      <c r="B51" s="72"/>
      <c r="C51" s="35">
        <v>0</v>
      </c>
      <c r="D51" s="35">
        <v>0</v>
      </c>
      <c r="E51" s="35">
        <v>-18</v>
      </c>
      <c r="F51" s="35">
        <v>-494</v>
      </c>
      <c r="G51" s="70">
        <v>-512</v>
      </c>
      <c r="H51" s="35">
        <v>-1180</v>
      </c>
      <c r="I51" s="35">
        <v>-894</v>
      </c>
      <c r="J51" s="35">
        <v>3937</v>
      </c>
      <c r="K51" s="35">
        <v>-14873</v>
      </c>
      <c r="L51" s="70">
        <v>-13010</v>
      </c>
      <c r="M51" s="22">
        <v>-5998</v>
      </c>
      <c r="N51" s="22">
        <v>-7101</v>
      </c>
      <c r="O51" s="22">
        <v>-9614</v>
      </c>
      <c r="P51" s="35">
        <v>-14601</v>
      </c>
      <c r="Q51" s="70">
        <f>SUM(M51:P51)</f>
        <v>-37314</v>
      </c>
      <c r="R51" s="22">
        <v>-7590</v>
      </c>
      <c r="S51" s="22"/>
      <c r="T51" s="22"/>
      <c r="U51" s="35"/>
      <c r="V51" s="70"/>
    </row>
    <row r="52" spans="1:22" s="3" customFormat="1">
      <c r="A52" s="33" t="s">
        <v>234</v>
      </c>
      <c r="B52" s="72"/>
      <c r="C52" s="35">
        <v>-473</v>
      </c>
      <c r="D52" s="35">
        <v>4729</v>
      </c>
      <c r="E52" s="35">
        <v>-1709</v>
      </c>
      <c r="F52" s="35">
        <v>7068</v>
      </c>
      <c r="G52" s="70">
        <v>9615</v>
      </c>
      <c r="H52" s="35">
        <v>-733</v>
      </c>
      <c r="I52" s="35">
        <v>-5510</v>
      </c>
      <c r="J52" s="35">
        <v>257</v>
      </c>
      <c r="K52" s="35">
        <v>-4407</v>
      </c>
      <c r="L52" s="70">
        <v>-10393</v>
      </c>
      <c r="M52" s="22">
        <v>1241</v>
      </c>
      <c r="N52" s="22">
        <v>5875</v>
      </c>
      <c r="O52" s="22">
        <v>1136</v>
      </c>
      <c r="P52" s="35">
        <v>-1214</v>
      </c>
      <c r="Q52" s="70">
        <f>SUM(M52:P52)</f>
        <v>7038</v>
      </c>
      <c r="R52" s="22">
        <v>4604</v>
      </c>
      <c r="S52" s="22"/>
      <c r="T52" s="22"/>
      <c r="U52" s="35"/>
      <c r="V52" s="70"/>
    </row>
    <row r="53" spans="1:22" s="3" customFormat="1">
      <c r="A53" s="33"/>
      <c r="B53" s="72"/>
      <c r="C53" s="60"/>
      <c r="D53" s="60"/>
      <c r="E53" s="60"/>
      <c r="F53" s="35"/>
      <c r="G53" s="70"/>
      <c r="H53" s="35"/>
      <c r="I53" s="35"/>
      <c r="J53" s="35"/>
      <c r="K53" s="35"/>
      <c r="L53" s="70"/>
      <c r="M53" s="22"/>
      <c r="N53" s="22"/>
      <c r="O53" s="22"/>
      <c r="P53" s="35"/>
      <c r="Q53" s="70"/>
      <c r="R53" s="22"/>
      <c r="S53" s="22"/>
      <c r="T53" s="22"/>
      <c r="U53" s="35"/>
      <c r="V53" s="70"/>
    </row>
    <row r="54" spans="1:22" s="3" customFormat="1">
      <c r="A54" s="31" t="s">
        <v>70</v>
      </c>
      <c r="B54" s="72"/>
      <c r="C54" s="51">
        <v>9337</v>
      </c>
      <c r="D54" s="51">
        <v>-8712</v>
      </c>
      <c r="E54" s="51">
        <v>3996</v>
      </c>
      <c r="F54" s="67">
        <v>6270</v>
      </c>
      <c r="G54" s="68">
        <v>10891</v>
      </c>
      <c r="H54" s="67">
        <v>3611</v>
      </c>
      <c r="I54" s="67">
        <v>-1359</v>
      </c>
      <c r="J54" s="67">
        <v>23314</v>
      </c>
      <c r="K54" s="67">
        <v>-1183</v>
      </c>
      <c r="L54" s="68">
        <v>24383</v>
      </c>
      <c r="M54" s="20">
        <f t="shared" ref="M54:P54" si="6">SUM(M49:M53)</f>
        <v>11070</v>
      </c>
      <c r="N54" s="20">
        <f t="shared" si="6"/>
        <v>18406</v>
      </c>
      <c r="O54" s="20">
        <f t="shared" si="6"/>
        <v>18400</v>
      </c>
      <c r="P54" s="20">
        <f t="shared" si="6"/>
        <v>18253</v>
      </c>
      <c r="Q54" s="72">
        <f t="shared" ref="Q54:Q59" si="7">SUM(M54:P54)</f>
        <v>66129</v>
      </c>
      <c r="R54" s="20">
        <f>SUM(R49:R53)</f>
        <v>40280</v>
      </c>
      <c r="S54" s="20"/>
      <c r="T54" s="20"/>
      <c r="U54" s="67"/>
      <c r="V54" s="72"/>
    </row>
    <row r="55" spans="1:22" s="3" customFormat="1">
      <c r="A55" s="31"/>
      <c r="B55" s="72"/>
      <c r="C55" s="27"/>
      <c r="D55" s="27"/>
      <c r="E55" s="27"/>
      <c r="F55" s="67"/>
      <c r="G55" s="70"/>
      <c r="H55" s="67"/>
      <c r="I55" s="67"/>
      <c r="J55" s="67"/>
      <c r="K55" s="67"/>
      <c r="L55" s="70"/>
      <c r="M55" s="20"/>
      <c r="N55" s="20"/>
      <c r="O55" s="20"/>
      <c r="P55" s="67"/>
      <c r="Q55" s="68">
        <f t="shared" si="7"/>
        <v>0</v>
      </c>
      <c r="R55" s="20"/>
      <c r="S55" s="20"/>
      <c r="T55" s="20"/>
      <c r="U55" s="67"/>
      <c r="V55" s="68"/>
    </row>
    <row r="56" spans="1:22" s="89" customFormat="1">
      <c r="A56" s="31" t="s">
        <v>216</v>
      </c>
      <c r="B56" s="72"/>
      <c r="C56" s="51">
        <f>SUM(C57:C59)</f>
        <v>-16377</v>
      </c>
      <c r="D56" s="51">
        <f>SUM(D57:D59)</f>
        <v>-23905</v>
      </c>
      <c r="E56" s="51">
        <f t="shared" ref="E56:F56" si="8">SUM(E57:E59)</f>
        <v>-2706</v>
      </c>
      <c r="F56" s="51">
        <f t="shared" si="8"/>
        <v>2376.0000000000055</v>
      </c>
      <c r="G56" s="252">
        <f>SUM(C56:F56)</f>
        <v>-40611.999999999993</v>
      </c>
      <c r="H56" s="67">
        <v>-2882</v>
      </c>
      <c r="I56" s="67">
        <v>-2624</v>
      </c>
      <c r="J56" s="67">
        <v>-6273</v>
      </c>
      <c r="K56" s="67">
        <v>-2086</v>
      </c>
      <c r="L56" s="81">
        <f>-(SUM(H56:K56))*-1</f>
        <v>-13865</v>
      </c>
      <c r="M56" s="20">
        <v>-2059</v>
      </c>
      <c r="N56" s="20">
        <v>-7728</v>
      </c>
      <c r="O56" s="67">
        <v>-4744</v>
      </c>
      <c r="P56" s="67">
        <v>-8871</v>
      </c>
      <c r="Q56" s="244">
        <f t="shared" si="7"/>
        <v>-23402</v>
      </c>
      <c r="R56" s="20">
        <f>SUM(R57:R59)</f>
        <v>-4787</v>
      </c>
      <c r="S56" s="20"/>
      <c r="T56" s="67"/>
      <c r="U56" s="67"/>
      <c r="V56" s="244"/>
    </row>
    <row r="57" spans="1:22" s="89" customFormat="1">
      <c r="A57" s="83" t="s">
        <v>217</v>
      </c>
      <c r="B57" s="72"/>
      <c r="C57" s="27"/>
      <c r="D57" s="27">
        <v>-3041.0470743520364</v>
      </c>
      <c r="E57" s="27">
        <v>-918.18279999999993</v>
      </c>
      <c r="F57" s="35">
        <v>-984.49751399999991</v>
      </c>
      <c r="G57" s="253">
        <f t="shared" ref="G57:G59" si="9">SUM(C57:F57)</f>
        <v>-4943.7273883520365</v>
      </c>
      <c r="H57" s="35">
        <v>-1783.4107839999999</v>
      </c>
      <c r="I57" s="35">
        <v>-1198.545486</v>
      </c>
      <c r="J57" s="35">
        <v>-2692.4106306306303</v>
      </c>
      <c r="K57" s="35">
        <v>312.98108704039799</v>
      </c>
      <c r="L57" s="86">
        <f>-(SUM(H57:K57))*-1</f>
        <v>-5361.3858135902319</v>
      </c>
      <c r="M57" s="22">
        <v>-969</v>
      </c>
      <c r="N57" s="22">
        <v>-1141</v>
      </c>
      <c r="O57" s="35">
        <v>-1030</v>
      </c>
      <c r="P57" s="35">
        <v>-815</v>
      </c>
      <c r="Q57" s="243">
        <f t="shared" si="7"/>
        <v>-3955</v>
      </c>
      <c r="R57" s="22">
        <v>-889</v>
      </c>
      <c r="S57" s="22"/>
      <c r="T57" s="35"/>
      <c r="U57" s="35"/>
      <c r="V57" s="243"/>
    </row>
    <row r="58" spans="1:22" s="89" customFormat="1">
      <c r="A58" s="83" t="s">
        <v>218</v>
      </c>
      <c r="B58" s="72"/>
      <c r="C58" s="27">
        <v>-152</v>
      </c>
      <c r="D58" s="27">
        <v>-1178.7876472171322</v>
      </c>
      <c r="E58" s="27">
        <v>-1152.6389999999999</v>
      </c>
      <c r="F58" s="35">
        <v>17.015315999999984</v>
      </c>
      <c r="G58" s="253">
        <f t="shared" si="9"/>
        <v>-2466.4113312171321</v>
      </c>
      <c r="H58" s="35">
        <v>-805.95921599999997</v>
      </c>
      <c r="I58" s="35">
        <v>-687.50751400000001</v>
      </c>
      <c r="J58" s="35">
        <v>-830</v>
      </c>
      <c r="K58" s="35">
        <v>-411.42625945419098</v>
      </c>
      <c r="L58" s="86">
        <f>-(SUM(H58:K58))*-1</f>
        <v>-2734.8929894541911</v>
      </c>
      <c r="M58" s="22">
        <v>0</v>
      </c>
      <c r="N58" s="22">
        <v>-77</v>
      </c>
      <c r="O58" s="35">
        <v>-140.11669793620999</v>
      </c>
      <c r="P58" s="35">
        <v>-289</v>
      </c>
      <c r="Q58" s="243">
        <f t="shared" si="7"/>
        <v>-506.11669793621002</v>
      </c>
      <c r="R58" s="22">
        <v>-755</v>
      </c>
      <c r="S58" s="22"/>
      <c r="T58" s="35"/>
      <c r="U58" s="35"/>
      <c r="V58" s="243"/>
    </row>
    <row r="59" spans="1:22" s="89" customFormat="1">
      <c r="A59" s="83" t="s">
        <v>219</v>
      </c>
      <c r="B59" s="72"/>
      <c r="C59" s="27">
        <v>-16225</v>
      </c>
      <c r="D59" s="27">
        <v>-19685.165278430832</v>
      </c>
      <c r="E59" s="27">
        <v>-635.17820000000006</v>
      </c>
      <c r="F59" s="35">
        <v>3343.4821980000052</v>
      </c>
      <c r="G59" s="253">
        <f t="shared" si="9"/>
        <v>-33201.861280430829</v>
      </c>
      <c r="H59" s="35">
        <v>-292.63000000000011</v>
      </c>
      <c r="I59" s="35">
        <v>-738</v>
      </c>
      <c r="J59" s="35">
        <v>-2750.5893693693697</v>
      </c>
      <c r="K59" s="35">
        <v>-1987.5548275862075</v>
      </c>
      <c r="L59" s="86">
        <f>-(SUM(H59:K59))*-1</f>
        <v>-5768.7741969555773</v>
      </c>
      <c r="M59" s="22">
        <v>-1090</v>
      </c>
      <c r="N59" s="22">
        <v>-6510</v>
      </c>
      <c r="O59" s="35">
        <v>-3573.8833020637899</v>
      </c>
      <c r="P59" s="35">
        <v>-7767</v>
      </c>
      <c r="Q59" s="243">
        <f t="shared" si="7"/>
        <v>-18940.88330206379</v>
      </c>
      <c r="R59" s="22">
        <v>-3143</v>
      </c>
      <c r="S59" s="22"/>
      <c r="T59" s="35"/>
      <c r="U59" s="35"/>
      <c r="V59" s="243"/>
    </row>
    <row r="60" spans="1:22" s="3" customFormat="1">
      <c r="A60" s="33"/>
      <c r="B60" s="72"/>
      <c r="C60" s="89"/>
      <c r="D60" s="89"/>
      <c r="E60" s="89"/>
      <c r="F60" s="89"/>
      <c r="G60" s="68"/>
      <c r="H60" s="67"/>
      <c r="I60" s="67"/>
      <c r="J60" s="67"/>
      <c r="K60" s="89"/>
      <c r="L60" s="68"/>
      <c r="M60" s="20"/>
      <c r="N60" s="20"/>
      <c r="O60" s="20"/>
      <c r="P60" s="89"/>
      <c r="Q60" s="68"/>
      <c r="R60" s="20"/>
      <c r="S60" s="20"/>
      <c r="T60" s="20"/>
      <c r="U60" s="89"/>
      <c r="V60" s="68"/>
    </row>
    <row r="61" spans="1:22" s="3" customFormat="1">
      <c r="A61" s="31" t="s">
        <v>72</v>
      </c>
      <c r="B61" s="72"/>
      <c r="C61" s="67">
        <v>-66</v>
      </c>
      <c r="D61" s="67">
        <v>-2257</v>
      </c>
      <c r="E61" s="67">
        <v>6897</v>
      </c>
      <c r="F61" s="67">
        <v>5457</v>
      </c>
      <c r="G61" s="68">
        <v>10031</v>
      </c>
      <c r="H61" s="67">
        <v>10043</v>
      </c>
      <c r="I61" s="67">
        <v>11019</v>
      </c>
      <c r="J61" s="67">
        <v>22931</v>
      </c>
      <c r="K61" s="67">
        <v>30520</v>
      </c>
      <c r="L61" s="68">
        <v>74513</v>
      </c>
      <c r="M61" s="20">
        <v>22205</v>
      </c>
      <c r="N61" s="20">
        <v>24931</v>
      </c>
      <c r="O61" s="20">
        <v>34525</v>
      </c>
      <c r="P61" s="67">
        <v>50673</v>
      </c>
      <c r="Q61" s="72">
        <f>SUM(M61:P61)</f>
        <v>132334</v>
      </c>
      <c r="R61" s="20">
        <v>49720</v>
      </c>
      <c r="S61" s="20"/>
      <c r="T61" s="20"/>
      <c r="U61" s="67"/>
      <c r="V61" s="72"/>
    </row>
    <row r="62" spans="1:22" s="3" customFormat="1">
      <c r="A62" s="134" t="s">
        <v>220</v>
      </c>
      <c r="B62" s="72"/>
      <c r="C62" s="153">
        <v>0</v>
      </c>
      <c r="D62" s="153">
        <v>0</v>
      </c>
      <c r="E62" s="153">
        <v>0.4465811965811966</v>
      </c>
      <c r="F62" s="153">
        <v>0.29017334893119218</v>
      </c>
      <c r="G62" s="118">
        <v>0.29017334893119218</v>
      </c>
      <c r="H62" s="153">
        <v>0.4139394938587091</v>
      </c>
      <c r="I62" s="153">
        <v>0.45501094272618409</v>
      </c>
      <c r="J62" s="153">
        <v>0.61972325820225937</v>
      </c>
      <c r="K62" s="153">
        <v>0.69474163441839287</v>
      </c>
      <c r="L62" s="118">
        <v>0.57578567509717105</v>
      </c>
      <c r="M62" s="96">
        <v>0.59808225819484473</v>
      </c>
      <c r="N62" s="96">
        <f>N61/N31</f>
        <v>0.59713539795453996</v>
      </c>
      <c r="O62" s="96">
        <f>O61/O31</f>
        <v>0.67262171482008226</v>
      </c>
      <c r="P62" s="96">
        <f>P61/P31</f>
        <v>0.77041080062030587</v>
      </c>
      <c r="Q62" s="155">
        <f>P62</f>
        <v>0.77041080062030587</v>
      </c>
      <c r="R62" s="96">
        <f>R61/R31</f>
        <v>0.72380009607965878</v>
      </c>
      <c r="S62" s="96"/>
      <c r="T62" s="96"/>
      <c r="U62" s="96"/>
      <c r="V62" s="155"/>
    </row>
    <row r="63" spans="1:22" s="3" customFormat="1">
      <c r="A63" s="121"/>
      <c r="B63" s="78"/>
      <c r="C63" s="76"/>
      <c r="D63" s="76"/>
      <c r="E63" s="76"/>
      <c r="F63" s="76"/>
      <c r="G63" s="125"/>
      <c r="H63" s="76"/>
      <c r="I63" s="76"/>
      <c r="J63" s="76"/>
      <c r="K63" s="76"/>
      <c r="L63" s="125"/>
      <c r="M63" s="123"/>
      <c r="N63" s="123"/>
      <c r="O63" s="123"/>
      <c r="P63" s="76"/>
      <c r="Q63" s="125"/>
      <c r="R63" s="123"/>
      <c r="S63" s="123"/>
      <c r="T63" s="123"/>
      <c r="U63" s="76"/>
      <c r="V63" s="125"/>
    </row>
    <row r="65" spans="1:22" ht="86.4">
      <c r="A65" s="265" t="s">
        <v>310</v>
      </c>
      <c r="C65" s="28"/>
      <c r="D65" s="28"/>
      <c r="E65" s="28"/>
      <c r="F65" s="28"/>
      <c r="G65" s="28"/>
      <c r="H65" s="28"/>
      <c r="I65" s="28"/>
      <c r="J65" s="28"/>
      <c r="K65" s="28"/>
      <c r="L65" s="28"/>
      <c r="M65" s="28"/>
      <c r="N65" s="242"/>
      <c r="O65" s="242"/>
      <c r="P65" s="28"/>
      <c r="Q65" s="28"/>
      <c r="R65" s="28"/>
      <c r="S65" s="242"/>
      <c r="T65" s="242"/>
      <c r="U65" s="28"/>
      <c r="V65" s="28"/>
    </row>
  </sheetData>
  <phoneticPr fontId="2" type="noConversion"/>
  <pageMargins left="0.7" right="0.7" top="0.75" bottom="0.75" header="0.3" footer="0.3"/>
  <ignoredErrors>
    <ignoredError sqref="Q14:Q15 Q19 Q23:Q24 Q30:Q33 Q35 Q37:Q39 Q42:Q43 Q61 Q48:Q54" formulaRange="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3525B-EEC1-4B3D-BE36-AD1CDACF60CF}">
  <sheetPr>
    <tabColor rgb="FF2D3D70"/>
  </sheetPr>
  <dimension ref="A2:M64"/>
  <sheetViews>
    <sheetView showGridLines="0" topLeftCell="A3" workbookViewId="0">
      <pane xSplit="1" ySplit="4" topLeftCell="B7" activePane="bottomRight" state="frozen"/>
      <selection activeCell="A3" sqref="A3"/>
      <selection pane="topRight" activeCell="B3" sqref="B3"/>
      <selection pane="bottomLeft" activeCell="A7" sqref="A7"/>
      <selection pane="bottomRight" activeCell="A6" sqref="A6"/>
    </sheetView>
  </sheetViews>
  <sheetFormatPr defaultRowHeight="14.4"/>
  <cols>
    <col min="1" max="1" width="40.33203125" style="1" bestFit="1" customWidth="1"/>
    <col min="2" max="4" width="11" style="1" bestFit="1" customWidth="1"/>
    <col min="5" max="5" width="11" bestFit="1" customWidth="1"/>
    <col min="6" max="6" width="11" customWidth="1"/>
    <col min="7" max="7" width="12.109375" style="1" bestFit="1" customWidth="1"/>
    <col min="8" max="9" width="11" style="1" bestFit="1" customWidth="1"/>
    <col min="10" max="10" width="11" bestFit="1" customWidth="1"/>
    <col min="11" max="11" width="11" customWidth="1"/>
  </cols>
  <sheetData>
    <row r="2" spans="1:11">
      <c r="B2" s="231"/>
      <c r="G2" s="231"/>
    </row>
    <row r="3" spans="1:11" ht="21">
      <c r="C3"/>
      <c r="D3"/>
      <c r="H3" s="266"/>
      <c r="I3" s="266"/>
    </row>
    <row r="4" spans="1:11">
      <c r="B4" s="231"/>
      <c r="C4"/>
      <c r="D4"/>
      <c r="G4" s="231"/>
    </row>
    <row r="5" spans="1:11">
      <c r="A5" s="8"/>
      <c r="B5" s="231"/>
      <c r="G5" s="231"/>
    </row>
    <row r="6" spans="1:11">
      <c r="A6" s="45"/>
      <c r="B6" s="232" t="s">
        <v>47</v>
      </c>
      <c r="C6" s="10" t="s">
        <v>48</v>
      </c>
      <c r="D6" s="10" t="s">
        <v>49</v>
      </c>
      <c r="E6" s="10" t="s">
        <v>50</v>
      </c>
      <c r="F6" s="12">
        <v>2025</v>
      </c>
      <c r="G6" s="10" t="s">
        <v>51</v>
      </c>
      <c r="H6" s="10" t="s">
        <v>52</v>
      </c>
      <c r="I6" s="10" t="s">
        <v>53</v>
      </c>
      <c r="J6" s="10" t="s">
        <v>54</v>
      </c>
      <c r="K6" s="12">
        <v>2026</v>
      </c>
    </row>
    <row r="7" spans="1:11">
      <c r="A7" s="13" t="s">
        <v>240</v>
      </c>
      <c r="B7" s="233"/>
      <c r="C7" s="46"/>
      <c r="D7" s="46"/>
      <c r="E7" s="46"/>
      <c r="F7" s="48"/>
      <c r="G7" s="233"/>
      <c r="H7" s="46"/>
      <c r="I7" s="46"/>
      <c r="J7" s="46"/>
      <c r="K7" s="48"/>
    </row>
    <row r="8" spans="1:11">
      <c r="A8" s="17"/>
      <c r="B8" s="234"/>
      <c r="C8" s="3"/>
      <c r="D8" s="3"/>
      <c r="E8" s="1"/>
      <c r="F8" s="143"/>
      <c r="G8" s="234"/>
      <c r="H8" s="3"/>
      <c r="I8" s="3"/>
      <c r="J8" s="1"/>
      <c r="K8" s="143"/>
    </row>
    <row r="9" spans="1:11">
      <c r="A9" s="31" t="s">
        <v>222</v>
      </c>
      <c r="B9" s="235"/>
      <c r="C9" s="35"/>
      <c r="D9" s="35"/>
      <c r="E9" s="3"/>
      <c r="F9" s="72"/>
      <c r="G9" s="235"/>
      <c r="H9" s="35"/>
      <c r="I9" s="35"/>
      <c r="J9" s="3"/>
      <c r="K9" s="72"/>
    </row>
    <row r="10" spans="1:11">
      <c r="A10" s="33" t="s">
        <v>177</v>
      </c>
      <c r="B10" s="236"/>
      <c r="C10" s="22">
        <v>1479000</v>
      </c>
      <c r="D10" s="35">
        <v>1479000</v>
      </c>
      <c r="E10" s="35">
        <v>1479000</v>
      </c>
      <c r="F10" s="72">
        <f>E10</f>
        <v>1479000</v>
      </c>
      <c r="G10" s="236">
        <v>1988000</v>
      </c>
      <c r="H10" s="22"/>
      <c r="I10" s="35"/>
      <c r="J10" s="35"/>
      <c r="K10" s="72"/>
    </row>
    <row r="11" spans="1:11">
      <c r="A11" s="33" t="s">
        <v>178</v>
      </c>
      <c r="B11" s="236"/>
      <c r="C11" s="22">
        <v>426100</v>
      </c>
      <c r="D11" s="35">
        <v>426100</v>
      </c>
      <c r="E11" s="35">
        <v>426100</v>
      </c>
      <c r="F11" s="72">
        <f t="shared" ref="F11:F18" si="0">E11</f>
        <v>426100</v>
      </c>
      <c r="G11" s="236">
        <v>2198000</v>
      </c>
      <c r="H11" s="22"/>
      <c r="I11" s="35"/>
      <c r="J11" s="35"/>
      <c r="K11" s="72"/>
    </row>
    <row r="12" spans="1:11">
      <c r="A12" s="33" t="s">
        <v>238</v>
      </c>
      <c r="B12" s="235"/>
      <c r="C12" s="22">
        <v>389200</v>
      </c>
      <c r="D12" s="35">
        <v>389200</v>
      </c>
      <c r="E12" s="35">
        <v>389200</v>
      </c>
      <c r="F12" s="72">
        <f t="shared" si="0"/>
        <v>389200</v>
      </c>
      <c r="G12" s="235">
        <v>706100</v>
      </c>
      <c r="H12" s="22"/>
      <c r="I12" s="35"/>
      <c r="J12" s="35"/>
      <c r="K12" s="72"/>
    </row>
    <row r="13" spans="1:11">
      <c r="A13" s="33"/>
      <c r="B13" s="234"/>
      <c r="C13" s="3"/>
      <c r="D13" s="3"/>
      <c r="E13" s="3"/>
      <c r="F13" s="69"/>
      <c r="G13" s="234"/>
      <c r="H13" s="3"/>
      <c r="I13" s="3"/>
      <c r="J13" s="3"/>
      <c r="K13" s="69"/>
    </row>
    <row r="14" spans="1:11">
      <c r="A14" s="31" t="s">
        <v>183</v>
      </c>
      <c r="B14" s="237">
        <v>0</v>
      </c>
      <c r="C14" s="20">
        <v>899634</v>
      </c>
      <c r="D14" s="67">
        <v>1141381.4951086296</v>
      </c>
      <c r="E14" s="67">
        <v>1281973</v>
      </c>
      <c r="F14" s="72">
        <f>SUM(C14:E14)</f>
        <v>3322988.4951086296</v>
      </c>
      <c r="G14" s="237">
        <v>1041732</v>
      </c>
      <c r="H14" s="20"/>
      <c r="I14" s="67"/>
      <c r="J14" s="67"/>
      <c r="K14" s="72"/>
    </row>
    <row r="15" spans="1:11">
      <c r="A15" s="31" t="s">
        <v>223</v>
      </c>
      <c r="B15" s="237">
        <v>0</v>
      </c>
      <c r="C15" s="20">
        <v>2612249.6918124999</v>
      </c>
      <c r="D15" s="67">
        <v>2626861.1229300126</v>
      </c>
      <c r="E15" s="67">
        <v>2592318</v>
      </c>
      <c r="F15" s="72">
        <f>SUM(C15:E15)</f>
        <v>7831428.814742513</v>
      </c>
      <c r="G15" s="237">
        <v>2804034</v>
      </c>
      <c r="H15" s="20"/>
      <c r="I15" s="67"/>
      <c r="J15" s="67"/>
      <c r="K15" s="72"/>
    </row>
    <row r="16" spans="1:11">
      <c r="A16" s="39"/>
      <c r="B16" s="235"/>
      <c r="C16" s="22"/>
      <c r="D16" s="22"/>
      <c r="E16" s="35"/>
      <c r="F16" s="69"/>
      <c r="G16" s="235"/>
      <c r="H16" s="22"/>
      <c r="I16" s="22"/>
      <c r="J16" s="35"/>
      <c r="K16" s="69"/>
    </row>
    <row r="17" spans="1:13">
      <c r="A17" s="31" t="s">
        <v>224</v>
      </c>
      <c r="B17" s="238">
        <v>0</v>
      </c>
      <c r="C17" s="169">
        <v>2.9036797984167988</v>
      </c>
      <c r="D17" s="85">
        <v>2.3014751283312198</v>
      </c>
      <c r="E17" s="85">
        <v>2.0221315113500831</v>
      </c>
      <c r="F17" s="249">
        <v>2.3573197723607313</v>
      </c>
      <c r="G17" s="238">
        <v>2.6917038163366396</v>
      </c>
      <c r="H17" s="169"/>
      <c r="I17" s="85"/>
      <c r="J17" s="85"/>
      <c r="K17" s="249"/>
    </row>
    <row r="18" spans="1:13">
      <c r="A18" s="39"/>
      <c r="B18" s="235"/>
      <c r="C18" s="22"/>
      <c r="D18" s="35"/>
      <c r="E18" s="35"/>
      <c r="F18" s="71">
        <f t="shared" si="0"/>
        <v>0</v>
      </c>
      <c r="G18" s="235"/>
      <c r="H18" s="22"/>
      <c r="I18" s="35"/>
      <c r="J18" s="35"/>
      <c r="K18" s="71"/>
    </row>
    <row r="19" spans="1:13">
      <c r="A19" s="31" t="s">
        <v>225</v>
      </c>
      <c r="B19" s="235">
        <v>0</v>
      </c>
      <c r="C19" s="22">
        <v>145417.63930480002</v>
      </c>
      <c r="D19" s="35">
        <v>341165.39270000008</v>
      </c>
      <c r="E19" s="35">
        <v>396168</v>
      </c>
      <c r="F19" s="71">
        <f>SUM(C19:E19)</f>
        <v>882751.03200480016</v>
      </c>
      <c r="G19" s="235">
        <v>408110</v>
      </c>
      <c r="H19" s="22"/>
      <c r="I19" s="35"/>
      <c r="J19" s="35"/>
      <c r="K19" s="71"/>
    </row>
    <row r="20" spans="1:13">
      <c r="A20" s="31" t="s">
        <v>226</v>
      </c>
      <c r="B20" s="238">
        <v>0</v>
      </c>
      <c r="C20" s="169">
        <v>0.70294457638134822</v>
      </c>
      <c r="D20" s="85">
        <v>1.0506513954531895</v>
      </c>
      <c r="E20" s="85">
        <v>1.4231198405675909</v>
      </c>
      <c r="F20" s="95">
        <v>1.1919710393997631</v>
      </c>
      <c r="G20" s="238">
        <v>1.41</v>
      </c>
      <c r="H20" s="169"/>
      <c r="I20" s="85"/>
      <c r="J20" s="85"/>
      <c r="K20" s="95"/>
    </row>
    <row r="21" spans="1:13">
      <c r="A21" s="31" t="s">
        <v>227</v>
      </c>
      <c r="B21" s="239">
        <v>0</v>
      </c>
      <c r="C21" s="96">
        <v>0.76502889654137207</v>
      </c>
      <c r="D21" s="87">
        <v>0.88852584309045524</v>
      </c>
      <c r="E21" s="87">
        <v>0.91692104403834007</v>
      </c>
      <c r="F21" s="118">
        <v>0.8568252612233892</v>
      </c>
      <c r="G21" s="239">
        <v>0.88200000000000001</v>
      </c>
      <c r="H21" s="96"/>
      <c r="I21" s="87"/>
      <c r="J21" s="87"/>
      <c r="K21" s="118"/>
    </row>
    <row r="22" spans="1:13">
      <c r="A22" s="129"/>
      <c r="B22" s="235"/>
      <c r="C22" s="22"/>
      <c r="D22" s="35"/>
      <c r="E22" s="35"/>
      <c r="F22" s="69"/>
      <c r="G22" s="235"/>
      <c r="H22" s="22"/>
      <c r="I22" s="35"/>
      <c r="J22" s="35"/>
      <c r="K22" s="69"/>
    </row>
    <row r="23" spans="1:13">
      <c r="A23" s="31" t="s">
        <v>228</v>
      </c>
      <c r="B23" s="237">
        <v>0</v>
      </c>
      <c r="C23" s="20">
        <v>2504</v>
      </c>
      <c r="D23" s="20">
        <v>10219</v>
      </c>
      <c r="E23" s="67">
        <v>15777.3607077407</v>
      </c>
      <c r="F23" s="72">
        <f>SUM(C23:E23)</f>
        <v>28500.3607077407</v>
      </c>
      <c r="G23" s="237">
        <v>17101</v>
      </c>
      <c r="H23" s="20"/>
      <c r="I23" s="20"/>
      <c r="J23" s="67"/>
      <c r="K23" s="72"/>
      <c r="M23" s="101"/>
    </row>
    <row r="24" spans="1:13">
      <c r="A24" s="31" t="s">
        <v>229</v>
      </c>
      <c r="B24" s="237">
        <v>0</v>
      </c>
      <c r="C24" s="20">
        <v>1190</v>
      </c>
      <c r="D24" s="20">
        <v>11228</v>
      </c>
      <c r="E24" s="67">
        <v>15777.3607077407</v>
      </c>
      <c r="F24" s="72">
        <f>SUM(C24:E24)</f>
        <v>28195.3607077407</v>
      </c>
      <c r="G24" s="237">
        <v>16609</v>
      </c>
      <c r="H24" s="20"/>
      <c r="I24" s="20"/>
      <c r="J24" s="67"/>
      <c r="K24" s="72"/>
    </row>
    <row r="25" spans="1:13">
      <c r="A25" s="129"/>
      <c r="B25" s="235"/>
      <c r="C25" s="22"/>
      <c r="D25" s="22"/>
      <c r="E25" s="35"/>
      <c r="F25" s="69"/>
      <c r="G25" s="235"/>
      <c r="H25" s="22"/>
      <c r="I25" s="22"/>
      <c r="J25" s="35"/>
      <c r="K25" s="69"/>
    </row>
    <row r="26" spans="1:13">
      <c r="A26" s="31" t="s">
        <v>204</v>
      </c>
      <c r="B26" s="237">
        <v>0</v>
      </c>
      <c r="C26" s="20">
        <v>936.13445378151266</v>
      </c>
      <c r="D26" s="20">
        <v>1127</v>
      </c>
      <c r="E26" s="67">
        <v>931.27109610869638</v>
      </c>
      <c r="F26" s="72">
        <v>1009.3633622982799</v>
      </c>
      <c r="G26" s="237">
        <f>'5. Operational Data'!AU29</f>
        <v>1200</v>
      </c>
      <c r="H26" s="20"/>
      <c r="I26" s="20"/>
      <c r="J26" s="67"/>
      <c r="K26" s="72"/>
    </row>
    <row r="27" spans="1:13">
      <c r="A27" s="31" t="s">
        <v>205</v>
      </c>
      <c r="B27" s="237">
        <v>0</v>
      </c>
      <c r="C27" s="20">
        <v>1441.4415411241316</v>
      </c>
      <c r="D27" s="20">
        <v>1237</v>
      </c>
      <c r="E27" s="67">
        <v>1111.3338262289651</v>
      </c>
      <c r="F27" s="72">
        <v>1175.2762774650844</v>
      </c>
      <c r="G27" s="237">
        <f>'5. Operational Data'!AU38</f>
        <v>1256</v>
      </c>
      <c r="H27" s="20"/>
      <c r="I27" s="20"/>
      <c r="J27" s="67"/>
      <c r="K27" s="72"/>
    </row>
    <row r="28" spans="1:13">
      <c r="A28" s="145"/>
      <c r="B28" s="240"/>
      <c r="C28" s="123"/>
      <c r="D28" s="123"/>
      <c r="E28" s="76"/>
      <c r="F28" s="69"/>
      <c r="G28" s="240"/>
      <c r="H28" s="123"/>
      <c r="I28" s="123"/>
      <c r="J28" s="76"/>
      <c r="K28" s="69"/>
    </row>
    <row r="29" spans="1:13">
      <c r="A29" s="126"/>
      <c r="B29" s="237"/>
      <c r="C29" s="170"/>
      <c r="D29" s="170"/>
      <c r="E29" s="101"/>
      <c r="F29" s="133"/>
      <c r="G29" s="237"/>
      <c r="H29" s="170"/>
      <c r="I29" s="170"/>
      <c r="J29" s="101"/>
      <c r="K29" s="133"/>
    </row>
    <row r="30" spans="1:13">
      <c r="A30" s="19" t="s">
        <v>206</v>
      </c>
      <c r="B30" s="237">
        <v>0</v>
      </c>
      <c r="C30" s="101">
        <v>3898</v>
      </c>
      <c r="D30" s="101">
        <v>39428</v>
      </c>
      <c r="E30" s="67">
        <v>66527</v>
      </c>
      <c r="F30" s="72">
        <f>SUM(B30:E30)</f>
        <v>109853</v>
      </c>
      <c r="G30" s="237">
        <v>81988.495999999999</v>
      </c>
      <c r="H30" s="101"/>
      <c r="I30" s="101"/>
      <c r="J30" s="67"/>
      <c r="K30" s="72"/>
    </row>
    <row r="31" spans="1:13">
      <c r="A31" s="19" t="s">
        <v>207</v>
      </c>
      <c r="B31" s="237">
        <v>0</v>
      </c>
      <c r="C31" s="170">
        <v>3690</v>
      </c>
      <c r="D31" s="170">
        <v>38982</v>
      </c>
      <c r="E31" s="161">
        <v>65530</v>
      </c>
      <c r="F31" s="72">
        <f>SUM(B31:E31)</f>
        <v>108202</v>
      </c>
      <c r="G31" s="237">
        <v>81988</v>
      </c>
      <c r="H31" s="170"/>
      <c r="I31" s="170"/>
      <c r="J31" s="161"/>
      <c r="K31" s="72"/>
      <c r="M31" s="101"/>
    </row>
    <row r="32" spans="1:13">
      <c r="A32" s="19" t="s">
        <v>57</v>
      </c>
      <c r="B32" s="237">
        <v>0</v>
      </c>
      <c r="C32" s="20">
        <v>-1114</v>
      </c>
      <c r="D32" s="20">
        <v>-12652</v>
      </c>
      <c r="E32" s="101">
        <v>-21870</v>
      </c>
      <c r="F32" s="68">
        <f>SUM(B32:E32)</f>
        <v>-35636</v>
      </c>
      <c r="G32" s="237">
        <v>-25445</v>
      </c>
      <c r="H32" s="20"/>
      <c r="I32" s="20"/>
      <c r="J32" s="101"/>
      <c r="K32" s="68"/>
    </row>
    <row r="33" spans="1:11">
      <c r="A33" s="24" t="s">
        <v>71</v>
      </c>
      <c r="B33" s="235">
        <v>0</v>
      </c>
      <c r="C33" s="235">
        <v>0</v>
      </c>
      <c r="D33" s="35">
        <v>0</v>
      </c>
      <c r="E33" s="35">
        <v>7261</v>
      </c>
      <c r="F33" s="72">
        <f>SUM(B33:E33)</f>
        <v>7261</v>
      </c>
      <c r="G33" s="235"/>
      <c r="H33" s="235"/>
      <c r="I33" s="35"/>
      <c r="J33" s="35"/>
      <c r="K33" s="72"/>
    </row>
    <row r="34" spans="1:11">
      <c r="A34" s="26"/>
      <c r="B34" s="237"/>
      <c r="C34" s="20"/>
      <c r="D34" s="20"/>
      <c r="E34" s="67"/>
      <c r="F34" s="70"/>
      <c r="G34" s="237"/>
      <c r="H34" s="20"/>
      <c r="I34" s="20"/>
      <c r="J34" s="67"/>
      <c r="K34" s="70"/>
    </row>
    <row r="35" spans="1:11">
      <c r="A35" s="31" t="s">
        <v>208</v>
      </c>
      <c r="B35" s="237">
        <v>0</v>
      </c>
      <c r="C35" s="20">
        <v>2576</v>
      </c>
      <c r="D35" s="20">
        <v>26330</v>
      </c>
      <c r="E35" s="67">
        <v>43660</v>
      </c>
      <c r="F35" s="72">
        <f>SUM(B35:E35)</f>
        <v>72566</v>
      </c>
      <c r="G35" s="237">
        <v>56543</v>
      </c>
      <c r="H35" s="20"/>
      <c r="I35" s="20"/>
      <c r="J35" s="67"/>
      <c r="K35" s="72"/>
    </row>
    <row r="36" spans="1:11">
      <c r="A36" s="49"/>
      <c r="B36" s="237"/>
      <c r="C36" s="20"/>
      <c r="D36" s="20"/>
      <c r="E36" s="67"/>
      <c r="F36" s="68"/>
      <c r="G36" s="237"/>
      <c r="H36" s="20"/>
      <c r="I36" s="20"/>
      <c r="J36" s="67"/>
      <c r="K36" s="68"/>
    </row>
    <row r="37" spans="1:11">
      <c r="A37" s="33" t="s">
        <v>59</v>
      </c>
      <c r="B37" s="235">
        <v>84</v>
      </c>
      <c r="C37" s="22">
        <v>-378</v>
      </c>
      <c r="D37" s="22">
        <v>-869</v>
      </c>
      <c r="E37" s="35">
        <v>-1700</v>
      </c>
      <c r="F37" s="70">
        <f>SUM(B37:E37)</f>
        <v>-2863</v>
      </c>
      <c r="G37" s="235">
        <v>-1015</v>
      </c>
      <c r="H37" s="22"/>
      <c r="I37" s="22"/>
      <c r="J37" s="35"/>
      <c r="K37" s="70"/>
    </row>
    <row r="38" spans="1:11">
      <c r="A38" s="33" t="s">
        <v>60</v>
      </c>
      <c r="B38" s="235">
        <v>-70</v>
      </c>
      <c r="C38" s="22">
        <v>0</v>
      </c>
      <c r="D38" s="22">
        <v>-317</v>
      </c>
      <c r="E38" s="35">
        <v>-53</v>
      </c>
      <c r="F38" s="70">
        <f>SUM(B38:E38)</f>
        <v>-440</v>
      </c>
      <c r="G38" s="235">
        <v>-211</v>
      </c>
      <c r="H38" s="22"/>
      <c r="I38" s="22"/>
      <c r="J38" s="35"/>
      <c r="K38" s="70"/>
    </row>
    <row r="39" spans="1:11">
      <c r="A39" s="33" t="s">
        <v>236</v>
      </c>
      <c r="B39" s="235">
        <v>0</v>
      </c>
      <c r="C39" s="22">
        <v>0</v>
      </c>
      <c r="D39" s="22">
        <v>0</v>
      </c>
      <c r="E39" s="35">
        <v>0</v>
      </c>
      <c r="F39" s="70">
        <f>SUM(B39:E39)</f>
        <v>0</v>
      </c>
      <c r="G39" s="235"/>
      <c r="H39" s="22"/>
      <c r="I39" s="22"/>
      <c r="J39" s="35"/>
      <c r="K39" s="70"/>
    </row>
    <row r="40" spans="1:11">
      <c r="A40" s="33" t="s">
        <v>210</v>
      </c>
      <c r="B40" s="235">
        <v>4</v>
      </c>
      <c r="C40" s="22">
        <v>11</v>
      </c>
      <c r="D40" s="22">
        <v>-20</v>
      </c>
      <c r="E40" s="35">
        <v>150</v>
      </c>
      <c r="F40" s="70">
        <f>SUM(B40:E40)</f>
        <v>145</v>
      </c>
      <c r="G40" s="235">
        <v>-2</v>
      </c>
      <c r="H40" s="22"/>
      <c r="I40" s="22"/>
      <c r="J40" s="35"/>
      <c r="K40" s="70"/>
    </row>
    <row r="41" spans="1:11">
      <c r="A41" s="33"/>
      <c r="B41" s="235"/>
      <c r="C41" s="22"/>
      <c r="D41" s="22"/>
      <c r="E41" s="35"/>
      <c r="F41" s="68"/>
      <c r="G41" s="235"/>
      <c r="H41" s="22"/>
      <c r="I41" s="22"/>
      <c r="J41" s="35"/>
      <c r="K41" s="68"/>
    </row>
    <row r="42" spans="1:11">
      <c r="A42" s="31" t="s">
        <v>63</v>
      </c>
      <c r="B42" s="237">
        <f>SUM(B35:B40)</f>
        <v>18</v>
      </c>
      <c r="C42" s="237">
        <f>SUM(C35:C40)</f>
        <v>2209</v>
      </c>
      <c r="D42" s="237">
        <f>SUM(D35:D40)</f>
        <v>25124</v>
      </c>
      <c r="E42" s="237">
        <f>SUM(E35:E40)</f>
        <v>42057</v>
      </c>
      <c r="F42" s="68">
        <f>SUM(B42:E42)</f>
        <v>69408</v>
      </c>
      <c r="G42" s="237">
        <f>SUM(G35:G41)</f>
        <v>55315</v>
      </c>
      <c r="H42" s="237"/>
      <c r="I42" s="237"/>
      <c r="J42" s="237"/>
      <c r="K42" s="68"/>
    </row>
    <row r="43" spans="1:11">
      <c r="A43" s="33"/>
      <c r="B43" s="237"/>
      <c r="C43" s="20"/>
      <c r="D43" s="20"/>
      <c r="E43" s="67"/>
      <c r="F43" s="68"/>
      <c r="G43" s="237"/>
      <c r="H43" s="20"/>
      <c r="I43" s="20"/>
      <c r="J43" s="67"/>
      <c r="K43" s="68"/>
    </row>
    <row r="44" spans="1:11">
      <c r="A44" s="33" t="s">
        <v>232</v>
      </c>
      <c r="B44" s="235"/>
      <c r="C44" s="22"/>
      <c r="D44" s="22"/>
      <c r="E44" s="35"/>
      <c r="F44" s="70">
        <f t="shared" ref="F44" si="1">SUM(B44:E44)</f>
        <v>0</v>
      </c>
      <c r="G44" s="235">
        <v>0</v>
      </c>
      <c r="H44" s="22"/>
      <c r="I44" s="22"/>
      <c r="J44" s="35"/>
      <c r="K44" s="70"/>
    </row>
    <row r="45" spans="1:11">
      <c r="A45" s="83" t="s">
        <v>211</v>
      </c>
      <c r="B45" s="235">
        <v>-2966</v>
      </c>
      <c r="C45" s="22">
        <f>-7864-B45</f>
        <v>-4898</v>
      </c>
      <c r="D45" s="22">
        <f>-8218-C45-B45</f>
        <v>-354</v>
      </c>
      <c r="E45" s="35">
        <f>-18689-D45-C45-B45</f>
        <v>-10471</v>
      </c>
      <c r="F45" s="70">
        <f>SUM(B45:E45)</f>
        <v>-18689</v>
      </c>
      <c r="G45" s="235">
        <v>-9741</v>
      </c>
      <c r="H45" s="22"/>
      <c r="I45" s="22"/>
      <c r="J45" s="35"/>
      <c r="K45" s="70"/>
    </row>
    <row r="46" spans="1:11">
      <c r="A46" s="83" t="s">
        <v>212</v>
      </c>
      <c r="B46" s="235">
        <v>84</v>
      </c>
      <c r="C46" s="22">
        <f>105-B46</f>
        <v>21</v>
      </c>
      <c r="D46" s="22">
        <f>122-C46-B46</f>
        <v>17</v>
      </c>
      <c r="E46" s="35">
        <f>339-D46-C46-B46</f>
        <v>217</v>
      </c>
      <c r="F46" s="70">
        <f>SUM(B46:E46)</f>
        <v>339</v>
      </c>
      <c r="G46" s="235">
        <v>220</v>
      </c>
      <c r="H46" s="22"/>
      <c r="I46" s="22"/>
      <c r="J46" s="35"/>
      <c r="K46" s="70"/>
    </row>
    <row r="47" spans="1:11">
      <c r="A47" s="33"/>
      <c r="B47" s="235"/>
      <c r="C47" s="22"/>
      <c r="D47" s="22"/>
      <c r="E47" s="35"/>
      <c r="F47" s="70"/>
      <c r="G47" s="235"/>
      <c r="H47" s="22"/>
      <c r="I47" s="22"/>
      <c r="J47" s="35"/>
      <c r="K47" s="70"/>
    </row>
    <row r="48" spans="1:11">
      <c r="A48" s="31" t="s">
        <v>213</v>
      </c>
      <c r="B48" s="237">
        <f>SUM(B42:B46)</f>
        <v>-2864</v>
      </c>
      <c r="C48" s="237">
        <f>SUM(C42:C46)</f>
        <v>-2668</v>
      </c>
      <c r="D48" s="237">
        <f>SUM(D42:D46)</f>
        <v>24787</v>
      </c>
      <c r="E48" s="237">
        <f>SUM(E42:E46)</f>
        <v>31803</v>
      </c>
      <c r="F48" s="72">
        <f>SUM(B48:E48)</f>
        <v>51058</v>
      </c>
      <c r="G48" s="237">
        <f>SUM(G42:G47)</f>
        <v>45794</v>
      </c>
      <c r="H48" s="20"/>
      <c r="I48" s="20"/>
      <c r="J48" s="67"/>
      <c r="K48" s="72"/>
    </row>
    <row r="49" spans="1:11">
      <c r="A49" s="33"/>
      <c r="B49" s="237"/>
      <c r="C49" s="20"/>
      <c r="D49" s="20"/>
      <c r="E49" s="67"/>
      <c r="F49" s="68"/>
      <c r="G49" s="237"/>
      <c r="H49" s="20"/>
      <c r="I49" s="20"/>
      <c r="J49" s="67"/>
      <c r="K49" s="68"/>
    </row>
    <row r="50" spans="1:11">
      <c r="A50" s="33" t="s">
        <v>233</v>
      </c>
      <c r="B50" s="235">
        <v>0</v>
      </c>
      <c r="C50" s="22">
        <v>0</v>
      </c>
      <c r="D50" s="22">
        <v>-6585</v>
      </c>
      <c r="E50" s="35">
        <v>-15971</v>
      </c>
      <c r="F50" s="70">
        <f>SUM(B50:E50)</f>
        <v>-22556</v>
      </c>
      <c r="G50" s="235">
        <v>-6613</v>
      </c>
      <c r="H50" s="22"/>
      <c r="I50" s="22"/>
      <c r="J50" s="35"/>
      <c r="K50" s="70"/>
    </row>
    <row r="51" spans="1:11">
      <c r="A51" s="33" t="s">
        <v>234</v>
      </c>
      <c r="B51" s="235">
        <v>-542</v>
      </c>
      <c r="C51" s="22">
        <v>-309</v>
      </c>
      <c r="D51" s="22">
        <v>6063</v>
      </c>
      <c r="E51" s="35">
        <v>779</v>
      </c>
      <c r="F51" s="70">
        <f>SUM(B51:E51)</f>
        <v>5991</v>
      </c>
      <c r="G51" s="235">
        <v>1354</v>
      </c>
      <c r="H51" s="22"/>
      <c r="I51" s="22"/>
      <c r="J51" s="35"/>
      <c r="K51" s="70"/>
    </row>
    <row r="52" spans="1:11">
      <c r="A52" s="33"/>
      <c r="B52" s="235"/>
      <c r="C52" s="22"/>
      <c r="D52" s="22"/>
      <c r="E52" s="35"/>
      <c r="F52" s="70"/>
      <c r="G52" s="235"/>
      <c r="H52" s="22"/>
      <c r="I52" s="22"/>
      <c r="J52" s="35"/>
      <c r="K52" s="70"/>
    </row>
    <row r="53" spans="1:11">
      <c r="A53" s="31" t="s">
        <v>70</v>
      </c>
      <c r="B53" s="237">
        <f>SUM(B48:B51)</f>
        <v>-3406</v>
      </c>
      <c r="C53" s="237">
        <f>SUM(C48:C51)</f>
        <v>-2977</v>
      </c>
      <c r="D53" s="237">
        <f t="shared" ref="D53" si="2">SUM(D48:D51)</f>
        <v>24265</v>
      </c>
      <c r="E53" s="237">
        <f>SUM(E48:E51)</f>
        <v>16611</v>
      </c>
      <c r="F53" s="72">
        <f>SUM(B53:E53)</f>
        <v>34493</v>
      </c>
      <c r="G53" s="237">
        <f>SUM(G48:G52)</f>
        <v>40535</v>
      </c>
      <c r="H53" s="237"/>
      <c r="I53" s="237"/>
      <c r="J53" s="67"/>
      <c r="K53" s="72"/>
    </row>
    <row r="54" spans="1:11">
      <c r="A54" s="31"/>
      <c r="B54" s="237"/>
      <c r="C54" s="20"/>
      <c r="D54" s="20"/>
      <c r="E54" s="67"/>
      <c r="F54" s="68"/>
      <c r="G54" s="237"/>
      <c r="H54" s="20"/>
      <c r="I54" s="20"/>
      <c r="J54" s="67"/>
      <c r="K54" s="68"/>
    </row>
    <row r="55" spans="1:11">
      <c r="A55" s="31" t="s">
        <v>216</v>
      </c>
      <c r="B55" s="237">
        <v>0</v>
      </c>
      <c r="C55" s="20">
        <v>-18945</v>
      </c>
      <c r="D55" s="67">
        <v>-1243</v>
      </c>
      <c r="E55" s="67">
        <v>-2552</v>
      </c>
      <c r="F55" s="244">
        <f>SUM(B55:E55)</f>
        <v>-22740</v>
      </c>
      <c r="G55" s="237">
        <f>SUM(G56:G58)</f>
        <v>-2403</v>
      </c>
      <c r="H55" s="20"/>
      <c r="I55" s="67"/>
      <c r="J55" s="67"/>
      <c r="K55" s="244"/>
    </row>
    <row r="56" spans="1:11">
      <c r="A56" s="83" t="s">
        <v>217</v>
      </c>
      <c r="B56" s="235">
        <v>0</v>
      </c>
      <c r="C56" s="22">
        <v>-397</v>
      </c>
      <c r="D56" s="35">
        <v>-891.99369911634096</v>
      </c>
      <c r="E56" s="35">
        <v>-1731</v>
      </c>
      <c r="F56" s="243">
        <f>SUM(B56:E56)</f>
        <v>-3019.9936991163408</v>
      </c>
      <c r="G56" s="235">
        <v>-178</v>
      </c>
      <c r="H56" s="22"/>
      <c r="I56" s="35"/>
      <c r="J56" s="35"/>
      <c r="K56" s="243"/>
    </row>
    <row r="57" spans="1:11">
      <c r="A57" s="83" t="s">
        <v>218</v>
      </c>
      <c r="B57" s="235">
        <v>0</v>
      </c>
      <c r="C57" s="22">
        <v>0</v>
      </c>
      <c r="D57" s="35"/>
      <c r="E57" s="35"/>
      <c r="F57" s="243"/>
      <c r="G57" s="235"/>
      <c r="H57" s="22"/>
      <c r="I57" s="35"/>
      <c r="J57" s="35"/>
      <c r="K57" s="243"/>
    </row>
    <row r="58" spans="1:11">
      <c r="A58" s="83" t="s">
        <v>219</v>
      </c>
      <c r="B58" s="235">
        <v>0</v>
      </c>
      <c r="C58" s="22">
        <v>-18548</v>
      </c>
      <c r="D58" s="35">
        <v>-351.00630088365904</v>
      </c>
      <c r="E58" s="35">
        <v>-821</v>
      </c>
      <c r="F58" s="243">
        <f>SUM(B58:E58)</f>
        <v>-19720.006300883659</v>
      </c>
      <c r="G58" s="235">
        <v>-2225</v>
      </c>
      <c r="H58" s="22"/>
      <c r="I58" s="35"/>
      <c r="J58" s="35"/>
      <c r="K58" s="243"/>
    </row>
    <row r="59" spans="1:11">
      <c r="A59" s="33"/>
      <c r="B59" s="237"/>
      <c r="C59" s="20"/>
      <c r="D59" s="20"/>
      <c r="E59" s="89"/>
      <c r="F59" s="68"/>
      <c r="G59" s="237"/>
      <c r="H59" s="20"/>
      <c r="I59" s="20"/>
      <c r="J59" s="89"/>
      <c r="K59" s="68"/>
    </row>
    <row r="60" spans="1:11">
      <c r="A60" s="31" t="s">
        <v>72</v>
      </c>
      <c r="B60" s="237">
        <v>128</v>
      </c>
      <c r="C60" s="20">
        <v>2084</v>
      </c>
      <c r="D60" s="20">
        <v>25144</v>
      </c>
      <c r="E60" s="67">
        <v>49168</v>
      </c>
      <c r="F60" s="72">
        <f>SUM(B60:E60)</f>
        <v>76524</v>
      </c>
      <c r="G60" s="237">
        <v>60939</v>
      </c>
      <c r="H60" s="20"/>
      <c r="I60" s="20"/>
      <c r="J60" s="67"/>
      <c r="K60" s="72"/>
    </row>
    <row r="61" spans="1:11">
      <c r="A61" s="134" t="s">
        <v>220</v>
      </c>
      <c r="B61" s="239"/>
      <c r="C61" s="96">
        <f>C60/C31</f>
        <v>0.56476964769647697</v>
      </c>
      <c r="D61" s="96">
        <f>D60/D31</f>
        <v>0.64501564824790925</v>
      </c>
      <c r="E61" s="96">
        <f>E60/E31</f>
        <v>0.75031283381657254</v>
      </c>
      <c r="F61" s="155">
        <f>E61</f>
        <v>0.75031283381657254</v>
      </c>
      <c r="G61" s="96">
        <f>G60/G31</f>
        <v>0.74326730741084057</v>
      </c>
      <c r="H61" s="96"/>
      <c r="I61" s="96"/>
      <c r="J61" s="96"/>
      <c r="K61" s="155"/>
    </row>
    <row r="62" spans="1:11">
      <c r="A62" s="121"/>
      <c r="B62" s="240"/>
      <c r="C62" s="123"/>
      <c r="D62" s="123"/>
      <c r="E62" s="76"/>
      <c r="F62" s="125"/>
      <c r="G62" s="240"/>
      <c r="H62" s="123"/>
      <c r="I62" s="123"/>
      <c r="J62" s="76"/>
      <c r="K62" s="125"/>
    </row>
    <row r="64" spans="1:11">
      <c r="C64" s="247"/>
      <c r="D64" s="247"/>
      <c r="E64" s="247"/>
      <c r="F64" s="247"/>
      <c r="H64" s="247"/>
      <c r="I64" s="247"/>
      <c r="J64" s="247"/>
      <c r="K64" s="247"/>
    </row>
  </sheetData>
  <mergeCells count="1">
    <mergeCell ref="H3:I3"/>
  </mergeCells>
  <pageMargins left="0.511811024" right="0.511811024" top="0.78740157499999996" bottom="0.78740157499999996" header="0.31496062000000002" footer="0.31496062000000002"/>
  <ignoredErrors>
    <ignoredError sqref="F14:F15 F23:F24" formulaRange="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E4EDF-C1CC-4732-94A1-B2E23E351F6B}">
  <sheetPr>
    <tabColor rgb="FF2D3D70"/>
  </sheetPr>
  <dimension ref="A2:G62"/>
  <sheetViews>
    <sheetView showGridLines="0" topLeftCell="A5" workbookViewId="0">
      <pane xSplit="1" ySplit="2" topLeftCell="B7" activePane="bottomRight" state="frozen"/>
      <selection activeCell="A5" sqref="A5"/>
      <selection pane="topRight" activeCell="B5" sqref="B5"/>
      <selection pane="bottomLeft" activeCell="A7" sqref="A7"/>
      <selection pane="bottomRight" activeCell="A5" sqref="A5"/>
    </sheetView>
  </sheetViews>
  <sheetFormatPr defaultRowHeight="14.4"/>
  <cols>
    <col min="1" max="1" width="40.33203125" style="1" bestFit="1" customWidth="1"/>
    <col min="2" max="2" width="11" style="1" bestFit="1" customWidth="1"/>
    <col min="3" max="3" width="11" bestFit="1" customWidth="1"/>
    <col min="5" max="5" width="8.88671875" customWidth="1"/>
  </cols>
  <sheetData>
    <row r="2" spans="1:7" ht="15" thickBot="1"/>
    <row r="3" spans="1:7" ht="21.6" thickBot="1">
      <c r="C3" s="219"/>
      <c r="D3" s="219" t="s">
        <v>239</v>
      </c>
      <c r="E3" s="262"/>
    </row>
    <row r="5" spans="1:7">
      <c r="A5" s="8"/>
    </row>
    <row r="6" spans="1:7">
      <c r="A6" s="45"/>
      <c r="B6" s="12" t="s">
        <v>241</v>
      </c>
      <c r="C6" s="10" t="s">
        <v>51</v>
      </c>
      <c r="D6" s="10" t="s">
        <v>52</v>
      </c>
      <c r="E6" s="10" t="s">
        <v>53</v>
      </c>
      <c r="F6" s="10" t="s">
        <v>54</v>
      </c>
      <c r="G6" s="12">
        <v>2026</v>
      </c>
    </row>
    <row r="7" spans="1:7">
      <c r="A7" s="13" t="s">
        <v>242</v>
      </c>
      <c r="B7" s="48"/>
      <c r="C7" s="233"/>
      <c r="D7" s="46"/>
      <c r="E7" s="46"/>
      <c r="F7" s="46"/>
      <c r="G7" s="48"/>
    </row>
    <row r="8" spans="1:7">
      <c r="A8" s="17"/>
      <c r="B8" s="143"/>
      <c r="C8" s="234"/>
      <c r="D8" s="3"/>
      <c r="E8" s="3"/>
      <c r="F8" s="1"/>
      <c r="G8" s="143"/>
    </row>
    <row r="9" spans="1:7">
      <c r="A9" s="31" t="s">
        <v>222</v>
      </c>
      <c r="B9" s="72"/>
      <c r="C9" s="235"/>
      <c r="D9" s="35"/>
      <c r="E9" s="35"/>
      <c r="F9" s="3"/>
      <c r="G9" s="72"/>
    </row>
    <row r="10" spans="1:7">
      <c r="A10" s="33" t="s">
        <v>177</v>
      </c>
      <c r="B10" s="72">
        <v>752629</v>
      </c>
      <c r="C10" s="236">
        <v>752761.92099999997</v>
      </c>
      <c r="D10" s="22"/>
      <c r="E10" s="35"/>
      <c r="F10" s="35"/>
      <c r="G10" s="72"/>
    </row>
    <row r="11" spans="1:7">
      <c r="A11" s="33" t="s">
        <v>178</v>
      </c>
      <c r="B11" s="72">
        <v>1098774</v>
      </c>
      <c r="C11" s="236">
        <v>1855075.09</v>
      </c>
      <c r="D11" s="22"/>
      <c r="E11" s="35"/>
      <c r="F11" s="35"/>
      <c r="G11" s="72"/>
    </row>
    <row r="12" spans="1:7">
      <c r="A12" s="33" t="s">
        <v>238</v>
      </c>
      <c r="B12" s="72">
        <v>2059077</v>
      </c>
      <c r="C12" s="235">
        <v>2065676.14</v>
      </c>
      <c r="D12" s="22"/>
      <c r="E12" s="35"/>
      <c r="F12" s="35"/>
      <c r="G12" s="72"/>
    </row>
    <row r="13" spans="1:7">
      <c r="A13" s="33"/>
      <c r="B13" s="69"/>
      <c r="C13" s="234"/>
      <c r="D13" s="3"/>
      <c r="E13" s="3"/>
      <c r="F13" s="3"/>
      <c r="G13" s="69"/>
    </row>
    <row r="14" spans="1:7">
      <c r="A14" s="31" t="s">
        <v>183</v>
      </c>
      <c r="B14" s="72"/>
      <c r="C14" s="237">
        <v>188645</v>
      </c>
      <c r="D14" s="20"/>
      <c r="E14" s="67"/>
      <c r="F14" s="67"/>
      <c r="G14" s="72"/>
    </row>
    <row r="15" spans="1:7">
      <c r="A15" s="31" t="s">
        <v>223</v>
      </c>
      <c r="B15" s="72"/>
      <c r="C15" s="237">
        <v>99492</v>
      </c>
      <c r="D15" s="20"/>
      <c r="E15" s="67"/>
      <c r="F15" s="67"/>
      <c r="G15" s="72"/>
    </row>
    <row r="16" spans="1:7">
      <c r="A16" s="39"/>
      <c r="B16" s="69"/>
      <c r="C16" s="235"/>
      <c r="D16" s="22"/>
      <c r="E16" s="22"/>
      <c r="F16" s="35"/>
      <c r="G16" s="69"/>
    </row>
    <row r="17" spans="1:7">
      <c r="A17" s="31" t="s">
        <v>224</v>
      </c>
      <c r="B17" s="249"/>
      <c r="C17" s="238">
        <v>0.52740332370325216</v>
      </c>
      <c r="D17" s="169"/>
      <c r="E17" s="85"/>
      <c r="F17" s="85"/>
      <c r="G17" s="249"/>
    </row>
    <row r="18" spans="1:7">
      <c r="A18" s="39"/>
      <c r="B18" s="71"/>
      <c r="C18" s="235"/>
      <c r="D18" s="22"/>
      <c r="E18" s="35"/>
      <c r="F18" s="35"/>
      <c r="G18" s="71"/>
    </row>
    <row r="19" spans="1:7">
      <c r="A19" s="31" t="s">
        <v>225</v>
      </c>
      <c r="B19" s="71"/>
      <c r="C19" s="235">
        <v>188433.1196421053</v>
      </c>
      <c r="D19" s="22"/>
      <c r="E19" s="35"/>
      <c r="F19" s="35"/>
      <c r="G19" s="71"/>
    </row>
    <row r="20" spans="1:7">
      <c r="A20" s="31" t="s">
        <v>226</v>
      </c>
      <c r="B20" s="95"/>
      <c r="C20" s="238">
        <v>1.5388398079139529</v>
      </c>
      <c r="D20" s="169"/>
      <c r="E20" s="85"/>
      <c r="F20" s="85"/>
      <c r="G20" s="95"/>
    </row>
    <row r="21" spans="1:7">
      <c r="A21" s="31" t="s">
        <v>227</v>
      </c>
      <c r="B21" s="118"/>
      <c r="C21" s="239">
        <v>0.91995902097902105</v>
      </c>
      <c r="D21" s="96"/>
      <c r="E21" s="87"/>
      <c r="F21" s="87"/>
      <c r="G21" s="118"/>
    </row>
    <row r="22" spans="1:7">
      <c r="A22" s="129"/>
      <c r="B22" s="69"/>
      <c r="C22" s="235"/>
      <c r="D22" s="22"/>
      <c r="E22" s="35"/>
      <c r="F22" s="35"/>
      <c r="G22" s="69"/>
    </row>
    <row r="23" spans="1:7">
      <c r="A23" s="31" t="s">
        <v>228</v>
      </c>
      <c r="B23" s="72">
        <v>4761</v>
      </c>
      <c r="C23" s="237">
        <v>8580</v>
      </c>
      <c r="D23" s="20"/>
      <c r="E23" s="20"/>
      <c r="F23" s="67"/>
      <c r="G23" s="72"/>
    </row>
    <row r="24" spans="1:7">
      <c r="A24" s="31" t="s">
        <v>229</v>
      </c>
      <c r="B24" s="72">
        <v>4797</v>
      </c>
      <c r="C24" s="237">
        <v>9507.8150000000005</v>
      </c>
      <c r="D24" s="20"/>
      <c r="E24" s="20"/>
      <c r="F24" s="67"/>
      <c r="G24" s="72"/>
    </row>
    <row r="25" spans="1:7">
      <c r="A25" s="129"/>
      <c r="B25" s="69"/>
      <c r="C25" s="235"/>
      <c r="D25" s="22"/>
      <c r="E25" s="22"/>
      <c r="F25" s="35"/>
      <c r="G25" s="69"/>
    </row>
    <row r="26" spans="1:7">
      <c r="A26" s="31" t="s">
        <v>204</v>
      </c>
      <c r="B26" s="72">
        <v>2148.4260996456119</v>
      </c>
      <c r="C26" s="237">
        <f>'5. Operational Data'!AU30</f>
        <v>2900</v>
      </c>
      <c r="D26" s="20"/>
      <c r="E26" s="20"/>
      <c r="F26" s="67"/>
      <c r="G26" s="72"/>
    </row>
    <row r="27" spans="1:7">
      <c r="A27" s="31" t="s">
        <v>205</v>
      </c>
      <c r="B27" s="72">
        <v>3132.1659370439857</v>
      </c>
      <c r="C27" s="237">
        <f>'5. Operational Data'!AU39</f>
        <v>3735</v>
      </c>
      <c r="D27" s="20"/>
      <c r="E27" s="20"/>
      <c r="F27" s="67"/>
      <c r="G27" s="72"/>
    </row>
    <row r="28" spans="1:7">
      <c r="A28" s="145"/>
      <c r="B28" s="69"/>
      <c r="C28" s="240"/>
      <c r="D28" s="123"/>
      <c r="E28" s="123"/>
      <c r="F28" s="76"/>
      <c r="G28" s="69"/>
    </row>
    <row r="29" spans="1:7">
      <c r="A29" s="126"/>
      <c r="B29" s="133"/>
      <c r="C29" s="237"/>
      <c r="D29" s="170"/>
      <c r="E29" s="170"/>
      <c r="F29" s="101"/>
      <c r="G29" s="133"/>
    </row>
    <row r="30" spans="1:7">
      <c r="A30" s="19" t="s">
        <v>206</v>
      </c>
      <c r="B30" s="72">
        <v>20547</v>
      </c>
      <c r="C30" s="237">
        <v>46912.241999999998</v>
      </c>
      <c r="D30" s="101"/>
      <c r="E30" s="101"/>
      <c r="F30" s="67"/>
      <c r="G30" s="72"/>
    </row>
    <row r="31" spans="1:7">
      <c r="A31" s="19" t="s">
        <v>207</v>
      </c>
      <c r="B31" s="72">
        <v>20238</v>
      </c>
      <c r="C31" s="237">
        <v>46913</v>
      </c>
      <c r="D31" s="170"/>
      <c r="E31" s="170"/>
      <c r="F31" s="161"/>
      <c r="G31" s="72"/>
    </row>
    <row r="32" spans="1:7">
      <c r="A32" s="19" t="s">
        <v>57</v>
      </c>
      <c r="B32" s="68">
        <v>-14163</v>
      </c>
      <c r="C32" s="237">
        <v>-35274</v>
      </c>
      <c r="D32" s="20"/>
      <c r="E32" s="20"/>
      <c r="F32" s="101"/>
      <c r="G32" s="68"/>
    </row>
    <row r="33" spans="1:7">
      <c r="A33" s="24" t="s">
        <v>71</v>
      </c>
      <c r="B33" s="72">
        <v>3857</v>
      </c>
      <c r="C33" s="235"/>
      <c r="D33" s="235"/>
      <c r="E33" s="35"/>
      <c r="F33" s="35"/>
      <c r="G33" s="72"/>
    </row>
    <row r="34" spans="1:7">
      <c r="A34" s="26"/>
      <c r="B34" s="70"/>
      <c r="C34" s="237"/>
      <c r="D34" s="20"/>
      <c r="E34" s="20"/>
      <c r="F34" s="67"/>
      <c r="G34" s="70"/>
    </row>
    <row r="35" spans="1:7">
      <c r="A35" s="31" t="s">
        <v>208</v>
      </c>
      <c r="B35" s="72">
        <v>6075</v>
      </c>
      <c r="C35" s="237">
        <v>11639</v>
      </c>
      <c r="D35" s="20"/>
      <c r="E35" s="20"/>
      <c r="F35" s="67"/>
      <c r="G35" s="72"/>
    </row>
    <row r="36" spans="1:7">
      <c r="A36" s="49"/>
      <c r="B36" s="68"/>
      <c r="C36" s="237"/>
      <c r="D36" s="20"/>
      <c r="E36" s="20"/>
      <c r="F36" s="67"/>
      <c r="G36" s="68"/>
    </row>
    <row r="37" spans="1:7">
      <c r="A37" s="33" t="s">
        <v>59</v>
      </c>
      <c r="B37" s="70">
        <v>-224</v>
      </c>
      <c r="C37" s="235">
        <v>-1882</v>
      </c>
      <c r="D37" s="22"/>
      <c r="E37" s="22"/>
      <c r="F37" s="35"/>
      <c r="G37" s="70"/>
    </row>
    <row r="38" spans="1:7">
      <c r="A38" s="33" t="s">
        <v>60</v>
      </c>
      <c r="B38" s="70">
        <v>-134</v>
      </c>
      <c r="C38" s="235">
        <v>-29</v>
      </c>
      <c r="D38" s="22"/>
      <c r="E38" s="22"/>
      <c r="F38" s="35"/>
      <c r="G38" s="70"/>
    </row>
    <row r="39" spans="1:7">
      <c r="A39" s="33" t="s">
        <v>306</v>
      </c>
      <c r="B39" s="70">
        <v>-250</v>
      </c>
      <c r="C39" s="235">
        <v>0</v>
      </c>
      <c r="D39" s="22"/>
      <c r="E39" s="22"/>
      <c r="F39" s="35"/>
      <c r="G39" s="70"/>
    </row>
    <row r="40" spans="1:7">
      <c r="A40" s="33" t="s">
        <v>236</v>
      </c>
      <c r="B40" s="70">
        <v>26</v>
      </c>
      <c r="C40" s="235">
        <v>0</v>
      </c>
      <c r="D40" s="22"/>
      <c r="E40" s="22"/>
      <c r="F40" s="35"/>
      <c r="G40" s="70"/>
    </row>
    <row r="41" spans="1:7">
      <c r="A41" s="33"/>
      <c r="B41" s="68"/>
      <c r="C41" s="235"/>
      <c r="D41" s="22"/>
      <c r="E41" s="22"/>
      <c r="F41" s="35"/>
      <c r="G41" s="68"/>
    </row>
    <row r="42" spans="1:7">
      <c r="A42" s="31" t="s">
        <v>63</v>
      </c>
      <c r="B42" s="68">
        <f>SUM(B35:B41)</f>
        <v>5493</v>
      </c>
      <c r="C42" s="237">
        <f>SUM(C35:C41)</f>
        <v>9728</v>
      </c>
      <c r="D42" s="237"/>
      <c r="E42" s="237"/>
      <c r="F42" s="237"/>
      <c r="G42" s="68"/>
    </row>
    <row r="43" spans="1:7">
      <c r="A43" s="33"/>
      <c r="B43" s="68"/>
      <c r="C43" s="237"/>
      <c r="D43" s="20"/>
      <c r="E43" s="20"/>
      <c r="F43" s="67"/>
      <c r="G43" s="68"/>
    </row>
    <row r="44" spans="1:7">
      <c r="A44" s="33" t="s">
        <v>232</v>
      </c>
      <c r="B44" s="70">
        <v>0</v>
      </c>
      <c r="C44" s="235">
        <v>0</v>
      </c>
      <c r="D44" s="22"/>
      <c r="E44" s="22"/>
      <c r="F44" s="35"/>
      <c r="G44" s="70"/>
    </row>
    <row r="45" spans="1:7">
      <c r="A45" s="83" t="s">
        <v>211</v>
      </c>
      <c r="B45" s="70">
        <v>669</v>
      </c>
      <c r="C45" s="235">
        <v>2387</v>
      </c>
      <c r="D45" s="22"/>
      <c r="E45" s="22"/>
      <c r="F45" s="35"/>
      <c r="G45" s="70"/>
    </row>
    <row r="46" spans="1:7">
      <c r="A46" s="83" t="s">
        <v>212</v>
      </c>
      <c r="B46" s="70">
        <v>0</v>
      </c>
      <c r="C46" s="235">
        <v>42</v>
      </c>
      <c r="D46" s="22"/>
      <c r="E46" s="22"/>
      <c r="F46" s="35"/>
      <c r="G46" s="70"/>
    </row>
    <row r="47" spans="1:7">
      <c r="A47" s="33"/>
      <c r="B47" s="70"/>
      <c r="C47" s="235"/>
      <c r="D47" s="22"/>
      <c r="E47" s="22"/>
      <c r="F47" s="35"/>
      <c r="G47" s="70"/>
    </row>
    <row r="48" spans="1:7">
      <c r="A48" s="31" t="s">
        <v>213</v>
      </c>
      <c r="B48" s="72">
        <f>SUM(B42:B47)</f>
        <v>6162</v>
      </c>
      <c r="C48" s="237">
        <f>SUM(C42:C47)</f>
        <v>12157</v>
      </c>
      <c r="D48" s="20"/>
      <c r="E48" s="20"/>
      <c r="F48" s="67"/>
      <c r="G48" s="72"/>
    </row>
    <row r="49" spans="1:7">
      <c r="A49" s="33"/>
      <c r="B49" s="68"/>
      <c r="C49" s="237"/>
      <c r="D49" s="20"/>
      <c r="E49" s="20"/>
      <c r="F49" s="67"/>
      <c r="G49" s="68"/>
    </row>
    <row r="50" spans="1:7">
      <c r="A50" s="33" t="s">
        <v>233</v>
      </c>
      <c r="B50" s="70" t="s">
        <v>97</v>
      </c>
      <c r="C50" s="235">
        <v>-4477</v>
      </c>
      <c r="D50" s="22"/>
      <c r="E50" s="22"/>
      <c r="F50" s="35"/>
      <c r="G50" s="70"/>
    </row>
    <row r="51" spans="1:7">
      <c r="A51" s="33" t="s">
        <v>234</v>
      </c>
      <c r="B51" s="70">
        <v>-1753</v>
      </c>
      <c r="C51" s="235">
        <v>1198</v>
      </c>
      <c r="D51" s="22"/>
      <c r="E51" s="22"/>
      <c r="F51" s="35"/>
      <c r="G51" s="70"/>
    </row>
    <row r="52" spans="1:7">
      <c r="A52" s="33"/>
      <c r="B52" s="70"/>
      <c r="C52" s="235"/>
      <c r="D52" s="22"/>
      <c r="E52" s="22"/>
      <c r="F52" s="35"/>
      <c r="G52" s="70"/>
    </row>
    <row r="53" spans="1:7">
      <c r="A53" s="31" t="s">
        <v>70</v>
      </c>
      <c r="B53" s="72">
        <f>SUM(B48:B52)</f>
        <v>4409</v>
      </c>
      <c r="C53" s="237">
        <f>SUM(C48:C52)</f>
        <v>8878</v>
      </c>
      <c r="D53" s="237"/>
      <c r="E53" s="237"/>
      <c r="F53" s="67"/>
      <c r="G53" s="72"/>
    </row>
    <row r="54" spans="1:7">
      <c r="A54" s="31"/>
      <c r="B54" s="68"/>
      <c r="C54" s="237"/>
      <c r="D54" s="20"/>
      <c r="E54" s="20"/>
      <c r="F54" s="67"/>
      <c r="G54" s="68"/>
    </row>
    <row r="55" spans="1:7">
      <c r="A55" s="31" t="s">
        <v>216</v>
      </c>
      <c r="B55" s="244">
        <v>-3784</v>
      </c>
      <c r="C55" s="237">
        <f>SUM(C56:C58)</f>
        <v>-5668</v>
      </c>
      <c r="D55" s="20"/>
      <c r="E55" s="67"/>
      <c r="F55" s="67"/>
      <c r="G55" s="244"/>
    </row>
    <row r="56" spans="1:7">
      <c r="A56" s="83" t="s">
        <v>217</v>
      </c>
      <c r="B56" s="243">
        <v>-3784</v>
      </c>
      <c r="C56" s="235">
        <v>-5668</v>
      </c>
      <c r="D56" s="22"/>
      <c r="E56" s="35"/>
      <c r="F56" s="35"/>
      <c r="G56" s="243"/>
    </row>
    <row r="57" spans="1:7">
      <c r="A57" s="83" t="s">
        <v>218</v>
      </c>
      <c r="B57" s="243"/>
      <c r="C57" s="235"/>
      <c r="D57" s="22"/>
      <c r="E57" s="35"/>
      <c r="F57" s="35"/>
      <c r="G57" s="243"/>
    </row>
    <row r="58" spans="1:7">
      <c r="A58" s="83" t="s">
        <v>219</v>
      </c>
      <c r="B58" s="243"/>
      <c r="C58" s="235"/>
      <c r="D58" s="22"/>
      <c r="E58" s="35"/>
      <c r="F58" s="35"/>
      <c r="G58" s="243"/>
    </row>
    <row r="59" spans="1:7">
      <c r="A59" s="33"/>
      <c r="B59" s="68"/>
      <c r="C59" s="237"/>
      <c r="D59" s="20"/>
      <c r="E59" s="20"/>
      <c r="F59" s="89"/>
      <c r="G59" s="68"/>
    </row>
    <row r="60" spans="1:7">
      <c r="A60" s="31" t="s">
        <v>72</v>
      </c>
      <c r="B60" s="72">
        <v>9574</v>
      </c>
      <c r="C60" s="237">
        <v>17440</v>
      </c>
      <c r="D60" s="20"/>
      <c r="E60" s="20"/>
      <c r="F60" s="67"/>
      <c r="G60" s="72"/>
    </row>
    <row r="61" spans="1:7">
      <c r="A61" s="134" t="s">
        <v>220</v>
      </c>
      <c r="B61" s="155">
        <f>B60/B31</f>
        <v>0.47307046150805415</v>
      </c>
      <c r="C61" s="239">
        <f>C60/C31</f>
        <v>0.3717519664059003</v>
      </c>
      <c r="D61" s="96"/>
      <c r="E61" s="96"/>
      <c r="F61" s="96"/>
      <c r="G61" s="155"/>
    </row>
    <row r="62" spans="1:7">
      <c r="A62" s="121"/>
      <c r="B62" s="125"/>
      <c r="C62" s="240"/>
      <c r="D62" s="123"/>
      <c r="E62" s="123"/>
      <c r="F62" s="76"/>
      <c r="G62" s="125"/>
    </row>
  </sheetData>
  <hyperlinks>
    <hyperlink ref="D3" location="Index!A1" display="Back to Index" xr:uid="{BB8EEEBB-B769-4E4F-8884-3848557122B7}"/>
  </hyperlink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A439-0D04-4455-8556-8C57A1D7D320}">
  <sheetPr>
    <tabColor rgb="FF2D3D70"/>
  </sheetPr>
  <dimension ref="A2:XFD33"/>
  <sheetViews>
    <sheetView showGridLines="0" zoomScaleNormal="100" workbookViewId="0"/>
  </sheetViews>
  <sheetFormatPr defaultRowHeight="14.4"/>
  <cols>
    <col min="1" max="1" width="17.88671875" customWidth="1"/>
    <col min="2" max="2" width="57.5546875" customWidth="1"/>
    <col min="3" max="3" width="14.109375" bestFit="1" customWidth="1"/>
    <col min="4" max="4" width="14.33203125" customWidth="1"/>
    <col min="5" max="5" width="11.44140625" customWidth="1"/>
    <col min="6" max="8" width="9.88671875" bestFit="1" customWidth="1"/>
    <col min="9" max="9" width="11.44140625" customWidth="1"/>
  </cols>
  <sheetData>
    <row r="2" spans="1:9">
      <c r="A2" s="214" t="s">
        <v>243</v>
      </c>
      <c r="B2" s="13" t="s">
        <v>244</v>
      </c>
      <c r="C2" s="13" t="s">
        <v>245</v>
      </c>
      <c r="D2" s="13" t="s">
        <v>246</v>
      </c>
      <c r="E2" s="10" t="s">
        <v>47</v>
      </c>
      <c r="F2" s="10" t="s">
        <v>48</v>
      </c>
      <c r="G2" s="10" t="s">
        <v>49</v>
      </c>
      <c r="H2" s="10" t="s">
        <v>50</v>
      </c>
      <c r="I2" s="10" t="s">
        <v>51</v>
      </c>
    </row>
    <row r="3" spans="1:9" ht="15" thickBot="1">
      <c r="A3" s="171"/>
      <c r="B3" s="171"/>
      <c r="C3" s="172"/>
      <c r="D3" s="173"/>
      <c r="E3" s="173"/>
      <c r="F3" s="174"/>
      <c r="G3" s="174"/>
      <c r="H3" s="174"/>
      <c r="I3" s="173"/>
    </row>
    <row r="4" spans="1:9">
      <c r="A4" s="272" t="s">
        <v>170</v>
      </c>
      <c r="B4" s="192" t="s">
        <v>247</v>
      </c>
      <c r="C4" s="193"/>
      <c r="D4" s="194"/>
      <c r="E4" s="194"/>
      <c r="F4" s="195"/>
      <c r="G4" s="195"/>
      <c r="H4" s="195"/>
      <c r="I4" s="194"/>
    </row>
    <row r="5" spans="1:9">
      <c r="A5" s="273"/>
      <c r="B5" s="88" t="s">
        <v>248</v>
      </c>
      <c r="C5" s="176">
        <v>46143</v>
      </c>
      <c r="D5" s="196">
        <v>6.25E-2</v>
      </c>
      <c r="E5" s="177">
        <v>3274</v>
      </c>
      <c r="F5" s="177">
        <v>2540</v>
      </c>
      <c r="G5" s="177">
        <v>1864</v>
      </c>
      <c r="H5" s="177">
        <v>1153</v>
      </c>
      <c r="I5" s="177">
        <v>483</v>
      </c>
    </row>
    <row r="6" spans="1:9">
      <c r="A6" s="273"/>
      <c r="B6" s="88" t="s">
        <v>249</v>
      </c>
      <c r="C6" s="176">
        <v>46235</v>
      </c>
      <c r="D6" s="196">
        <v>6.25E-2</v>
      </c>
      <c r="E6" s="177">
        <v>4087</v>
      </c>
      <c r="F6" s="177">
        <v>3435</v>
      </c>
      <c r="G6" s="177">
        <v>2761</v>
      </c>
      <c r="H6" s="177">
        <v>2088</v>
      </c>
      <c r="I6" s="177">
        <v>1401</v>
      </c>
    </row>
    <row r="7" spans="1:9">
      <c r="A7" s="273"/>
      <c r="B7" s="88" t="s">
        <v>250</v>
      </c>
      <c r="C7" s="176">
        <v>46054</v>
      </c>
      <c r="D7" s="196">
        <v>7.4999999999999997E-2</v>
      </c>
      <c r="E7" s="177">
        <v>2377</v>
      </c>
      <c r="F7" s="177">
        <v>1747</v>
      </c>
      <c r="G7" s="177">
        <v>1102</v>
      </c>
      <c r="H7" s="177">
        <v>446</v>
      </c>
      <c r="I7" s="177">
        <v>0</v>
      </c>
    </row>
    <row r="8" spans="1:9">
      <c r="A8" s="273"/>
      <c r="B8" s="88" t="s">
        <v>251</v>
      </c>
      <c r="C8" s="176">
        <v>46569</v>
      </c>
      <c r="D8" s="196">
        <v>0.08</v>
      </c>
      <c r="E8" s="177">
        <v>3826</v>
      </c>
      <c r="F8" s="177">
        <v>3487</v>
      </c>
      <c r="G8" s="177">
        <v>3091</v>
      </c>
      <c r="H8" s="177">
        <v>2730</v>
      </c>
      <c r="I8" s="177">
        <v>2344</v>
      </c>
    </row>
    <row r="9" spans="1:9">
      <c r="A9" s="273"/>
      <c r="B9" s="82" t="s">
        <v>252</v>
      </c>
      <c r="C9" s="179"/>
      <c r="D9" s="197"/>
      <c r="E9" s="177"/>
      <c r="F9" s="177"/>
      <c r="G9" s="177"/>
      <c r="H9" s="177"/>
      <c r="I9" s="177"/>
    </row>
    <row r="10" spans="1:9" ht="15" thickBot="1">
      <c r="A10" s="274"/>
      <c r="B10" s="198" t="s">
        <v>253</v>
      </c>
      <c r="C10" s="199">
        <v>46447</v>
      </c>
      <c r="D10" s="200">
        <v>6.5000000000000002E-2</v>
      </c>
      <c r="E10" s="201">
        <v>5000</v>
      </c>
      <c r="F10" s="201">
        <v>4375</v>
      </c>
      <c r="G10" s="201">
        <v>3750</v>
      </c>
      <c r="H10" s="201">
        <v>3125</v>
      </c>
      <c r="I10" s="201">
        <v>2500</v>
      </c>
    </row>
    <row r="11" spans="1:9">
      <c r="A11" s="272" t="s">
        <v>158</v>
      </c>
      <c r="B11" s="202" t="s">
        <v>254</v>
      </c>
      <c r="C11" s="203"/>
      <c r="D11" s="194"/>
      <c r="E11" s="178"/>
      <c r="F11" s="178"/>
      <c r="G11" s="178"/>
      <c r="H11" s="178"/>
      <c r="I11" s="178"/>
    </row>
    <row r="12" spans="1:9" ht="15" thickBot="1">
      <c r="A12" s="274"/>
      <c r="B12" s="88" t="s">
        <v>255</v>
      </c>
      <c r="C12" s="176">
        <v>46600</v>
      </c>
      <c r="D12" s="181" t="s">
        <v>256</v>
      </c>
      <c r="E12" s="177">
        <v>32021</v>
      </c>
      <c r="F12" s="177">
        <v>28708</v>
      </c>
      <c r="G12" s="177">
        <v>25396</v>
      </c>
      <c r="H12" s="177">
        <v>22083</v>
      </c>
      <c r="I12" s="177">
        <v>18771</v>
      </c>
    </row>
    <row r="13" spans="1:9">
      <c r="A13" s="272" t="s">
        <v>257</v>
      </c>
      <c r="B13" s="192" t="s">
        <v>258</v>
      </c>
      <c r="C13" s="203"/>
      <c r="D13" s="194"/>
      <c r="E13" s="178"/>
      <c r="F13" s="178"/>
      <c r="G13" s="178"/>
      <c r="H13" s="178"/>
      <c r="I13" s="178"/>
    </row>
    <row r="14" spans="1:9">
      <c r="A14" s="273"/>
      <c r="B14" s="88" t="s">
        <v>259</v>
      </c>
      <c r="C14" s="176">
        <v>46023</v>
      </c>
      <c r="D14" s="196">
        <v>5.3800000000000001E-2</v>
      </c>
      <c r="E14" s="177">
        <v>8770</v>
      </c>
      <c r="F14" s="177">
        <v>6581</v>
      </c>
      <c r="G14" s="177">
        <v>4387</v>
      </c>
      <c r="H14" s="177">
        <v>2194</v>
      </c>
      <c r="I14" s="177">
        <v>0</v>
      </c>
    </row>
    <row r="15" spans="1:9">
      <c r="A15" s="273"/>
      <c r="B15" s="82" t="s">
        <v>260</v>
      </c>
      <c r="C15" s="176">
        <v>46692</v>
      </c>
      <c r="D15" s="196">
        <v>6.7000000000000004E-2</v>
      </c>
      <c r="E15" s="177">
        <v>20116</v>
      </c>
      <c r="F15" s="177">
        <v>20112</v>
      </c>
      <c r="G15" s="177">
        <v>20113</v>
      </c>
      <c r="H15" s="177">
        <v>20116</v>
      </c>
      <c r="I15" s="177">
        <v>20116</v>
      </c>
    </row>
    <row r="16" spans="1:9">
      <c r="A16" s="273"/>
      <c r="B16" s="82" t="s">
        <v>261</v>
      </c>
      <c r="C16" s="179"/>
      <c r="D16" s="197"/>
      <c r="E16" s="177"/>
      <c r="F16" s="177"/>
      <c r="G16" s="177"/>
      <c r="H16" s="177"/>
      <c r="I16" s="177"/>
    </row>
    <row r="17" spans="1:10 16384:16384">
      <c r="A17" s="273"/>
      <c r="B17" s="88" t="s">
        <v>262</v>
      </c>
      <c r="C17" s="176">
        <v>47088</v>
      </c>
      <c r="D17" s="196">
        <v>6.5000000000000002E-2</v>
      </c>
      <c r="E17" s="177">
        <v>10059</v>
      </c>
      <c r="F17" s="177">
        <v>10000</v>
      </c>
      <c r="G17" s="177">
        <v>10167</v>
      </c>
      <c r="H17" s="177">
        <v>10000</v>
      </c>
      <c r="I17" s="177">
        <v>10163</v>
      </c>
    </row>
    <row r="18" spans="1:10 16384:16384">
      <c r="A18" s="273"/>
      <c r="B18" s="82" t="s">
        <v>263</v>
      </c>
      <c r="C18" s="179"/>
      <c r="D18" s="197"/>
      <c r="E18" s="177"/>
      <c r="F18" s="177"/>
      <c r="G18" s="177"/>
      <c r="H18" s="177"/>
      <c r="I18" s="177"/>
    </row>
    <row r="19" spans="1:10 16384:16384" ht="15" thickBot="1">
      <c r="A19" s="274"/>
      <c r="B19" s="198" t="s">
        <v>264</v>
      </c>
      <c r="C19" s="199">
        <v>47088</v>
      </c>
      <c r="D19" s="196">
        <v>6.5000000000000002E-2</v>
      </c>
      <c r="E19" s="201">
        <v>43000</v>
      </c>
      <c r="F19" s="201">
        <v>43097</v>
      </c>
      <c r="G19" s="201">
        <v>43051</v>
      </c>
      <c r="H19" s="201">
        <v>43033</v>
      </c>
      <c r="I19" s="201">
        <v>43067</v>
      </c>
    </row>
    <row r="20" spans="1:10 16384:16384">
      <c r="A20" s="272" t="s">
        <v>160</v>
      </c>
      <c r="B20" s="192" t="s">
        <v>265</v>
      </c>
      <c r="C20" s="203"/>
      <c r="D20" s="194"/>
      <c r="E20" s="178"/>
      <c r="F20" s="178"/>
      <c r="G20" s="178"/>
      <c r="H20" s="178"/>
      <c r="I20" s="178"/>
    </row>
    <row r="21" spans="1:10 16384:16384">
      <c r="A21" s="273"/>
      <c r="B21" s="88" t="s">
        <v>266</v>
      </c>
      <c r="C21" s="176">
        <v>47058</v>
      </c>
      <c r="D21" s="196">
        <v>9.5100000000000004E-2</v>
      </c>
      <c r="E21" s="177">
        <v>101545</v>
      </c>
      <c r="F21" s="177">
        <v>103972</v>
      </c>
      <c r="G21" s="177">
        <v>76118</v>
      </c>
      <c r="H21" s="177">
        <v>78047</v>
      </c>
      <c r="I21" s="177">
        <v>76076</v>
      </c>
    </row>
    <row r="22" spans="1:10 16384:16384">
      <c r="A22" s="273"/>
      <c r="B22" s="82" t="s">
        <v>267</v>
      </c>
      <c r="C22" s="204"/>
      <c r="D22" s="205"/>
      <c r="E22" s="177"/>
      <c r="F22" s="177"/>
      <c r="G22" s="177"/>
      <c r="H22" s="177"/>
      <c r="I22" s="177"/>
    </row>
    <row r="23" spans="1:10 16384:16384" ht="15" thickBot="1">
      <c r="A23" s="274"/>
      <c r="B23" s="206" t="s">
        <v>268</v>
      </c>
      <c r="C23" s="199">
        <v>47453</v>
      </c>
      <c r="D23" s="200">
        <v>8.5000000000000006E-2</v>
      </c>
      <c r="E23" s="201">
        <v>11384</v>
      </c>
      <c r="F23" s="201">
        <v>12209</v>
      </c>
      <c r="G23" s="201">
        <v>11546</v>
      </c>
      <c r="H23" s="201">
        <v>13291</v>
      </c>
      <c r="I23" s="201">
        <v>14000</v>
      </c>
    </row>
    <row r="24" spans="1:10 16384:16384">
      <c r="A24" s="272" t="s">
        <v>159</v>
      </c>
      <c r="B24" s="202" t="s">
        <v>269</v>
      </c>
      <c r="C24" s="203"/>
      <c r="D24" s="194"/>
      <c r="E24" s="178"/>
      <c r="F24" s="178"/>
      <c r="G24" s="178"/>
      <c r="H24" s="178"/>
      <c r="I24" s="178"/>
    </row>
    <row r="25" spans="1:10 16384:16384">
      <c r="A25" s="273"/>
      <c r="B25" s="207" t="s">
        <v>270</v>
      </c>
      <c r="C25" s="176">
        <v>47757</v>
      </c>
      <c r="D25" s="181" t="s">
        <v>271</v>
      </c>
      <c r="E25" s="177">
        <v>181539</v>
      </c>
      <c r="F25" s="177">
        <v>187213</v>
      </c>
      <c r="G25" s="177">
        <v>200364</v>
      </c>
      <c r="H25" s="177">
        <v>186433</v>
      </c>
      <c r="I25" s="177">
        <v>204131</v>
      </c>
    </row>
    <row r="26" spans="1:10 16384:16384">
      <c r="A26" s="273"/>
      <c r="B26" s="208" t="s">
        <v>272</v>
      </c>
      <c r="C26" s="179"/>
      <c r="D26" s="197"/>
      <c r="E26" s="177"/>
      <c r="F26" s="177"/>
      <c r="G26" s="177"/>
      <c r="H26" s="177"/>
      <c r="I26" s="177"/>
    </row>
    <row r="27" spans="1:10 16384:16384" ht="15" thickBot="1">
      <c r="A27" s="274"/>
      <c r="B27" s="206" t="s">
        <v>273</v>
      </c>
      <c r="C27" s="199">
        <v>46235</v>
      </c>
      <c r="D27" s="200">
        <v>7.0999999999999994E-2</v>
      </c>
      <c r="E27" s="201">
        <v>20122</v>
      </c>
      <c r="F27" s="201">
        <v>20517</v>
      </c>
      <c r="G27" s="201">
        <v>20166</v>
      </c>
      <c r="H27" s="201">
        <v>20529</v>
      </c>
      <c r="I27" s="201">
        <v>10096</v>
      </c>
    </row>
    <row r="28" spans="1:10 16384:16384" ht="15" thickBot="1">
      <c r="A28" s="209" t="s">
        <v>274</v>
      </c>
      <c r="B28" s="210" t="s">
        <v>275</v>
      </c>
      <c r="C28" s="211" t="s">
        <v>276</v>
      </c>
      <c r="D28" s="212">
        <v>7.0000000000000007E-2</v>
      </c>
      <c r="E28" s="213">
        <v>19900</v>
      </c>
      <c r="F28" s="213">
        <v>5900</v>
      </c>
      <c r="G28" s="213">
        <v>5900</v>
      </c>
      <c r="H28" s="213">
        <v>5900</v>
      </c>
      <c r="I28" s="213">
        <v>5900</v>
      </c>
    </row>
    <row r="29" spans="1:10 16384:16384">
      <c r="B29" s="216" t="s">
        <v>277</v>
      </c>
      <c r="C29" s="215"/>
      <c r="D29" s="215"/>
      <c r="E29" s="215"/>
      <c r="F29" s="215"/>
      <c r="G29" s="215"/>
      <c r="H29" s="215"/>
      <c r="I29" s="215"/>
    </row>
    <row r="30" spans="1:10 16384:16384" ht="15" thickBot="1">
      <c r="C30" s="175" t="s">
        <v>278</v>
      </c>
      <c r="D30" s="180"/>
      <c r="E30" s="177">
        <f>SUM(E5:E28)</f>
        <v>467020</v>
      </c>
      <c r="F30" s="177">
        <f>SUM(F5:F28)</f>
        <v>453893</v>
      </c>
      <c r="G30" s="177">
        <f>SUM(G5:G28)</f>
        <v>429776</v>
      </c>
      <c r="H30" s="177">
        <f>SUM(H5:H28)</f>
        <v>411168</v>
      </c>
      <c r="I30" s="177">
        <f>SUM(I5:I28)</f>
        <v>409048</v>
      </c>
      <c r="XFD30" s="177"/>
    </row>
    <row r="31" spans="1:10 16384:16384">
      <c r="C31" s="88" t="s">
        <v>90</v>
      </c>
      <c r="D31" s="173"/>
      <c r="E31" s="178">
        <v>100186</v>
      </c>
      <c r="F31" s="178">
        <v>78786</v>
      </c>
      <c r="G31" s="178">
        <v>89810</v>
      </c>
      <c r="H31" s="178">
        <v>99548</v>
      </c>
      <c r="I31" s="178">
        <v>97090</v>
      </c>
      <c r="J31" s="254">
        <f>I31/I30</f>
        <v>0.23735600711896893</v>
      </c>
    </row>
    <row r="32" spans="1:10 16384:16384">
      <c r="C32" s="88" t="s">
        <v>279</v>
      </c>
      <c r="D32" s="173"/>
      <c r="E32" s="177">
        <v>366834</v>
      </c>
      <c r="F32" s="177">
        <v>375107</v>
      </c>
      <c r="G32" s="177">
        <v>339966</v>
      </c>
      <c r="H32" s="177">
        <v>311620</v>
      </c>
      <c r="I32" s="177">
        <v>311958</v>
      </c>
      <c r="J32" s="255">
        <f>I32/I30</f>
        <v>0.76264399288103113</v>
      </c>
    </row>
    <row r="33" spans="5:9">
      <c r="E33" s="217"/>
      <c r="I33" s="217"/>
    </row>
  </sheetData>
  <mergeCells count="5">
    <mergeCell ref="A4:A10"/>
    <mergeCell ref="A11:A12"/>
    <mergeCell ref="A13:A19"/>
    <mergeCell ref="A20:A23"/>
    <mergeCell ref="A24:A27"/>
  </mergeCells>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D93D4-1431-404F-A8A6-44187E929991}">
  <sheetPr>
    <tabColor rgb="FF2D3D70"/>
  </sheetPr>
  <dimension ref="A1:D17"/>
  <sheetViews>
    <sheetView showGridLines="0" workbookViewId="0"/>
  </sheetViews>
  <sheetFormatPr defaultRowHeight="14.4"/>
  <cols>
    <col min="1" max="1" width="20" customWidth="1"/>
    <col min="2" max="2" width="14.88671875" customWidth="1"/>
    <col min="3" max="3" width="23.6640625" customWidth="1"/>
    <col min="4" max="4" width="33" customWidth="1"/>
  </cols>
  <sheetData>
    <row r="1" spans="1:4" ht="15" thickBot="1">
      <c r="A1" s="191" t="s">
        <v>280</v>
      </c>
      <c r="B1" s="191" t="s">
        <v>281</v>
      </c>
      <c r="C1" s="191" t="s">
        <v>282</v>
      </c>
      <c r="D1" s="191" t="s">
        <v>283</v>
      </c>
    </row>
    <row r="2" spans="1:4">
      <c r="A2" s="182" t="s">
        <v>257</v>
      </c>
      <c r="B2" s="183" t="s">
        <v>284</v>
      </c>
      <c r="C2" s="186" t="s">
        <v>285</v>
      </c>
      <c r="D2" s="184" t="s">
        <v>286</v>
      </c>
    </row>
    <row r="3" spans="1:4">
      <c r="A3" s="185" t="s">
        <v>257</v>
      </c>
      <c r="B3" s="186" t="s">
        <v>287</v>
      </c>
      <c r="C3" s="186" t="s">
        <v>285</v>
      </c>
      <c r="D3" s="187" t="s">
        <v>286</v>
      </c>
    </row>
    <row r="4" spans="1:4">
      <c r="A4" s="185" t="s">
        <v>257</v>
      </c>
      <c r="B4" s="186" t="s">
        <v>288</v>
      </c>
      <c r="C4" s="186" t="s">
        <v>285</v>
      </c>
      <c r="D4" s="187" t="s">
        <v>286</v>
      </c>
    </row>
    <row r="5" spans="1:4">
      <c r="A5" s="185" t="s">
        <v>257</v>
      </c>
      <c r="B5" s="186" t="s">
        <v>289</v>
      </c>
      <c r="C5" s="186" t="s">
        <v>285</v>
      </c>
      <c r="D5" s="187" t="s">
        <v>286</v>
      </c>
    </row>
    <row r="6" spans="1:4">
      <c r="A6" s="185" t="s">
        <v>257</v>
      </c>
      <c r="B6" s="186" t="s">
        <v>290</v>
      </c>
      <c r="C6" s="186" t="s">
        <v>285</v>
      </c>
      <c r="D6" s="187" t="s">
        <v>286</v>
      </c>
    </row>
    <row r="7" spans="1:4">
      <c r="A7" s="185" t="s">
        <v>291</v>
      </c>
      <c r="B7" s="186" t="s">
        <v>291</v>
      </c>
      <c r="C7" s="186" t="s">
        <v>285</v>
      </c>
      <c r="D7" s="187" t="s">
        <v>286</v>
      </c>
    </row>
    <row r="8" spans="1:4">
      <c r="A8" s="185" t="s">
        <v>159</v>
      </c>
      <c r="B8" s="186" t="s">
        <v>292</v>
      </c>
      <c r="C8" s="186" t="s">
        <v>285</v>
      </c>
      <c r="D8" s="187" t="s">
        <v>286</v>
      </c>
    </row>
    <row r="9" spans="1:4">
      <c r="A9" s="185" t="s">
        <v>159</v>
      </c>
      <c r="B9" s="186" t="s">
        <v>293</v>
      </c>
      <c r="C9" s="186" t="s">
        <v>285</v>
      </c>
      <c r="D9" s="187" t="s">
        <v>286</v>
      </c>
    </row>
    <row r="10" spans="1:4">
      <c r="A10" s="185" t="s">
        <v>159</v>
      </c>
      <c r="B10" s="186" t="s">
        <v>294</v>
      </c>
      <c r="C10" s="186" t="s">
        <v>285</v>
      </c>
      <c r="D10" s="187" t="s">
        <v>286</v>
      </c>
    </row>
    <row r="11" spans="1:4">
      <c r="A11" s="185" t="s">
        <v>295</v>
      </c>
      <c r="B11" s="186" t="s">
        <v>296</v>
      </c>
      <c r="C11" s="186" t="s">
        <v>285</v>
      </c>
      <c r="D11" s="187" t="s">
        <v>286</v>
      </c>
    </row>
    <row r="12" spans="1:4">
      <c r="A12" s="185" t="s">
        <v>295</v>
      </c>
      <c r="B12" s="186" t="s">
        <v>297</v>
      </c>
      <c r="C12" s="186" t="s">
        <v>285</v>
      </c>
      <c r="D12" s="187" t="s">
        <v>298</v>
      </c>
    </row>
    <row r="13" spans="1:4">
      <c r="A13" s="185" t="s">
        <v>299</v>
      </c>
      <c r="B13" s="186" t="s">
        <v>299</v>
      </c>
      <c r="C13" s="186" t="s">
        <v>97</v>
      </c>
      <c r="D13" s="187" t="s">
        <v>300</v>
      </c>
    </row>
    <row r="14" spans="1:4">
      <c r="A14" s="185" t="s">
        <v>160</v>
      </c>
      <c r="B14" s="186" t="s">
        <v>160</v>
      </c>
      <c r="C14" s="186" t="s">
        <v>285</v>
      </c>
      <c r="D14" s="187" t="s">
        <v>286</v>
      </c>
    </row>
    <row r="15" spans="1:4">
      <c r="A15" s="185" t="s">
        <v>158</v>
      </c>
      <c r="B15" s="186" t="s">
        <v>158</v>
      </c>
      <c r="C15" s="186" t="s">
        <v>301</v>
      </c>
      <c r="D15" s="187" t="s">
        <v>302</v>
      </c>
    </row>
    <row r="16" spans="1:4">
      <c r="A16" s="185" t="s">
        <v>170</v>
      </c>
      <c r="B16" s="186" t="s">
        <v>303</v>
      </c>
      <c r="C16" s="186" t="s">
        <v>304</v>
      </c>
      <c r="D16" s="187" t="s">
        <v>300</v>
      </c>
    </row>
    <row r="17" spans="1:4" ht="15" thickBot="1">
      <c r="A17" s="188" t="s">
        <v>305</v>
      </c>
      <c r="B17" s="189" t="s">
        <v>305</v>
      </c>
      <c r="C17" s="189" t="s">
        <v>304</v>
      </c>
      <c r="D17" s="190" t="s">
        <v>300</v>
      </c>
    </row>
  </sheetData>
  <pageMargins left="0.7" right="0.7" top="0.75" bottom="0.75" header="0.3" footer="0.3"/>
  <ignoredErrors>
    <ignoredError sqref="C11:C17 C2:C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278A1-BC21-4BAF-9638-505EB496CA9D}">
  <sheetPr>
    <tabColor rgb="FF2D3D70"/>
  </sheetPr>
  <dimension ref="A1:Y57"/>
  <sheetViews>
    <sheetView showGridLines="0" zoomScale="55" zoomScaleNormal="55" workbookViewId="0">
      <selection activeCell="AF36" sqref="AF36"/>
    </sheetView>
  </sheetViews>
  <sheetFormatPr defaultRowHeight="14.4"/>
  <cols>
    <col min="1" max="1" width="52.44140625" bestFit="1" customWidth="1"/>
    <col min="2" max="3" width="14.6640625" bestFit="1" customWidth="1"/>
    <col min="4" max="4" width="11" bestFit="1" customWidth="1"/>
    <col min="5" max="5" width="12.109375" bestFit="1" customWidth="1"/>
    <col min="6" max="6" width="12" bestFit="1" customWidth="1"/>
    <col min="7" max="9" width="11" bestFit="1" customWidth="1"/>
    <col min="10" max="10" width="12.109375" bestFit="1" customWidth="1"/>
    <col min="11" max="11" width="12" bestFit="1" customWidth="1"/>
    <col min="12" max="15" width="11" bestFit="1" customWidth="1"/>
    <col min="16" max="16" width="12" bestFit="1" customWidth="1"/>
    <col min="17" max="19" width="11" bestFit="1" customWidth="1"/>
    <col min="20" max="20" width="11.44140625" bestFit="1" customWidth="1"/>
    <col min="21" max="21" width="12" bestFit="1" customWidth="1"/>
    <col min="22" max="25" width="11.44140625" bestFit="1" customWidth="1"/>
    <col min="26" max="26" width="12" bestFit="1" customWidth="1"/>
    <col min="27" max="27" width="11.44140625" bestFit="1" customWidth="1"/>
    <col min="28" max="29" width="11" bestFit="1" customWidth="1"/>
    <col min="30" max="30" width="11.44140625" bestFit="1" customWidth="1"/>
    <col min="31" max="31" width="12" bestFit="1" customWidth="1"/>
    <col min="32" max="32" width="11" bestFit="1" customWidth="1"/>
    <col min="33" max="33" width="11" customWidth="1"/>
    <col min="34" max="34" width="11.44140625" bestFit="1" customWidth="1"/>
    <col min="35" max="36" width="12.44140625" bestFit="1" customWidth="1"/>
    <col min="37" max="37" width="9.88671875" bestFit="1" customWidth="1"/>
  </cols>
  <sheetData>
    <row r="1" spans="1:25" s="1" customFormat="1"/>
    <row r="2" spans="1:25" s="1" customFormat="1"/>
    <row r="3" spans="1:25" s="1" customFormat="1">
      <c r="B3"/>
      <c r="C3"/>
      <c r="D3" s="7"/>
    </row>
    <row r="4" spans="1:25" s="1" customFormat="1" ht="10.199999999999999" customHeight="1"/>
    <row r="5" spans="1:25" s="1" customFormat="1" ht="16.2" customHeight="1">
      <c r="A5" s="8"/>
    </row>
    <row r="7" spans="1:25">
      <c r="A7" s="270" t="s">
        <v>13</v>
      </c>
      <c r="B7" s="271"/>
      <c r="C7" s="271"/>
      <c r="D7" s="271"/>
      <c r="E7" s="271"/>
      <c r="F7" s="271"/>
      <c r="G7" s="271"/>
      <c r="H7" s="159"/>
      <c r="I7" s="159"/>
      <c r="J7" s="159"/>
      <c r="K7" s="159"/>
      <c r="L7" s="159"/>
      <c r="M7" s="159"/>
      <c r="N7" s="159"/>
      <c r="O7" s="159"/>
      <c r="P7" s="159"/>
      <c r="Q7" s="159"/>
      <c r="R7" s="159"/>
      <c r="S7" s="159"/>
      <c r="T7" s="159"/>
      <c r="U7" s="159"/>
      <c r="V7" s="159"/>
      <c r="W7" s="159"/>
      <c r="X7" s="159"/>
      <c r="Y7" s="159"/>
    </row>
    <row r="57" spans="1:12">
      <c r="A57" s="270" t="s">
        <v>14</v>
      </c>
      <c r="B57" s="271"/>
      <c r="C57" s="271"/>
      <c r="D57" s="271"/>
      <c r="E57" s="271"/>
      <c r="F57" s="271"/>
      <c r="G57" s="271"/>
      <c r="H57" s="159"/>
      <c r="I57" s="159"/>
      <c r="J57" s="159"/>
      <c r="K57" s="159"/>
      <c r="L57" s="159"/>
    </row>
  </sheetData>
  <mergeCells count="2">
    <mergeCell ref="A7:G7"/>
    <mergeCell ref="A57:G5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0513-B064-4936-B37E-6EFFC6C31D88}">
  <sheetPr>
    <tabColor rgb="FF2D3D70"/>
  </sheetPr>
  <dimension ref="A3:BA35"/>
  <sheetViews>
    <sheetView showGridLines="0" zoomScaleNormal="100" workbookViewId="0">
      <pane xSplit="1" topLeftCell="B1" activePane="topRight" state="frozen"/>
      <selection activeCell="A35" sqref="A35"/>
      <selection pane="topRight" activeCell="A5" sqref="A5"/>
    </sheetView>
  </sheetViews>
  <sheetFormatPr defaultColWidth="8.88671875" defaultRowHeight="14.4"/>
  <cols>
    <col min="1" max="1" width="52.44140625" style="1" bestFit="1" customWidth="1"/>
    <col min="2" max="2" width="12.33203125" style="1" customWidth="1"/>
    <col min="3" max="4" width="11" style="1" bestFit="1" customWidth="1"/>
    <col min="5" max="5" width="12.109375" style="1" bestFit="1" customWidth="1"/>
    <col min="6" max="6" width="12" style="1" bestFit="1" customWidth="1"/>
    <col min="7" max="9" width="11" style="1" bestFit="1" customWidth="1"/>
    <col min="10" max="10" width="12.109375" style="1" bestFit="1" customWidth="1"/>
    <col min="11" max="11" width="12" style="1" bestFit="1" customWidth="1"/>
    <col min="12" max="15" width="11" style="1" bestFit="1" customWidth="1"/>
    <col min="16" max="16" width="12" style="1" bestFit="1" customWidth="1"/>
    <col min="17" max="19" width="11" style="1" bestFit="1" customWidth="1"/>
    <col min="20" max="20" width="11.44140625" style="1" bestFit="1" customWidth="1"/>
    <col min="21" max="21" width="12" style="1" bestFit="1" customWidth="1"/>
    <col min="22" max="25" width="11.44140625" style="1" bestFit="1" customWidth="1"/>
    <col min="26" max="26" width="12" style="1" bestFit="1" customWidth="1"/>
    <col min="27" max="27" width="11.44140625" style="1" bestFit="1" customWidth="1"/>
    <col min="28" max="29" width="11" style="1" bestFit="1" customWidth="1"/>
    <col min="30" max="30" width="11.44140625" style="1" bestFit="1" customWidth="1"/>
    <col min="31" max="31" width="12" style="1" bestFit="1" customWidth="1"/>
    <col min="32" max="32" width="11" style="1" bestFit="1" customWidth="1"/>
    <col min="33" max="33" width="11" style="1" customWidth="1"/>
    <col min="34" max="34" width="11.44140625" style="1" bestFit="1" customWidth="1"/>
    <col min="35" max="36" width="12.44140625" style="1" bestFit="1" customWidth="1"/>
    <col min="37" max="39" width="9.88671875" style="1" bestFit="1" customWidth="1"/>
    <col min="40" max="40" width="9.33203125" style="1" bestFit="1" customWidth="1"/>
    <col min="41" max="51" width="12.44140625" style="1" bestFit="1" customWidth="1"/>
    <col min="52" max="52" width="12.109375" style="1" bestFit="1" customWidth="1"/>
    <col min="53" max="53" width="9.88671875" style="1" bestFit="1" customWidth="1"/>
    <col min="54" max="16384" width="8.88671875" style="1"/>
  </cols>
  <sheetData>
    <row r="3" spans="1:53">
      <c r="B3"/>
      <c r="C3"/>
      <c r="D3" s="7"/>
    </row>
    <row r="4" spans="1:53" ht="10.199999999999999" customHeight="1"/>
    <row r="5" spans="1:53">
      <c r="A5" s="9"/>
      <c r="B5" s="10" t="s">
        <v>15</v>
      </c>
      <c r="C5" s="10" t="s">
        <v>16</v>
      </c>
      <c r="D5" s="10" t="s">
        <v>17</v>
      </c>
      <c r="E5" s="10" t="s">
        <v>18</v>
      </c>
      <c r="F5" s="11">
        <v>2017</v>
      </c>
      <c r="G5" s="10" t="s">
        <v>19</v>
      </c>
      <c r="H5" s="10" t="s">
        <v>20</v>
      </c>
      <c r="I5" s="10" t="s">
        <v>21</v>
      </c>
      <c r="J5" s="10" t="s">
        <v>22</v>
      </c>
      <c r="K5" s="11">
        <v>2018</v>
      </c>
      <c r="L5" s="10" t="s">
        <v>23</v>
      </c>
      <c r="M5" s="10" t="s">
        <v>24</v>
      </c>
      <c r="N5" s="10" t="s">
        <v>25</v>
      </c>
      <c r="O5" s="10" t="s">
        <v>26</v>
      </c>
      <c r="P5" s="11">
        <v>2019</v>
      </c>
      <c r="Q5" s="10" t="s">
        <v>27</v>
      </c>
      <c r="R5" s="10" t="s">
        <v>28</v>
      </c>
      <c r="S5" s="10" t="s">
        <v>29</v>
      </c>
      <c r="T5" s="10" t="s">
        <v>30</v>
      </c>
      <c r="U5" s="11">
        <v>2020</v>
      </c>
      <c r="V5" s="10" t="s">
        <v>31</v>
      </c>
      <c r="W5" s="10" t="s">
        <v>32</v>
      </c>
      <c r="X5" s="10" t="s">
        <v>33</v>
      </c>
      <c r="Y5" s="10" t="s">
        <v>34</v>
      </c>
      <c r="Z5" s="11">
        <v>2021</v>
      </c>
      <c r="AA5" s="10" t="s">
        <v>35</v>
      </c>
      <c r="AB5" s="10" t="s">
        <v>36</v>
      </c>
      <c r="AC5" s="10" t="s">
        <v>37</v>
      </c>
      <c r="AD5" s="10" t="s">
        <v>38</v>
      </c>
      <c r="AE5" s="11">
        <v>2022</v>
      </c>
      <c r="AF5" s="10" t="s">
        <v>39</v>
      </c>
      <c r="AG5" s="10" t="s">
        <v>40</v>
      </c>
      <c r="AH5" s="10" t="s">
        <v>41</v>
      </c>
      <c r="AI5" s="10" t="s">
        <v>42</v>
      </c>
      <c r="AJ5" s="12">
        <v>2023</v>
      </c>
      <c r="AK5" s="10" t="s">
        <v>43</v>
      </c>
      <c r="AL5" s="10" t="s">
        <v>44</v>
      </c>
      <c r="AM5" s="10" t="s">
        <v>45</v>
      </c>
      <c r="AN5" s="10" t="s">
        <v>46</v>
      </c>
      <c r="AO5" s="12">
        <v>2024</v>
      </c>
      <c r="AP5" s="10" t="s">
        <v>47</v>
      </c>
      <c r="AQ5" s="10" t="s">
        <v>48</v>
      </c>
      <c r="AR5" s="10" t="s">
        <v>49</v>
      </c>
      <c r="AS5" s="10" t="s">
        <v>50</v>
      </c>
      <c r="AT5" s="12">
        <v>2025</v>
      </c>
      <c r="AU5" s="10" t="s">
        <v>51</v>
      </c>
      <c r="AV5" s="10" t="s">
        <v>52</v>
      </c>
      <c r="AW5" s="10" t="s">
        <v>53</v>
      </c>
      <c r="AX5" s="10" t="s">
        <v>54</v>
      </c>
      <c r="AY5" s="12">
        <v>2026</v>
      </c>
    </row>
    <row r="6" spans="1:53">
      <c r="A6" s="13" t="s">
        <v>55</v>
      </c>
      <c r="B6" s="14"/>
      <c r="C6" s="14"/>
      <c r="D6" s="14"/>
      <c r="E6" s="14"/>
      <c r="F6" s="15"/>
      <c r="G6" s="14"/>
      <c r="H6" s="14"/>
      <c r="I6" s="14"/>
      <c r="J6" s="14"/>
      <c r="K6" s="15"/>
      <c r="L6" s="14"/>
      <c r="M6" s="14"/>
      <c r="N6" s="14"/>
      <c r="O6" s="14"/>
      <c r="P6" s="15"/>
      <c r="Q6" s="14"/>
      <c r="R6" s="14"/>
      <c r="S6" s="14"/>
      <c r="T6" s="14"/>
      <c r="U6" s="15"/>
      <c r="V6" s="14"/>
      <c r="W6" s="14"/>
      <c r="X6" s="14"/>
      <c r="Y6" s="14"/>
      <c r="Z6" s="15"/>
      <c r="AA6" s="14"/>
      <c r="AB6" s="14"/>
      <c r="AC6" s="14"/>
      <c r="AD6" s="14"/>
      <c r="AE6" s="15"/>
      <c r="AF6" s="14"/>
      <c r="AG6" s="14"/>
      <c r="AH6" s="14"/>
      <c r="AI6" s="14"/>
      <c r="AJ6" s="16"/>
      <c r="AK6" s="14"/>
      <c r="AL6" s="14"/>
      <c r="AM6" s="14"/>
      <c r="AN6" s="14"/>
      <c r="AO6" s="16"/>
      <c r="AP6" s="14"/>
      <c r="AQ6" s="14"/>
      <c r="AR6" s="14"/>
      <c r="AS6" s="14"/>
      <c r="AT6" s="16"/>
      <c r="AU6" s="14"/>
      <c r="AV6" s="14"/>
      <c r="AW6" s="14"/>
      <c r="AX6" s="14"/>
      <c r="AY6" s="16"/>
    </row>
    <row r="7" spans="1:53">
      <c r="A7" s="17"/>
      <c r="F7" s="18"/>
      <c r="K7" s="18"/>
      <c r="P7" s="18"/>
      <c r="U7" s="18"/>
      <c r="Z7" s="18"/>
      <c r="AE7" s="18"/>
      <c r="AJ7" s="18"/>
      <c r="AO7" s="18"/>
      <c r="AT7" s="18"/>
      <c r="AY7" s="18"/>
      <c r="BA7" s="256"/>
    </row>
    <row r="8" spans="1:53">
      <c r="A8" s="19" t="s">
        <v>56</v>
      </c>
      <c r="B8" s="20">
        <v>34902</v>
      </c>
      <c r="C8" s="20">
        <v>44247</v>
      </c>
      <c r="D8" s="20">
        <v>39828</v>
      </c>
      <c r="E8" s="20">
        <v>38734</v>
      </c>
      <c r="F8" s="21">
        <v>157711</v>
      </c>
      <c r="G8" s="20">
        <v>45023</v>
      </c>
      <c r="H8" s="20">
        <v>45338</v>
      </c>
      <c r="I8" s="20">
        <v>33176</v>
      </c>
      <c r="J8" s="20">
        <v>34165</v>
      </c>
      <c r="K8" s="21">
        <v>157702</v>
      </c>
      <c r="L8" s="20">
        <v>36256</v>
      </c>
      <c r="M8" s="20">
        <v>50374</v>
      </c>
      <c r="N8" s="20">
        <v>69919</v>
      </c>
      <c r="O8" s="20">
        <v>69653</v>
      </c>
      <c r="P8" s="21">
        <v>226202</v>
      </c>
      <c r="Q8" s="20">
        <v>48626</v>
      </c>
      <c r="R8" s="20">
        <v>60834</v>
      </c>
      <c r="S8" s="20">
        <v>89808</v>
      </c>
      <c r="T8" s="20">
        <v>100606.00000000003</v>
      </c>
      <c r="U8" s="21">
        <v>299874</v>
      </c>
      <c r="V8" s="20">
        <v>116026</v>
      </c>
      <c r="W8" s="20">
        <v>105098</v>
      </c>
      <c r="X8" s="20">
        <v>97060</v>
      </c>
      <c r="Y8" s="20">
        <v>105822</v>
      </c>
      <c r="Z8" s="21">
        <v>424006</v>
      </c>
      <c r="AA8" s="20">
        <v>112276</v>
      </c>
      <c r="AB8" s="20">
        <v>93384</v>
      </c>
      <c r="AC8" s="20">
        <v>81189</v>
      </c>
      <c r="AD8" s="20">
        <v>105849.99999999999</v>
      </c>
      <c r="AE8" s="21">
        <v>392699</v>
      </c>
      <c r="AF8" s="20">
        <v>96987</v>
      </c>
      <c r="AG8" s="20">
        <v>84950</v>
      </c>
      <c r="AH8" s="20">
        <v>110635</v>
      </c>
      <c r="AI8" s="20">
        <v>124322</v>
      </c>
      <c r="AJ8" s="21">
        <v>416894</v>
      </c>
      <c r="AK8" s="20">
        <v>132078</v>
      </c>
      <c r="AL8" s="20">
        <v>134411</v>
      </c>
      <c r="AM8" s="20">
        <v>156157</v>
      </c>
      <c r="AN8" s="20">
        <v>171517</v>
      </c>
      <c r="AO8" s="21">
        <v>594163</v>
      </c>
      <c r="AP8" s="20">
        <v>161804</v>
      </c>
      <c r="AQ8" s="20">
        <v>190436</v>
      </c>
      <c r="AR8" s="20">
        <v>247832</v>
      </c>
      <c r="AS8" s="20">
        <f>921733-SUM(AP8:AR8)</f>
        <v>321661</v>
      </c>
      <c r="AT8" s="21">
        <f>SUM(AP8:AS8)</f>
        <v>921733</v>
      </c>
      <c r="AU8" s="20">
        <v>382606</v>
      </c>
      <c r="AV8" s="20"/>
      <c r="AW8" s="20"/>
      <c r="AX8" s="20"/>
      <c r="AY8" s="21"/>
      <c r="AZ8" s="20"/>
    </row>
    <row r="9" spans="1:53">
      <c r="A9" s="19" t="s">
        <v>57</v>
      </c>
      <c r="B9" s="22">
        <v>-29589</v>
      </c>
      <c r="C9" s="22">
        <v>-35200</v>
      </c>
      <c r="D9" s="22">
        <v>-31882</v>
      </c>
      <c r="E9" s="22">
        <v>-34630</v>
      </c>
      <c r="F9" s="23">
        <v>-131301</v>
      </c>
      <c r="G9" s="22">
        <v>-37211</v>
      </c>
      <c r="H9" s="22">
        <v>-37932</v>
      </c>
      <c r="I9" s="22">
        <v>-31495</v>
      </c>
      <c r="J9" s="22">
        <v>-33790</v>
      </c>
      <c r="K9" s="23">
        <v>-140428</v>
      </c>
      <c r="L9" s="22">
        <v>-35180</v>
      </c>
      <c r="M9" s="22">
        <v>-45563</v>
      </c>
      <c r="N9" s="22">
        <v>-51422</v>
      </c>
      <c r="O9" s="22">
        <v>-45776</v>
      </c>
      <c r="P9" s="23">
        <v>-177941</v>
      </c>
      <c r="Q9" s="22">
        <v>-41936</v>
      </c>
      <c r="R9" s="22">
        <v>-42947</v>
      </c>
      <c r="S9" s="22">
        <v>-43359</v>
      </c>
      <c r="T9" s="22">
        <v>-49749.999999999978</v>
      </c>
      <c r="U9" s="23">
        <v>-177991.99999999997</v>
      </c>
      <c r="V9" s="22">
        <v>-64925</v>
      </c>
      <c r="W9" s="22">
        <v>-62361</v>
      </c>
      <c r="X9" s="22">
        <v>-59421</v>
      </c>
      <c r="Y9" s="22">
        <v>-48962</v>
      </c>
      <c r="Z9" s="23">
        <v>-235669</v>
      </c>
      <c r="AA9" s="22">
        <v>-62596</v>
      </c>
      <c r="AB9" s="22">
        <v>-64378</v>
      </c>
      <c r="AC9" s="22">
        <v>-65361.000000000007</v>
      </c>
      <c r="AD9" s="22">
        <v>-74670.999999999985</v>
      </c>
      <c r="AE9" s="23">
        <v>-267006</v>
      </c>
      <c r="AF9" s="22">
        <v>-62889</v>
      </c>
      <c r="AG9" s="22">
        <v>-59706</v>
      </c>
      <c r="AH9" s="22">
        <v>-84097</v>
      </c>
      <c r="AI9" s="22">
        <v>-84186</v>
      </c>
      <c r="AJ9" s="23">
        <v>-290878</v>
      </c>
      <c r="AK9" s="22">
        <v>-85397</v>
      </c>
      <c r="AL9" s="22">
        <v>-83103</v>
      </c>
      <c r="AM9" s="22">
        <v>-83976</v>
      </c>
      <c r="AN9" s="22">
        <v>-90418</v>
      </c>
      <c r="AO9" s="23">
        <v>-342893</v>
      </c>
      <c r="AP9" s="22">
        <v>-83376</v>
      </c>
      <c r="AQ9" s="22">
        <v>-86497</v>
      </c>
      <c r="AR9" s="22">
        <v>-98223</v>
      </c>
      <c r="AS9" s="22">
        <v>-118764</v>
      </c>
      <c r="AT9" s="23">
        <f>SUM(AP9:AS9)</f>
        <v>-386860</v>
      </c>
      <c r="AU9" s="22">
        <v>-153778</v>
      </c>
      <c r="AV9" s="22"/>
      <c r="AW9" s="22"/>
      <c r="AX9" s="22"/>
      <c r="AY9" s="23"/>
      <c r="AZ9" s="223"/>
    </row>
    <row r="10" spans="1:53">
      <c r="A10" s="24"/>
      <c r="B10" s="25"/>
      <c r="C10" s="25"/>
      <c r="D10" s="25"/>
      <c r="E10" s="25"/>
      <c r="F10" s="21">
        <v>0</v>
      </c>
      <c r="G10" s="25"/>
      <c r="H10" s="25"/>
      <c r="I10" s="25"/>
      <c r="J10" s="25"/>
      <c r="K10" s="21">
        <v>0</v>
      </c>
      <c r="L10" s="25"/>
      <c r="M10" s="25"/>
      <c r="N10" s="25"/>
      <c r="O10" s="25"/>
      <c r="P10" s="21">
        <v>0</v>
      </c>
      <c r="Q10" s="25"/>
      <c r="R10" s="25"/>
      <c r="S10" s="25"/>
      <c r="T10" s="25"/>
      <c r="U10" s="21">
        <v>0</v>
      </c>
      <c r="V10" s="25"/>
      <c r="W10" s="25"/>
      <c r="X10" s="25"/>
      <c r="Y10" s="25"/>
      <c r="Z10" s="21"/>
      <c r="AA10" s="25"/>
      <c r="AB10" s="25"/>
      <c r="AC10" s="25"/>
      <c r="AD10" s="25"/>
      <c r="AE10" s="21">
        <v>0</v>
      </c>
      <c r="AF10" s="25"/>
      <c r="AG10" s="25"/>
      <c r="AH10" s="25"/>
      <c r="AI10" s="25"/>
      <c r="AJ10" s="21">
        <v>0</v>
      </c>
      <c r="AK10" s="25"/>
      <c r="AL10" s="25"/>
      <c r="AM10" s="25"/>
      <c r="AN10" s="25"/>
      <c r="AO10" s="21"/>
      <c r="AP10" s="25"/>
      <c r="AQ10" s="25"/>
      <c r="AR10" s="25"/>
      <c r="AS10" s="25"/>
      <c r="AT10" s="21"/>
      <c r="AU10" s="25"/>
      <c r="AV10" s="25"/>
      <c r="AW10" s="25"/>
      <c r="AX10" s="25"/>
      <c r="AY10" s="21"/>
      <c r="BA10" s="256"/>
    </row>
    <row r="11" spans="1:53">
      <c r="A11" s="19" t="s">
        <v>58</v>
      </c>
      <c r="B11" s="20">
        <v>5313</v>
      </c>
      <c r="C11" s="20">
        <v>9047</v>
      </c>
      <c r="D11" s="20">
        <v>7946</v>
      </c>
      <c r="E11" s="20">
        <v>4104</v>
      </c>
      <c r="F11" s="21">
        <v>26410</v>
      </c>
      <c r="G11" s="20">
        <v>7812</v>
      </c>
      <c r="H11" s="20">
        <v>7406</v>
      </c>
      <c r="I11" s="20">
        <v>1681</v>
      </c>
      <c r="J11" s="20">
        <v>375</v>
      </c>
      <c r="K11" s="21">
        <v>17274</v>
      </c>
      <c r="L11" s="20">
        <v>1076</v>
      </c>
      <c r="M11" s="20">
        <v>4811</v>
      </c>
      <c r="N11" s="20">
        <v>18497</v>
      </c>
      <c r="O11" s="20">
        <v>23877</v>
      </c>
      <c r="P11" s="21">
        <v>48261</v>
      </c>
      <c r="Q11" s="20">
        <v>6690</v>
      </c>
      <c r="R11" s="20">
        <v>17887</v>
      </c>
      <c r="S11" s="20">
        <v>46449</v>
      </c>
      <c r="T11" s="20">
        <v>50856.000000000051</v>
      </c>
      <c r="U11" s="21">
        <v>121882.00000000006</v>
      </c>
      <c r="V11" s="20">
        <v>51101</v>
      </c>
      <c r="W11" s="20">
        <v>42737</v>
      </c>
      <c r="X11" s="20">
        <v>37639</v>
      </c>
      <c r="Y11" s="20">
        <v>56860</v>
      </c>
      <c r="Z11" s="21">
        <v>188337</v>
      </c>
      <c r="AA11" s="20">
        <v>49680</v>
      </c>
      <c r="AB11" s="20">
        <v>29006</v>
      </c>
      <c r="AC11" s="20">
        <v>15827.999999999993</v>
      </c>
      <c r="AD11" s="20">
        <v>31179</v>
      </c>
      <c r="AE11" s="21">
        <v>125693</v>
      </c>
      <c r="AF11" s="20">
        <v>34098</v>
      </c>
      <c r="AG11" s="20">
        <v>25244</v>
      </c>
      <c r="AH11" s="20">
        <v>26538</v>
      </c>
      <c r="AI11" s="20">
        <v>40136</v>
      </c>
      <c r="AJ11" s="21">
        <v>126016</v>
      </c>
      <c r="AK11" s="20">
        <v>46681</v>
      </c>
      <c r="AL11" s="20">
        <v>51308</v>
      </c>
      <c r="AM11" s="20">
        <v>72181</v>
      </c>
      <c r="AN11" s="20">
        <v>81099</v>
      </c>
      <c r="AO11" s="21">
        <v>251270</v>
      </c>
      <c r="AP11" s="20">
        <v>78428</v>
      </c>
      <c r="AQ11" s="20">
        <v>103939</v>
      </c>
      <c r="AR11" s="20">
        <v>149609</v>
      </c>
      <c r="AS11" s="20">
        <f>SUM(AS8:AS9)</f>
        <v>202897</v>
      </c>
      <c r="AT11" s="21">
        <f>SUM(AP11:AS11)</f>
        <v>534873</v>
      </c>
      <c r="AU11" s="20">
        <f>SUM(AU8:AU9)</f>
        <v>228828</v>
      </c>
      <c r="AV11" s="20"/>
      <c r="AW11" s="20"/>
      <c r="AX11" s="20"/>
      <c r="AY11" s="21"/>
    </row>
    <row r="12" spans="1:53">
      <c r="A12" s="26"/>
      <c r="B12" s="25"/>
      <c r="C12" s="25"/>
      <c r="D12" s="25"/>
      <c r="E12" s="25"/>
      <c r="F12" s="21">
        <v>0</v>
      </c>
      <c r="G12" s="25"/>
      <c r="H12" s="25"/>
      <c r="I12" s="25"/>
      <c r="J12" s="25"/>
      <c r="K12" s="21">
        <v>0</v>
      </c>
      <c r="L12" s="25"/>
      <c r="M12" s="25"/>
      <c r="N12" s="25"/>
      <c r="O12" s="25"/>
      <c r="P12" s="21">
        <v>0</v>
      </c>
      <c r="Q12" s="25"/>
      <c r="R12" s="25"/>
      <c r="S12" s="25"/>
      <c r="T12" s="25"/>
      <c r="U12" s="21">
        <v>0</v>
      </c>
      <c r="V12" s="25"/>
      <c r="W12" s="25"/>
      <c r="X12" s="25"/>
      <c r="Y12" s="25"/>
      <c r="Z12" s="21">
        <v>0</v>
      </c>
      <c r="AA12" s="25"/>
      <c r="AB12" s="25"/>
      <c r="AC12" s="25"/>
      <c r="AD12" s="25"/>
      <c r="AE12" s="21">
        <v>0</v>
      </c>
      <c r="AF12" s="25"/>
      <c r="AG12" s="25"/>
      <c r="AH12" s="25"/>
      <c r="AI12" s="25"/>
      <c r="AJ12" s="21"/>
      <c r="AK12" s="25"/>
      <c r="AL12" s="25"/>
      <c r="AM12" s="25"/>
      <c r="AN12" s="25"/>
      <c r="AO12" s="21"/>
      <c r="AP12" s="25"/>
      <c r="AQ12" s="25"/>
      <c r="AR12" s="25"/>
      <c r="AS12" s="25"/>
      <c r="AT12" s="21"/>
      <c r="AU12" s="25"/>
      <c r="AV12" s="25"/>
      <c r="AW12" s="25"/>
      <c r="AX12" s="25"/>
      <c r="AY12" s="21"/>
      <c r="BA12" s="257"/>
    </row>
    <row r="13" spans="1:53" s="28" customFormat="1">
      <c r="A13" s="24" t="s">
        <v>59</v>
      </c>
      <c r="B13" s="27">
        <v>-3801</v>
      </c>
      <c r="C13" s="27">
        <v>-4425</v>
      </c>
      <c r="D13" s="27">
        <v>-4547</v>
      </c>
      <c r="E13" s="27">
        <v>-6359</v>
      </c>
      <c r="F13" s="23">
        <v>-19132</v>
      </c>
      <c r="G13" s="27">
        <v>-4009</v>
      </c>
      <c r="H13" s="27">
        <v>-4288</v>
      </c>
      <c r="I13" s="27">
        <v>-4717</v>
      </c>
      <c r="J13" s="27">
        <v>-3903</v>
      </c>
      <c r="K13" s="23">
        <v>-16917</v>
      </c>
      <c r="L13" s="27">
        <v>-3414</v>
      </c>
      <c r="M13" s="27">
        <v>-4266</v>
      </c>
      <c r="N13" s="27">
        <v>-3134</v>
      </c>
      <c r="O13" s="27">
        <v>-2569</v>
      </c>
      <c r="P13" s="23">
        <v>-13383</v>
      </c>
      <c r="Q13" s="27">
        <v>-4505</v>
      </c>
      <c r="R13" s="27">
        <v>-3289</v>
      </c>
      <c r="S13" s="27">
        <v>-5605</v>
      </c>
      <c r="T13" s="27">
        <v>-6630.9999999999982</v>
      </c>
      <c r="U13" s="23">
        <v>-20030</v>
      </c>
      <c r="V13" s="27">
        <v>-6477</v>
      </c>
      <c r="W13" s="27">
        <v>-6127</v>
      </c>
      <c r="X13" s="27">
        <v>-4556</v>
      </c>
      <c r="Y13" s="27">
        <v>-4371</v>
      </c>
      <c r="Z13" s="23">
        <v>-21531</v>
      </c>
      <c r="AA13" s="27">
        <v>-5355</v>
      </c>
      <c r="AB13" s="27">
        <v>-6412</v>
      </c>
      <c r="AC13" s="27">
        <v>-4782</v>
      </c>
      <c r="AD13" s="27">
        <v>-8449</v>
      </c>
      <c r="AE13" s="23">
        <v>-24998</v>
      </c>
      <c r="AF13" s="27">
        <v>-7145</v>
      </c>
      <c r="AG13" s="27">
        <v>-7717</v>
      </c>
      <c r="AH13" s="27">
        <v>-6955</v>
      </c>
      <c r="AI13" s="27">
        <v>-5394</v>
      </c>
      <c r="AJ13" s="23">
        <v>-27211</v>
      </c>
      <c r="AK13" s="27">
        <v>-8279</v>
      </c>
      <c r="AL13" s="27">
        <v>-7156</v>
      </c>
      <c r="AM13" s="27">
        <v>-6923</v>
      </c>
      <c r="AN13" s="27">
        <v>-10539</v>
      </c>
      <c r="AO13" s="23">
        <v>-33273</v>
      </c>
      <c r="AP13" s="27">
        <v>-9636</v>
      </c>
      <c r="AQ13" s="27">
        <v>-11284</v>
      </c>
      <c r="AR13" s="27">
        <v>-10371</v>
      </c>
      <c r="AS13" s="27">
        <v>-18761</v>
      </c>
      <c r="AT13" s="23">
        <f>SUM(AP13:AS13)</f>
        <v>-50052</v>
      </c>
      <c r="AU13" s="27">
        <v>-15742</v>
      </c>
      <c r="AV13" s="27"/>
      <c r="AW13" s="27"/>
      <c r="AX13" s="27"/>
      <c r="AY13" s="23"/>
      <c r="AZ13" s="224"/>
    </row>
    <row r="14" spans="1:53" s="28" customFormat="1">
      <c r="A14" s="24" t="s">
        <v>60</v>
      </c>
      <c r="B14" s="29">
        <v>-262</v>
      </c>
      <c r="C14" s="29">
        <v>-136</v>
      </c>
      <c r="D14" s="29">
        <v>-429</v>
      </c>
      <c r="E14" s="29">
        <v>-955</v>
      </c>
      <c r="F14" s="23">
        <v>-1782</v>
      </c>
      <c r="G14" s="29">
        <v>-1002</v>
      </c>
      <c r="H14" s="29">
        <v>-1263</v>
      </c>
      <c r="I14" s="29">
        <v>-1190</v>
      </c>
      <c r="J14" s="29">
        <v>-405</v>
      </c>
      <c r="K14" s="23">
        <v>-3860</v>
      </c>
      <c r="L14" s="29">
        <v>-1016</v>
      </c>
      <c r="M14" s="29">
        <v>-1092</v>
      </c>
      <c r="N14" s="29">
        <v>-852</v>
      </c>
      <c r="O14" s="29">
        <v>-565</v>
      </c>
      <c r="P14" s="23">
        <v>-3525</v>
      </c>
      <c r="Q14" s="29">
        <v>-838</v>
      </c>
      <c r="R14" s="29">
        <v>-902</v>
      </c>
      <c r="S14" s="29">
        <v>-1584</v>
      </c>
      <c r="T14" s="29">
        <v>-2065.9999999999995</v>
      </c>
      <c r="U14" s="23">
        <v>-5390</v>
      </c>
      <c r="V14" s="29">
        <v>-1906</v>
      </c>
      <c r="W14" s="29">
        <v>-2457</v>
      </c>
      <c r="X14" s="29">
        <v>-2438</v>
      </c>
      <c r="Y14" s="27">
        <v>-1008</v>
      </c>
      <c r="Z14" s="23">
        <v>-7809</v>
      </c>
      <c r="AA14" s="29">
        <v>-3175</v>
      </c>
      <c r="AB14" s="29">
        <v>-1190</v>
      </c>
      <c r="AC14" s="29">
        <v>-3473</v>
      </c>
      <c r="AD14" s="29">
        <v>-4626</v>
      </c>
      <c r="AE14" s="23">
        <v>-12464</v>
      </c>
      <c r="AF14" s="29">
        <v>-3097</v>
      </c>
      <c r="AG14" s="29">
        <v>-2522</v>
      </c>
      <c r="AH14" s="29">
        <v>-3012</v>
      </c>
      <c r="AI14" s="29">
        <v>-3150</v>
      </c>
      <c r="AJ14" s="23">
        <v>-11781</v>
      </c>
      <c r="AK14" s="29">
        <v>-1942</v>
      </c>
      <c r="AL14" s="29">
        <v>-2951</v>
      </c>
      <c r="AM14" s="29">
        <v>-4293</v>
      </c>
      <c r="AN14" s="29">
        <v>-4775</v>
      </c>
      <c r="AO14" s="23">
        <v>-13961</v>
      </c>
      <c r="AP14" s="29">
        <v>-1376</v>
      </c>
      <c r="AQ14" s="29">
        <v>-1714</v>
      </c>
      <c r="AR14" s="29">
        <v>-2333</v>
      </c>
      <c r="AS14" s="27">
        <v>-2595</v>
      </c>
      <c r="AT14" s="23">
        <f>SUM(AP14:AS14)</f>
        <v>-8018</v>
      </c>
      <c r="AU14" s="29">
        <v>-2359</v>
      </c>
      <c r="AV14" s="29"/>
      <c r="AW14" s="29"/>
      <c r="AX14" s="27"/>
      <c r="AY14" s="23"/>
      <c r="AZ14" s="224"/>
    </row>
    <row r="15" spans="1:53" s="28" customFormat="1">
      <c r="A15" s="24" t="s">
        <v>61</v>
      </c>
      <c r="B15" s="29">
        <v>0</v>
      </c>
      <c r="C15" s="29">
        <v>0</v>
      </c>
      <c r="D15" s="29">
        <v>0</v>
      </c>
      <c r="E15" s="29">
        <v>10007</v>
      </c>
      <c r="F15" s="23">
        <v>10007</v>
      </c>
      <c r="G15" s="29">
        <v>0</v>
      </c>
      <c r="H15" s="29">
        <v>0</v>
      </c>
      <c r="I15" s="29">
        <v>0</v>
      </c>
      <c r="J15" s="29">
        <v>53701</v>
      </c>
      <c r="K15" s="23">
        <v>53701</v>
      </c>
      <c r="L15" s="29">
        <v>0</v>
      </c>
      <c r="M15" s="29">
        <v>0</v>
      </c>
      <c r="N15" s="29">
        <v>0</v>
      </c>
      <c r="O15" s="29">
        <v>0</v>
      </c>
      <c r="P15" s="23">
        <v>0</v>
      </c>
      <c r="Q15" s="29">
        <v>0</v>
      </c>
      <c r="R15" s="29">
        <v>0</v>
      </c>
      <c r="S15" s="29">
        <v>0</v>
      </c>
      <c r="T15" s="29">
        <v>857</v>
      </c>
      <c r="U15" s="23">
        <v>857</v>
      </c>
      <c r="V15" s="29">
        <v>0</v>
      </c>
      <c r="W15" s="29">
        <v>0</v>
      </c>
      <c r="X15" s="29">
        <v>0</v>
      </c>
      <c r="Y15" s="29">
        <v>-3078</v>
      </c>
      <c r="Z15" s="23">
        <v>-3078</v>
      </c>
      <c r="AA15" s="29">
        <v>0</v>
      </c>
      <c r="AB15" s="29">
        <v>0</v>
      </c>
      <c r="AC15" s="29">
        <v>0</v>
      </c>
      <c r="AD15" s="29">
        <v>0</v>
      </c>
      <c r="AE15" s="23">
        <v>0</v>
      </c>
      <c r="AF15" s="29">
        <v>0</v>
      </c>
      <c r="AG15" s="29">
        <v>0</v>
      </c>
      <c r="AH15" s="29">
        <v>0</v>
      </c>
      <c r="AI15" s="29">
        <v>0</v>
      </c>
      <c r="AJ15" s="23">
        <v>0</v>
      </c>
      <c r="AK15" s="29">
        <v>0</v>
      </c>
      <c r="AL15" s="29">
        <v>0</v>
      </c>
      <c r="AM15" s="29">
        <v>0</v>
      </c>
      <c r="AN15" s="29">
        <v>1330</v>
      </c>
      <c r="AO15" s="23">
        <v>1330</v>
      </c>
      <c r="AP15" s="218">
        <v>0</v>
      </c>
      <c r="AQ15" s="29">
        <v>0</v>
      </c>
      <c r="AR15" s="29">
        <v>0</v>
      </c>
      <c r="AS15" s="29">
        <v>-489</v>
      </c>
      <c r="AT15" s="23">
        <f>SUM(AP15:AS15)</f>
        <v>-489</v>
      </c>
      <c r="AU15" s="218"/>
      <c r="AV15" s="29"/>
      <c r="AW15" s="29"/>
      <c r="AX15" s="29"/>
      <c r="AY15" s="23"/>
      <c r="AZ15" s="174"/>
    </row>
    <row r="16" spans="1:53" s="28" customFormat="1">
      <c r="A16" s="24" t="s">
        <v>62</v>
      </c>
      <c r="B16" s="29"/>
      <c r="C16" s="29"/>
      <c r="D16" s="29"/>
      <c r="E16" s="29"/>
      <c r="F16" s="23"/>
      <c r="G16" s="29"/>
      <c r="H16" s="29"/>
      <c r="I16" s="29"/>
      <c r="J16" s="29"/>
      <c r="K16" s="23"/>
      <c r="L16" s="29"/>
      <c r="M16" s="29"/>
      <c r="N16" s="29"/>
      <c r="O16" s="29"/>
      <c r="P16" s="23"/>
      <c r="Q16" s="29"/>
      <c r="R16" s="29"/>
      <c r="S16" s="29"/>
      <c r="T16" s="29"/>
      <c r="U16" s="23"/>
      <c r="V16" s="29"/>
      <c r="W16" s="29"/>
      <c r="X16" s="29"/>
      <c r="Y16" s="29"/>
      <c r="Z16" s="23"/>
      <c r="AA16" s="29"/>
      <c r="AB16" s="29"/>
      <c r="AC16" s="29"/>
      <c r="AD16" s="29"/>
      <c r="AE16" s="23"/>
      <c r="AF16" s="29"/>
      <c r="AG16" s="29"/>
      <c r="AH16" s="29"/>
      <c r="AI16" s="29"/>
      <c r="AJ16" s="23"/>
      <c r="AK16" s="29">
        <v>-519</v>
      </c>
      <c r="AL16" s="29">
        <v>1</v>
      </c>
      <c r="AM16" s="29">
        <v>-434</v>
      </c>
      <c r="AN16" s="29">
        <v>-315</v>
      </c>
      <c r="AO16" s="21">
        <v>1267</v>
      </c>
      <c r="AP16" s="218">
        <v>-754</v>
      </c>
      <c r="AQ16" s="29">
        <v>61</v>
      </c>
      <c r="AR16" s="29">
        <v>-822</v>
      </c>
      <c r="AS16" s="29">
        <v>-15932</v>
      </c>
      <c r="AT16" s="23">
        <f>SUM(AP16:AS16)</f>
        <v>-17447</v>
      </c>
      <c r="AU16" s="218">
        <v>-5408</v>
      </c>
      <c r="AV16" s="29"/>
      <c r="AW16" s="29"/>
      <c r="AX16" s="29"/>
      <c r="AY16" s="23"/>
      <c r="AZ16" s="174"/>
    </row>
    <row r="17" spans="1:52">
      <c r="A17" s="26"/>
      <c r="B17" s="30"/>
      <c r="C17" s="30"/>
      <c r="D17" s="30"/>
      <c r="E17" s="30"/>
      <c r="F17" s="21"/>
      <c r="G17" s="30"/>
      <c r="H17" s="30"/>
      <c r="I17" s="30"/>
      <c r="J17" s="30"/>
      <c r="K17" s="21"/>
      <c r="L17" s="30"/>
      <c r="M17" s="30"/>
      <c r="N17" s="30"/>
      <c r="O17" s="30"/>
      <c r="P17" s="21"/>
      <c r="Q17" s="30"/>
      <c r="R17" s="30"/>
      <c r="S17" s="30"/>
      <c r="T17" s="30"/>
      <c r="U17" s="21"/>
      <c r="V17" s="30"/>
      <c r="W17" s="30"/>
      <c r="X17" s="30"/>
      <c r="Y17" s="30"/>
      <c r="Z17" s="21"/>
      <c r="AA17" s="30"/>
      <c r="AB17" s="30"/>
      <c r="AC17" s="30"/>
      <c r="AD17" s="30"/>
      <c r="AE17" s="21"/>
      <c r="AF17" s="30"/>
      <c r="AG17" s="30"/>
      <c r="AH17" s="30"/>
      <c r="AI17" s="30"/>
      <c r="AJ17" s="21"/>
      <c r="AK17" s="30"/>
      <c r="AL17" s="30"/>
      <c r="AM17" s="30"/>
      <c r="AN17" s="30"/>
      <c r="AO17" s="21"/>
      <c r="AP17" s="30"/>
      <c r="AQ17" s="30"/>
      <c r="AR17" s="30"/>
      <c r="AS17" s="30"/>
      <c r="AT17" s="21"/>
      <c r="AU17" s="30"/>
      <c r="AV17" s="30"/>
      <c r="AW17" s="30"/>
      <c r="AX17" s="30"/>
      <c r="AY17" s="21"/>
      <c r="AZ17" s="224"/>
    </row>
    <row r="18" spans="1:52">
      <c r="A18" s="31" t="s">
        <v>63</v>
      </c>
      <c r="B18" s="20">
        <v>1250</v>
      </c>
      <c r="C18" s="20">
        <v>4486</v>
      </c>
      <c r="D18" s="20">
        <v>2970</v>
      </c>
      <c r="E18" s="20">
        <v>6797</v>
      </c>
      <c r="F18" s="21">
        <v>15503</v>
      </c>
      <c r="G18" s="20">
        <v>2801</v>
      </c>
      <c r="H18" s="20">
        <v>1855</v>
      </c>
      <c r="I18" s="20">
        <v>-4226</v>
      </c>
      <c r="J18" s="20">
        <v>49768</v>
      </c>
      <c r="K18" s="21">
        <v>50198</v>
      </c>
      <c r="L18" s="20">
        <v>-3354</v>
      </c>
      <c r="M18" s="20">
        <v>-547</v>
      </c>
      <c r="N18" s="20">
        <v>14511</v>
      </c>
      <c r="O18" s="20">
        <v>20743</v>
      </c>
      <c r="P18" s="21">
        <v>31353</v>
      </c>
      <c r="Q18" s="20">
        <v>1347</v>
      </c>
      <c r="R18" s="20">
        <v>13696</v>
      </c>
      <c r="S18" s="20">
        <v>39260</v>
      </c>
      <c r="T18" s="20">
        <v>43016.000000000051</v>
      </c>
      <c r="U18" s="21">
        <v>97319.000000000058</v>
      </c>
      <c r="V18" s="20">
        <v>42718</v>
      </c>
      <c r="W18" s="20">
        <v>34153</v>
      </c>
      <c r="X18" s="20">
        <v>30645</v>
      </c>
      <c r="Y18" s="20">
        <v>48403</v>
      </c>
      <c r="Z18" s="21">
        <v>155919</v>
      </c>
      <c r="AA18" s="20">
        <v>41150</v>
      </c>
      <c r="AB18" s="20">
        <v>21404</v>
      </c>
      <c r="AC18" s="20">
        <v>7572.9999999999927</v>
      </c>
      <c r="AD18" s="20">
        <v>18104</v>
      </c>
      <c r="AE18" s="21">
        <v>88231</v>
      </c>
      <c r="AF18" s="20">
        <v>23856</v>
      </c>
      <c r="AG18" s="20">
        <v>15005</v>
      </c>
      <c r="AH18" s="20">
        <v>16571</v>
      </c>
      <c r="AI18" s="20">
        <v>31592</v>
      </c>
      <c r="AJ18" s="21">
        <v>87025</v>
      </c>
      <c r="AK18" s="20">
        <v>36460</v>
      </c>
      <c r="AL18" s="20">
        <v>40826</v>
      </c>
      <c r="AM18" s="20">
        <v>60965</v>
      </c>
      <c r="AN18" s="20">
        <v>67115</v>
      </c>
      <c r="AO18" s="21">
        <v>205366.2227809538</v>
      </c>
      <c r="AP18" s="20">
        <f t="shared" ref="AP18:AQ18" si="0">SUM(AP11:AP16)</f>
        <v>66662</v>
      </c>
      <c r="AQ18" s="20">
        <f t="shared" si="0"/>
        <v>91002</v>
      </c>
      <c r="AR18" s="20">
        <f>SUM(AR11:AR16)</f>
        <v>136083</v>
      </c>
      <c r="AS18" s="20">
        <f>SUM(AS11:AS16)</f>
        <v>165120</v>
      </c>
      <c r="AT18" s="21">
        <f>SUM(AP18:AS18)</f>
        <v>458867</v>
      </c>
      <c r="AU18" s="20">
        <f t="shared" ref="AU18" si="1">SUM(AU11:AU16)</f>
        <v>205319</v>
      </c>
      <c r="AV18" s="20"/>
      <c r="AW18" s="20"/>
      <c r="AX18" s="20"/>
      <c r="AY18" s="21"/>
      <c r="AZ18" s="224"/>
    </row>
    <row r="19" spans="1:52" ht="15.6" customHeight="1">
      <c r="A19" s="31"/>
      <c r="B19" s="32"/>
      <c r="C19" s="32"/>
      <c r="D19" s="32"/>
      <c r="E19" s="32"/>
      <c r="F19" s="21"/>
      <c r="G19" s="32"/>
      <c r="H19" s="32"/>
      <c r="I19" s="32"/>
      <c r="J19" s="32"/>
      <c r="K19" s="21"/>
      <c r="L19" s="32"/>
      <c r="M19" s="32"/>
      <c r="N19" s="32"/>
      <c r="O19" s="32"/>
      <c r="P19" s="21"/>
      <c r="Q19" s="32"/>
      <c r="R19" s="32"/>
      <c r="S19" s="32"/>
      <c r="T19" s="32"/>
      <c r="U19" s="21"/>
      <c r="V19" s="32"/>
      <c r="W19" s="32"/>
      <c r="X19" s="32"/>
      <c r="Y19" s="32"/>
      <c r="Z19" s="21"/>
      <c r="AA19" s="32"/>
      <c r="AB19" s="32"/>
      <c r="AC19" s="32"/>
      <c r="AD19" s="32"/>
      <c r="AE19" s="21"/>
      <c r="AF19" s="32"/>
      <c r="AG19" s="32"/>
      <c r="AH19" s="32"/>
      <c r="AI19" s="32"/>
      <c r="AJ19" s="21"/>
      <c r="AK19" s="32"/>
      <c r="AL19" s="32"/>
      <c r="AM19" s="32"/>
      <c r="AN19" s="32"/>
      <c r="AO19" s="21"/>
      <c r="AP19" s="32"/>
      <c r="AQ19" s="32"/>
      <c r="AR19" s="32"/>
      <c r="AS19" s="32"/>
      <c r="AT19" s="21"/>
      <c r="AU19" s="32"/>
      <c r="AV19" s="32"/>
      <c r="AW19" s="32"/>
      <c r="AX19" s="32"/>
      <c r="AY19" s="21"/>
    </row>
    <row r="20" spans="1:52">
      <c r="A20" s="33" t="s">
        <v>64</v>
      </c>
      <c r="B20" s="27">
        <v>-1150</v>
      </c>
      <c r="C20" s="27">
        <v>-647</v>
      </c>
      <c r="D20" s="27">
        <v>-1207</v>
      </c>
      <c r="E20" s="27">
        <v>-548</v>
      </c>
      <c r="F20" s="23">
        <v>-3552</v>
      </c>
      <c r="G20" s="27">
        <v>-985</v>
      </c>
      <c r="H20" s="27">
        <v>-723</v>
      </c>
      <c r="I20" s="27">
        <v>-1358</v>
      </c>
      <c r="J20" s="27">
        <v>-526</v>
      </c>
      <c r="K20" s="23">
        <v>-3592</v>
      </c>
      <c r="L20" s="27">
        <v>-1047</v>
      </c>
      <c r="M20" s="27">
        <v>-1208</v>
      </c>
      <c r="N20" s="27">
        <v>-1608</v>
      </c>
      <c r="O20" s="27">
        <v>-3939</v>
      </c>
      <c r="P20" s="23">
        <v>-7802</v>
      </c>
      <c r="Q20" s="27">
        <v>-1722</v>
      </c>
      <c r="R20" s="27">
        <v>-2500</v>
      </c>
      <c r="S20" s="27">
        <v>-2961</v>
      </c>
      <c r="T20" s="27">
        <v>-2954</v>
      </c>
      <c r="U20" s="23">
        <v>-10137</v>
      </c>
      <c r="V20" s="27">
        <v>-3723</v>
      </c>
      <c r="W20" s="27">
        <v>1272</v>
      </c>
      <c r="X20" s="27">
        <v>-5065</v>
      </c>
      <c r="Y20" s="27">
        <v>-673</v>
      </c>
      <c r="Z20" s="23">
        <v>-8189</v>
      </c>
      <c r="AA20" s="27">
        <v>9086</v>
      </c>
      <c r="AB20" s="27">
        <v>-9266</v>
      </c>
      <c r="AC20" s="27">
        <v>-5912</v>
      </c>
      <c r="AD20" s="27">
        <v>-1305</v>
      </c>
      <c r="AE20" s="23">
        <v>-7397</v>
      </c>
      <c r="AF20" s="27">
        <v>-3904</v>
      </c>
      <c r="AG20" s="27">
        <v>-3124</v>
      </c>
      <c r="AH20" s="27">
        <v>-5476.9374051320665</v>
      </c>
      <c r="AI20" s="27">
        <v>-36874</v>
      </c>
      <c r="AJ20" s="23">
        <v>-49378.937405132063</v>
      </c>
      <c r="AK20" s="27">
        <v>-34095</v>
      </c>
      <c r="AL20" s="27">
        <v>-45102</v>
      </c>
      <c r="AM20" s="27">
        <v>-62691</v>
      </c>
      <c r="AN20" s="27">
        <v>-9791</v>
      </c>
      <c r="AO20" s="23">
        <v>-151679</v>
      </c>
      <c r="AP20" s="27">
        <v>-123392</v>
      </c>
      <c r="AQ20" s="27">
        <v>-61004</v>
      </c>
      <c r="AR20" s="27">
        <v>-104849</v>
      </c>
      <c r="AS20" s="27">
        <v>-126840</v>
      </c>
      <c r="AT20" s="23">
        <f>SUM(AP20:AS20)</f>
        <v>-416085</v>
      </c>
      <c r="AU20" s="27">
        <v>-76287</v>
      </c>
      <c r="AV20" s="27"/>
      <c r="AW20" s="27"/>
      <c r="AX20" s="27"/>
      <c r="AY20" s="23"/>
      <c r="AZ20" s="224"/>
    </row>
    <row r="21" spans="1:52">
      <c r="A21" s="33" t="s">
        <v>65</v>
      </c>
      <c r="B21" s="29">
        <v>-3881</v>
      </c>
      <c r="C21" s="29">
        <v>3374</v>
      </c>
      <c r="D21" s="29">
        <v>4210</v>
      </c>
      <c r="E21" s="29">
        <v>79</v>
      </c>
      <c r="F21" s="23">
        <v>3782</v>
      </c>
      <c r="G21" s="29">
        <v>10495</v>
      </c>
      <c r="H21" s="29">
        <v>-2635</v>
      </c>
      <c r="I21" s="29">
        <v>3679</v>
      </c>
      <c r="J21" s="29">
        <v>-774</v>
      </c>
      <c r="K21" s="23">
        <v>10765</v>
      </c>
      <c r="L21" s="29">
        <v>160</v>
      </c>
      <c r="M21" s="29">
        <v>-2361</v>
      </c>
      <c r="N21" s="29">
        <v>-4692</v>
      </c>
      <c r="O21" s="29">
        <v>-1314</v>
      </c>
      <c r="P21" s="23">
        <v>-8207</v>
      </c>
      <c r="Q21" s="29">
        <v>-6569</v>
      </c>
      <c r="R21" s="29">
        <v>-7109</v>
      </c>
      <c r="S21" s="29">
        <v>-1474</v>
      </c>
      <c r="T21" s="29">
        <v>3454</v>
      </c>
      <c r="U21" s="23">
        <v>-11698</v>
      </c>
      <c r="V21" s="29">
        <v>-8787</v>
      </c>
      <c r="W21" s="29">
        <v>1519</v>
      </c>
      <c r="X21" s="29">
        <v>-33</v>
      </c>
      <c r="Y21" s="27">
        <v>7470</v>
      </c>
      <c r="Z21" s="23">
        <v>169</v>
      </c>
      <c r="AA21" s="29">
        <v>-377</v>
      </c>
      <c r="AB21" s="29">
        <v>-232</v>
      </c>
      <c r="AC21" s="29">
        <v>3330</v>
      </c>
      <c r="AD21" s="27">
        <v>-1564</v>
      </c>
      <c r="AE21" s="23">
        <v>1157</v>
      </c>
      <c r="AF21" s="29">
        <v>-523</v>
      </c>
      <c r="AG21" s="29">
        <v>1742</v>
      </c>
      <c r="AH21" s="29">
        <v>4517.4004682856194</v>
      </c>
      <c r="AI21" s="29">
        <v>-5077</v>
      </c>
      <c r="AJ21" s="23">
        <v>659.40046828561935</v>
      </c>
      <c r="AK21" s="29">
        <v>853</v>
      </c>
      <c r="AL21" s="29">
        <v>429</v>
      </c>
      <c r="AM21" s="29">
        <v>1405</v>
      </c>
      <c r="AN21" s="29">
        <v>3416</v>
      </c>
      <c r="AO21" s="23">
        <f>SUM(AK21:AN21)</f>
        <v>6103</v>
      </c>
      <c r="AP21" s="29">
        <v>1781</v>
      </c>
      <c r="AQ21" s="29">
        <v>1374</v>
      </c>
      <c r="AR21" s="29">
        <v>2284</v>
      </c>
      <c r="AS21" s="29">
        <v>3652</v>
      </c>
      <c r="AT21" s="23">
        <f>SUM(AP21:AS21)</f>
        <v>9091</v>
      </c>
      <c r="AU21" s="29">
        <v>7366</v>
      </c>
      <c r="AV21" s="29"/>
      <c r="AW21" s="29"/>
      <c r="AX21" s="29"/>
      <c r="AY21" s="23"/>
      <c r="AZ21" s="224"/>
    </row>
    <row r="22" spans="1:52">
      <c r="A22" s="33"/>
      <c r="B22" s="34"/>
      <c r="C22" s="34"/>
      <c r="D22" s="34"/>
      <c r="E22" s="34"/>
      <c r="F22" s="21"/>
      <c r="G22" s="34"/>
      <c r="H22" s="34"/>
      <c r="I22" s="34"/>
      <c r="J22" s="34"/>
      <c r="K22" s="21"/>
      <c r="L22" s="34"/>
      <c r="M22" s="34"/>
      <c r="N22" s="34"/>
      <c r="O22" s="34"/>
      <c r="P22" s="21"/>
      <c r="Q22" s="34"/>
      <c r="R22" s="34"/>
      <c r="S22" s="34"/>
      <c r="T22" s="34"/>
      <c r="U22" s="21"/>
      <c r="V22" s="34"/>
      <c r="W22" s="34"/>
      <c r="X22" s="34"/>
      <c r="Y22" s="34"/>
      <c r="Z22" s="21"/>
      <c r="AA22" s="34"/>
      <c r="AB22" s="34"/>
      <c r="AC22" s="34"/>
      <c r="AD22" s="34"/>
      <c r="AE22" s="21"/>
      <c r="AF22" s="34"/>
      <c r="AG22" s="34"/>
      <c r="AH22" s="34"/>
      <c r="AI22" s="34"/>
      <c r="AJ22" s="21"/>
      <c r="AK22" s="34"/>
      <c r="AL22" s="34"/>
      <c r="AM22" s="34"/>
      <c r="AN22" s="34"/>
      <c r="AO22" s="21"/>
      <c r="AP22" s="34"/>
      <c r="AQ22" s="34"/>
      <c r="AR22" s="34"/>
      <c r="AS22" s="34"/>
      <c r="AT22" s="21"/>
      <c r="AU22" s="34"/>
      <c r="AV22" s="34"/>
      <c r="AW22" s="34"/>
      <c r="AX22" s="34"/>
      <c r="AY22" s="21"/>
      <c r="AZ22" s="224"/>
    </row>
    <row r="23" spans="1:52">
      <c r="A23" s="31" t="s">
        <v>66</v>
      </c>
      <c r="B23" s="20">
        <v>-3781</v>
      </c>
      <c r="C23" s="20">
        <v>7213</v>
      </c>
      <c r="D23" s="20">
        <v>5973</v>
      </c>
      <c r="E23" s="20">
        <v>6328</v>
      </c>
      <c r="F23" s="21">
        <v>15733</v>
      </c>
      <c r="G23" s="20">
        <v>12311</v>
      </c>
      <c r="H23" s="20">
        <v>-1503</v>
      </c>
      <c r="I23" s="20">
        <v>-1905</v>
      </c>
      <c r="J23" s="20">
        <v>48468</v>
      </c>
      <c r="K23" s="21">
        <v>57371</v>
      </c>
      <c r="L23" s="20">
        <v>-4241</v>
      </c>
      <c r="M23" s="20">
        <v>-4116</v>
      </c>
      <c r="N23" s="20">
        <v>8211</v>
      </c>
      <c r="O23" s="20">
        <v>15490</v>
      </c>
      <c r="P23" s="21">
        <v>15344</v>
      </c>
      <c r="Q23" s="20">
        <v>-6944</v>
      </c>
      <c r="R23" s="20">
        <v>4087</v>
      </c>
      <c r="S23" s="20">
        <v>34825</v>
      </c>
      <c r="T23" s="20">
        <v>43516.000000000051</v>
      </c>
      <c r="U23" s="21">
        <v>75484.000000000058</v>
      </c>
      <c r="V23" s="20">
        <v>30208</v>
      </c>
      <c r="W23" s="20">
        <v>36944</v>
      </c>
      <c r="X23" s="20">
        <v>25547</v>
      </c>
      <c r="Y23" s="20">
        <v>55200</v>
      </c>
      <c r="Z23" s="21">
        <v>147899</v>
      </c>
      <c r="AA23" s="20">
        <v>49859</v>
      </c>
      <c r="AB23" s="20">
        <v>11906</v>
      </c>
      <c r="AC23" s="20">
        <v>4990.9999999999927</v>
      </c>
      <c r="AD23" s="20">
        <v>15235</v>
      </c>
      <c r="AE23" s="21">
        <v>81991</v>
      </c>
      <c r="AF23" s="20">
        <v>19429</v>
      </c>
      <c r="AG23" s="20">
        <v>13623</v>
      </c>
      <c r="AH23" s="20">
        <v>15611.463063153553</v>
      </c>
      <c r="AI23" s="20">
        <v>-10359</v>
      </c>
      <c r="AJ23" s="21">
        <v>38304.463063153555</v>
      </c>
      <c r="AK23" s="20">
        <v>1771</v>
      </c>
      <c r="AL23" s="20">
        <v>-4275</v>
      </c>
      <c r="AM23" s="20">
        <v>-2085</v>
      </c>
      <c r="AN23" s="20">
        <v>57009</v>
      </c>
      <c r="AO23" s="21">
        <v>52420.222780953802</v>
      </c>
      <c r="AP23" s="20">
        <f t="shared" ref="AP23:AR23" si="2">SUM(AP18:AP21)</f>
        <v>-54949</v>
      </c>
      <c r="AQ23" s="20">
        <f t="shared" si="2"/>
        <v>31372</v>
      </c>
      <c r="AR23" s="20">
        <f t="shared" si="2"/>
        <v>33518</v>
      </c>
      <c r="AS23" s="20">
        <f>SUM(AS18:AS21)</f>
        <v>41932</v>
      </c>
      <c r="AT23" s="21">
        <f>SUM(AP23:AS23)</f>
        <v>51873</v>
      </c>
      <c r="AU23" s="20">
        <f t="shared" ref="AU23" si="3">SUM(AU18:AU21)</f>
        <v>136398</v>
      </c>
      <c r="AV23" s="20"/>
      <c r="AW23" s="20"/>
      <c r="AX23" s="20"/>
      <c r="AY23" s="21"/>
    </row>
    <row r="24" spans="1:52">
      <c r="A24" s="33"/>
      <c r="B24" s="25"/>
      <c r="C24" s="25"/>
      <c r="D24" s="25"/>
      <c r="E24" s="25"/>
      <c r="F24" s="21"/>
      <c r="G24" s="25"/>
      <c r="H24" s="25"/>
      <c r="I24" s="25"/>
      <c r="J24" s="25"/>
      <c r="K24" s="21"/>
      <c r="L24" s="25"/>
      <c r="M24" s="25"/>
      <c r="N24" s="25"/>
      <c r="O24" s="25"/>
      <c r="P24" s="21"/>
      <c r="Q24" s="25"/>
      <c r="R24" s="25"/>
      <c r="S24" s="25"/>
      <c r="T24" s="25"/>
      <c r="U24" s="21"/>
      <c r="V24" s="25"/>
      <c r="W24" s="25"/>
      <c r="X24" s="25"/>
      <c r="Y24" s="25"/>
      <c r="Z24" s="21"/>
      <c r="AA24" s="25"/>
      <c r="AB24" s="25"/>
      <c r="AC24" s="25"/>
      <c r="AD24" s="25"/>
      <c r="AE24" s="21"/>
      <c r="AF24" s="25"/>
      <c r="AG24" s="25"/>
      <c r="AH24" s="25"/>
      <c r="AI24" s="25"/>
      <c r="AJ24" s="21"/>
      <c r="AK24" s="25"/>
      <c r="AL24" s="25"/>
      <c r="AM24" s="25"/>
      <c r="AN24" s="25"/>
      <c r="AO24" s="21"/>
      <c r="AP24" s="25"/>
      <c r="AQ24" s="25"/>
      <c r="AR24" s="25"/>
      <c r="AS24" s="25"/>
      <c r="AT24" s="21"/>
      <c r="AU24" s="25"/>
      <c r="AV24" s="25"/>
      <c r="AW24" s="25"/>
      <c r="AX24" s="25"/>
      <c r="AY24" s="21"/>
    </row>
    <row r="25" spans="1:52">
      <c r="A25" s="33" t="s">
        <v>67</v>
      </c>
      <c r="B25" s="29">
        <v>-1242</v>
      </c>
      <c r="C25" s="29">
        <v>-2971</v>
      </c>
      <c r="D25" s="29">
        <v>-1379</v>
      </c>
      <c r="E25" s="29">
        <v>40</v>
      </c>
      <c r="F25" s="23">
        <v>-5552</v>
      </c>
      <c r="G25" s="29">
        <v>-1031</v>
      </c>
      <c r="H25" s="29">
        <v>-3827</v>
      </c>
      <c r="I25" s="29">
        <v>2742</v>
      </c>
      <c r="J25" s="29">
        <v>-3290</v>
      </c>
      <c r="K25" s="23">
        <v>-5406</v>
      </c>
      <c r="L25" s="29">
        <v>-1042</v>
      </c>
      <c r="M25" s="29">
        <v>-439</v>
      </c>
      <c r="N25" s="29">
        <v>-3272</v>
      </c>
      <c r="O25" s="29"/>
      <c r="P25" s="23">
        <v>-4753</v>
      </c>
      <c r="Q25" s="29">
        <v>-1227</v>
      </c>
      <c r="R25" s="29">
        <v>-1437</v>
      </c>
      <c r="S25" s="29">
        <v>-10340</v>
      </c>
      <c r="T25" s="29">
        <v>-10451</v>
      </c>
      <c r="U25" s="23">
        <v>-23455</v>
      </c>
      <c r="V25" s="29">
        <v>-9260</v>
      </c>
      <c r="W25" s="29">
        <v>-7869</v>
      </c>
      <c r="X25" s="29">
        <v>-8240</v>
      </c>
      <c r="Y25" s="29">
        <v>-7072</v>
      </c>
      <c r="Z25" s="23">
        <v>-32440</v>
      </c>
      <c r="AA25" s="29">
        <v>-13726</v>
      </c>
      <c r="AB25" s="29">
        <v>-7259</v>
      </c>
      <c r="AC25" s="29">
        <v>-2099</v>
      </c>
      <c r="AD25" s="29">
        <v>-3748</v>
      </c>
      <c r="AE25" s="23">
        <v>-26832</v>
      </c>
      <c r="AF25" s="29">
        <v>-5609</v>
      </c>
      <c r="AG25" s="29">
        <v>-4833</v>
      </c>
      <c r="AH25" s="29">
        <v>-6758</v>
      </c>
      <c r="AI25" s="29">
        <v>-1598</v>
      </c>
      <c r="AJ25" s="23">
        <v>-18798</v>
      </c>
      <c r="AK25" s="29">
        <v>-10143</v>
      </c>
      <c r="AL25" s="29">
        <v>-14612</v>
      </c>
      <c r="AM25" s="29">
        <v>-11833</v>
      </c>
      <c r="AN25" s="29">
        <v>-16383</v>
      </c>
      <c r="AO25" s="23">
        <v>-52971</v>
      </c>
      <c r="AP25" s="29">
        <v>-20814</v>
      </c>
      <c r="AQ25" s="29">
        <v>-29551</v>
      </c>
      <c r="AR25" s="29">
        <v>-38402</v>
      </c>
      <c r="AS25" s="29">
        <v>-50064</v>
      </c>
      <c r="AT25" s="23">
        <f>SUM(AP25:AS25)</f>
        <v>-138831</v>
      </c>
      <c r="AU25" s="29">
        <v>-47409</v>
      </c>
      <c r="AV25" s="29"/>
      <c r="AW25" s="29"/>
      <c r="AX25" s="29"/>
      <c r="AY25" s="23"/>
    </row>
    <row r="26" spans="1:52">
      <c r="A26" s="33" t="s">
        <v>68</v>
      </c>
      <c r="B26" s="35">
        <v>0</v>
      </c>
      <c r="C26" s="35">
        <v>0</v>
      </c>
      <c r="D26" s="35">
        <v>0</v>
      </c>
      <c r="E26" s="35">
        <v>0</v>
      </c>
      <c r="F26" s="23">
        <v>0</v>
      </c>
      <c r="G26" s="35">
        <v>0</v>
      </c>
      <c r="H26" s="35">
        <v>0</v>
      </c>
      <c r="I26" s="35">
        <v>0</v>
      </c>
      <c r="J26" s="35">
        <v>0</v>
      </c>
      <c r="K26" s="23">
        <v>0</v>
      </c>
      <c r="L26" s="35">
        <v>560</v>
      </c>
      <c r="M26" s="35">
        <v>641</v>
      </c>
      <c r="N26" s="35">
        <v>-1140</v>
      </c>
      <c r="O26" s="35">
        <v>14235</v>
      </c>
      <c r="P26" s="23">
        <v>14296</v>
      </c>
      <c r="Q26" s="35">
        <v>-9568</v>
      </c>
      <c r="R26" s="35">
        <v>1074</v>
      </c>
      <c r="S26" s="35">
        <v>105</v>
      </c>
      <c r="T26" s="35">
        <v>24837</v>
      </c>
      <c r="U26" s="23">
        <v>16448</v>
      </c>
      <c r="V26" s="35">
        <v>-6989</v>
      </c>
      <c r="W26" s="35">
        <v>-3041</v>
      </c>
      <c r="X26" s="35">
        <v>-6117</v>
      </c>
      <c r="Y26" s="35">
        <v>-6649</v>
      </c>
      <c r="Z26" s="23">
        <v>-22796</v>
      </c>
      <c r="AA26" s="35">
        <v>4056</v>
      </c>
      <c r="AB26" s="35">
        <v>-972</v>
      </c>
      <c r="AC26" s="35">
        <v>-2822</v>
      </c>
      <c r="AD26" s="35">
        <v>826</v>
      </c>
      <c r="AE26" s="23">
        <v>1088</v>
      </c>
      <c r="AF26" s="35">
        <v>4839</v>
      </c>
      <c r="AG26" s="35">
        <v>2579</v>
      </c>
      <c r="AH26" s="35">
        <v>-1095</v>
      </c>
      <c r="AI26" s="35">
        <v>6049</v>
      </c>
      <c r="AJ26" s="23">
        <v>12372</v>
      </c>
      <c r="AK26" s="35">
        <v>-845</v>
      </c>
      <c r="AL26" s="35">
        <v>-6888</v>
      </c>
      <c r="AM26" s="35">
        <v>1995</v>
      </c>
      <c r="AN26" s="35">
        <v>-23982</v>
      </c>
      <c r="AO26" s="23">
        <v>-29720</v>
      </c>
      <c r="AP26" s="35">
        <v>2514</v>
      </c>
      <c r="AQ26" s="35">
        <v>6326</v>
      </c>
      <c r="AR26" s="35">
        <v>10510</v>
      </c>
      <c r="AS26" s="35">
        <v>-11732</v>
      </c>
      <c r="AT26" s="23">
        <f>SUM(AP26:AS26)</f>
        <v>7618</v>
      </c>
      <c r="AU26" s="35">
        <v>6169</v>
      </c>
      <c r="AV26" s="35"/>
      <c r="AW26" s="35"/>
      <c r="AX26" s="35"/>
      <c r="AY26" s="23"/>
    </row>
    <row r="27" spans="1:52">
      <c r="A27" s="33"/>
      <c r="B27" s="36"/>
      <c r="C27" s="36"/>
      <c r="D27" s="36"/>
      <c r="E27" s="36"/>
      <c r="F27" s="21"/>
      <c r="G27" s="36"/>
      <c r="H27" s="36"/>
      <c r="I27" s="36"/>
      <c r="J27" s="36"/>
      <c r="K27" s="21"/>
      <c r="L27" s="36"/>
      <c r="M27" s="36"/>
      <c r="N27" s="36"/>
      <c r="O27" s="36"/>
      <c r="P27" s="21"/>
      <c r="Q27" s="36"/>
      <c r="R27" s="36"/>
      <c r="S27" s="36"/>
      <c r="T27" s="36"/>
      <c r="U27" s="21"/>
      <c r="V27" s="36"/>
      <c r="W27" s="36"/>
      <c r="X27" s="36"/>
      <c r="Y27" s="36"/>
      <c r="Z27" s="21"/>
      <c r="AA27" s="36"/>
      <c r="AB27" s="36"/>
      <c r="AC27" s="36"/>
      <c r="AD27" s="36"/>
      <c r="AE27" s="21"/>
      <c r="AF27" s="36"/>
      <c r="AG27" s="36"/>
      <c r="AH27" s="36"/>
      <c r="AI27" s="36"/>
      <c r="AJ27" s="21"/>
      <c r="AK27" s="36"/>
      <c r="AL27" s="36"/>
      <c r="AM27" s="36"/>
      <c r="AN27" s="36"/>
      <c r="AO27" s="21"/>
      <c r="AP27" s="36"/>
      <c r="AQ27" s="36"/>
      <c r="AR27" s="36"/>
      <c r="AS27" s="36"/>
      <c r="AT27" s="21"/>
      <c r="AU27" s="36"/>
      <c r="AV27" s="36"/>
      <c r="AW27" s="36"/>
      <c r="AX27" s="36"/>
      <c r="AY27" s="21"/>
    </row>
    <row r="28" spans="1:52">
      <c r="A28" s="31" t="s">
        <v>69</v>
      </c>
      <c r="B28" s="36">
        <v>0</v>
      </c>
      <c r="C28" s="36">
        <v>0</v>
      </c>
      <c r="D28" s="36">
        <v>0</v>
      </c>
      <c r="E28" s="36">
        <v>0</v>
      </c>
      <c r="F28" s="21">
        <v>0</v>
      </c>
      <c r="G28" s="36">
        <v>0</v>
      </c>
      <c r="H28" s="36">
        <v>0</v>
      </c>
      <c r="I28" s="36">
        <v>0</v>
      </c>
      <c r="J28" s="36">
        <v>0</v>
      </c>
      <c r="K28" s="21">
        <v>0</v>
      </c>
      <c r="L28" s="36">
        <v>0</v>
      </c>
      <c r="M28" s="36">
        <v>0</v>
      </c>
      <c r="N28" s="36">
        <v>0</v>
      </c>
      <c r="O28" s="36">
        <v>0</v>
      </c>
      <c r="P28" s="21">
        <v>0</v>
      </c>
      <c r="Q28" s="36">
        <v>0</v>
      </c>
      <c r="R28" s="36">
        <v>0</v>
      </c>
      <c r="S28" s="36">
        <v>0</v>
      </c>
      <c r="T28" s="36">
        <v>0</v>
      </c>
      <c r="U28" s="21">
        <v>0</v>
      </c>
      <c r="V28" s="35">
        <v>-10701</v>
      </c>
      <c r="W28" s="35">
        <v>-4491</v>
      </c>
      <c r="X28" s="35">
        <v>-25771</v>
      </c>
      <c r="Y28" s="35">
        <v>-8197</v>
      </c>
      <c r="Z28" s="23">
        <v>-49160</v>
      </c>
      <c r="AA28" s="35">
        <v>-1023</v>
      </c>
      <c r="AB28" s="35">
        <v>11273</v>
      </c>
      <c r="AC28" s="37">
        <v>0</v>
      </c>
      <c r="AD28" s="37">
        <v>0</v>
      </c>
      <c r="AE28" s="23">
        <v>10250</v>
      </c>
      <c r="AF28" s="36">
        <v>0</v>
      </c>
      <c r="AG28" s="36">
        <v>0</v>
      </c>
      <c r="AH28" s="36">
        <v>0</v>
      </c>
      <c r="AI28" s="36">
        <v>0</v>
      </c>
      <c r="AJ28" s="21">
        <v>0</v>
      </c>
      <c r="AK28" s="36">
        <v>0</v>
      </c>
      <c r="AL28" s="36">
        <v>0</v>
      </c>
      <c r="AM28" s="36"/>
      <c r="AN28" s="36"/>
      <c r="AO28" s="21"/>
      <c r="AP28" s="36"/>
      <c r="AQ28" s="36"/>
      <c r="AR28" s="36"/>
      <c r="AS28" s="36"/>
      <c r="AT28" s="21"/>
      <c r="AU28" s="36"/>
      <c r="AV28" s="36"/>
      <c r="AW28" s="36"/>
      <c r="AX28" s="36"/>
      <c r="AY28" s="21"/>
    </row>
    <row r="29" spans="1:52">
      <c r="A29" s="33"/>
      <c r="B29" s="36"/>
      <c r="C29" s="36"/>
      <c r="D29" s="36"/>
      <c r="E29" s="36"/>
      <c r="F29" s="21"/>
      <c r="G29" s="36"/>
      <c r="H29" s="36"/>
      <c r="I29" s="36"/>
      <c r="J29" s="36"/>
      <c r="K29" s="21"/>
      <c r="L29" s="36"/>
      <c r="M29" s="36"/>
      <c r="N29" s="36"/>
      <c r="O29" s="36"/>
      <c r="P29" s="21"/>
      <c r="Q29" s="36"/>
      <c r="R29" s="36"/>
      <c r="S29" s="36"/>
      <c r="T29" s="36"/>
      <c r="U29" s="21"/>
      <c r="V29" s="36"/>
      <c r="W29" s="36"/>
      <c r="X29" s="36"/>
      <c r="Y29" s="36"/>
      <c r="Z29" s="21"/>
      <c r="AA29" s="36"/>
      <c r="AB29" s="36"/>
      <c r="AC29" s="36"/>
      <c r="AD29" s="36"/>
      <c r="AE29" s="21"/>
      <c r="AF29" s="36"/>
      <c r="AG29" s="36"/>
      <c r="AH29" s="36"/>
      <c r="AI29" s="36"/>
      <c r="AJ29" s="21"/>
      <c r="AK29" s="36"/>
      <c r="AL29" s="36"/>
      <c r="AM29" s="36"/>
      <c r="AN29" s="36"/>
      <c r="AO29" s="21"/>
      <c r="AP29" s="36"/>
      <c r="AQ29" s="36"/>
      <c r="AR29" s="36"/>
      <c r="AS29" s="36"/>
      <c r="AT29" s="21"/>
      <c r="AU29" s="36"/>
      <c r="AV29" s="36"/>
      <c r="AW29" s="36"/>
      <c r="AX29" s="36"/>
      <c r="AY29" s="21"/>
    </row>
    <row r="30" spans="1:52">
      <c r="A30" s="31" t="s">
        <v>70</v>
      </c>
      <c r="B30" s="38">
        <v>-5023</v>
      </c>
      <c r="C30" s="38">
        <v>4242</v>
      </c>
      <c r="D30" s="38">
        <v>4594</v>
      </c>
      <c r="E30" s="38">
        <v>6368</v>
      </c>
      <c r="F30" s="21">
        <v>10181</v>
      </c>
      <c r="G30" s="38">
        <v>11280</v>
      </c>
      <c r="H30" s="38">
        <v>-5330</v>
      </c>
      <c r="I30" s="38">
        <v>837</v>
      </c>
      <c r="J30" s="38">
        <v>45178</v>
      </c>
      <c r="K30" s="21">
        <v>51965</v>
      </c>
      <c r="L30" s="38">
        <v>-4723</v>
      </c>
      <c r="M30" s="38">
        <v>-3914</v>
      </c>
      <c r="N30" s="38">
        <v>3799</v>
      </c>
      <c r="O30" s="38">
        <v>29725</v>
      </c>
      <c r="P30" s="21">
        <v>24887</v>
      </c>
      <c r="Q30" s="38">
        <v>-17739</v>
      </c>
      <c r="R30" s="38">
        <v>3724</v>
      </c>
      <c r="S30" s="38">
        <v>24590</v>
      </c>
      <c r="T30" s="38">
        <v>57902.000000000051</v>
      </c>
      <c r="U30" s="21">
        <v>68477.000000000058</v>
      </c>
      <c r="V30" s="38">
        <v>3258</v>
      </c>
      <c r="W30" s="38">
        <v>21543</v>
      </c>
      <c r="X30" s="38">
        <v>-14581</v>
      </c>
      <c r="Y30" s="38">
        <v>33283</v>
      </c>
      <c r="Z30" s="21">
        <v>43503</v>
      </c>
      <c r="AA30" s="38">
        <v>39166</v>
      </c>
      <c r="AB30" s="38">
        <v>14948</v>
      </c>
      <c r="AC30" s="38">
        <v>69.999999999992724</v>
      </c>
      <c r="AD30" s="38">
        <v>12313</v>
      </c>
      <c r="AE30" s="21">
        <v>66497</v>
      </c>
      <c r="AF30" s="38">
        <v>18659</v>
      </c>
      <c r="AG30" s="38">
        <v>11369</v>
      </c>
      <c r="AH30" s="38">
        <v>7758.4630631535529</v>
      </c>
      <c r="AI30" s="38">
        <v>-5908</v>
      </c>
      <c r="AJ30" s="21">
        <v>31880</v>
      </c>
      <c r="AK30" s="38">
        <v>-9217</v>
      </c>
      <c r="AL30" s="38">
        <v>-25775</v>
      </c>
      <c r="AM30" s="38">
        <v>-11923</v>
      </c>
      <c r="AN30" s="38">
        <v>16644</v>
      </c>
      <c r="AO30" s="21">
        <v>-30270.777219046198</v>
      </c>
      <c r="AP30" s="38">
        <v>-73249</v>
      </c>
      <c r="AQ30" s="38">
        <v>8147</v>
      </c>
      <c r="AR30" s="38">
        <v>5626</v>
      </c>
      <c r="AS30" s="38">
        <f>SUM(AS23:AS28)</f>
        <v>-19864</v>
      </c>
      <c r="AT30" s="21">
        <f>SUM(AP30:AS30)</f>
        <v>-79340</v>
      </c>
      <c r="AU30" s="38">
        <f>SUM(AU23:AU28)</f>
        <v>95158</v>
      </c>
      <c r="AV30" s="38"/>
      <c r="AW30" s="38"/>
      <c r="AX30" s="38"/>
      <c r="AY30" s="21"/>
    </row>
    <row r="31" spans="1:52">
      <c r="A31" s="31"/>
      <c r="B31" s="38"/>
      <c r="C31" s="38"/>
      <c r="D31" s="38"/>
      <c r="E31" s="38"/>
      <c r="F31" s="21"/>
      <c r="G31" s="38"/>
      <c r="H31" s="38"/>
      <c r="I31" s="38"/>
      <c r="J31" s="38"/>
      <c r="K31" s="21"/>
      <c r="L31" s="38"/>
      <c r="M31" s="38"/>
      <c r="N31" s="38"/>
      <c r="O31" s="38"/>
      <c r="P31" s="21"/>
      <c r="Q31" s="38"/>
      <c r="R31" s="38"/>
      <c r="S31" s="38"/>
      <c r="T31" s="38"/>
      <c r="U31" s="21"/>
      <c r="V31" s="38"/>
      <c r="W31" s="38"/>
      <c r="X31" s="38"/>
      <c r="Y31" s="38"/>
      <c r="Z31" s="21"/>
      <c r="AA31" s="38"/>
      <c r="AB31" s="38"/>
      <c r="AC31" s="38"/>
      <c r="AD31" s="38"/>
      <c r="AE31" s="21"/>
      <c r="AF31" s="38"/>
      <c r="AG31" s="38"/>
      <c r="AH31" s="38"/>
      <c r="AI31" s="38"/>
      <c r="AJ31" s="21"/>
      <c r="AK31" s="38"/>
      <c r="AL31" s="38"/>
      <c r="AM31" s="38"/>
      <c r="AN31" s="38"/>
      <c r="AO31" s="21"/>
      <c r="AP31" s="38"/>
      <c r="AQ31" s="38"/>
      <c r="AR31" s="38"/>
      <c r="AS31" s="38"/>
      <c r="AT31" s="21"/>
      <c r="AU31" s="38"/>
      <c r="AV31" s="38"/>
      <c r="AW31" s="38"/>
      <c r="AX31" s="38"/>
      <c r="AY31" s="21"/>
    </row>
    <row r="32" spans="1:52">
      <c r="A32" s="24" t="s">
        <v>71</v>
      </c>
      <c r="B32" s="27">
        <v>2774</v>
      </c>
      <c r="C32" s="27">
        <v>2798</v>
      </c>
      <c r="D32" s="27">
        <v>2529</v>
      </c>
      <c r="E32" s="27">
        <v>5870</v>
      </c>
      <c r="F32" s="23">
        <v>13971</v>
      </c>
      <c r="G32" s="27">
        <v>4067</v>
      </c>
      <c r="H32" s="27">
        <v>4077</v>
      </c>
      <c r="I32" s="27">
        <v>3834</v>
      </c>
      <c r="J32" s="27">
        <v>3775</v>
      </c>
      <c r="K32" s="23">
        <v>15753</v>
      </c>
      <c r="L32" s="27">
        <v>5724</v>
      </c>
      <c r="M32" s="27">
        <v>4726</v>
      </c>
      <c r="N32" s="27">
        <v>5559</v>
      </c>
      <c r="O32" s="27">
        <v>6430</v>
      </c>
      <c r="P32" s="23">
        <v>22439</v>
      </c>
      <c r="Q32" s="27">
        <v>4467</v>
      </c>
      <c r="R32" s="27">
        <v>5286</v>
      </c>
      <c r="S32" s="27">
        <v>4907</v>
      </c>
      <c r="T32" s="27">
        <v>8285</v>
      </c>
      <c r="U32" s="23">
        <v>22945</v>
      </c>
      <c r="V32" s="27">
        <v>9704</v>
      </c>
      <c r="W32" s="27">
        <v>8439</v>
      </c>
      <c r="X32" s="27">
        <v>8499</v>
      </c>
      <c r="Y32" s="27">
        <v>8711</v>
      </c>
      <c r="Z32" s="23">
        <v>35353</v>
      </c>
      <c r="AA32" s="27">
        <v>9062</v>
      </c>
      <c r="AB32" s="27">
        <v>8918</v>
      </c>
      <c r="AC32" s="27">
        <v>9088</v>
      </c>
      <c r="AD32" s="27">
        <v>18480</v>
      </c>
      <c r="AE32" s="23">
        <v>45548</v>
      </c>
      <c r="AF32" s="27">
        <v>12748</v>
      </c>
      <c r="AG32" s="27">
        <v>11591</v>
      </c>
      <c r="AH32" s="27">
        <v>13449</v>
      </c>
      <c r="AI32" s="27">
        <v>9301</v>
      </c>
      <c r="AJ32" s="23">
        <v>47089</v>
      </c>
      <c r="AK32" s="27">
        <v>16748</v>
      </c>
      <c r="AL32" s="27">
        <v>15346</v>
      </c>
      <c r="AM32" s="27">
        <v>17009</v>
      </c>
      <c r="AN32" s="27">
        <v>13534</v>
      </c>
      <c r="AO32" s="23">
        <v>62732</v>
      </c>
      <c r="AP32" s="27">
        <v>14063</v>
      </c>
      <c r="AQ32" s="27">
        <v>15283</v>
      </c>
      <c r="AR32" s="27">
        <v>15200</v>
      </c>
      <c r="AS32" s="27">
        <v>26407</v>
      </c>
      <c r="AT32" s="23">
        <f>SUM(AP32:AS32)</f>
        <v>70953</v>
      </c>
      <c r="AU32" s="27">
        <v>33141</v>
      </c>
      <c r="AV32" s="27"/>
      <c r="AW32" s="27"/>
      <c r="AX32" s="27"/>
      <c r="AY32" s="23"/>
    </row>
    <row r="33" spans="1:51">
      <c r="A33" s="39" t="s">
        <v>72</v>
      </c>
      <c r="B33" s="38">
        <v>4024</v>
      </c>
      <c r="C33" s="38">
        <v>7284</v>
      </c>
      <c r="D33" s="38">
        <v>5499</v>
      </c>
      <c r="E33" s="38">
        <v>12667</v>
      </c>
      <c r="F33" s="21">
        <v>29474</v>
      </c>
      <c r="G33" s="38">
        <f>G18+G32</f>
        <v>6868</v>
      </c>
      <c r="H33" s="38">
        <f>H18+H32</f>
        <v>5932</v>
      </c>
      <c r="I33" s="38">
        <f>I18+I32</f>
        <v>-392</v>
      </c>
      <c r="J33" s="38">
        <f>J18+J32</f>
        <v>53543</v>
      </c>
      <c r="K33" s="21">
        <f>K18+K32</f>
        <v>65951</v>
      </c>
      <c r="L33" s="38">
        <v>2370</v>
      </c>
      <c r="M33" s="38">
        <v>4179</v>
      </c>
      <c r="N33" s="38">
        <v>20070</v>
      </c>
      <c r="O33" s="38">
        <v>27173</v>
      </c>
      <c r="P33" s="21">
        <v>53825</v>
      </c>
      <c r="Q33" s="38">
        <v>5814</v>
      </c>
      <c r="R33" s="38">
        <v>18982</v>
      </c>
      <c r="S33" s="38">
        <v>44167</v>
      </c>
      <c r="T33" s="38">
        <v>50444.000000000051</v>
      </c>
      <c r="U33" s="21">
        <v>119407.00000000006</v>
      </c>
      <c r="V33" s="38">
        <v>52422</v>
      </c>
      <c r="W33" s="38">
        <v>42592</v>
      </c>
      <c r="X33" s="38">
        <v>39144</v>
      </c>
      <c r="Y33" s="38">
        <v>57114</v>
      </c>
      <c r="Z33" s="21">
        <v>189980</v>
      </c>
      <c r="AA33" s="38">
        <v>50212</v>
      </c>
      <c r="AB33" s="38">
        <v>30322</v>
      </c>
      <c r="AC33" s="38">
        <v>16660.999999999993</v>
      </c>
      <c r="AD33" s="38">
        <v>36584</v>
      </c>
      <c r="AE33" s="21">
        <v>133779</v>
      </c>
      <c r="AF33" s="38">
        <v>36604</v>
      </c>
      <c r="AG33" s="38">
        <v>26596</v>
      </c>
      <c r="AH33" s="38">
        <v>30020</v>
      </c>
      <c r="AI33" s="38">
        <v>40893</v>
      </c>
      <c r="AJ33" s="21">
        <v>134107</v>
      </c>
      <c r="AK33" s="38">
        <v>53208</v>
      </c>
      <c r="AL33" s="38">
        <v>56172</v>
      </c>
      <c r="AM33" s="38">
        <v>78073</v>
      </c>
      <c r="AN33" s="38">
        <v>79319</v>
      </c>
      <c r="AO33" s="21">
        <v>266768</v>
      </c>
      <c r="AP33" s="38">
        <v>81479</v>
      </c>
      <c r="AQ33" s="38">
        <v>106224</v>
      </c>
      <c r="AR33" s="38">
        <v>152105</v>
      </c>
      <c r="AS33" s="38">
        <v>207948</v>
      </c>
      <c r="AT33" s="21">
        <f>SUM(AP33:AS33)</f>
        <v>547756</v>
      </c>
      <c r="AU33" s="38">
        <v>243868</v>
      </c>
      <c r="AV33" s="38"/>
      <c r="AW33" s="38"/>
      <c r="AX33" s="38"/>
      <c r="AY33" s="21"/>
    </row>
    <row r="34" spans="1:51">
      <c r="A34" s="39" t="s">
        <v>73</v>
      </c>
      <c r="B34" s="40">
        <v>0.115294252478368</v>
      </c>
      <c r="C34" s="40">
        <v>0.16462133025967862</v>
      </c>
      <c r="D34" s="40">
        <v>0.13806869539017777</v>
      </c>
      <c r="E34" s="40">
        <v>0.32702535240357311</v>
      </c>
      <c r="F34" s="41">
        <v>0.18688613983805821</v>
      </c>
      <c r="G34" s="40">
        <v>0.15254425515847456</v>
      </c>
      <c r="H34" s="40">
        <v>0.13083947240725219</v>
      </c>
      <c r="I34" s="40">
        <v>-1.1815770436460092E-2</v>
      </c>
      <c r="J34" s="40">
        <f>J33/J8</f>
        <v>1.5671886433484561</v>
      </c>
      <c r="K34" s="41">
        <f>K33/K8</f>
        <v>0.4182001496493386</v>
      </c>
      <c r="L34" s="40">
        <v>6.5368490732568396E-2</v>
      </c>
      <c r="M34" s="40">
        <v>8.2959463215150672E-2</v>
      </c>
      <c r="N34" s="40">
        <v>0.28704643945136515</v>
      </c>
      <c r="O34" s="40">
        <v>0.39011959283878656</v>
      </c>
      <c r="P34" s="41">
        <v>0.23795103491569483</v>
      </c>
      <c r="Q34" s="40">
        <v>0.11956566445934273</v>
      </c>
      <c r="R34" s="40">
        <v>0.31202945721142783</v>
      </c>
      <c r="S34" s="40">
        <v>0.49179360413326206</v>
      </c>
      <c r="T34" s="40">
        <v>0.50140150686837803</v>
      </c>
      <c r="U34" s="41">
        <v>0.39819057337415065</v>
      </c>
      <c r="V34" s="40">
        <v>0.45181252477892886</v>
      </c>
      <c r="W34" s="40">
        <v>0.40525985270890025</v>
      </c>
      <c r="X34" s="40">
        <v>0.40329692973418502</v>
      </c>
      <c r="Y34" s="40">
        <v>0.53971763905426096</v>
      </c>
      <c r="Z34" s="41">
        <v>0.44805969726843486</v>
      </c>
      <c r="AA34" s="40">
        <v>0.44721935231037802</v>
      </c>
      <c r="AB34" s="40">
        <v>0.32470230446329135</v>
      </c>
      <c r="AC34" s="40">
        <v>0.20521252879084595</v>
      </c>
      <c r="AD34" s="40">
        <v>0.34562116202172893</v>
      </c>
      <c r="AE34" s="41">
        <v>0.34066549698369492</v>
      </c>
      <c r="AF34" s="40">
        <v>0.37741140565230391</v>
      </c>
      <c r="AG34" s="40">
        <v>0.31307828134196586</v>
      </c>
      <c r="AH34" s="40">
        <v>0.27134270348443079</v>
      </c>
      <c r="AI34" s="40">
        <v>0.32892810604720002</v>
      </c>
      <c r="AJ34" s="41">
        <v>0.32169568283544497</v>
      </c>
      <c r="AK34" s="40">
        <v>0.40285285967382911</v>
      </c>
      <c r="AL34" s="40">
        <v>0.41791222444591586</v>
      </c>
      <c r="AM34" s="40">
        <v>0.49996477903648251</v>
      </c>
      <c r="AN34" s="40">
        <v>0.46245561664441426</v>
      </c>
      <c r="AO34" s="41">
        <v>0.44898117183331848</v>
      </c>
      <c r="AP34" s="40">
        <v>0.5</v>
      </c>
      <c r="AQ34" s="40">
        <v>0.55779369446953309</v>
      </c>
      <c r="AR34" s="40">
        <v>0.61</v>
      </c>
      <c r="AS34" s="40">
        <v>0.64648185512076384</v>
      </c>
      <c r="AT34" s="41">
        <v>0.59</v>
      </c>
      <c r="AU34" s="40">
        <v>0.64</v>
      </c>
      <c r="AV34" s="40"/>
      <c r="AW34" s="40"/>
      <c r="AX34" s="40"/>
      <c r="AY34" s="259"/>
    </row>
    <row r="35" spans="1:51">
      <c r="A35" s="42"/>
      <c r="B35" s="43"/>
      <c r="C35" s="43"/>
      <c r="D35" s="43"/>
      <c r="E35" s="43"/>
      <c r="F35" s="44"/>
      <c r="G35" s="43"/>
      <c r="H35" s="43"/>
      <c r="I35" s="43"/>
      <c r="J35" s="43"/>
      <c r="K35" s="44"/>
      <c r="L35" s="43"/>
      <c r="M35" s="43"/>
      <c r="N35" s="43"/>
      <c r="O35" s="43"/>
      <c r="P35" s="44"/>
      <c r="Q35" s="43"/>
      <c r="R35" s="43"/>
      <c r="S35" s="43"/>
      <c r="T35" s="43"/>
      <c r="U35" s="44"/>
      <c r="V35" s="43"/>
      <c r="W35" s="43"/>
      <c r="X35" s="43"/>
      <c r="Y35" s="43"/>
      <c r="Z35" s="44"/>
      <c r="AA35" s="43"/>
      <c r="AB35" s="43"/>
      <c r="AC35" s="43"/>
      <c r="AD35" s="43"/>
      <c r="AE35" s="44"/>
      <c r="AF35" s="43"/>
      <c r="AG35" s="43"/>
      <c r="AH35" s="43"/>
      <c r="AI35" s="43"/>
      <c r="AJ35" s="44"/>
      <c r="AK35" s="43"/>
      <c r="AL35" s="43"/>
      <c r="AM35" s="43"/>
      <c r="AN35" s="43"/>
      <c r="AO35" s="44"/>
      <c r="AP35" s="43"/>
      <c r="AQ35" s="43"/>
      <c r="AR35" s="43"/>
      <c r="AS35" s="43"/>
      <c r="AT35" s="44"/>
      <c r="AU35" s="43"/>
      <c r="AV35" s="43"/>
      <c r="AW35" s="43"/>
      <c r="AX35" s="43"/>
      <c r="AY35" s="44"/>
    </row>
  </sheetData>
  <phoneticPr fontId="2" type="noConversion"/>
  <pageMargins left="0.7" right="0.7" top="0.75" bottom="0.75" header="0.3" footer="0.3"/>
  <ignoredErrors>
    <ignoredError sqref="AT9 AT13:AT16 AT20 AT25:AT26 AT32:AT33 AS8"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6D0C0-0FD4-4FAE-B1EC-6D2811BEF27B}">
  <sheetPr>
    <tabColor rgb="FF2D3D70"/>
  </sheetPr>
  <dimension ref="A3:AY69"/>
  <sheetViews>
    <sheetView showGridLines="0" zoomScaleNormal="100" workbookViewId="0">
      <pane xSplit="1" topLeftCell="B1" activePane="topRight" state="frozen"/>
      <selection pane="topRight" activeCell="A5" sqref="A5"/>
    </sheetView>
  </sheetViews>
  <sheetFormatPr defaultColWidth="9.6640625" defaultRowHeight="14.4"/>
  <cols>
    <col min="1" max="1" width="64.33203125" style="1" bestFit="1" customWidth="1"/>
    <col min="2" max="39" width="11" style="1" customWidth="1"/>
    <col min="40" max="51" width="11.5546875" style="1" bestFit="1" customWidth="1"/>
    <col min="52" max="16384" width="9.6640625" style="1"/>
  </cols>
  <sheetData>
    <row r="3" spans="1:51">
      <c r="B3"/>
      <c r="C3"/>
    </row>
    <row r="5" spans="1:51">
      <c r="A5" s="45"/>
      <c r="B5" s="10" t="s">
        <v>15</v>
      </c>
      <c r="C5" s="10" t="s">
        <v>16</v>
      </c>
      <c r="D5" s="10" t="s">
        <v>17</v>
      </c>
      <c r="E5" s="10" t="s">
        <v>18</v>
      </c>
      <c r="F5" s="11">
        <v>2017</v>
      </c>
      <c r="G5" s="10" t="s">
        <v>19</v>
      </c>
      <c r="H5" s="10" t="s">
        <v>20</v>
      </c>
      <c r="I5" s="10" t="s">
        <v>21</v>
      </c>
      <c r="J5" s="10" t="s">
        <v>22</v>
      </c>
      <c r="K5" s="11">
        <v>2018</v>
      </c>
      <c r="L5" s="10" t="s">
        <v>23</v>
      </c>
      <c r="M5" s="10" t="s">
        <v>24</v>
      </c>
      <c r="N5" s="10" t="s">
        <v>25</v>
      </c>
      <c r="O5" s="10" t="s">
        <v>26</v>
      </c>
      <c r="P5" s="11">
        <v>2019</v>
      </c>
      <c r="Q5" s="10" t="s">
        <v>27</v>
      </c>
      <c r="R5" s="10" t="s">
        <v>28</v>
      </c>
      <c r="S5" s="10" t="s">
        <v>29</v>
      </c>
      <c r="T5" s="10" t="s">
        <v>30</v>
      </c>
      <c r="U5" s="11">
        <v>2020</v>
      </c>
      <c r="V5" s="10" t="s">
        <v>31</v>
      </c>
      <c r="W5" s="10" t="s">
        <v>32</v>
      </c>
      <c r="X5" s="10" t="s">
        <v>33</v>
      </c>
      <c r="Y5" s="10" t="s">
        <v>34</v>
      </c>
      <c r="Z5" s="11">
        <v>2021</v>
      </c>
      <c r="AA5" s="10" t="s">
        <v>35</v>
      </c>
      <c r="AB5" s="10" t="s">
        <v>36</v>
      </c>
      <c r="AC5" s="10" t="s">
        <v>37</v>
      </c>
      <c r="AD5" s="10" t="s">
        <v>38</v>
      </c>
      <c r="AE5" s="11">
        <v>2022</v>
      </c>
      <c r="AF5" s="10" t="s">
        <v>39</v>
      </c>
      <c r="AG5" s="10" t="s">
        <v>40</v>
      </c>
      <c r="AH5" s="10" t="s">
        <v>41</v>
      </c>
      <c r="AI5" s="10" t="s">
        <v>42</v>
      </c>
      <c r="AJ5" s="11">
        <v>2023</v>
      </c>
      <c r="AK5" s="10" t="s">
        <v>43</v>
      </c>
      <c r="AL5" s="10" t="s">
        <v>44</v>
      </c>
      <c r="AM5" s="10" t="s">
        <v>45</v>
      </c>
      <c r="AN5" s="10" t="s">
        <v>46</v>
      </c>
      <c r="AO5" s="11">
        <v>2024</v>
      </c>
      <c r="AP5" s="10" t="s">
        <v>47</v>
      </c>
      <c r="AQ5" s="10" t="s">
        <v>48</v>
      </c>
      <c r="AR5" s="10" t="s">
        <v>49</v>
      </c>
      <c r="AS5" s="10" t="s">
        <v>50</v>
      </c>
      <c r="AT5" s="11">
        <v>2025</v>
      </c>
      <c r="AU5" s="10" t="s">
        <v>51</v>
      </c>
      <c r="AV5" s="10" t="s">
        <v>52</v>
      </c>
      <c r="AW5" s="10" t="s">
        <v>53</v>
      </c>
      <c r="AX5" s="10" t="s">
        <v>54</v>
      </c>
      <c r="AY5" s="12">
        <v>2026</v>
      </c>
    </row>
    <row r="6" spans="1:51">
      <c r="A6" s="13" t="s">
        <v>74</v>
      </c>
      <c r="B6" s="46"/>
      <c r="C6" s="46"/>
      <c r="D6" s="46"/>
      <c r="E6" s="46"/>
      <c r="F6" s="47"/>
      <c r="G6" s="46"/>
      <c r="H6" s="46"/>
      <c r="I6" s="46"/>
      <c r="J6" s="46"/>
      <c r="K6" s="47"/>
      <c r="L6" s="46"/>
      <c r="M6" s="46"/>
      <c r="N6" s="46"/>
      <c r="O6" s="46"/>
      <c r="P6" s="47"/>
      <c r="Q6" s="46"/>
      <c r="R6" s="46"/>
      <c r="S6" s="46"/>
      <c r="T6" s="46"/>
      <c r="U6" s="47"/>
      <c r="V6" s="46"/>
      <c r="W6" s="46"/>
      <c r="X6" s="46"/>
      <c r="Y6" s="46"/>
      <c r="Z6" s="47"/>
      <c r="AA6" s="46"/>
      <c r="AB6" s="46"/>
      <c r="AC6" s="46"/>
      <c r="AD6" s="46"/>
      <c r="AE6" s="47"/>
      <c r="AF6" s="46"/>
      <c r="AG6" s="46"/>
      <c r="AH6" s="46"/>
      <c r="AI6" s="46"/>
      <c r="AJ6" s="47"/>
      <c r="AK6" s="46"/>
      <c r="AL6" s="46"/>
      <c r="AM6" s="46"/>
      <c r="AN6" s="46"/>
      <c r="AO6" s="47"/>
      <c r="AP6" s="46"/>
      <c r="AQ6" s="46"/>
      <c r="AR6" s="46"/>
      <c r="AS6" s="46"/>
      <c r="AT6" s="47"/>
      <c r="AU6" s="46"/>
      <c r="AV6" s="46"/>
      <c r="AW6" s="46"/>
      <c r="AX6" s="46"/>
      <c r="AY6" s="47"/>
    </row>
    <row r="7" spans="1:51">
      <c r="A7" s="17"/>
      <c r="F7" s="18"/>
      <c r="K7" s="18"/>
      <c r="P7" s="18"/>
      <c r="U7" s="18"/>
      <c r="Z7" s="18"/>
      <c r="AE7" s="18"/>
      <c r="AJ7" s="18"/>
      <c r="AO7" s="18"/>
      <c r="AT7" s="18"/>
      <c r="AY7" s="18"/>
    </row>
    <row r="8" spans="1:51">
      <c r="A8" s="49" t="s">
        <v>75</v>
      </c>
      <c r="B8" s="27">
        <v>11320</v>
      </c>
      <c r="C8" s="27">
        <v>15828</v>
      </c>
      <c r="D8" s="27">
        <v>10484</v>
      </c>
      <c r="E8" s="27">
        <v>11789</v>
      </c>
      <c r="F8" s="50">
        <v>11789</v>
      </c>
      <c r="G8" s="27">
        <v>32430</v>
      </c>
      <c r="H8" s="27">
        <v>37625</v>
      </c>
      <c r="I8" s="27">
        <v>29732</v>
      </c>
      <c r="J8" s="27">
        <v>10507</v>
      </c>
      <c r="K8" s="50">
        <v>10507</v>
      </c>
      <c r="L8" s="27">
        <v>18845</v>
      </c>
      <c r="M8" s="27">
        <v>15012</v>
      </c>
      <c r="N8" s="27">
        <v>23708</v>
      </c>
      <c r="O8" s="27">
        <v>38870</v>
      </c>
      <c r="P8" s="50">
        <v>38870</v>
      </c>
      <c r="Q8" s="27">
        <v>29698</v>
      </c>
      <c r="R8" s="27">
        <v>26390</v>
      </c>
      <c r="S8" s="27">
        <v>85718</v>
      </c>
      <c r="T8" s="27">
        <v>117778</v>
      </c>
      <c r="U8" s="50">
        <v>117778</v>
      </c>
      <c r="V8" s="27">
        <v>150774</v>
      </c>
      <c r="W8" s="27">
        <v>97661</v>
      </c>
      <c r="X8" s="27">
        <v>164848</v>
      </c>
      <c r="Y8" s="27">
        <v>161490</v>
      </c>
      <c r="Z8" s="50">
        <v>161490</v>
      </c>
      <c r="AA8" s="27">
        <v>193829</v>
      </c>
      <c r="AB8" s="27">
        <v>217938</v>
      </c>
      <c r="AC8" s="27">
        <v>120916</v>
      </c>
      <c r="AD8" s="27">
        <v>127901</v>
      </c>
      <c r="AE8" s="50">
        <v>127901</v>
      </c>
      <c r="AF8" s="27">
        <v>103400</v>
      </c>
      <c r="AG8" s="27">
        <v>110074</v>
      </c>
      <c r="AH8" s="27">
        <v>178989</v>
      </c>
      <c r="AI8" s="27">
        <v>237295</v>
      </c>
      <c r="AJ8" s="50">
        <f>AI8</f>
        <v>237295</v>
      </c>
      <c r="AK8" s="27">
        <v>214066</v>
      </c>
      <c r="AL8" s="27">
        <v>191963</v>
      </c>
      <c r="AM8" s="27">
        <v>195979</v>
      </c>
      <c r="AN8" s="27">
        <v>270189</v>
      </c>
      <c r="AO8" s="50">
        <f>AN8</f>
        <v>270189</v>
      </c>
      <c r="AP8" s="27">
        <v>198066</v>
      </c>
      <c r="AQ8" s="27">
        <v>167938</v>
      </c>
      <c r="AR8" s="27">
        <v>351414</v>
      </c>
      <c r="AS8" s="27">
        <v>286056</v>
      </c>
      <c r="AT8" s="50">
        <f>AS8</f>
        <v>286056</v>
      </c>
      <c r="AU8" s="27">
        <v>267789</v>
      </c>
      <c r="AV8" s="27"/>
      <c r="AW8" s="27"/>
      <c r="AX8" s="27"/>
      <c r="AY8" s="50"/>
    </row>
    <row r="9" spans="1:51">
      <c r="A9" s="49" t="s">
        <v>76</v>
      </c>
      <c r="B9" s="27">
        <v>0</v>
      </c>
      <c r="C9" s="27">
        <v>0</v>
      </c>
      <c r="D9" s="27">
        <v>0</v>
      </c>
      <c r="E9" s="27">
        <v>0</v>
      </c>
      <c r="F9" s="50">
        <v>0</v>
      </c>
      <c r="G9" s="27">
        <v>0</v>
      </c>
      <c r="H9" s="27">
        <v>0</v>
      </c>
      <c r="I9" s="27">
        <v>0</v>
      </c>
      <c r="J9" s="27">
        <v>0</v>
      </c>
      <c r="K9" s="50">
        <v>0</v>
      </c>
      <c r="L9" s="27">
        <v>0</v>
      </c>
      <c r="M9" s="27">
        <v>0</v>
      </c>
      <c r="N9" s="27">
        <v>0</v>
      </c>
      <c r="O9" s="27">
        <v>230</v>
      </c>
      <c r="P9" s="50">
        <v>230</v>
      </c>
      <c r="Q9" s="27">
        <v>179</v>
      </c>
      <c r="R9" s="27">
        <v>188</v>
      </c>
      <c r="S9" s="27">
        <v>194</v>
      </c>
      <c r="T9" s="27">
        <v>341</v>
      </c>
      <c r="U9" s="50">
        <v>341</v>
      </c>
      <c r="V9" s="27">
        <v>334</v>
      </c>
      <c r="W9" s="27">
        <v>342</v>
      </c>
      <c r="X9" s="27">
        <v>335</v>
      </c>
      <c r="Y9" s="27">
        <v>944</v>
      </c>
      <c r="Z9" s="50">
        <v>944</v>
      </c>
      <c r="AA9" s="27">
        <v>2472</v>
      </c>
      <c r="AB9" s="27">
        <v>601</v>
      </c>
      <c r="AC9" s="27">
        <v>600</v>
      </c>
      <c r="AD9" s="27">
        <v>600</v>
      </c>
      <c r="AE9" s="50">
        <v>600</v>
      </c>
      <c r="AF9" s="27">
        <v>0</v>
      </c>
      <c r="AG9" s="27">
        <v>0</v>
      </c>
      <c r="AH9" s="27">
        <v>0</v>
      </c>
      <c r="AI9" s="27">
        <v>0</v>
      </c>
      <c r="AJ9" s="50">
        <f t="shared" ref="AJ9:AJ68" si="0">AI9</f>
        <v>0</v>
      </c>
      <c r="AK9" s="27">
        <v>1314</v>
      </c>
      <c r="AL9" s="27">
        <v>0</v>
      </c>
      <c r="AM9" s="27">
        <v>0</v>
      </c>
      <c r="AN9" s="27"/>
      <c r="AO9" s="50">
        <f t="shared" ref="AO9:AO68" si="1">AN9</f>
        <v>0</v>
      </c>
      <c r="AP9" s="27"/>
      <c r="AQ9" s="27"/>
      <c r="AR9" s="27"/>
      <c r="AS9" s="27">
        <v>3075</v>
      </c>
      <c r="AT9" s="50">
        <f t="shared" ref="AT9:AT17" si="2">AS9</f>
        <v>3075</v>
      </c>
      <c r="AU9" s="27">
        <v>3352</v>
      </c>
      <c r="AV9" s="27"/>
      <c r="AW9" s="27"/>
      <c r="AX9" s="27"/>
      <c r="AY9" s="50"/>
    </row>
    <row r="10" spans="1:51">
      <c r="A10" s="49" t="s">
        <v>77</v>
      </c>
      <c r="B10" s="27">
        <v>0</v>
      </c>
      <c r="C10" s="27">
        <v>0</v>
      </c>
      <c r="D10" s="27">
        <v>0</v>
      </c>
      <c r="E10" s="27">
        <v>0</v>
      </c>
      <c r="F10" s="50">
        <v>0</v>
      </c>
      <c r="G10" s="27">
        <v>0</v>
      </c>
      <c r="H10" s="27">
        <v>0</v>
      </c>
      <c r="I10" s="27">
        <v>0</v>
      </c>
      <c r="J10" s="27">
        <v>10148</v>
      </c>
      <c r="K10" s="50">
        <v>10148</v>
      </c>
      <c r="L10" s="27">
        <v>4584</v>
      </c>
      <c r="M10" s="27">
        <v>0</v>
      </c>
      <c r="N10" s="27">
        <v>0</v>
      </c>
      <c r="O10" s="27">
        <v>0</v>
      </c>
      <c r="P10" s="50">
        <v>0</v>
      </c>
      <c r="Q10" s="27">
        <v>0</v>
      </c>
      <c r="R10" s="27">
        <v>0</v>
      </c>
      <c r="S10" s="27">
        <v>0</v>
      </c>
      <c r="T10" s="27">
        <v>0</v>
      </c>
      <c r="U10" s="50">
        <v>0</v>
      </c>
      <c r="V10" s="27">
        <v>0</v>
      </c>
      <c r="W10" s="27">
        <v>0</v>
      </c>
      <c r="X10" s="27">
        <v>0</v>
      </c>
      <c r="Y10" s="27">
        <v>0</v>
      </c>
      <c r="Z10" s="50">
        <v>0</v>
      </c>
      <c r="AA10" s="27">
        <v>0</v>
      </c>
      <c r="AB10" s="27">
        <v>0</v>
      </c>
      <c r="AC10" s="27">
        <v>0</v>
      </c>
      <c r="AD10" s="27">
        <v>0</v>
      </c>
      <c r="AE10" s="50">
        <v>0</v>
      </c>
      <c r="AF10" s="27">
        <v>0</v>
      </c>
      <c r="AG10" s="27">
        <v>0</v>
      </c>
      <c r="AH10" s="27">
        <v>0</v>
      </c>
      <c r="AI10" s="27"/>
      <c r="AJ10" s="50">
        <f t="shared" si="0"/>
        <v>0</v>
      </c>
      <c r="AK10" s="27"/>
      <c r="AL10" s="27"/>
      <c r="AM10" s="27"/>
      <c r="AN10" s="27"/>
      <c r="AO10" s="50">
        <f t="shared" si="1"/>
        <v>0</v>
      </c>
      <c r="AP10" s="27"/>
      <c r="AQ10" s="27"/>
      <c r="AR10" s="27"/>
      <c r="AS10" s="27"/>
      <c r="AT10" s="50">
        <f t="shared" si="2"/>
        <v>0</v>
      </c>
      <c r="AU10" s="27"/>
      <c r="AV10" s="27"/>
      <c r="AW10" s="27"/>
      <c r="AX10" s="27"/>
      <c r="AY10" s="50"/>
    </row>
    <row r="11" spans="1:51">
      <c r="A11" s="49" t="s">
        <v>78</v>
      </c>
      <c r="B11" s="27">
        <v>9041</v>
      </c>
      <c r="C11" s="27">
        <v>10433</v>
      </c>
      <c r="D11" s="27">
        <v>16432</v>
      </c>
      <c r="E11" s="27">
        <v>13161</v>
      </c>
      <c r="F11" s="50">
        <v>13161</v>
      </c>
      <c r="G11" s="27">
        <v>14554</v>
      </c>
      <c r="H11" s="27">
        <v>16367</v>
      </c>
      <c r="I11" s="27">
        <v>21535</v>
      </c>
      <c r="J11" s="27">
        <v>24375</v>
      </c>
      <c r="K11" s="50">
        <v>24375</v>
      </c>
      <c r="L11" s="27">
        <v>24851</v>
      </c>
      <c r="M11" s="27">
        <v>29468</v>
      </c>
      <c r="N11" s="27">
        <v>32915</v>
      </c>
      <c r="O11" s="27">
        <v>31470</v>
      </c>
      <c r="P11" s="50">
        <v>31470</v>
      </c>
      <c r="Q11" s="27">
        <v>27103</v>
      </c>
      <c r="R11" s="27">
        <v>26849</v>
      </c>
      <c r="S11" s="27">
        <v>28353</v>
      </c>
      <c r="T11" s="27">
        <v>35763</v>
      </c>
      <c r="U11" s="50">
        <v>35763</v>
      </c>
      <c r="V11" s="27">
        <v>36581</v>
      </c>
      <c r="W11" s="27">
        <v>40830</v>
      </c>
      <c r="X11" s="27">
        <v>42095</v>
      </c>
      <c r="Y11" s="27">
        <v>42404</v>
      </c>
      <c r="Z11" s="50">
        <v>42404</v>
      </c>
      <c r="AA11" s="27">
        <v>44224</v>
      </c>
      <c r="AB11" s="27">
        <v>46142</v>
      </c>
      <c r="AC11" s="27">
        <v>52055</v>
      </c>
      <c r="AD11" s="27">
        <v>0</v>
      </c>
      <c r="AE11" s="50">
        <v>42366</v>
      </c>
      <c r="AF11" s="27">
        <v>59619</v>
      </c>
      <c r="AG11" s="27">
        <v>66709</v>
      </c>
      <c r="AH11" s="27">
        <v>61374</v>
      </c>
      <c r="AI11" s="27">
        <v>17625</v>
      </c>
      <c r="AJ11" s="50">
        <f t="shared" si="0"/>
        <v>17625</v>
      </c>
      <c r="AK11" s="27">
        <v>20259</v>
      </c>
      <c r="AL11" s="27">
        <v>18760</v>
      </c>
      <c r="AM11" s="27">
        <v>15355</v>
      </c>
      <c r="AN11" s="27">
        <v>15835</v>
      </c>
      <c r="AO11" s="50">
        <f t="shared" si="1"/>
        <v>15835</v>
      </c>
      <c r="AP11" s="27">
        <v>15666</v>
      </c>
      <c r="AQ11" s="27">
        <v>4826</v>
      </c>
      <c r="AR11" s="27">
        <v>13142</v>
      </c>
      <c r="AS11" s="27">
        <v>20073</v>
      </c>
      <c r="AT11" s="50">
        <f t="shared" si="2"/>
        <v>20073</v>
      </c>
      <c r="AU11" s="27">
        <v>14147</v>
      </c>
      <c r="AV11" s="27"/>
      <c r="AW11" s="27"/>
      <c r="AX11" s="27"/>
      <c r="AY11" s="50"/>
    </row>
    <row r="12" spans="1:51">
      <c r="A12" s="49" t="s">
        <v>79</v>
      </c>
      <c r="B12" s="27"/>
      <c r="C12" s="27"/>
      <c r="D12" s="27"/>
      <c r="E12" s="27"/>
      <c r="F12" s="50"/>
      <c r="G12" s="27"/>
      <c r="H12" s="27"/>
      <c r="I12" s="27"/>
      <c r="J12" s="27"/>
      <c r="K12" s="50"/>
      <c r="L12" s="27"/>
      <c r="M12" s="27"/>
      <c r="N12" s="27"/>
      <c r="O12" s="27"/>
      <c r="P12" s="50"/>
      <c r="Q12" s="27"/>
      <c r="R12" s="27"/>
      <c r="S12" s="27"/>
      <c r="T12" s="27"/>
      <c r="U12" s="50"/>
      <c r="V12" s="27"/>
      <c r="W12" s="27"/>
      <c r="X12" s="27"/>
      <c r="Y12" s="27"/>
      <c r="Z12" s="50"/>
      <c r="AA12" s="27"/>
      <c r="AB12" s="27"/>
      <c r="AC12" s="27"/>
      <c r="AD12" s="27"/>
      <c r="AE12" s="50"/>
      <c r="AF12" s="27"/>
      <c r="AG12" s="27"/>
      <c r="AH12" s="27"/>
      <c r="AI12" s="27">
        <v>42800</v>
      </c>
      <c r="AJ12" s="50">
        <f t="shared" si="0"/>
        <v>42800</v>
      </c>
      <c r="AK12" s="27">
        <v>42839</v>
      </c>
      <c r="AL12" s="27">
        <v>35928</v>
      </c>
      <c r="AM12" s="27">
        <v>41329</v>
      </c>
      <c r="AN12" s="27">
        <v>19901</v>
      </c>
      <c r="AO12" s="50">
        <f t="shared" si="1"/>
        <v>19901</v>
      </c>
      <c r="AP12" s="27">
        <v>23637</v>
      </c>
      <c r="AQ12" s="27">
        <v>21292</v>
      </c>
      <c r="AR12" s="27">
        <v>23586</v>
      </c>
      <c r="AS12" s="27">
        <v>37650</v>
      </c>
      <c r="AT12" s="50">
        <f t="shared" si="2"/>
        <v>37650</v>
      </c>
      <c r="AU12" s="27">
        <v>35186</v>
      </c>
      <c r="AV12" s="27"/>
      <c r="AW12" s="27"/>
      <c r="AX12" s="27"/>
      <c r="AY12" s="50"/>
    </row>
    <row r="13" spans="1:51">
      <c r="A13" s="49" t="s">
        <v>80</v>
      </c>
      <c r="B13" s="27">
        <v>40073</v>
      </c>
      <c r="C13" s="27">
        <v>37029</v>
      </c>
      <c r="D13" s="27">
        <v>39089</v>
      </c>
      <c r="E13" s="27">
        <v>38489</v>
      </c>
      <c r="F13" s="50">
        <v>38489</v>
      </c>
      <c r="G13" s="27">
        <v>37138</v>
      </c>
      <c r="H13" s="27">
        <v>33961</v>
      </c>
      <c r="I13" s="27">
        <v>35192</v>
      </c>
      <c r="J13" s="27">
        <v>34457</v>
      </c>
      <c r="K13" s="50">
        <v>34457</v>
      </c>
      <c r="L13" s="27">
        <v>34508</v>
      </c>
      <c r="M13" s="27">
        <v>34537</v>
      </c>
      <c r="N13" s="27">
        <v>32372</v>
      </c>
      <c r="O13" s="27">
        <v>33535</v>
      </c>
      <c r="P13" s="50">
        <v>33535</v>
      </c>
      <c r="Q13" s="27">
        <v>41726</v>
      </c>
      <c r="R13" s="27">
        <v>34859</v>
      </c>
      <c r="S13" s="27">
        <v>37063</v>
      </c>
      <c r="T13" s="27">
        <v>46540</v>
      </c>
      <c r="U13" s="50">
        <v>46540</v>
      </c>
      <c r="V13" s="27">
        <v>48104</v>
      </c>
      <c r="W13" s="27">
        <v>49702</v>
      </c>
      <c r="X13" s="27">
        <v>50570</v>
      </c>
      <c r="Y13" s="27">
        <v>56554</v>
      </c>
      <c r="Z13" s="50">
        <v>56554</v>
      </c>
      <c r="AA13" s="27">
        <v>58776</v>
      </c>
      <c r="AB13" s="27">
        <v>57584</v>
      </c>
      <c r="AC13" s="27">
        <v>50091</v>
      </c>
      <c r="AD13" s="27">
        <v>54509</v>
      </c>
      <c r="AE13" s="50">
        <v>42968</v>
      </c>
      <c r="AF13" s="27">
        <v>48569</v>
      </c>
      <c r="AG13" s="27">
        <v>54144</v>
      </c>
      <c r="AH13" s="27">
        <v>59928</v>
      </c>
      <c r="AI13" s="27">
        <v>46705</v>
      </c>
      <c r="AJ13" s="50">
        <f t="shared" si="0"/>
        <v>46705</v>
      </c>
      <c r="AK13" s="27">
        <v>51009</v>
      </c>
      <c r="AL13" s="27">
        <v>54968</v>
      </c>
      <c r="AM13" s="27">
        <v>63151</v>
      </c>
      <c r="AN13" s="27">
        <v>57943</v>
      </c>
      <c r="AO13" s="50">
        <f t="shared" si="1"/>
        <v>57943</v>
      </c>
      <c r="AP13" s="27">
        <v>67876</v>
      </c>
      <c r="AQ13" s="27">
        <v>80034</v>
      </c>
      <c r="AR13" s="27">
        <v>76671</v>
      </c>
      <c r="AS13" s="27">
        <v>115810</v>
      </c>
      <c r="AT13" s="50">
        <f t="shared" si="2"/>
        <v>115810</v>
      </c>
      <c r="AU13" s="27">
        <v>121009</v>
      </c>
      <c r="AV13" s="27"/>
      <c r="AW13" s="27"/>
      <c r="AX13" s="27"/>
      <c r="AY13" s="50"/>
    </row>
    <row r="14" spans="1:51">
      <c r="A14" s="49" t="s">
        <v>81</v>
      </c>
      <c r="B14" s="27">
        <v>0</v>
      </c>
      <c r="C14" s="27">
        <v>0</v>
      </c>
      <c r="D14" s="27">
        <v>0</v>
      </c>
      <c r="E14" s="27">
        <v>24463</v>
      </c>
      <c r="F14" s="50">
        <v>24463</v>
      </c>
      <c r="G14" s="27">
        <v>0</v>
      </c>
      <c r="H14" s="27">
        <v>0</v>
      </c>
      <c r="I14" s="27">
        <v>0</v>
      </c>
      <c r="J14" s="27">
        <v>0</v>
      </c>
      <c r="K14" s="50">
        <v>0</v>
      </c>
      <c r="L14" s="27">
        <v>0</v>
      </c>
      <c r="M14" s="27">
        <v>0</v>
      </c>
      <c r="N14" s="27">
        <v>0</v>
      </c>
      <c r="O14" s="27">
        <v>0</v>
      </c>
      <c r="P14" s="50">
        <v>0</v>
      </c>
      <c r="Q14" s="27">
        <v>0</v>
      </c>
      <c r="R14" s="27">
        <v>0</v>
      </c>
      <c r="S14" s="27">
        <v>0</v>
      </c>
      <c r="T14" s="27">
        <v>0</v>
      </c>
      <c r="U14" s="50">
        <v>0</v>
      </c>
      <c r="V14" s="27">
        <v>0</v>
      </c>
      <c r="W14" s="27">
        <v>0</v>
      </c>
      <c r="X14" s="27">
        <v>0</v>
      </c>
      <c r="Y14" s="27">
        <v>0</v>
      </c>
      <c r="Z14" s="50">
        <v>0</v>
      </c>
      <c r="AA14" s="27">
        <v>0</v>
      </c>
      <c r="AB14" s="27">
        <v>0</v>
      </c>
      <c r="AC14" s="27">
        <v>0</v>
      </c>
      <c r="AD14" s="27">
        <v>42968</v>
      </c>
      <c r="AE14" s="50">
        <v>0</v>
      </c>
      <c r="AF14" s="27">
        <v>0</v>
      </c>
      <c r="AG14" s="27">
        <v>0</v>
      </c>
      <c r="AH14" s="27">
        <v>0</v>
      </c>
      <c r="AI14" s="27"/>
      <c r="AJ14" s="50">
        <f t="shared" si="0"/>
        <v>0</v>
      </c>
      <c r="AK14" s="27"/>
      <c r="AL14" s="27"/>
      <c r="AM14" s="27">
        <v>0</v>
      </c>
      <c r="AN14" s="27">
        <v>0</v>
      </c>
      <c r="AO14" s="50">
        <f t="shared" si="1"/>
        <v>0</v>
      </c>
      <c r="AP14" s="27">
        <v>0</v>
      </c>
      <c r="AQ14" s="27">
        <v>0</v>
      </c>
      <c r="AR14" s="27"/>
      <c r="AS14" s="27"/>
      <c r="AT14" s="50">
        <f t="shared" si="2"/>
        <v>0</v>
      </c>
      <c r="AU14" s="27"/>
      <c r="AV14" s="27"/>
      <c r="AW14" s="27"/>
      <c r="AX14" s="27"/>
      <c r="AY14" s="50"/>
    </row>
    <row r="15" spans="1:51">
      <c r="A15" s="49" t="s">
        <v>82</v>
      </c>
      <c r="B15" s="27">
        <v>0</v>
      </c>
      <c r="C15" s="27">
        <v>0</v>
      </c>
      <c r="D15" s="27">
        <v>0</v>
      </c>
      <c r="E15" s="27">
        <v>0</v>
      </c>
      <c r="F15" s="50">
        <v>0</v>
      </c>
      <c r="G15" s="27">
        <v>0</v>
      </c>
      <c r="H15" s="27">
        <v>750</v>
      </c>
      <c r="I15" s="27">
        <v>850</v>
      </c>
      <c r="J15" s="27">
        <v>0</v>
      </c>
      <c r="K15" s="50">
        <v>0</v>
      </c>
      <c r="L15" s="27">
        <v>0</v>
      </c>
      <c r="M15" s="27">
        <v>0</v>
      </c>
      <c r="N15" s="27">
        <v>0</v>
      </c>
      <c r="O15" s="27">
        <v>0</v>
      </c>
      <c r="P15" s="50">
        <v>0</v>
      </c>
      <c r="Q15" s="27">
        <v>0</v>
      </c>
      <c r="R15" s="27">
        <v>0</v>
      </c>
      <c r="S15" s="27">
        <v>0</v>
      </c>
      <c r="T15" s="27">
        <v>0</v>
      </c>
      <c r="U15" s="50">
        <v>0</v>
      </c>
      <c r="V15" s="27">
        <v>0</v>
      </c>
      <c r="W15" s="27">
        <v>0</v>
      </c>
      <c r="X15" s="27">
        <v>0</v>
      </c>
      <c r="Y15" s="27">
        <v>0</v>
      </c>
      <c r="Z15" s="50">
        <v>0</v>
      </c>
      <c r="AA15" s="27">
        <v>12253</v>
      </c>
      <c r="AB15" s="27">
        <v>7825</v>
      </c>
      <c r="AC15" s="27">
        <v>5537</v>
      </c>
      <c r="AD15" s="27">
        <v>8119</v>
      </c>
      <c r="AE15" s="50">
        <v>8119</v>
      </c>
      <c r="AF15" s="27">
        <v>7597</v>
      </c>
      <c r="AG15" s="27">
        <v>16586</v>
      </c>
      <c r="AH15" s="27">
        <v>7662</v>
      </c>
      <c r="AI15" s="27">
        <v>11129</v>
      </c>
      <c r="AJ15" s="50">
        <f t="shared" si="0"/>
        <v>11129</v>
      </c>
      <c r="AK15" s="27">
        <v>6297</v>
      </c>
      <c r="AL15" s="27">
        <v>45</v>
      </c>
      <c r="AM15" s="27">
        <v>214</v>
      </c>
      <c r="AN15" s="27">
        <v>0</v>
      </c>
      <c r="AO15" s="50">
        <f t="shared" si="1"/>
        <v>0</v>
      </c>
      <c r="AP15" s="27">
        <v>0</v>
      </c>
      <c r="AQ15" s="27">
        <v>5395</v>
      </c>
      <c r="AR15" s="27">
        <v>14590</v>
      </c>
      <c r="AS15" s="27">
        <v>4418</v>
      </c>
      <c r="AT15" s="50">
        <f t="shared" si="2"/>
        <v>4418</v>
      </c>
      <c r="AU15" s="27">
        <v>22726</v>
      </c>
      <c r="AV15" s="27"/>
      <c r="AW15" s="27"/>
      <c r="AX15" s="27"/>
      <c r="AY15" s="50"/>
    </row>
    <row r="16" spans="1:51">
      <c r="A16" s="49" t="s">
        <v>83</v>
      </c>
      <c r="B16" s="27">
        <v>4187</v>
      </c>
      <c r="C16" s="27">
        <v>4601</v>
      </c>
      <c r="D16" s="27">
        <v>3815</v>
      </c>
      <c r="E16" s="27">
        <v>2988</v>
      </c>
      <c r="F16" s="50">
        <v>2988</v>
      </c>
      <c r="G16" s="27">
        <v>4713</v>
      </c>
      <c r="H16" s="27">
        <v>6722</v>
      </c>
      <c r="I16" s="27">
        <v>6821</v>
      </c>
      <c r="J16" s="27">
        <v>5620</v>
      </c>
      <c r="K16" s="50">
        <v>5620</v>
      </c>
      <c r="L16" s="27">
        <v>4507</v>
      </c>
      <c r="M16" s="27">
        <v>4094.9999999999995</v>
      </c>
      <c r="N16" s="27">
        <v>5318</v>
      </c>
      <c r="O16" s="27">
        <v>6139</v>
      </c>
      <c r="P16" s="50">
        <v>6139</v>
      </c>
      <c r="Q16" s="27">
        <v>11421</v>
      </c>
      <c r="R16" s="27">
        <v>18211</v>
      </c>
      <c r="S16" s="27">
        <v>16682</v>
      </c>
      <c r="T16" s="27">
        <v>16931</v>
      </c>
      <c r="U16" s="50">
        <v>16931</v>
      </c>
      <c r="V16" s="27">
        <v>9073</v>
      </c>
      <c r="W16" s="27">
        <v>12090</v>
      </c>
      <c r="X16" s="27">
        <v>10349</v>
      </c>
      <c r="Y16" s="27">
        <v>11060</v>
      </c>
      <c r="Z16" s="50">
        <v>11060</v>
      </c>
      <c r="AA16" s="27">
        <v>11053</v>
      </c>
      <c r="AB16" s="27">
        <v>13374</v>
      </c>
      <c r="AC16" s="27">
        <v>15882</v>
      </c>
      <c r="AD16" s="27">
        <v>13525</v>
      </c>
      <c r="AE16" s="50">
        <v>13525</v>
      </c>
      <c r="AF16" s="27">
        <v>12733</v>
      </c>
      <c r="AG16" s="27">
        <v>7995</v>
      </c>
      <c r="AH16" s="27">
        <v>15860</v>
      </c>
      <c r="AI16" s="27">
        <v>23386</v>
      </c>
      <c r="AJ16" s="50">
        <f t="shared" si="0"/>
        <v>23386</v>
      </c>
      <c r="AK16" s="27">
        <v>23696</v>
      </c>
      <c r="AL16" s="27">
        <v>13831</v>
      </c>
      <c r="AM16" s="27">
        <v>19901</v>
      </c>
      <c r="AN16" s="27">
        <v>25467</v>
      </c>
      <c r="AO16" s="50">
        <f t="shared" si="1"/>
        <v>25467</v>
      </c>
      <c r="AP16" s="27">
        <v>28311</v>
      </c>
      <c r="AQ16" s="27">
        <v>21560</v>
      </c>
      <c r="AR16" s="27">
        <v>28949</v>
      </c>
      <c r="AS16" s="27">
        <v>45404</v>
      </c>
      <c r="AT16" s="50">
        <f t="shared" si="2"/>
        <v>45404</v>
      </c>
      <c r="AU16" s="27">
        <v>51934</v>
      </c>
      <c r="AV16" s="27"/>
      <c r="AW16" s="27"/>
      <c r="AX16" s="27"/>
      <c r="AY16" s="50"/>
    </row>
    <row r="17" spans="1:51">
      <c r="A17" s="31" t="s">
        <v>84</v>
      </c>
      <c r="B17" s="51">
        <v>64621</v>
      </c>
      <c r="C17" s="51">
        <v>67891</v>
      </c>
      <c r="D17" s="51">
        <v>69820</v>
      </c>
      <c r="E17" s="51">
        <v>90890</v>
      </c>
      <c r="F17" s="52">
        <v>90890</v>
      </c>
      <c r="G17" s="51">
        <v>88835</v>
      </c>
      <c r="H17" s="51">
        <v>95425</v>
      </c>
      <c r="I17" s="51">
        <v>94130</v>
      </c>
      <c r="J17" s="51">
        <v>85107</v>
      </c>
      <c r="K17" s="52">
        <v>85107</v>
      </c>
      <c r="L17" s="51">
        <f t="shared" ref="L17" si="3">SUM(L8:L16)</f>
        <v>87295</v>
      </c>
      <c r="M17" s="51">
        <f t="shared" ref="M17" si="4">SUM(M8:M16)</f>
        <v>83112</v>
      </c>
      <c r="N17" s="51">
        <f>SUM(N8:N16)</f>
        <v>94313</v>
      </c>
      <c r="O17" s="51">
        <f>SUM(O8:O16)</f>
        <v>110244</v>
      </c>
      <c r="P17" s="52">
        <v>110244</v>
      </c>
      <c r="Q17" s="51">
        <f t="shared" ref="Q17" si="5">SUM(Q8:Q16)</f>
        <v>110127</v>
      </c>
      <c r="R17" s="51">
        <f t="shared" ref="R17" si="6">SUM(R8:R16)</f>
        <v>106497</v>
      </c>
      <c r="S17" s="51">
        <f>SUM(S8:S16)</f>
        <v>168010</v>
      </c>
      <c r="T17" s="51">
        <f>SUM(T8:T16)</f>
        <v>217353</v>
      </c>
      <c r="U17" s="52">
        <v>217353</v>
      </c>
      <c r="V17" s="51">
        <f t="shared" ref="V17" si="7">SUM(V8:V16)</f>
        <v>244866</v>
      </c>
      <c r="W17" s="51">
        <f t="shared" ref="W17" si="8">SUM(W8:W16)</f>
        <v>200625</v>
      </c>
      <c r="X17" s="51">
        <f>SUM(X8:X16)</f>
        <v>268197</v>
      </c>
      <c r="Y17" s="51">
        <f>SUM(Y8:Y16)</f>
        <v>272452</v>
      </c>
      <c r="Z17" s="52">
        <v>272452</v>
      </c>
      <c r="AA17" s="51">
        <f t="shared" ref="AA17" si="9">SUM(AA8:AA16)</f>
        <v>322607</v>
      </c>
      <c r="AB17" s="51">
        <f t="shared" ref="AB17" si="10">SUM(AB8:AB16)</f>
        <v>343464</v>
      </c>
      <c r="AC17" s="51">
        <f>SUM(AC8:AC16)</f>
        <v>245081</v>
      </c>
      <c r="AD17" s="51">
        <f>SUM(AD8:AD16)</f>
        <v>247622</v>
      </c>
      <c r="AE17" s="52">
        <v>235479</v>
      </c>
      <c r="AF17" s="51">
        <f t="shared" ref="AF17" si="11">SUM(AF8:AF16)</f>
        <v>231918</v>
      </c>
      <c r="AG17" s="51">
        <f t="shared" ref="AG17" si="12">SUM(AG8:AG16)</f>
        <v>255508</v>
      </c>
      <c r="AH17" s="51">
        <f>SUM(AH8:AH16)</f>
        <v>323813</v>
      </c>
      <c r="AI17" s="51">
        <f>SUM(AI8:AI16)</f>
        <v>378940</v>
      </c>
      <c r="AJ17" s="52">
        <f t="shared" si="0"/>
        <v>378940</v>
      </c>
      <c r="AK17" s="51">
        <f t="shared" ref="AK17" si="13">SUM(AK8:AK16)</f>
        <v>359480</v>
      </c>
      <c r="AL17" s="51">
        <f t="shared" ref="AL17" si="14">SUM(AL8:AL16)</f>
        <v>315495</v>
      </c>
      <c r="AM17" s="51">
        <f>SUM(AM8:AM16)</f>
        <v>335929</v>
      </c>
      <c r="AN17" s="51">
        <f>SUM(AN8:AN16)</f>
        <v>389335</v>
      </c>
      <c r="AO17" s="52">
        <f t="shared" si="1"/>
        <v>389335</v>
      </c>
      <c r="AP17" s="51">
        <f t="shared" ref="AP17:AQ17" si="15">SUM(AP8:AP16)</f>
        <v>333556</v>
      </c>
      <c r="AQ17" s="51">
        <f t="shared" si="15"/>
        <v>301045</v>
      </c>
      <c r="AR17" s="51">
        <f>SUM(AR8:AR16)</f>
        <v>508352</v>
      </c>
      <c r="AS17" s="51">
        <f>SUM(AS8:AS16)</f>
        <v>512486</v>
      </c>
      <c r="AT17" s="52">
        <f t="shared" si="2"/>
        <v>512486</v>
      </c>
      <c r="AU17" s="51">
        <f>SUM(AU8:AU16)</f>
        <v>516143</v>
      </c>
      <c r="AV17" s="51"/>
      <c r="AW17" s="51"/>
      <c r="AX17" s="51"/>
      <c r="AY17" s="52"/>
    </row>
    <row r="18" spans="1:51">
      <c r="A18" s="49"/>
      <c r="B18" s="27"/>
      <c r="C18" s="27"/>
      <c r="D18" s="27"/>
      <c r="E18" s="27"/>
      <c r="F18" s="50">
        <v>0</v>
      </c>
      <c r="G18" s="27"/>
      <c r="H18" s="27"/>
      <c r="I18" s="27"/>
      <c r="J18" s="27"/>
      <c r="K18" s="50">
        <v>0</v>
      </c>
      <c r="L18" s="27"/>
      <c r="M18" s="27"/>
      <c r="N18" s="27"/>
      <c r="O18" s="27"/>
      <c r="P18" s="50">
        <v>0</v>
      </c>
      <c r="Q18" s="27"/>
      <c r="R18" s="27"/>
      <c r="S18" s="27"/>
      <c r="T18" s="27"/>
      <c r="U18" s="50">
        <v>0</v>
      </c>
      <c r="V18" s="27"/>
      <c r="W18" s="27"/>
      <c r="X18" s="27"/>
      <c r="Y18" s="27"/>
      <c r="Z18" s="50">
        <v>0</v>
      </c>
      <c r="AA18" s="27"/>
      <c r="AB18" s="27"/>
      <c r="AC18" s="27"/>
      <c r="AD18" s="27"/>
      <c r="AE18" s="50">
        <v>0</v>
      </c>
      <c r="AF18" s="27"/>
      <c r="AG18" s="27"/>
      <c r="AH18" s="27"/>
      <c r="AI18" s="27"/>
      <c r="AJ18" s="50"/>
      <c r="AK18" s="27"/>
      <c r="AL18" s="27"/>
      <c r="AM18" s="27"/>
      <c r="AN18" s="27"/>
      <c r="AO18" s="50"/>
      <c r="AP18" s="27"/>
      <c r="AQ18" s="27"/>
      <c r="AR18" s="27"/>
      <c r="AS18" s="27"/>
      <c r="AT18" s="50"/>
      <c r="AU18" s="27"/>
      <c r="AV18" s="27"/>
      <c r="AW18" s="27"/>
      <c r="AX18" s="27"/>
      <c r="AY18" s="50"/>
    </row>
    <row r="19" spans="1:51">
      <c r="A19" s="49" t="s">
        <v>79</v>
      </c>
      <c r="B19" s="27">
        <v>11717</v>
      </c>
      <c r="C19" s="27">
        <v>11243</v>
      </c>
      <c r="D19" s="27">
        <v>10581</v>
      </c>
      <c r="E19" s="27">
        <v>14685</v>
      </c>
      <c r="F19" s="50">
        <v>14685</v>
      </c>
      <c r="G19" s="27">
        <v>14440</v>
      </c>
      <c r="H19" s="27">
        <v>12448</v>
      </c>
      <c r="I19" s="27">
        <v>10380</v>
      </c>
      <c r="J19" s="27">
        <v>10990</v>
      </c>
      <c r="K19" s="50">
        <v>10990</v>
      </c>
      <c r="L19" s="27">
        <v>12900</v>
      </c>
      <c r="M19" s="27">
        <v>13647</v>
      </c>
      <c r="N19" s="27">
        <v>10916</v>
      </c>
      <c r="O19" s="27">
        <v>9753</v>
      </c>
      <c r="P19" s="50">
        <v>9753</v>
      </c>
      <c r="Q19" s="27">
        <v>7345</v>
      </c>
      <c r="R19" s="27">
        <v>7681</v>
      </c>
      <c r="S19" s="27">
        <v>7046</v>
      </c>
      <c r="T19" s="27">
        <v>10203</v>
      </c>
      <c r="U19" s="50">
        <v>10203</v>
      </c>
      <c r="V19" s="27">
        <v>8111.0000000000009</v>
      </c>
      <c r="W19" s="27">
        <v>10969</v>
      </c>
      <c r="X19" s="27">
        <v>10747</v>
      </c>
      <c r="Y19" s="27">
        <v>13337</v>
      </c>
      <c r="Z19" s="50">
        <v>13337</v>
      </c>
      <c r="AA19" s="27">
        <v>13108</v>
      </c>
      <c r="AB19" s="27">
        <v>12778</v>
      </c>
      <c r="AC19" s="27">
        <v>15929</v>
      </c>
      <c r="AD19" s="27">
        <v>15696</v>
      </c>
      <c r="AE19" s="50">
        <v>27840</v>
      </c>
      <c r="AF19" s="27">
        <v>14103</v>
      </c>
      <c r="AG19" s="27">
        <v>5501</v>
      </c>
      <c r="AH19" s="27">
        <v>5505</v>
      </c>
      <c r="AI19" s="27">
        <v>16296</v>
      </c>
      <c r="AJ19" s="50">
        <f t="shared" si="0"/>
        <v>16296</v>
      </c>
      <c r="AK19" s="27">
        <v>16640</v>
      </c>
      <c r="AL19" s="27">
        <v>15778</v>
      </c>
      <c r="AM19" s="27">
        <v>17148</v>
      </c>
      <c r="AN19" s="27">
        <v>40596</v>
      </c>
      <c r="AO19" s="50">
        <f t="shared" si="1"/>
        <v>40596</v>
      </c>
      <c r="AP19" s="27">
        <v>43832</v>
      </c>
      <c r="AQ19" s="27">
        <v>46329</v>
      </c>
      <c r="AR19" s="27">
        <v>49843</v>
      </c>
      <c r="AS19" s="27">
        <v>40589</v>
      </c>
      <c r="AT19" s="50">
        <f t="shared" ref="AT19:AT25" si="16">AS19</f>
        <v>40589</v>
      </c>
      <c r="AU19" s="27">
        <v>42940</v>
      </c>
      <c r="AV19" s="27"/>
      <c r="AW19" s="27"/>
      <c r="AX19" s="27"/>
      <c r="AY19" s="50"/>
    </row>
    <row r="20" spans="1:51">
      <c r="A20" s="49" t="s">
        <v>85</v>
      </c>
      <c r="B20" s="27">
        <v>0</v>
      </c>
      <c r="C20" s="27">
        <v>0</v>
      </c>
      <c r="D20" s="27">
        <v>0</v>
      </c>
      <c r="E20" s="27">
        <v>0</v>
      </c>
      <c r="F20" s="50">
        <v>0</v>
      </c>
      <c r="G20" s="27">
        <v>0</v>
      </c>
      <c r="H20" s="27">
        <v>0</v>
      </c>
      <c r="I20" s="27">
        <v>0</v>
      </c>
      <c r="J20" s="27">
        <v>0</v>
      </c>
      <c r="K20" s="50">
        <v>0</v>
      </c>
      <c r="L20" s="27">
        <v>0</v>
      </c>
      <c r="M20" s="27">
        <v>0</v>
      </c>
      <c r="N20" s="27">
        <v>0</v>
      </c>
      <c r="O20" s="27">
        <v>0</v>
      </c>
      <c r="P20" s="50">
        <v>0</v>
      </c>
      <c r="Q20" s="27">
        <v>0</v>
      </c>
      <c r="R20" s="27">
        <v>0</v>
      </c>
      <c r="S20" s="27">
        <v>0</v>
      </c>
      <c r="T20" s="27">
        <v>0</v>
      </c>
      <c r="U20" s="50">
        <v>0</v>
      </c>
      <c r="V20" s="27">
        <v>0</v>
      </c>
      <c r="W20" s="27">
        <v>0</v>
      </c>
      <c r="X20" s="27">
        <v>0</v>
      </c>
      <c r="Y20" s="27">
        <v>0</v>
      </c>
      <c r="Z20" s="50">
        <v>0</v>
      </c>
      <c r="AA20" s="27">
        <v>0</v>
      </c>
      <c r="AB20" s="27">
        <v>0</v>
      </c>
      <c r="AC20" s="27">
        <v>53963</v>
      </c>
      <c r="AD20" s="27">
        <v>54353</v>
      </c>
      <c r="AE20" s="50">
        <v>54353</v>
      </c>
      <c r="AF20" s="27">
        <v>53979</v>
      </c>
      <c r="AG20" s="27">
        <v>52928</v>
      </c>
      <c r="AH20" s="27">
        <v>0</v>
      </c>
      <c r="AI20" s="27">
        <v>8977</v>
      </c>
      <c r="AJ20" s="50">
        <f t="shared" si="0"/>
        <v>8977</v>
      </c>
      <c r="AK20" s="27">
        <v>9163</v>
      </c>
      <c r="AL20" s="27">
        <v>11738</v>
      </c>
      <c r="AM20" s="27">
        <v>16472</v>
      </c>
      <c r="AN20" s="27">
        <v>19386</v>
      </c>
      <c r="AO20" s="50">
        <f t="shared" si="1"/>
        <v>19386</v>
      </c>
      <c r="AP20" s="27">
        <v>19265</v>
      </c>
      <c r="AQ20" s="27">
        <v>23025</v>
      </c>
      <c r="AR20" s="27">
        <v>44406</v>
      </c>
      <c r="AS20" s="27">
        <v>58576</v>
      </c>
      <c r="AT20" s="50">
        <f t="shared" si="16"/>
        <v>58576</v>
      </c>
      <c r="AU20" s="27">
        <v>66534</v>
      </c>
      <c r="AV20" s="27"/>
      <c r="AW20" s="27"/>
      <c r="AX20" s="27"/>
      <c r="AY20" s="50"/>
    </row>
    <row r="21" spans="1:51">
      <c r="A21" s="49" t="s">
        <v>83</v>
      </c>
      <c r="B21" s="27"/>
      <c r="C21" s="27"/>
      <c r="D21" s="27"/>
      <c r="E21" s="27"/>
      <c r="F21" s="50"/>
      <c r="G21" s="27"/>
      <c r="H21" s="27"/>
      <c r="I21" s="27"/>
      <c r="J21" s="27"/>
      <c r="K21" s="50"/>
      <c r="L21" s="27"/>
      <c r="M21" s="27"/>
      <c r="N21" s="27"/>
      <c r="O21" s="27"/>
      <c r="P21" s="50"/>
      <c r="Q21" s="27"/>
      <c r="R21" s="27"/>
      <c r="S21" s="27"/>
      <c r="T21" s="27"/>
      <c r="U21" s="50"/>
      <c r="V21" s="27"/>
      <c r="W21" s="27"/>
      <c r="X21" s="27"/>
      <c r="Y21" s="27"/>
      <c r="Z21" s="50"/>
      <c r="AA21" s="27"/>
      <c r="AB21" s="27"/>
      <c r="AC21" s="27"/>
      <c r="AD21" s="27"/>
      <c r="AE21" s="50"/>
      <c r="AF21" s="27"/>
      <c r="AG21" s="27"/>
      <c r="AH21" s="27"/>
      <c r="AI21" s="27">
        <v>4232</v>
      </c>
      <c r="AJ21" s="50">
        <f t="shared" si="0"/>
        <v>4232</v>
      </c>
      <c r="AK21" s="27">
        <v>4175</v>
      </c>
      <c r="AL21" s="27">
        <v>3457</v>
      </c>
      <c r="AM21" s="27">
        <v>3490</v>
      </c>
      <c r="AN21" s="27">
        <v>4943</v>
      </c>
      <c r="AO21" s="50">
        <f t="shared" si="1"/>
        <v>4943</v>
      </c>
      <c r="AP21" s="27">
        <v>3741</v>
      </c>
      <c r="AQ21" s="27">
        <v>4319</v>
      </c>
      <c r="AR21" s="27">
        <v>7012</v>
      </c>
      <c r="AS21" s="27">
        <v>16573</v>
      </c>
      <c r="AT21" s="50">
        <f t="shared" si="16"/>
        <v>16573</v>
      </c>
      <c r="AU21" s="27">
        <v>16099</v>
      </c>
      <c r="AV21" s="27"/>
      <c r="AW21" s="27"/>
      <c r="AX21" s="27"/>
      <c r="AY21" s="50"/>
    </row>
    <row r="22" spans="1:51">
      <c r="A22" s="49" t="s">
        <v>86</v>
      </c>
      <c r="B22" s="27">
        <v>102203</v>
      </c>
      <c r="C22" s="27">
        <v>100673</v>
      </c>
      <c r="D22" s="27">
        <v>102689</v>
      </c>
      <c r="E22" s="27">
        <v>80700</v>
      </c>
      <c r="F22" s="50">
        <v>80700</v>
      </c>
      <c r="G22" s="27">
        <v>132299</v>
      </c>
      <c r="H22" s="27">
        <v>134768</v>
      </c>
      <c r="I22" s="27">
        <v>142244</v>
      </c>
      <c r="J22" s="27">
        <v>205197</v>
      </c>
      <c r="K22" s="50">
        <v>205197</v>
      </c>
      <c r="L22" s="27">
        <v>214441</v>
      </c>
      <c r="M22" s="27">
        <v>215059</v>
      </c>
      <c r="N22" s="27">
        <v>214361</v>
      </c>
      <c r="O22" s="27">
        <v>212496</v>
      </c>
      <c r="P22" s="50">
        <v>212496</v>
      </c>
      <c r="Q22" s="27">
        <v>238532</v>
      </c>
      <c r="R22" s="27">
        <v>244225</v>
      </c>
      <c r="S22" s="27">
        <v>259236</v>
      </c>
      <c r="T22" s="27">
        <v>271159</v>
      </c>
      <c r="U22" s="50">
        <v>271159</v>
      </c>
      <c r="V22" s="27">
        <v>284349</v>
      </c>
      <c r="W22" s="27">
        <v>294698</v>
      </c>
      <c r="X22" s="27">
        <v>282351</v>
      </c>
      <c r="Y22" s="27">
        <v>285835</v>
      </c>
      <c r="Z22" s="50">
        <v>285835</v>
      </c>
      <c r="AA22" s="27">
        <v>295250</v>
      </c>
      <c r="AB22" s="27">
        <v>296295</v>
      </c>
      <c r="AC22" s="27">
        <v>320183</v>
      </c>
      <c r="AD22" s="27">
        <v>378532</v>
      </c>
      <c r="AE22" s="50">
        <v>378532</v>
      </c>
      <c r="AF22" s="27">
        <v>396591</v>
      </c>
      <c r="AG22" s="27">
        <v>425081</v>
      </c>
      <c r="AH22" s="27">
        <v>481664</v>
      </c>
      <c r="AI22" s="27">
        <v>488733</v>
      </c>
      <c r="AJ22" s="50">
        <f t="shared" si="0"/>
        <v>488733</v>
      </c>
      <c r="AK22" s="27">
        <v>504598</v>
      </c>
      <c r="AL22" s="27">
        <v>516742</v>
      </c>
      <c r="AM22" s="27">
        <v>560993</v>
      </c>
      <c r="AN22" s="27">
        <v>610784</v>
      </c>
      <c r="AO22" s="50">
        <f t="shared" si="1"/>
        <v>610784</v>
      </c>
      <c r="AP22" s="27">
        <v>720466</v>
      </c>
      <c r="AQ22" s="27">
        <v>762566</v>
      </c>
      <c r="AR22" s="27">
        <v>783346</v>
      </c>
      <c r="AS22" s="27">
        <v>945354</v>
      </c>
      <c r="AT22" s="50">
        <f t="shared" si="16"/>
        <v>945354</v>
      </c>
      <c r="AU22" s="27">
        <v>962633</v>
      </c>
      <c r="AV22" s="27"/>
      <c r="AW22" s="27"/>
      <c r="AX22" s="27"/>
      <c r="AY22" s="50"/>
    </row>
    <row r="23" spans="1:51">
      <c r="A23" s="49" t="s">
        <v>87</v>
      </c>
      <c r="B23" s="27">
        <v>0</v>
      </c>
      <c r="C23" s="27">
        <v>0</v>
      </c>
      <c r="D23" s="27">
        <v>0</v>
      </c>
      <c r="E23" s="27">
        <v>0</v>
      </c>
      <c r="F23" s="50">
        <v>0</v>
      </c>
      <c r="G23" s="27">
        <v>0</v>
      </c>
      <c r="H23" s="27">
        <v>0</v>
      </c>
      <c r="I23" s="27">
        <v>0</v>
      </c>
      <c r="J23" s="27">
        <v>0</v>
      </c>
      <c r="K23" s="50">
        <v>0</v>
      </c>
      <c r="L23" s="27">
        <v>0</v>
      </c>
      <c r="M23" s="27">
        <v>0</v>
      </c>
      <c r="N23" s="27">
        <v>0</v>
      </c>
      <c r="O23" s="27">
        <v>18016</v>
      </c>
      <c r="P23" s="50">
        <v>18016</v>
      </c>
      <c r="Q23" s="27">
        <v>11625</v>
      </c>
      <c r="R23" s="27">
        <v>12350</v>
      </c>
      <c r="S23" s="27">
        <v>12598</v>
      </c>
      <c r="T23" s="27">
        <v>37475</v>
      </c>
      <c r="U23" s="50">
        <v>37475</v>
      </c>
      <c r="V23" s="27">
        <v>30729</v>
      </c>
      <c r="W23" s="27">
        <v>27981</v>
      </c>
      <c r="X23" s="27">
        <v>23195</v>
      </c>
      <c r="Y23" s="27">
        <v>20856</v>
      </c>
      <c r="Z23" s="50">
        <v>20856</v>
      </c>
      <c r="AA23" s="27">
        <v>23101</v>
      </c>
      <c r="AB23" s="27">
        <v>22583</v>
      </c>
      <c r="AC23" s="27">
        <v>22407</v>
      </c>
      <c r="AD23" s="27">
        <v>31104</v>
      </c>
      <c r="AE23" s="50">
        <v>31104</v>
      </c>
      <c r="AF23" s="27">
        <v>34632</v>
      </c>
      <c r="AG23" s="27">
        <v>37995</v>
      </c>
      <c r="AH23" s="27">
        <v>31869</v>
      </c>
      <c r="AI23" s="27">
        <v>26646</v>
      </c>
      <c r="AJ23" s="50">
        <f t="shared" si="0"/>
        <v>26646</v>
      </c>
      <c r="AK23" s="27">
        <v>25282</v>
      </c>
      <c r="AL23" s="27">
        <v>18772</v>
      </c>
      <c r="AM23" s="27">
        <v>20970</v>
      </c>
      <c r="AN23" s="27">
        <v>15218</v>
      </c>
      <c r="AO23" s="50">
        <f t="shared" si="1"/>
        <v>15218</v>
      </c>
      <c r="AP23" s="27">
        <v>18131</v>
      </c>
      <c r="AQ23" s="27">
        <v>28639</v>
      </c>
      <c r="AR23" s="27">
        <v>35903</v>
      </c>
      <c r="AS23" s="27">
        <v>35418</v>
      </c>
      <c r="AT23" s="50">
        <f t="shared" si="16"/>
        <v>35418</v>
      </c>
      <c r="AU23" s="27">
        <v>40510</v>
      </c>
      <c r="AV23" s="27"/>
      <c r="AW23" s="27"/>
      <c r="AX23" s="27"/>
      <c r="AY23" s="50"/>
    </row>
    <row r="24" spans="1:51">
      <c r="A24" s="31" t="s">
        <v>88</v>
      </c>
      <c r="B24" s="51">
        <v>113920</v>
      </c>
      <c r="C24" s="51">
        <v>111916</v>
      </c>
      <c r="D24" s="51">
        <v>113270</v>
      </c>
      <c r="E24" s="51">
        <v>95385</v>
      </c>
      <c r="F24" s="52">
        <v>95385</v>
      </c>
      <c r="G24" s="51">
        <v>146739</v>
      </c>
      <c r="H24" s="51">
        <v>147216</v>
      </c>
      <c r="I24" s="51">
        <v>152624</v>
      </c>
      <c r="J24" s="51">
        <v>216187</v>
      </c>
      <c r="K24" s="52">
        <v>216187</v>
      </c>
      <c r="L24" s="51">
        <f t="shared" ref="L24" si="17">SUM(L19:L23)</f>
        <v>227341</v>
      </c>
      <c r="M24" s="51">
        <f t="shared" ref="M24" si="18">SUM(M19:M23)</f>
        <v>228706</v>
      </c>
      <c r="N24" s="51">
        <f t="shared" ref="N24" si="19">SUM(N19:N23)</f>
        <v>225277</v>
      </c>
      <c r="O24" s="51">
        <f t="shared" ref="O24" si="20">SUM(O19:O23)</f>
        <v>240265</v>
      </c>
      <c r="P24" s="52">
        <v>240265</v>
      </c>
      <c r="Q24" s="51">
        <f t="shared" ref="Q24" si="21">SUM(Q19:Q23)</f>
        <v>257502</v>
      </c>
      <c r="R24" s="51">
        <f t="shared" ref="R24" si="22">SUM(R19:R23)</f>
        <v>264256</v>
      </c>
      <c r="S24" s="51">
        <f t="shared" ref="S24" si="23">SUM(S19:S23)</f>
        <v>278880</v>
      </c>
      <c r="T24" s="51">
        <f t="shared" ref="T24" si="24">SUM(T19:T23)</f>
        <v>318837</v>
      </c>
      <c r="U24" s="52">
        <v>318837</v>
      </c>
      <c r="V24" s="51">
        <f t="shared" ref="V24" si="25">SUM(V19:V23)</f>
        <v>323189</v>
      </c>
      <c r="W24" s="51">
        <f t="shared" ref="W24" si="26">SUM(W19:W23)</f>
        <v>333648</v>
      </c>
      <c r="X24" s="51">
        <f t="shared" ref="X24" si="27">SUM(X19:X23)</f>
        <v>316293</v>
      </c>
      <c r="Y24" s="51">
        <f t="shared" ref="Y24" si="28">SUM(Y19:Y23)</f>
        <v>320028</v>
      </c>
      <c r="Z24" s="52">
        <v>320028</v>
      </c>
      <c r="AA24" s="51">
        <f t="shared" ref="AA24" si="29">SUM(AA19:AA23)</f>
        <v>331459</v>
      </c>
      <c r="AB24" s="51">
        <f t="shared" ref="AB24" si="30">SUM(AB19:AB23)</f>
        <v>331656</v>
      </c>
      <c r="AC24" s="51">
        <f t="shared" ref="AC24" si="31">SUM(AC19:AC23)</f>
        <v>412482</v>
      </c>
      <c r="AD24" s="51">
        <f t="shared" ref="AD24" si="32">SUM(AD19:AD23)</f>
        <v>479685</v>
      </c>
      <c r="AE24" s="52">
        <v>491829</v>
      </c>
      <c r="AF24" s="51">
        <f t="shared" ref="AF24" si="33">SUM(AF19:AF23)</f>
        <v>499305</v>
      </c>
      <c r="AG24" s="51">
        <f t="shared" ref="AG24" si="34">SUM(AG19:AG23)</f>
        <v>521505</v>
      </c>
      <c r="AH24" s="51">
        <f t="shared" ref="AH24" si="35">SUM(AH19:AH23)</f>
        <v>519038</v>
      </c>
      <c r="AI24" s="51">
        <f t="shared" ref="AI24" si="36">SUM(AI19:AI23)</f>
        <v>544884</v>
      </c>
      <c r="AJ24" s="52">
        <f t="shared" si="0"/>
        <v>544884</v>
      </c>
      <c r="AK24" s="51">
        <f t="shared" ref="AK24" si="37">SUM(AK19:AK23)</f>
        <v>559858</v>
      </c>
      <c r="AL24" s="51">
        <f t="shared" ref="AL24" si="38">SUM(AL19:AL23)</f>
        <v>566487</v>
      </c>
      <c r="AM24" s="51">
        <f t="shared" ref="AM24" si="39">SUM(AM19:AM23)</f>
        <v>619073</v>
      </c>
      <c r="AN24" s="51">
        <f t="shared" ref="AN24" si="40">SUM(AN19:AN23)</f>
        <v>690927</v>
      </c>
      <c r="AO24" s="52">
        <f t="shared" si="1"/>
        <v>690927</v>
      </c>
      <c r="AP24" s="51">
        <f t="shared" ref="AP24:AQ24" si="41">SUM(AP19:AP23)</f>
        <v>805435</v>
      </c>
      <c r="AQ24" s="51">
        <f t="shared" si="41"/>
        <v>864878</v>
      </c>
      <c r="AR24" s="51">
        <f>SUM(AR19:AR23)</f>
        <v>920510</v>
      </c>
      <c r="AS24" s="51">
        <f>SUM(AS19:AS23)</f>
        <v>1096510</v>
      </c>
      <c r="AT24" s="52">
        <f t="shared" si="16"/>
        <v>1096510</v>
      </c>
      <c r="AU24" s="51">
        <f>SUM(AU19:AU23)</f>
        <v>1128716</v>
      </c>
      <c r="AV24" s="51"/>
      <c r="AW24" s="51"/>
      <c r="AX24" s="51"/>
      <c r="AY24" s="52"/>
    </row>
    <row r="25" spans="1:51" s="2" customFormat="1">
      <c r="A25" s="31" t="s">
        <v>89</v>
      </c>
      <c r="B25" s="51">
        <v>178541</v>
      </c>
      <c r="C25" s="51">
        <v>179807</v>
      </c>
      <c r="D25" s="51">
        <v>183090</v>
      </c>
      <c r="E25" s="51">
        <v>186275</v>
      </c>
      <c r="F25" s="52">
        <v>186275</v>
      </c>
      <c r="G25" s="51">
        <v>235574</v>
      </c>
      <c r="H25" s="51">
        <v>242641</v>
      </c>
      <c r="I25" s="51">
        <v>246754</v>
      </c>
      <c r="J25" s="51">
        <v>301294</v>
      </c>
      <c r="K25" s="52">
        <v>301294</v>
      </c>
      <c r="L25" s="51">
        <f t="shared" ref="L25" si="42">L24+L17</f>
        <v>314636</v>
      </c>
      <c r="M25" s="51">
        <f t="shared" ref="M25" si="43">M24+M17</f>
        <v>311818</v>
      </c>
      <c r="N25" s="51">
        <f t="shared" ref="N25" si="44">N24+N17</f>
        <v>319590</v>
      </c>
      <c r="O25" s="51">
        <f t="shared" ref="O25" si="45">O24+O17</f>
        <v>350509</v>
      </c>
      <c r="P25" s="52">
        <v>350509</v>
      </c>
      <c r="Q25" s="51">
        <f t="shared" ref="Q25" si="46">Q24+Q17</f>
        <v>367629</v>
      </c>
      <c r="R25" s="51">
        <f t="shared" ref="R25" si="47">R24+R17</f>
        <v>370753</v>
      </c>
      <c r="S25" s="51">
        <f t="shared" ref="S25" si="48">S24+S17</f>
        <v>446890</v>
      </c>
      <c r="T25" s="51">
        <f t="shared" ref="T25" si="49">T24+T17</f>
        <v>536190</v>
      </c>
      <c r="U25" s="52">
        <v>536190</v>
      </c>
      <c r="V25" s="51">
        <f t="shared" ref="V25" si="50">V24+V17</f>
        <v>568055</v>
      </c>
      <c r="W25" s="51">
        <f t="shared" ref="W25" si="51">W24+W17</f>
        <v>534273</v>
      </c>
      <c r="X25" s="51">
        <f t="shared" ref="X25" si="52">X24+X17</f>
        <v>584490</v>
      </c>
      <c r="Y25" s="51">
        <f t="shared" ref="Y25" si="53">Y24+Y17</f>
        <v>592480</v>
      </c>
      <c r="Z25" s="52">
        <v>592480</v>
      </c>
      <c r="AA25" s="51">
        <f t="shared" ref="AA25" si="54">AA24+AA17</f>
        <v>654066</v>
      </c>
      <c r="AB25" s="51">
        <f t="shared" ref="AB25" si="55">AB24+AB17</f>
        <v>675120</v>
      </c>
      <c r="AC25" s="51">
        <f t="shared" ref="AC25" si="56">AC24+AC17</f>
        <v>657563</v>
      </c>
      <c r="AD25" s="51">
        <f t="shared" ref="AD25" si="57">AD24+AD17</f>
        <v>727307</v>
      </c>
      <c r="AE25" s="52">
        <v>727308</v>
      </c>
      <c r="AF25" s="51">
        <f t="shared" ref="AF25" si="58">AF24+AF17</f>
        <v>731223</v>
      </c>
      <c r="AG25" s="51">
        <f t="shared" ref="AG25" si="59">AG24+AG17</f>
        <v>777013</v>
      </c>
      <c r="AH25" s="51">
        <f t="shared" ref="AH25" si="60">AH24+AH17</f>
        <v>842851</v>
      </c>
      <c r="AI25" s="51">
        <f t="shared" ref="AI25" si="61">AI24+AI17</f>
        <v>923824</v>
      </c>
      <c r="AJ25" s="52">
        <f t="shared" si="0"/>
        <v>923824</v>
      </c>
      <c r="AK25" s="51">
        <f t="shared" ref="AK25" si="62">AK24+AK17</f>
        <v>919338</v>
      </c>
      <c r="AL25" s="51">
        <f t="shared" ref="AL25" si="63">AL24+AL17</f>
        <v>881982</v>
      </c>
      <c r="AM25" s="51">
        <f t="shared" ref="AM25" si="64">AM24+AM17</f>
        <v>955002</v>
      </c>
      <c r="AN25" s="51">
        <f t="shared" ref="AN25" si="65">AN24+AN17</f>
        <v>1080262</v>
      </c>
      <c r="AO25" s="52">
        <f t="shared" si="1"/>
        <v>1080262</v>
      </c>
      <c r="AP25" s="51">
        <f t="shared" ref="AP25:AQ25" si="66">AP24+AP17</f>
        <v>1138991</v>
      </c>
      <c r="AQ25" s="51">
        <f t="shared" si="66"/>
        <v>1165923</v>
      </c>
      <c r="AR25" s="51">
        <f>AR24+AR17</f>
        <v>1428862</v>
      </c>
      <c r="AS25" s="51">
        <f>AS24+AS17</f>
        <v>1608996</v>
      </c>
      <c r="AT25" s="52">
        <f t="shared" si="16"/>
        <v>1608996</v>
      </c>
      <c r="AU25" s="51">
        <f>AU24+AU17</f>
        <v>1644859</v>
      </c>
      <c r="AV25" s="51"/>
      <c r="AW25" s="51"/>
      <c r="AX25" s="51"/>
      <c r="AY25" s="52"/>
    </row>
    <row r="26" spans="1:51">
      <c r="A26" s="31" t="s">
        <v>90</v>
      </c>
      <c r="B26" s="27"/>
      <c r="C26" s="27"/>
      <c r="D26" s="27"/>
      <c r="E26" s="27"/>
      <c r="F26" s="50">
        <v>0</v>
      </c>
      <c r="G26" s="27"/>
      <c r="H26" s="27"/>
      <c r="I26" s="27"/>
      <c r="J26" s="27"/>
      <c r="K26" s="50">
        <v>0</v>
      </c>
      <c r="L26" s="27"/>
      <c r="M26" s="27"/>
      <c r="N26" s="27"/>
      <c r="O26" s="27"/>
      <c r="P26" s="50">
        <v>0</v>
      </c>
      <c r="Q26" s="27"/>
      <c r="R26" s="27"/>
      <c r="S26" s="27"/>
      <c r="T26" s="27"/>
      <c r="U26" s="50">
        <v>0</v>
      </c>
      <c r="V26" s="27"/>
      <c r="W26" s="27"/>
      <c r="X26" s="27"/>
      <c r="Y26" s="27"/>
      <c r="Z26" s="50">
        <v>0</v>
      </c>
      <c r="AA26" s="27"/>
      <c r="AB26" s="27"/>
      <c r="AC26" s="27"/>
      <c r="AD26" s="27"/>
      <c r="AE26" s="50">
        <v>0</v>
      </c>
      <c r="AF26" s="27"/>
      <c r="AG26" s="27"/>
      <c r="AH26" s="27"/>
      <c r="AI26" s="27"/>
      <c r="AJ26" s="50"/>
      <c r="AK26" s="27"/>
      <c r="AL26" s="27"/>
      <c r="AM26" s="27"/>
      <c r="AN26" s="27"/>
      <c r="AO26" s="50"/>
      <c r="AP26" s="27"/>
      <c r="AQ26" s="27"/>
      <c r="AR26" s="27"/>
      <c r="AS26" s="27"/>
      <c r="AT26" s="50"/>
      <c r="AU26" s="27"/>
      <c r="AV26" s="27"/>
      <c r="AW26" s="27"/>
      <c r="AX26" s="27"/>
      <c r="AY26" s="50"/>
    </row>
    <row r="27" spans="1:51">
      <c r="A27" s="49" t="s">
        <v>91</v>
      </c>
      <c r="B27" s="27">
        <v>34088</v>
      </c>
      <c r="C27" s="27">
        <v>27637</v>
      </c>
      <c r="D27" s="27">
        <v>30915</v>
      </c>
      <c r="E27" s="27">
        <v>35811</v>
      </c>
      <c r="F27" s="50">
        <v>35811</v>
      </c>
      <c r="G27" s="27">
        <v>40428</v>
      </c>
      <c r="H27" s="27">
        <v>40924</v>
      </c>
      <c r="I27" s="27">
        <v>42051</v>
      </c>
      <c r="J27" s="27">
        <v>50408</v>
      </c>
      <c r="K27" s="50">
        <v>50408</v>
      </c>
      <c r="L27" s="27">
        <v>56687</v>
      </c>
      <c r="M27" s="27">
        <v>59703</v>
      </c>
      <c r="N27" s="27">
        <v>55001</v>
      </c>
      <c r="O27" s="27">
        <v>56992</v>
      </c>
      <c r="P27" s="50">
        <v>56992</v>
      </c>
      <c r="Q27" s="27">
        <v>59680</v>
      </c>
      <c r="R27" s="27">
        <v>57177</v>
      </c>
      <c r="S27" s="27">
        <v>56953</v>
      </c>
      <c r="T27" s="27">
        <v>72892</v>
      </c>
      <c r="U27" s="50">
        <v>72892</v>
      </c>
      <c r="V27" s="27">
        <v>128600</v>
      </c>
      <c r="W27" s="27">
        <v>73854</v>
      </c>
      <c r="X27" s="27">
        <v>69720</v>
      </c>
      <c r="Y27" s="27">
        <v>68545</v>
      </c>
      <c r="Z27" s="50">
        <v>68545</v>
      </c>
      <c r="AA27" s="27">
        <v>63579</v>
      </c>
      <c r="AB27" s="27">
        <v>63831</v>
      </c>
      <c r="AC27" s="27">
        <v>56780</v>
      </c>
      <c r="AD27" s="27">
        <v>71308</v>
      </c>
      <c r="AE27" s="50">
        <v>71308</v>
      </c>
      <c r="AF27" s="27">
        <v>72039</v>
      </c>
      <c r="AG27" s="27">
        <v>75235</v>
      </c>
      <c r="AH27" s="27">
        <v>81685</v>
      </c>
      <c r="AI27" s="27">
        <v>92514</v>
      </c>
      <c r="AJ27" s="50">
        <f t="shared" si="0"/>
        <v>92514</v>
      </c>
      <c r="AK27" s="27">
        <v>79907</v>
      </c>
      <c r="AL27" s="27">
        <v>79537</v>
      </c>
      <c r="AM27" s="27">
        <v>100061</v>
      </c>
      <c r="AN27" s="27">
        <v>98067</v>
      </c>
      <c r="AO27" s="50">
        <f t="shared" si="1"/>
        <v>98067</v>
      </c>
      <c r="AP27" s="27">
        <v>103793</v>
      </c>
      <c r="AQ27" s="27">
        <v>111156</v>
      </c>
      <c r="AR27" s="27">
        <v>125447</v>
      </c>
      <c r="AS27" s="27">
        <v>189614</v>
      </c>
      <c r="AT27" s="50">
        <f t="shared" ref="AT27:AT33" si="67">AS27</f>
        <v>189614</v>
      </c>
      <c r="AU27" s="27">
        <v>165075</v>
      </c>
      <c r="AV27" s="27"/>
      <c r="AW27" s="27"/>
      <c r="AX27" s="27"/>
      <c r="AY27" s="50"/>
    </row>
    <row r="28" spans="1:51">
      <c r="A28" s="49" t="s">
        <v>82</v>
      </c>
      <c r="B28" s="27">
        <v>0</v>
      </c>
      <c r="C28" s="27">
        <v>0</v>
      </c>
      <c r="D28" s="27">
        <v>0</v>
      </c>
      <c r="E28" s="27">
        <v>895</v>
      </c>
      <c r="F28" s="50">
        <v>895</v>
      </c>
      <c r="G28" s="27">
        <v>347</v>
      </c>
      <c r="H28" s="27">
        <v>0</v>
      </c>
      <c r="I28" s="27">
        <v>0</v>
      </c>
      <c r="J28" s="27">
        <v>906</v>
      </c>
      <c r="K28" s="50">
        <v>906</v>
      </c>
      <c r="L28" s="27">
        <v>93</v>
      </c>
      <c r="M28" s="27">
        <v>1456</v>
      </c>
      <c r="N28" s="27">
        <v>1675</v>
      </c>
      <c r="O28" s="27">
        <v>227</v>
      </c>
      <c r="P28" s="50">
        <v>227</v>
      </c>
      <c r="Q28" s="27">
        <v>1196</v>
      </c>
      <c r="R28" s="27">
        <v>3892</v>
      </c>
      <c r="S28" s="27">
        <v>1047</v>
      </c>
      <c r="T28" s="27">
        <v>156</v>
      </c>
      <c r="U28" s="50">
        <v>156</v>
      </c>
      <c r="V28" s="27">
        <v>0</v>
      </c>
      <c r="W28" s="27">
        <v>0</v>
      </c>
      <c r="X28" s="27">
        <v>0</v>
      </c>
      <c r="Y28" s="27">
        <v>0</v>
      </c>
      <c r="Z28" s="50">
        <v>0</v>
      </c>
      <c r="AA28" s="27">
        <v>0</v>
      </c>
      <c r="AB28" s="27">
        <v>0</v>
      </c>
      <c r="AC28" s="27">
        <v>0</v>
      </c>
      <c r="AD28" s="27">
        <v>0</v>
      </c>
      <c r="AE28" s="50">
        <v>0</v>
      </c>
      <c r="AF28" s="27">
        <v>0</v>
      </c>
      <c r="AG28" s="27">
        <v>0</v>
      </c>
      <c r="AH28" s="27">
        <v>0</v>
      </c>
      <c r="AI28" s="27">
        <v>0</v>
      </c>
      <c r="AJ28" s="50">
        <f t="shared" si="0"/>
        <v>0</v>
      </c>
      <c r="AK28" s="27">
        <v>0</v>
      </c>
      <c r="AL28" s="27">
        <v>0</v>
      </c>
      <c r="AM28" s="27">
        <v>0</v>
      </c>
      <c r="AN28" s="27">
        <v>19302</v>
      </c>
      <c r="AO28" s="50">
        <f t="shared" si="1"/>
        <v>19302</v>
      </c>
      <c r="AP28" s="27">
        <v>26578</v>
      </c>
      <c r="AQ28" s="27">
        <v>26654</v>
      </c>
      <c r="AR28" s="27">
        <v>26521</v>
      </c>
      <c r="AS28" s="27">
        <v>139354</v>
      </c>
      <c r="AT28" s="50">
        <f t="shared" si="67"/>
        <v>139354</v>
      </c>
      <c r="AU28" s="27">
        <v>168363</v>
      </c>
      <c r="AV28" s="27"/>
      <c r="AW28" s="27"/>
      <c r="AX28" s="27"/>
      <c r="AY28" s="50"/>
    </row>
    <row r="29" spans="1:51">
      <c r="A29" s="49" t="s">
        <v>92</v>
      </c>
      <c r="B29" s="27">
        <v>8293</v>
      </c>
      <c r="C29" s="27">
        <v>21155</v>
      </c>
      <c r="D29" s="27">
        <v>19954</v>
      </c>
      <c r="E29" s="27">
        <v>18052</v>
      </c>
      <c r="F29" s="50">
        <v>18052</v>
      </c>
      <c r="G29" s="27">
        <v>13536</v>
      </c>
      <c r="H29" s="27">
        <v>12671</v>
      </c>
      <c r="I29" s="27">
        <v>11691</v>
      </c>
      <c r="J29" s="27">
        <v>12004</v>
      </c>
      <c r="K29" s="50">
        <v>12004</v>
      </c>
      <c r="L29" s="27">
        <v>18978</v>
      </c>
      <c r="M29" s="27">
        <v>19658</v>
      </c>
      <c r="N29" s="27">
        <v>19932</v>
      </c>
      <c r="O29" s="27">
        <v>22104</v>
      </c>
      <c r="P29" s="50">
        <v>22104</v>
      </c>
      <c r="Q29" s="27">
        <v>25157</v>
      </c>
      <c r="R29" s="27">
        <v>33408</v>
      </c>
      <c r="S29" s="27">
        <v>30559</v>
      </c>
      <c r="T29" s="27">
        <v>28485</v>
      </c>
      <c r="U29" s="50">
        <v>28485</v>
      </c>
      <c r="V29" s="27">
        <v>32034</v>
      </c>
      <c r="W29" s="27">
        <v>39661</v>
      </c>
      <c r="X29" s="27">
        <v>41064</v>
      </c>
      <c r="Y29" s="27">
        <v>58169</v>
      </c>
      <c r="Z29" s="50">
        <v>58169</v>
      </c>
      <c r="AA29" s="27">
        <v>59608</v>
      </c>
      <c r="AB29" s="27">
        <v>60285</v>
      </c>
      <c r="AC29" s="27">
        <v>84045</v>
      </c>
      <c r="AD29" s="27">
        <v>73215</v>
      </c>
      <c r="AE29" s="50">
        <v>73215</v>
      </c>
      <c r="AF29" s="27">
        <v>88358</v>
      </c>
      <c r="AG29" s="27">
        <v>113434</v>
      </c>
      <c r="AH29" s="27">
        <v>101047</v>
      </c>
      <c r="AI29" s="27">
        <v>82865</v>
      </c>
      <c r="AJ29" s="50">
        <f t="shared" si="0"/>
        <v>82865</v>
      </c>
      <c r="AK29" s="27">
        <v>75957</v>
      </c>
      <c r="AL29" s="27">
        <v>98004</v>
      </c>
      <c r="AM29" s="27">
        <v>163115</v>
      </c>
      <c r="AN29" s="27">
        <v>82007</v>
      </c>
      <c r="AO29" s="50">
        <f t="shared" si="1"/>
        <v>82007</v>
      </c>
      <c r="AP29" s="27">
        <v>100853</v>
      </c>
      <c r="AQ29" s="27">
        <v>78786</v>
      </c>
      <c r="AR29" s="27">
        <v>89810</v>
      </c>
      <c r="AS29" s="27">
        <v>99548</v>
      </c>
      <c r="AT29" s="50">
        <f t="shared" si="67"/>
        <v>99548</v>
      </c>
      <c r="AU29" s="27">
        <v>97090</v>
      </c>
      <c r="AV29" s="27"/>
      <c r="AW29" s="27"/>
      <c r="AX29" s="27"/>
      <c r="AY29" s="50"/>
    </row>
    <row r="30" spans="1:51">
      <c r="A30" s="49" t="s">
        <v>93</v>
      </c>
      <c r="B30" s="27"/>
      <c r="C30" s="27"/>
      <c r="D30" s="27"/>
      <c r="E30" s="27"/>
      <c r="F30" s="50"/>
      <c r="G30" s="27"/>
      <c r="H30" s="27"/>
      <c r="I30" s="27"/>
      <c r="J30" s="27"/>
      <c r="K30" s="50"/>
      <c r="L30" s="27"/>
      <c r="M30" s="27"/>
      <c r="N30" s="27"/>
      <c r="O30" s="27"/>
      <c r="P30" s="50"/>
      <c r="Q30" s="27"/>
      <c r="R30" s="27"/>
      <c r="S30" s="27"/>
      <c r="T30" s="27"/>
      <c r="U30" s="50"/>
      <c r="V30" s="27"/>
      <c r="W30" s="27"/>
      <c r="X30" s="27"/>
      <c r="Y30" s="27"/>
      <c r="Z30" s="50"/>
      <c r="AA30" s="27"/>
      <c r="AB30" s="27"/>
      <c r="AC30" s="27"/>
      <c r="AD30" s="27"/>
      <c r="AE30" s="50"/>
      <c r="AF30" s="27"/>
      <c r="AG30" s="27"/>
      <c r="AH30" s="27"/>
      <c r="AI30" s="27">
        <v>2100</v>
      </c>
      <c r="AJ30" s="50">
        <f t="shared" si="0"/>
        <v>2100</v>
      </c>
      <c r="AK30" s="27"/>
      <c r="AL30" s="27"/>
      <c r="AM30" s="27">
        <v>2350</v>
      </c>
      <c r="AN30" s="27">
        <v>3362</v>
      </c>
      <c r="AO30" s="50">
        <f t="shared" si="1"/>
        <v>3362</v>
      </c>
      <c r="AP30" s="27">
        <v>3829</v>
      </c>
      <c r="AQ30" s="27">
        <v>4850</v>
      </c>
      <c r="AR30" s="27">
        <v>5322</v>
      </c>
      <c r="AS30" s="27">
        <v>1012</v>
      </c>
      <c r="AT30" s="50">
        <f t="shared" si="67"/>
        <v>1012</v>
      </c>
      <c r="AU30" s="27">
        <v>4522</v>
      </c>
      <c r="AV30" s="27"/>
      <c r="AW30" s="27"/>
      <c r="AX30" s="27"/>
      <c r="AY30" s="50"/>
    </row>
    <row r="31" spans="1:51">
      <c r="A31" s="49" t="s">
        <v>94</v>
      </c>
      <c r="B31" s="27">
        <v>10904</v>
      </c>
      <c r="C31" s="27">
        <v>11541</v>
      </c>
      <c r="D31" s="27">
        <v>4755</v>
      </c>
      <c r="E31" s="27">
        <v>5047</v>
      </c>
      <c r="F31" s="50">
        <v>5047</v>
      </c>
      <c r="G31" s="27">
        <v>6025</v>
      </c>
      <c r="H31" s="27">
        <v>7050</v>
      </c>
      <c r="I31" s="27">
        <v>5806</v>
      </c>
      <c r="J31" s="27">
        <v>2069</v>
      </c>
      <c r="K31" s="50">
        <v>2069</v>
      </c>
      <c r="L31" s="27">
        <v>2412</v>
      </c>
      <c r="M31" s="27">
        <v>1971</v>
      </c>
      <c r="N31" s="27">
        <v>4592</v>
      </c>
      <c r="O31" s="27">
        <v>6157</v>
      </c>
      <c r="P31" s="50">
        <v>6157</v>
      </c>
      <c r="Q31" s="27">
        <v>3862</v>
      </c>
      <c r="R31" s="27">
        <v>3362</v>
      </c>
      <c r="S31" s="27">
        <v>10146</v>
      </c>
      <c r="T31" s="27">
        <v>16619</v>
      </c>
      <c r="U31" s="50">
        <v>16619</v>
      </c>
      <c r="V31" s="27">
        <v>16647</v>
      </c>
      <c r="W31" s="27">
        <v>13626</v>
      </c>
      <c r="X31" s="27">
        <v>12490</v>
      </c>
      <c r="Y31" s="27">
        <v>17733</v>
      </c>
      <c r="Z31" s="50">
        <v>17733</v>
      </c>
      <c r="AA31" s="27">
        <v>26094</v>
      </c>
      <c r="AB31" s="27">
        <v>6241</v>
      </c>
      <c r="AC31" s="27">
        <v>909</v>
      </c>
      <c r="AD31" s="27">
        <v>3632</v>
      </c>
      <c r="AE31" s="50">
        <v>3632</v>
      </c>
      <c r="AF31" s="27">
        <v>1898</v>
      </c>
      <c r="AG31" s="27">
        <v>3761</v>
      </c>
      <c r="AH31" s="27">
        <v>2756</v>
      </c>
      <c r="AI31" s="27">
        <v>5147</v>
      </c>
      <c r="AJ31" s="50">
        <f t="shared" si="0"/>
        <v>5147</v>
      </c>
      <c r="AK31" s="27">
        <v>2228</v>
      </c>
      <c r="AL31" s="27">
        <v>8752</v>
      </c>
      <c r="AM31" s="27">
        <v>18737</v>
      </c>
      <c r="AN31" s="27">
        <v>31618</v>
      </c>
      <c r="AO31" s="50">
        <f t="shared" si="1"/>
        <v>31618</v>
      </c>
      <c r="AP31" s="27">
        <v>31379</v>
      </c>
      <c r="AQ31" s="27">
        <v>28507</v>
      </c>
      <c r="AR31" s="27">
        <v>46228</v>
      </c>
      <c r="AS31" s="27">
        <v>66765</v>
      </c>
      <c r="AT31" s="50">
        <f t="shared" si="67"/>
        <v>66765</v>
      </c>
      <c r="AU31" s="27">
        <v>60622</v>
      </c>
      <c r="AV31" s="27"/>
      <c r="AW31" s="27"/>
      <c r="AX31" s="27"/>
      <c r="AY31" s="50"/>
    </row>
    <row r="32" spans="1:51">
      <c r="A32" s="49" t="s">
        <v>95</v>
      </c>
      <c r="B32" s="220">
        <v>82</v>
      </c>
      <c r="C32" s="220">
        <v>82</v>
      </c>
      <c r="D32" s="220">
        <v>82</v>
      </c>
      <c r="E32" s="220">
        <v>0</v>
      </c>
      <c r="F32" s="50">
        <v>0</v>
      </c>
      <c r="G32" s="220">
        <v>0</v>
      </c>
      <c r="H32" s="220">
        <v>0</v>
      </c>
      <c r="I32" s="220">
        <v>0</v>
      </c>
      <c r="J32" s="220">
        <v>0</v>
      </c>
      <c r="K32" s="50">
        <v>0</v>
      </c>
      <c r="L32" s="220">
        <v>0</v>
      </c>
      <c r="M32" s="220">
        <v>0</v>
      </c>
      <c r="N32" s="220">
        <v>0</v>
      </c>
      <c r="O32" s="220">
        <v>0</v>
      </c>
      <c r="P32" s="50">
        <v>0</v>
      </c>
      <c r="Q32" s="220">
        <v>0</v>
      </c>
      <c r="R32" s="220">
        <v>0</v>
      </c>
      <c r="S32" s="220">
        <v>0</v>
      </c>
      <c r="T32" s="220">
        <v>0</v>
      </c>
      <c r="U32" s="50">
        <v>0</v>
      </c>
      <c r="V32" s="220">
        <v>0</v>
      </c>
      <c r="W32" s="220">
        <v>0</v>
      </c>
      <c r="X32" s="220">
        <v>0</v>
      </c>
      <c r="Y32" s="220">
        <v>0</v>
      </c>
      <c r="Z32" s="50">
        <v>0</v>
      </c>
      <c r="AA32" s="220">
        <v>0</v>
      </c>
      <c r="AB32" s="220">
        <v>0</v>
      </c>
      <c r="AC32" s="220">
        <v>0</v>
      </c>
      <c r="AD32" s="220">
        <v>0</v>
      </c>
      <c r="AE32" s="50">
        <v>0</v>
      </c>
      <c r="AF32" s="220">
        <v>0</v>
      </c>
      <c r="AG32" s="220">
        <v>0</v>
      </c>
      <c r="AH32" s="220">
        <v>0</v>
      </c>
      <c r="AI32" s="220">
        <v>14771</v>
      </c>
      <c r="AJ32" s="50">
        <f t="shared" si="0"/>
        <v>14771</v>
      </c>
      <c r="AK32" s="220">
        <v>8088</v>
      </c>
      <c r="AL32" s="220">
        <v>0</v>
      </c>
      <c r="AM32" s="220">
        <v>14225</v>
      </c>
      <c r="AN32" s="220">
        <v>14190</v>
      </c>
      <c r="AO32" s="50">
        <f t="shared" si="1"/>
        <v>14190</v>
      </c>
      <c r="AP32" s="220">
        <v>14711</v>
      </c>
      <c r="AQ32" s="220">
        <v>14939</v>
      </c>
      <c r="AR32" s="220">
        <v>15988</v>
      </c>
      <c r="AS32" s="220">
        <v>18933</v>
      </c>
      <c r="AT32" s="50">
        <f t="shared" si="67"/>
        <v>18933</v>
      </c>
      <c r="AU32" s="220">
        <v>18931</v>
      </c>
      <c r="AV32" s="220"/>
      <c r="AW32" s="220"/>
      <c r="AX32" s="220"/>
      <c r="AY32" s="50"/>
    </row>
    <row r="33" spans="1:51">
      <c r="A33" s="49" t="s">
        <v>96</v>
      </c>
      <c r="B33" s="27">
        <v>2144</v>
      </c>
      <c r="C33" s="27">
        <v>2144</v>
      </c>
      <c r="D33" s="27">
        <v>2144</v>
      </c>
      <c r="E33" s="27">
        <v>1976</v>
      </c>
      <c r="F33" s="50">
        <v>1976</v>
      </c>
      <c r="G33" s="27">
        <v>1617</v>
      </c>
      <c r="H33" s="27">
        <v>2062</v>
      </c>
      <c r="I33" s="27">
        <v>1716</v>
      </c>
      <c r="J33" s="27">
        <v>1346</v>
      </c>
      <c r="K33" s="50">
        <v>1346</v>
      </c>
      <c r="L33" s="27">
        <v>2946</v>
      </c>
      <c r="M33" s="27">
        <v>3603</v>
      </c>
      <c r="N33" s="27">
        <v>3585</v>
      </c>
      <c r="O33" s="27">
        <v>1944</v>
      </c>
      <c r="P33" s="50">
        <v>1944</v>
      </c>
      <c r="Q33" s="27">
        <v>926</v>
      </c>
      <c r="R33" s="27">
        <v>1249</v>
      </c>
      <c r="S33" s="27">
        <v>2682</v>
      </c>
      <c r="T33" s="27">
        <v>2558</v>
      </c>
      <c r="U33" s="50">
        <v>2558</v>
      </c>
      <c r="V33" s="27">
        <v>3383</v>
      </c>
      <c r="W33" s="27">
        <v>2948</v>
      </c>
      <c r="X33" s="27">
        <v>3289</v>
      </c>
      <c r="Y33" s="27">
        <v>2151</v>
      </c>
      <c r="Z33" s="50">
        <v>2151</v>
      </c>
      <c r="AA33" s="27">
        <v>1187</v>
      </c>
      <c r="AB33" s="27">
        <v>1170</v>
      </c>
      <c r="AC33" s="27">
        <v>1144</v>
      </c>
      <c r="AD33" s="27">
        <v>12978</v>
      </c>
      <c r="AE33" s="50">
        <v>12978</v>
      </c>
      <c r="AF33" s="27">
        <v>14758</v>
      </c>
      <c r="AG33" s="27">
        <v>14137</v>
      </c>
      <c r="AH33" s="27">
        <v>11934</v>
      </c>
      <c r="AI33" s="27">
        <v>0</v>
      </c>
      <c r="AJ33" s="50">
        <f t="shared" si="0"/>
        <v>0</v>
      </c>
      <c r="AK33" s="27">
        <v>14133</v>
      </c>
      <c r="AL33" s="27">
        <v>16779</v>
      </c>
      <c r="AM33" s="27">
        <v>0</v>
      </c>
      <c r="AN33" s="27">
        <v>0</v>
      </c>
      <c r="AO33" s="50">
        <f t="shared" si="1"/>
        <v>0</v>
      </c>
      <c r="AP33" s="27" t="s">
        <v>97</v>
      </c>
      <c r="AQ33" s="27" t="s">
        <v>97</v>
      </c>
      <c r="AR33" s="27">
        <v>2551</v>
      </c>
      <c r="AS33" s="27">
        <v>5661</v>
      </c>
      <c r="AT33" s="50">
        <f t="shared" si="67"/>
        <v>5661</v>
      </c>
      <c r="AU33" s="27">
        <v>6028</v>
      </c>
      <c r="AV33" s="27"/>
      <c r="AW33" s="27"/>
      <c r="AX33" s="27"/>
      <c r="AY33" s="50"/>
    </row>
    <row r="34" spans="1:51">
      <c r="A34" s="49" t="s">
        <v>98</v>
      </c>
      <c r="B34" s="27"/>
      <c r="C34" s="27"/>
      <c r="D34" s="27"/>
      <c r="E34" s="27"/>
      <c r="F34" s="50">
        <v>0</v>
      </c>
      <c r="G34" s="27"/>
      <c r="H34" s="27"/>
      <c r="I34" s="27"/>
      <c r="J34" s="27"/>
      <c r="K34" s="50">
        <v>0</v>
      </c>
      <c r="L34" s="27"/>
      <c r="M34" s="27"/>
      <c r="N34" s="27"/>
      <c r="O34" s="27"/>
      <c r="P34" s="50">
        <v>0</v>
      </c>
      <c r="Q34" s="27"/>
      <c r="R34" s="27"/>
      <c r="S34" s="27"/>
      <c r="T34" s="27"/>
      <c r="U34" s="50">
        <v>0</v>
      </c>
      <c r="V34" s="27"/>
      <c r="W34" s="27"/>
      <c r="X34" s="27"/>
      <c r="Y34" s="27"/>
      <c r="Z34" s="50">
        <v>0</v>
      </c>
      <c r="AA34" s="27"/>
      <c r="AB34" s="27"/>
      <c r="AC34" s="27"/>
      <c r="AD34" s="27"/>
      <c r="AE34" s="50">
        <v>0</v>
      </c>
      <c r="AF34" s="27">
        <v>0</v>
      </c>
      <c r="AG34" s="27">
        <v>0</v>
      </c>
      <c r="AH34" s="27">
        <v>4087</v>
      </c>
      <c r="AI34" s="27">
        <v>4087</v>
      </c>
      <c r="AJ34" s="50">
        <f>AI34</f>
        <v>4087</v>
      </c>
      <c r="AK34" s="27">
        <v>4087</v>
      </c>
      <c r="AL34" s="27">
        <v>4087</v>
      </c>
      <c r="AM34" s="27">
        <v>4086.9999999999995</v>
      </c>
      <c r="AN34" s="27">
        <v>2757</v>
      </c>
      <c r="AO34" s="50">
        <f>AN34</f>
        <v>2757</v>
      </c>
      <c r="AP34" s="27">
        <v>2757</v>
      </c>
      <c r="AQ34" s="27">
        <v>2757</v>
      </c>
      <c r="AR34" s="27">
        <v>2757</v>
      </c>
      <c r="AS34" s="27">
        <v>5367</v>
      </c>
      <c r="AT34" s="50">
        <f>AS34</f>
        <v>5367</v>
      </c>
      <c r="AU34" s="27">
        <v>5367</v>
      </c>
      <c r="AV34" s="27"/>
      <c r="AW34" s="27"/>
      <c r="AX34" s="27"/>
      <c r="AY34" s="50"/>
    </row>
    <row r="35" spans="1:51">
      <c r="A35" s="31" t="s">
        <v>99</v>
      </c>
      <c r="B35" s="221">
        <f t="shared" ref="B35:C35" si="68">SUM(B27:B33)</f>
        <v>55511</v>
      </c>
      <c r="C35" s="221">
        <f t="shared" si="68"/>
        <v>62559</v>
      </c>
      <c r="D35" s="221">
        <f>SUM(D27:D33)</f>
        <v>57850</v>
      </c>
      <c r="E35" s="221">
        <f>SUM(E27:E33)</f>
        <v>61781</v>
      </c>
      <c r="F35" s="52">
        <v>61781</v>
      </c>
      <c r="G35" s="221">
        <f t="shared" ref="G35:H35" si="69">SUM(G27:G33)</f>
        <v>61953</v>
      </c>
      <c r="H35" s="221">
        <f t="shared" si="69"/>
        <v>62707</v>
      </c>
      <c r="I35" s="221">
        <f>SUM(I27:I33)</f>
        <v>61264</v>
      </c>
      <c r="J35" s="221">
        <f>SUM(J27:J33)</f>
        <v>66733</v>
      </c>
      <c r="K35" s="52">
        <v>66733</v>
      </c>
      <c r="L35" s="221">
        <f t="shared" ref="L35:M35" si="70">SUM(L27:L33)</f>
        <v>81116</v>
      </c>
      <c r="M35" s="221">
        <f t="shared" si="70"/>
        <v>86391</v>
      </c>
      <c r="N35" s="221">
        <f>SUM(N27:N33)</f>
        <v>84785</v>
      </c>
      <c r="O35" s="221">
        <f>SUM(O27:O33)</f>
        <v>87424</v>
      </c>
      <c r="P35" s="52">
        <v>87424</v>
      </c>
      <c r="Q35" s="221">
        <f t="shared" ref="Q35:R35" si="71">SUM(Q27:Q33)</f>
        <v>90821</v>
      </c>
      <c r="R35" s="221">
        <f t="shared" si="71"/>
        <v>99088</v>
      </c>
      <c r="S35" s="221">
        <f>SUM(S27:S33)</f>
        <v>101387</v>
      </c>
      <c r="T35" s="221">
        <f>SUM(T27:T33)</f>
        <v>120710</v>
      </c>
      <c r="U35" s="52">
        <v>120710</v>
      </c>
      <c r="V35" s="221">
        <f t="shared" ref="V35:W35" si="72">SUM(V27:V33)</f>
        <v>180664</v>
      </c>
      <c r="W35" s="221">
        <f t="shared" si="72"/>
        <v>130089</v>
      </c>
      <c r="X35" s="221">
        <f>SUM(X27:X33)</f>
        <v>126563</v>
      </c>
      <c r="Y35" s="221">
        <f>SUM(Y27:Y33)</f>
        <v>146598</v>
      </c>
      <c r="Z35" s="52">
        <v>146598</v>
      </c>
      <c r="AA35" s="221">
        <f t="shared" ref="AA35:AB35" si="73">SUM(AA27:AA33)</f>
        <v>150468</v>
      </c>
      <c r="AB35" s="221">
        <f t="shared" si="73"/>
        <v>131527</v>
      </c>
      <c r="AC35" s="221">
        <f>SUM(AC27:AC33)</f>
        <v>142878</v>
      </c>
      <c r="AD35" s="221">
        <f>SUM(AD27:AD33)</f>
        <v>161133</v>
      </c>
      <c r="AE35" s="52">
        <v>161133</v>
      </c>
      <c r="AF35" s="221">
        <f t="shared" ref="AF35:AG35" si="74">SUM(AF27:AF33)</f>
        <v>177053</v>
      </c>
      <c r="AG35" s="221">
        <f t="shared" si="74"/>
        <v>206567</v>
      </c>
      <c r="AH35" s="221">
        <f>SUM(AH27:AH33)</f>
        <v>197422</v>
      </c>
      <c r="AI35" s="221">
        <f>SUM(AI27:AI33)</f>
        <v>197397</v>
      </c>
      <c r="AJ35" s="52">
        <f t="shared" si="0"/>
        <v>197397</v>
      </c>
      <c r="AK35" s="221">
        <f>SUM(AK27:AK33)</f>
        <v>180313</v>
      </c>
      <c r="AL35" s="221">
        <f t="shared" ref="AL35" si="75">SUM(AL27:AL34)</f>
        <v>207159</v>
      </c>
      <c r="AM35" s="221">
        <f t="shared" ref="AM35" si="76">SUM(AM27:AM34)</f>
        <v>302575</v>
      </c>
      <c r="AN35" s="221">
        <f t="shared" ref="AN35" si="77">SUM(AN27:AN34)</f>
        <v>251303</v>
      </c>
      <c r="AO35" s="52">
        <f t="shared" si="1"/>
        <v>251303</v>
      </c>
      <c r="AP35" s="221">
        <f t="shared" ref="AP35:AQ35" si="78">SUM(AP27:AP34)</f>
        <v>283900</v>
      </c>
      <c r="AQ35" s="221">
        <f t="shared" si="78"/>
        <v>267649</v>
      </c>
      <c r="AR35" s="221">
        <f>SUM(AR27:AR34)</f>
        <v>314624</v>
      </c>
      <c r="AS35" s="221">
        <f>SUM(AS27:AS34)</f>
        <v>526254</v>
      </c>
      <c r="AT35" s="52">
        <f t="shared" ref="AT35" si="79">AS35</f>
        <v>526254</v>
      </c>
      <c r="AU35" s="221">
        <f>SUM(AU27:AU34)</f>
        <v>525998</v>
      </c>
      <c r="AV35" s="221"/>
      <c r="AW35" s="221"/>
      <c r="AX35" s="221"/>
      <c r="AY35" s="52"/>
    </row>
    <row r="36" spans="1:51">
      <c r="A36" s="31"/>
      <c r="B36" s="221"/>
      <c r="C36" s="221"/>
      <c r="D36" s="221"/>
      <c r="E36" s="221"/>
      <c r="F36" s="52"/>
      <c r="G36" s="221"/>
      <c r="H36" s="221"/>
      <c r="I36" s="221"/>
      <c r="J36" s="221"/>
      <c r="K36" s="52"/>
      <c r="L36" s="221"/>
      <c r="M36" s="221"/>
      <c r="N36" s="221"/>
      <c r="O36" s="221"/>
      <c r="P36" s="52"/>
      <c r="Q36" s="221"/>
      <c r="R36" s="221"/>
      <c r="S36" s="221"/>
      <c r="T36" s="221"/>
      <c r="U36" s="52"/>
      <c r="V36" s="221"/>
      <c r="W36" s="221"/>
      <c r="X36" s="221"/>
      <c r="Y36" s="221"/>
      <c r="Z36" s="52"/>
      <c r="AA36" s="221"/>
      <c r="AB36" s="221"/>
      <c r="AC36" s="221"/>
      <c r="AD36" s="221"/>
      <c r="AE36" s="52"/>
      <c r="AF36" s="221"/>
      <c r="AG36" s="221"/>
      <c r="AH36" s="221"/>
      <c r="AI36" s="221"/>
      <c r="AJ36" s="52"/>
      <c r="AK36" s="221"/>
      <c r="AL36" s="221"/>
      <c r="AM36" s="221"/>
      <c r="AN36" s="221"/>
      <c r="AO36" s="52"/>
      <c r="AP36" s="221"/>
      <c r="AQ36" s="221"/>
      <c r="AR36" s="221"/>
      <c r="AS36" s="221"/>
      <c r="AT36" s="52"/>
      <c r="AU36" s="221"/>
      <c r="AV36" s="221"/>
      <c r="AW36" s="221"/>
      <c r="AX36" s="221"/>
      <c r="AY36" s="52"/>
    </row>
    <row r="37" spans="1:51">
      <c r="A37" s="49"/>
      <c r="B37" s="27"/>
      <c r="C37" s="27"/>
      <c r="D37" s="27"/>
      <c r="E37" s="27"/>
      <c r="F37" s="50">
        <v>0</v>
      </c>
      <c r="G37" s="27"/>
      <c r="H37" s="27"/>
      <c r="I37" s="27"/>
      <c r="J37" s="27"/>
      <c r="K37" s="50">
        <v>0</v>
      </c>
      <c r="L37" s="27"/>
      <c r="M37" s="27"/>
      <c r="N37" s="27"/>
      <c r="O37" s="27"/>
      <c r="P37" s="50">
        <v>0</v>
      </c>
      <c r="Q37" s="27"/>
      <c r="R37" s="27"/>
      <c r="S37" s="27"/>
      <c r="T37" s="27"/>
      <c r="U37" s="50">
        <v>0</v>
      </c>
      <c r="V37" s="27"/>
      <c r="W37" s="27"/>
      <c r="X37" s="27"/>
      <c r="Y37" s="27"/>
      <c r="Z37" s="50">
        <v>0</v>
      </c>
      <c r="AA37" s="27"/>
      <c r="AB37" s="27"/>
      <c r="AC37" s="27"/>
      <c r="AD37" s="27"/>
      <c r="AE37" s="50">
        <v>0</v>
      </c>
      <c r="AF37" s="27"/>
      <c r="AG37" s="27"/>
      <c r="AH37" s="27"/>
      <c r="AI37" s="27"/>
      <c r="AJ37" s="50"/>
      <c r="AK37" s="27"/>
      <c r="AL37" s="27"/>
      <c r="AM37" s="27"/>
      <c r="AN37" s="27"/>
      <c r="AO37" s="50"/>
      <c r="AP37" s="27"/>
      <c r="AQ37" s="27"/>
      <c r="AR37" s="27"/>
      <c r="AS37" s="27"/>
      <c r="AT37" s="50"/>
      <c r="AU37" s="27"/>
      <c r="AV37" s="27"/>
      <c r="AW37" s="27"/>
      <c r="AX37" s="27"/>
      <c r="AY37" s="50"/>
    </row>
    <row r="38" spans="1:51">
      <c r="A38" s="49" t="s">
        <v>100</v>
      </c>
      <c r="B38" s="27">
        <v>17211</v>
      </c>
      <c r="C38" s="27">
        <v>7371</v>
      </c>
      <c r="D38" s="27">
        <v>6827</v>
      </c>
      <c r="E38" s="27">
        <v>7964</v>
      </c>
      <c r="F38" s="50">
        <v>7964</v>
      </c>
      <c r="G38" s="27">
        <v>6631</v>
      </c>
      <c r="H38" s="27">
        <v>18020</v>
      </c>
      <c r="I38" s="27">
        <v>22092</v>
      </c>
      <c r="J38" s="27">
        <v>18597</v>
      </c>
      <c r="K38" s="50">
        <v>18597</v>
      </c>
      <c r="L38" s="27">
        <v>18423</v>
      </c>
      <c r="M38" s="27">
        <v>15316</v>
      </c>
      <c r="N38" s="27">
        <v>20340</v>
      </c>
      <c r="O38" s="27">
        <v>20850</v>
      </c>
      <c r="P38" s="50">
        <v>20850</v>
      </c>
      <c r="Q38" s="27">
        <v>46520</v>
      </c>
      <c r="R38" s="27">
        <v>37915</v>
      </c>
      <c r="S38" s="27">
        <v>37267</v>
      </c>
      <c r="T38" s="27">
        <v>41941</v>
      </c>
      <c r="U38" s="50">
        <v>41941</v>
      </c>
      <c r="V38" s="27">
        <v>57399</v>
      </c>
      <c r="W38" s="27">
        <v>51280</v>
      </c>
      <c r="X38" s="27">
        <v>114579</v>
      </c>
      <c r="Y38" s="27">
        <v>99862</v>
      </c>
      <c r="Z38" s="50">
        <v>99862</v>
      </c>
      <c r="AA38" s="27">
        <v>119650</v>
      </c>
      <c r="AB38" s="27">
        <v>155761</v>
      </c>
      <c r="AC38" s="27">
        <v>123731</v>
      </c>
      <c r="AD38" s="27">
        <v>140827</v>
      </c>
      <c r="AE38" s="50">
        <v>140827</v>
      </c>
      <c r="AF38" s="27">
        <v>111493</v>
      </c>
      <c r="AG38" s="27">
        <v>126758</v>
      </c>
      <c r="AH38" s="27">
        <v>197714</v>
      </c>
      <c r="AI38" s="27">
        <v>250724</v>
      </c>
      <c r="AJ38" s="50">
        <f t="shared" si="0"/>
        <v>250724</v>
      </c>
      <c r="AK38" s="27">
        <v>251081</v>
      </c>
      <c r="AL38" s="27">
        <v>236413</v>
      </c>
      <c r="AM38" s="27">
        <v>177444</v>
      </c>
      <c r="AN38" s="27">
        <v>361097</v>
      </c>
      <c r="AO38" s="50">
        <f t="shared" si="1"/>
        <v>361097</v>
      </c>
      <c r="AP38" s="27">
        <v>366834</v>
      </c>
      <c r="AQ38" s="27">
        <v>375107</v>
      </c>
      <c r="AR38" s="27">
        <v>339966</v>
      </c>
      <c r="AS38" s="27">
        <v>311620</v>
      </c>
      <c r="AT38" s="50">
        <f t="shared" ref="AT38" si="80">AS38</f>
        <v>311620</v>
      </c>
      <c r="AU38" s="27">
        <v>311958</v>
      </c>
      <c r="AV38" s="27"/>
      <c r="AW38" s="27"/>
      <c r="AX38" s="27"/>
      <c r="AY38" s="50"/>
    </row>
    <row r="39" spans="1:51">
      <c r="A39" s="49" t="s">
        <v>93</v>
      </c>
      <c r="B39" s="27"/>
      <c r="C39" s="27"/>
      <c r="D39" s="27"/>
      <c r="E39" s="27"/>
      <c r="F39" s="50"/>
      <c r="G39" s="27"/>
      <c r="H39" s="27"/>
      <c r="I39" s="27"/>
      <c r="J39" s="27"/>
      <c r="K39" s="50"/>
      <c r="L39" s="27"/>
      <c r="M39" s="27"/>
      <c r="N39" s="27"/>
      <c r="O39" s="27"/>
      <c r="P39" s="50"/>
      <c r="Q39" s="27"/>
      <c r="R39" s="27"/>
      <c r="S39" s="27"/>
      <c r="T39" s="27"/>
      <c r="U39" s="50"/>
      <c r="V39" s="27"/>
      <c r="W39" s="27"/>
      <c r="X39" s="27"/>
      <c r="Y39" s="27"/>
      <c r="Z39" s="50"/>
      <c r="AA39" s="27"/>
      <c r="AB39" s="27"/>
      <c r="AC39" s="27"/>
      <c r="AD39" s="27"/>
      <c r="AE39" s="50"/>
      <c r="AF39" s="27"/>
      <c r="AG39" s="27"/>
      <c r="AH39" s="27"/>
      <c r="AI39" s="27">
        <v>18900</v>
      </c>
      <c r="AJ39" s="50"/>
      <c r="AK39" s="27">
        <v>21865</v>
      </c>
      <c r="AL39" s="27">
        <v>21041</v>
      </c>
      <c r="AM39" s="27">
        <v>17406</v>
      </c>
      <c r="AN39" s="27">
        <v>14387</v>
      </c>
      <c r="AO39" s="50"/>
      <c r="AP39" s="27">
        <v>15537</v>
      </c>
      <c r="AQ39" s="27">
        <v>17689</v>
      </c>
      <c r="AR39" s="27"/>
      <c r="AS39" s="27">
        <v>25822</v>
      </c>
      <c r="AT39" s="50"/>
      <c r="AU39" s="27">
        <v>29093</v>
      </c>
      <c r="AV39" s="27"/>
      <c r="AW39" s="27"/>
      <c r="AX39" s="27"/>
      <c r="AY39" s="50"/>
    </row>
    <row r="40" spans="1:51">
      <c r="A40" s="49" t="s">
        <v>82</v>
      </c>
      <c r="B40" s="27">
        <v>0</v>
      </c>
      <c r="C40" s="27">
        <v>0</v>
      </c>
      <c r="D40" s="27">
        <v>0</v>
      </c>
      <c r="E40" s="27">
        <v>0</v>
      </c>
      <c r="F40" s="50">
        <v>0</v>
      </c>
      <c r="G40" s="27">
        <v>0</v>
      </c>
      <c r="H40" s="27">
        <v>0</v>
      </c>
      <c r="I40" s="27">
        <v>0</v>
      </c>
      <c r="J40" s="27">
        <v>0</v>
      </c>
      <c r="K40" s="50">
        <v>0</v>
      </c>
      <c r="L40" s="27">
        <v>0</v>
      </c>
      <c r="M40" s="27">
        <v>0</v>
      </c>
      <c r="N40" s="27">
        <v>0</v>
      </c>
      <c r="O40" s="27">
        <v>0</v>
      </c>
      <c r="P40" s="50">
        <v>0</v>
      </c>
      <c r="Q40" s="27">
        <v>0</v>
      </c>
      <c r="R40" s="27">
        <v>0</v>
      </c>
      <c r="S40" s="27">
        <v>0</v>
      </c>
      <c r="T40" s="27">
        <v>0</v>
      </c>
      <c r="U40" s="50">
        <v>0</v>
      </c>
      <c r="V40" s="27">
        <v>0</v>
      </c>
      <c r="W40" s="27">
        <v>0</v>
      </c>
      <c r="X40" s="27">
        <v>1845</v>
      </c>
      <c r="Y40" s="27">
        <v>2779</v>
      </c>
      <c r="Z40" s="50">
        <v>2779</v>
      </c>
      <c r="AA40" s="27">
        <v>0</v>
      </c>
      <c r="AB40" s="27">
        <v>0</v>
      </c>
      <c r="AC40" s="27">
        <v>0</v>
      </c>
      <c r="AD40" s="27">
        <v>0</v>
      </c>
      <c r="AE40" s="50">
        <v>0</v>
      </c>
      <c r="AF40" s="27">
        <v>0</v>
      </c>
      <c r="AG40" s="27">
        <v>0</v>
      </c>
      <c r="AH40" s="27">
        <v>7317</v>
      </c>
      <c r="AI40" s="27">
        <v>43134</v>
      </c>
      <c r="AJ40" s="50">
        <f t="shared" si="0"/>
        <v>43134</v>
      </c>
      <c r="AK40" s="27">
        <v>64211</v>
      </c>
      <c r="AL40" s="27">
        <v>75982</v>
      </c>
      <c r="AM40" s="27">
        <v>133622</v>
      </c>
      <c r="AN40" s="27">
        <v>120188</v>
      </c>
      <c r="AO40" s="50">
        <f t="shared" si="1"/>
        <v>120188</v>
      </c>
      <c r="AP40" s="27">
        <v>201688</v>
      </c>
      <c r="AQ40" s="27">
        <v>222901</v>
      </c>
      <c r="AR40" s="27">
        <v>297801</v>
      </c>
      <c r="AS40" s="27">
        <v>265343</v>
      </c>
      <c r="AT40" s="50">
        <f t="shared" ref="AT40:AT45" si="81">AS40</f>
        <v>265343</v>
      </c>
      <c r="AU40" s="27">
        <v>257685</v>
      </c>
      <c r="AV40" s="27"/>
      <c r="AW40" s="27"/>
      <c r="AX40" s="27"/>
      <c r="AY40" s="50"/>
    </row>
    <row r="41" spans="1:51">
      <c r="A41" s="49" t="s">
        <v>101</v>
      </c>
      <c r="B41" s="27">
        <v>5155</v>
      </c>
      <c r="C41" s="27">
        <v>5824</v>
      </c>
      <c r="D41" s="27">
        <v>5876</v>
      </c>
      <c r="E41" s="27">
        <v>1810</v>
      </c>
      <c r="F41" s="50">
        <v>1810</v>
      </c>
      <c r="G41" s="27">
        <v>3595</v>
      </c>
      <c r="H41" s="27">
        <v>4907</v>
      </c>
      <c r="I41" s="27">
        <v>5346</v>
      </c>
      <c r="J41" s="27">
        <v>8539</v>
      </c>
      <c r="K41" s="50">
        <v>8539</v>
      </c>
      <c r="L41" s="27">
        <v>8239</v>
      </c>
      <c r="M41" s="27">
        <v>7621</v>
      </c>
      <c r="N41" s="27">
        <v>8801</v>
      </c>
      <c r="O41" s="27">
        <v>8315</v>
      </c>
      <c r="P41" s="50">
        <v>8315</v>
      </c>
      <c r="Q41" s="27">
        <v>11281</v>
      </c>
      <c r="R41" s="27">
        <v>10681</v>
      </c>
      <c r="S41" s="27">
        <v>10429</v>
      </c>
      <c r="T41" s="27">
        <v>10832</v>
      </c>
      <c r="U41" s="50">
        <v>10832</v>
      </c>
      <c r="V41" s="27">
        <v>11050</v>
      </c>
      <c r="W41" s="27">
        <v>10790</v>
      </c>
      <c r="X41" s="27">
        <v>11313</v>
      </c>
      <c r="Y41" s="27">
        <v>17110</v>
      </c>
      <c r="Z41" s="50">
        <v>17110</v>
      </c>
      <c r="AA41" s="27">
        <v>15858</v>
      </c>
      <c r="AB41" s="27">
        <v>16367.999999999998</v>
      </c>
      <c r="AC41" s="27">
        <v>20138</v>
      </c>
      <c r="AD41" s="27">
        <v>26508</v>
      </c>
      <c r="AE41" s="50">
        <v>26508</v>
      </c>
      <c r="AF41" s="27">
        <v>25857</v>
      </c>
      <c r="AG41" s="27">
        <v>24830</v>
      </c>
      <c r="AH41" s="27">
        <v>21062</v>
      </c>
      <c r="AI41" s="27">
        <v>8708</v>
      </c>
      <c r="AJ41" s="50">
        <f t="shared" si="0"/>
        <v>8708</v>
      </c>
      <c r="AK41" s="27">
        <v>8795</v>
      </c>
      <c r="AL41" s="27">
        <v>11180</v>
      </c>
      <c r="AM41" s="27">
        <v>11360</v>
      </c>
      <c r="AN41" s="27">
        <v>31583</v>
      </c>
      <c r="AO41" s="50">
        <f t="shared" si="1"/>
        <v>31583</v>
      </c>
      <c r="AP41" s="27">
        <v>32052</v>
      </c>
      <c r="AQ41" s="27">
        <v>35925</v>
      </c>
      <c r="AR41" s="27">
        <v>31888</v>
      </c>
      <c r="AS41" s="27">
        <v>37006</v>
      </c>
      <c r="AT41" s="50">
        <f t="shared" si="81"/>
        <v>37006</v>
      </c>
      <c r="AU41" s="27">
        <v>35177</v>
      </c>
      <c r="AV41" s="27"/>
      <c r="AW41" s="27"/>
      <c r="AX41" s="27"/>
      <c r="AY41" s="50"/>
    </row>
    <row r="42" spans="1:51">
      <c r="A42" s="49" t="s">
        <v>96</v>
      </c>
      <c r="B42" s="27">
        <v>19841</v>
      </c>
      <c r="C42" s="27">
        <v>19998</v>
      </c>
      <c r="D42" s="27">
        <v>23136</v>
      </c>
      <c r="E42" s="27">
        <v>21309</v>
      </c>
      <c r="F42" s="50">
        <v>21309</v>
      </c>
      <c r="G42" s="27">
        <v>21473</v>
      </c>
      <c r="H42" s="27">
        <v>21640</v>
      </c>
      <c r="I42" s="27">
        <v>21811</v>
      </c>
      <c r="J42" s="27">
        <v>25700</v>
      </c>
      <c r="K42" s="50">
        <v>25700</v>
      </c>
      <c r="L42" s="27">
        <v>25911</v>
      </c>
      <c r="M42" s="27">
        <v>26127</v>
      </c>
      <c r="N42" s="27">
        <v>26348</v>
      </c>
      <c r="O42" s="27">
        <v>30142</v>
      </c>
      <c r="P42" s="50">
        <v>30142</v>
      </c>
      <c r="Q42" s="27">
        <v>31194</v>
      </c>
      <c r="R42" s="27">
        <v>31746</v>
      </c>
      <c r="S42" s="27">
        <v>32198</v>
      </c>
      <c r="T42" s="27">
        <v>39445</v>
      </c>
      <c r="U42" s="50">
        <v>39445</v>
      </c>
      <c r="V42" s="27">
        <v>40007</v>
      </c>
      <c r="W42" s="27">
        <v>40581</v>
      </c>
      <c r="X42" s="27">
        <v>41200</v>
      </c>
      <c r="Y42" s="27">
        <v>41456</v>
      </c>
      <c r="Z42" s="50">
        <v>41456</v>
      </c>
      <c r="AA42" s="27">
        <v>42328</v>
      </c>
      <c r="AB42" s="27">
        <v>45245</v>
      </c>
      <c r="AC42" s="27">
        <v>47606</v>
      </c>
      <c r="AD42" s="27">
        <v>48262</v>
      </c>
      <c r="AE42" s="50">
        <v>48262</v>
      </c>
      <c r="AF42" s="27">
        <v>49434</v>
      </c>
      <c r="AG42" s="27">
        <v>51008</v>
      </c>
      <c r="AH42" s="27">
        <v>44043</v>
      </c>
      <c r="AI42" s="27">
        <v>48727</v>
      </c>
      <c r="AJ42" s="50">
        <f t="shared" si="0"/>
        <v>48727</v>
      </c>
      <c r="AK42" s="27">
        <v>50249</v>
      </c>
      <c r="AL42" s="27">
        <v>51343</v>
      </c>
      <c r="AM42" s="27">
        <v>52852</v>
      </c>
      <c r="AN42" s="27">
        <v>50573</v>
      </c>
      <c r="AO42" s="50">
        <f t="shared" si="1"/>
        <v>50573</v>
      </c>
      <c r="AP42" s="27">
        <v>62212</v>
      </c>
      <c r="AQ42" s="27">
        <v>64470</v>
      </c>
      <c r="AR42" s="27">
        <v>64830</v>
      </c>
      <c r="AS42" s="27">
        <v>78070</v>
      </c>
      <c r="AT42" s="50">
        <f t="shared" si="81"/>
        <v>78070</v>
      </c>
      <c r="AU42" s="27">
        <v>81137</v>
      </c>
      <c r="AV42" s="27"/>
      <c r="AW42" s="27"/>
      <c r="AX42" s="27"/>
      <c r="AY42" s="50"/>
    </row>
    <row r="43" spans="1:51">
      <c r="A43" s="49" t="s">
        <v>102</v>
      </c>
      <c r="B43" s="27">
        <v>6970</v>
      </c>
      <c r="C43" s="27">
        <v>7071</v>
      </c>
      <c r="D43" s="27">
        <v>7687</v>
      </c>
      <c r="E43" s="27">
        <v>7467</v>
      </c>
      <c r="F43" s="50">
        <v>7467</v>
      </c>
      <c r="G43" s="27">
        <v>7735</v>
      </c>
      <c r="H43" s="27">
        <v>7214</v>
      </c>
      <c r="I43" s="27">
        <v>7583</v>
      </c>
      <c r="J43" s="27">
        <v>6560</v>
      </c>
      <c r="K43" s="50">
        <v>6560</v>
      </c>
      <c r="L43" s="27">
        <v>6319</v>
      </c>
      <c r="M43" s="27">
        <v>6710</v>
      </c>
      <c r="N43" s="27">
        <v>6595</v>
      </c>
      <c r="O43" s="27">
        <v>7598</v>
      </c>
      <c r="P43" s="50">
        <v>7598</v>
      </c>
      <c r="Q43" s="27">
        <v>8167.9999999999991</v>
      </c>
      <c r="R43" s="27">
        <v>9638</v>
      </c>
      <c r="S43" s="27">
        <v>9997</v>
      </c>
      <c r="T43" s="27">
        <v>9538</v>
      </c>
      <c r="U43" s="50">
        <v>9538</v>
      </c>
      <c r="V43" s="27">
        <v>9611</v>
      </c>
      <c r="W43" s="27">
        <v>12060</v>
      </c>
      <c r="X43" s="27">
        <v>12273</v>
      </c>
      <c r="Y43" s="27">
        <v>11923</v>
      </c>
      <c r="Z43" s="50">
        <v>11923</v>
      </c>
      <c r="AA43" s="27">
        <v>12601</v>
      </c>
      <c r="AB43" s="27">
        <v>12754</v>
      </c>
      <c r="AC43" s="27">
        <v>13001</v>
      </c>
      <c r="AD43" s="27">
        <v>13539</v>
      </c>
      <c r="AE43" s="50">
        <v>13539</v>
      </c>
      <c r="AF43" s="27">
        <v>11544</v>
      </c>
      <c r="AG43" s="27">
        <v>10958</v>
      </c>
      <c r="AH43" s="27">
        <v>11362</v>
      </c>
      <c r="AI43" s="27">
        <v>12636</v>
      </c>
      <c r="AJ43" s="50">
        <f t="shared" si="0"/>
        <v>12636</v>
      </c>
      <c r="AK43" s="27">
        <v>13008</v>
      </c>
      <c r="AL43" s="27">
        <v>13633</v>
      </c>
      <c r="AM43" s="27">
        <v>13986</v>
      </c>
      <c r="AN43" s="27">
        <v>17144</v>
      </c>
      <c r="AO43" s="50">
        <f t="shared" si="1"/>
        <v>17144</v>
      </c>
      <c r="AP43" s="27">
        <v>27872</v>
      </c>
      <c r="AQ43" s="27">
        <v>28467</v>
      </c>
      <c r="AR43" s="27">
        <v>29215</v>
      </c>
      <c r="AS43" s="27">
        <v>92671</v>
      </c>
      <c r="AT43" s="50">
        <f t="shared" si="81"/>
        <v>92671</v>
      </c>
      <c r="AU43" s="27">
        <v>98998</v>
      </c>
      <c r="AV43" s="27"/>
      <c r="AW43" s="27"/>
      <c r="AX43" s="27"/>
      <c r="AY43" s="50"/>
    </row>
    <row r="44" spans="1:51">
      <c r="A44" s="49" t="s">
        <v>103</v>
      </c>
      <c r="B44" s="27">
        <v>2310</v>
      </c>
      <c r="C44" s="27">
        <v>1952</v>
      </c>
      <c r="D44" s="27">
        <v>1441</v>
      </c>
      <c r="E44" s="27">
        <v>1362</v>
      </c>
      <c r="F44" s="50">
        <v>1362</v>
      </c>
      <c r="G44" s="27">
        <v>1400</v>
      </c>
      <c r="H44" s="27">
        <v>616</v>
      </c>
      <c r="I44" s="27">
        <v>587</v>
      </c>
      <c r="J44" s="27">
        <v>744</v>
      </c>
      <c r="K44" s="50">
        <v>744</v>
      </c>
      <c r="L44" s="27">
        <v>4847</v>
      </c>
      <c r="M44" s="27">
        <v>3714</v>
      </c>
      <c r="N44" s="27">
        <v>2802</v>
      </c>
      <c r="O44" s="27">
        <v>560</v>
      </c>
      <c r="P44" s="50">
        <v>560</v>
      </c>
      <c r="Q44" s="27">
        <v>1338</v>
      </c>
      <c r="R44" s="27">
        <v>461</v>
      </c>
      <c r="S44" s="27">
        <v>1045</v>
      </c>
      <c r="T44" s="27">
        <v>1010</v>
      </c>
      <c r="U44" s="50">
        <v>1010</v>
      </c>
      <c r="V44" s="27">
        <v>759</v>
      </c>
      <c r="W44" s="27">
        <v>570</v>
      </c>
      <c r="X44" s="27">
        <v>738</v>
      </c>
      <c r="Y44" s="27">
        <v>477</v>
      </c>
      <c r="Z44" s="50">
        <v>477</v>
      </c>
      <c r="AA44" s="27">
        <v>468</v>
      </c>
      <c r="AB44" s="27">
        <v>477</v>
      </c>
      <c r="AC44" s="27">
        <v>467</v>
      </c>
      <c r="AD44" s="27">
        <v>26912</v>
      </c>
      <c r="AE44" s="50">
        <v>26912</v>
      </c>
      <c r="AF44" s="27">
        <v>25379</v>
      </c>
      <c r="AG44" s="27">
        <v>24033</v>
      </c>
      <c r="AH44" s="27">
        <v>20832</v>
      </c>
      <c r="AI44" s="27">
        <v>24709</v>
      </c>
      <c r="AJ44" s="50">
        <f t="shared" si="0"/>
        <v>24709</v>
      </c>
      <c r="AK44" s="27">
        <v>21393</v>
      </c>
      <c r="AL44" s="27">
        <v>17023</v>
      </c>
      <c r="AM44" s="27">
        <v>15340</v>
      </c>
      <c r="AN44" s="27">
        <v>11032</v>
      </c>
      <c r="AO44" s="50">
        <f t="shared" si="1"/>
        <v>11032</v>
      </c>
      <c r="AP44" s="27">
        <v>9031</v>
      </c>
      <c r="AQ44" s="27">
        <v>13951</v>
      </c>
      <c r="AR44" s="27">
        <v>28105</v>
      </c>
      <c r="AS44" s="27">
        <v>6473</v>
      </c>
      <c r="AT44" s="50">
        <f t="shared" si="81"/>
        <v>6473</v>
      </c>
      <c r="AU44" s="27">
        <v>2954</v>
      </c>
      <c r="AV44" s="27"/>
      <c r="AW44" s="27"/>
      <c r="AX44" s="27"/>
      <c r="AY44" s="50"/>
    </row>
    <row r="45" spans="1:51">
      <c r="A45" s="31" t="s">
        <v>104</v>
      </c>
      <c r="B45" s="51">
        <v>51487</v>
      </c>
      <c r="C45" s="51">
        <v>42216</v>
      </c>
      <c r="D45" s="51">
        <v>44967</v>
      </c>
      <c r="E45" s="51">
        <v>39912</v>
      </c>
      <c r="F45" s="52">
        <v>39912</v>
      </c>
      <c r="G45" s="51">
        <v>40834</v>
      </c>
      <c r="H45" s="51">
        <v>52397</v>
      </c>
      <c r="I45" s="51">
        <v>57419</v>
      </c>
      <c r="J45" s="51">
        <v>60140</v>
      </c>
      <c r="K45" s="52">
        <v>60140</v>
      </c>
      <c r="L45" s="51">
        <v>63739</v>
      </c>
      <c r="M45" s="51">
        <v>59488</v>
      </c>
      <c r="N45" s="51">
        <v>64886</v>
      </c>
      <c r="O45" s="51">
        <v>67465</v>
      </c>
      <c r="P45" s="52">
        <v>67465</v>
      </c>
      <c r="Q45" s="51">
        <v>98501</v>
      </c>
      <c r="R45" s="51">
        <v>90441</v>
      </c>
      <c r="S45" s="51">
        <v>90936</v>
      </c>
      <c r="T45" s="51">
        <v>102766</v>
      </c>
      <c r="U45" s="52">
        <v>102766</v>
      </c>
      <c r="V45" s="51">
        <v>118826</v>
      </c>
      <c r="W45" s="51">
        <v>115281</v>
      </c>
      <c r="X45" s="51">
        <v>181948</v>
      </c>
      <c r="Y45" s="51">
        <v>173607</v>
      </c>
      <c r="Z45" s="52">
        <v>173607</v>
      </c>
      <c r="AA45" s="51">
        <f t="shared" ref="AA45:AD45" si="82">SUM(AA38:AA44)</f>
        <v>190905</v>
      </c>
      <c r="AB45" s="51">
        <v>236875</v>
      </c>
      <c r="AC45" s="51">
        <f t="shared" si="82"/>
        <v>204943</v>
      </c>
      <c r="AD45" s="51">
        <f t="shared" si="82"/>
        <v>256048</v>
      </c>
      <c r="AE45" s="52">
        <v>256048</v>
      </c>
      <c r="AF45" s="51">
        <f>SUM(AF38:AF44)</f>
        <v>223707</v>
      </c>
      <c r="AG45" s="51">
        <f>SUM(AG38:AG44)</f>
        <v>237587</v>
      </c>
      <c r="AH45" s="51">
        <v>306417</v>
      </c>
      <c r="AI45" s="51">
        <v>411625</v>
      </c>
      <c r="AJ45" s="52">
        <f t="shared" si="0"/>
        <v>411625</v>
      </c>
      <c r="AK45" s="51">
        <v>434689</v>
      </c>
      <c r="AL45" s="51">
        <f>SUM(AL38:AL44)</f>
        <v>426615</v>
      </c>
      <c r="AM45" s="51">
        <f>SUM(AM38:AM44)</f>
        <v>422010</v>
      </c>
      <c r="AN45" s="51">
        <f>SUM(AN38:AN44)</f>
        <v>606004</v>
      </c>
      <c r="AO45" s="52">
        <f t="shared" si="1"/>
        <v>606004</v>
      </c>
      <c r="AP45" s="51">
        <f t="shared" ref="AP45:AQ45" si="83">SUM(AP38:AP44)</f>
        <v>715226</v>
      </c>
      <c r="AQ45" s="51">
        <f t="shared" si="83"/>
        <v>758510</v>
      </c>
      <c r="AR45" s="51">
        <f>SUM(AR38:AR44)</f>
        <v>791805</v>
      </c>
      <c r="AS45" s="51">
        <f>SUM(AS38:AS44)</f>
        <v>817005</v>
      </c>
      <c r="AT45" s="52">
        <f t="shared" si="81"/>
        <v>817005</v>
      </c>
      <c r="AU45" s="51">
        <f>SUM(AU38:AU44)</f>
        <v>817002</v>
      </c>
      <c r="AV45" s="51"/>
      <c r="AW45" s="51"/>
      <c r="AX45" s="51"/>
      <c r="AY45" s="52"/>
    </row>
    <row r="46" spans="1:51">
      <c r="A46" s="31" t="s">
        <v>105</v>
      </c>
      <c r="B46" s="51">
        <v>106998</v>
      </c>
      <c r="C46" s="51">
        <v>104775</v>
      </c>
      <c r="D46" s="51">
        <v>102817</v>
      </c>
      <c r="E46" s="51">
        <v>101693</v>
      </c>
      <c r="F46" s="52">
        <v>101693</v>
      </c>
      <c r="G46" s="51">
        <v>102787</v>
      </c>
      <c r="H46" s="51">
        <v>115104</v>
      </c>
      <c r="I46" s="51">
        <v>118683</v>
      </c>
      <c r="J46" s="51">
        <v>126873</v>
      </c>
      <c r="K46" s="52">
        <v>126873</v>
      </c>
      <c r="L46" s="51">
        <v>144855</v>
      </c>
      <c r="M46" s="51">
        <v>145879</v>
      </c>
      <c r="N46" s="51">
        <v>149671</v>
      </c>
      <c r="O46" s="51">
        <v>154889</v>
      </c>
      <c r="P46" s="52">
        <v>154889</v>
      </c>
      <c r="Q46" s="51">
        <v>189322</v>
      </c>
      <c r="R46" s="51">
        <v>189529</v>
      </c>
      <c r="S46" s="51">
        <v>192323</v>
      </c>
      <c r="T46" s="51">
        <v>223476</v>
      </c>
      <c r="U46" s="52">
        <v>223476</v>
      </c>
      <c r="V46" s="51">
        <v>299490</v>
      </c>
      <c r="W46" s="51">
        <v>245370</v>
      </c>
      <c r="X46" s="51">
        <v>308511</v>
      </c>
      <c r="Y46" s="51">
        <v>320205</v>
      </c>
      <c r="Z46" s="52">
        <v>320205</v>
      </c>
      <c r="AA46" s="51">
        <v>341373</v>
      </c>
      <c r="AB46" s="51">
        <v>362132</v>
      </c>
      <c r="AC46" s="51">
        <v>347821</v>
      </c>
      <c r="AD46" s="51">
        <v>417181</v>
      </c>
      <c r="AE46" s="52">
        <v>417181</v>
      </c>
      <c r="AF46" s="51">
        <f t="shared" ref="AF46:AR46" si="84">AF45+AF35</f>
        <v>400760</v>
      </c>
      <c r="AG46" s="51">
        <f t="shared" si="84"/>
        <v>444154</v>
      </c>
      <c r="AH46" s="51">
        <f t="shared" si="84"/>
        <v>503839</v>
      </c>
      <c r="AI46" s="51">
        <f t="shared" si="84"/>
        <v>609022</v>
      </c>
      <c r="AJ46" s="52">
        <f t="shared" si="84"/>
        <v>609022</v>
      </c>
      <c r="AK46" s="51">
        <f t="shared" si="84"/>
        <v>615002</v>
      </c>
      <c r="AL46" s="51">
        <f t="shared" si="84"/>
        <v>633774</v>
      </c>
      <c r="AM46" s="51">
        <f t="shared" si="84"/>
        <v>724585</v>
      </c>
      <c r="AN46" s="51">
        <f t="shared" si="84"/>
        <v>857307</v>
      </c>
      <c r="AO46" s="52">
        <f t="shared" si="84"/>
        <v>857307</v>
      </c>
      <c r="AP46" s="51">
        <f t="shared" si="84"/>
        <v>999126</v>
      </c>
      <c r="AQ46" s="51">
        <f t="shared" si="84"/>
        <v>1026159</v>
      </c>
      <c r="AR46" s="51">
        <f t="shared" si="84"/>
        <v>1106429</v>
      </c>
      <c r="AS46" s="51">
        <f t="shared" ref="AS46:AU46" si="85">AS45+AS35</f>
        <v>1343259</v>
      </c>
      <c r="AT46" s="52">
        <f t="shared" ref="AT46" si="86">AT45+AT35</f>
        <v>1343259</v>
      </c>
      <c r="AU46" s="51">
        <f t="shared" si="85"/>
        <v>1343000</v>
      </c>
      <c r="AV46" s="51"/>
      <c r="AW46" s="51"/>
      <c r="AX46" s="51"/>
      <c r="AY46" s="52"/>
    </row>
    <row r="47" spans="1:51">
      <c r="A47" s="49"/>
      <c r="B47" s="27"/>
      <c r="C47" s="27"/>
      <c r="D47" s="27"/>
      <c r="E47" s="27"/>
      <c r="F47" s="50"/>
      <c r="G47" s="27"/>
      <c r="H47" s="27"/>
      <c r="I47" s="27"/>
      <c r="J47" s="27"/>
      <c r="K47" s="50"/>
      <c r="L47" s="27"/>
      <c r="M47" s="27"/>
      <c r="N47" s="27"/>
      <c r="O47" s="27"/>
      <c r="P47" s="50"/>
      <c r="Q47" s="27"/>
      <c r="R47" s="27"/>
      <c r="S47" s="27"/>
      <c r="T47" s="27"/>
      <c r="U47" s="50"/>
      <c r="V47" s="27"/>
      <c r="W47" s="27"/>
      <c r="X47" s="27"/>
      <c r="Y47" s="27"/>
      <c r="Z47" s="50"/>
      <c r="AA47" s="27"/>
      <c r="AB47" s="27"/>
      <c r="AC47" s="27"/>
      <c r="AD47" s="27"/>
      <c r="AE47" s="50"/>
      <c r="AF47" s="27"/>
      <c r="AG47" s="27"/>
      <c r="AH47" s="27"/>
      <c r="AI47" s="27"/>
      <c r="AJ47" s="50"/>
      <c r="AK47" s="27"/>
      <c r="AL47" s="27"/>
      <c r="AM47" s="27"/>
      <c r="AN47" s="27"/>
      <c r="AO47" s="50"/>
      <c r="AP47" s="27"/>
      <c r="AQ47" s="27"/>
      <c r="AR47" s="27"/>
      <c r="AS47" s="27"/>
      <c r="AT47" s="50"/>
      <c r="AU47" s="27"/>
      <c r="AV47" s="27"/>
      <c r="AW47" s="27"/>
      <c r="AX47" s="27"/>
      <c r="AY47" s="50"/>
    </row>
    <row r="48" spans="1:51">
      <c r="A48" s="31" t="s">
        <v>106</v>
      </c>
      <c r="B48" s="27"/>
      <c r="C48" s="27"/>
      <c r="D48" s="27"/>
      <c r="E48" s="27"/>
      <c r="F48" s="50"/>
      <c r="G48" s="27"/>
      <c r="H48" s="27"/>
      <c r="I48" s="27"/>
      <c r="J48" s="27"/>
      <c r="K48" s="50"/>
      <c r="L48" s="27"/>
      <c r="M48" s="27"/>
      <c r="N48" s="27"/>
      <c r="O48" s="27"/>
      <c r="P48" s="50"/>
      <c r="Q48" s="27"/>
      <c r="R48" s="27"/>
      <c r="S48" s="27"/>
      <c r="T48" s="27"/>
      <c r="U48" s="50"/>
      <c r="V48" s="27"/>
      <c r="W48" s="27"/>
      <c r="X48" s="27"/>
      <c r="Y48" s="27"/>
      <c r="Z48" s="50"/>
      <c r="AA48" s="27"/>
      <c r="AB48" s="27"/>
      <c r="AC48" s="27"/>
      <c r="AD48" s="27"/>
      <c r="AE48" s="50"/>
      <c r="AF48" s="27"/>
      <c r="AG48" s="27"/>
      <c r="AH48" s="27"/>
      <c r="AI48" s="27"/>
      <c r="AJ48" s="50"/>
      <c r="AK48" s="27"/>
      <c r="AL48" s="27"/>
      <c r="AM48" s="27"/>
      <c r="AN48" s="27"/>
      <c r="AO48" s="50"/>
      <c r="AP48" s="27"/>
      <c r="AQ48" s="27"/>
      <c r="AR48" s="27"/>
      <c r="AS48" s="27"/>
      <c r="AT48" s="50"/>
      <c r="AU48" s="27"/>
      <c r="AV48" s="27"/>
      <c r="AW48" s="27"/>
      <c r="AX48" s="27"/>
      <c r="AY48" s="50"/>
    </row>
    <row r="49" spans="1:51">
      <c r="A49" s="49" t="s">
        <v>107</v>
      </c>
      <c r="B49" s="27">
        <v>548044</v>
      </c>
      <c r="C49" s="27">
        <v>548160</v>
      </c>
      <c r="D49" s="27">
        <v>548217</v>
      </c>
      <c r="E49" s="27">
        <v>548217</v>
      </c>
      <c r="F49" s="52">
        <f t="shared" ref="F49:F53" si="87">E49</f>
        <v>548217</v>
      </c>
      <c r="G49" s="27">
        <v>569044</v>
      </c>
      <c r="H49" s="27">
        <v>569044</v>
      </c>
      <c r="I49" s="27">
        <v>569044</v>
      </c>
      <c r="J49" s="27">
        <v>569052</v>
      </c>
      <c r="K49" s="52">
        <f t="shared" ref="K49:K53" si="88">J49</f>
        <v>569052</v>
      </c>
      <c r="L49" s="27">
        <v>569285</v>
      </c>
      <c r="M49" s="27">
        <v>569285</v>
      </c>
      <c r="N49" s="27">
        <v>569285</v>
      </c>
      <c r="O49" s="27">
        <v>569285</v>
      </c>
      <c r="P49" s="52">
        <f t="shared" ref="P49:P53" si="89">O49</f>
        <v>569285</v>
      </c>
      <c r="Q49" s="27">
        <v>569286</v>
      </c>
      <c r="R49" s="27">
        <v>569327</v>
      </c>
      <c r="S49" s="27">
        <v>618016</v>
      </c>
      <c r="T49" s="27">
        <v>618063</v>
      </c>
      <c r="U49" s="52">
        <f t="shared" ref="U49:U53" si="90">T49</f>
        <v>618063</v>
      </c>
      <c r="V49" s="27">
        <v>621092</v>
      </c>
      <c r="W49" s="27">
        <v>621115</v>
      </c>
      <c r="X49" s="27">
        <v>621115</v>
      </c>
      <c r="Y49" s="27">
        <v>621115</v>
      </c>
      <c r="Z49" s="52">
        <f t="shared" ref="Z49:Z53" si="91">Y49</f>
        <v>621115</v>
      </c>
      <c r="AA49" s="27">
        <v>621115</v>
      </c>
      <c r="AB49" s="27">
        <v>615922</v>
      </c>
      <c r="AC49" s="27">
        <v>611831</v>
      </c>
      <c r="AD49" s="27">
        <v>611975</v>
      </c>
      <c r="AE49" s="52">
        <f t="shared" ref="AE49:AE53" si="92">AD49</f>
        <v>611975</v>
      </c>
      <c r="AF49" s="27">
        <v>611983</v>
      </c>
      <c r="AG49" s="27">
        <v>612036</v>
      </c>
      <c r="AH49" s="27">
        <v>612036</v>
      </c>
      <c r="AI49" s="27">
        <v>612299</v>
      </c>
      <c r="AJ49" s="52">
        <f t="shared" si="0"/>
        <v>612299</v>
      </c>
      <c r="AK49" s="27">
        <v>612299</v>
      </c>
      <c r="AL49" s="27">
        <v>608977</v>
      </c>
      <c r="AM49" s="27">
        <v>602909</v>
      </c>
      <c r="AN49" s="27">
        <v>599200</v>
      </c>
      <c r="AO49" s="52">
        <f t="shared" si="1"/>
        <v>599200</v>
      </c>
      <c r="AP49" s="27">
        <v>610500</v>
      </c>
      <c r="AQ49" s="27">
        <v>633271</v>
      </c>
      <c r="AR49" s="27">
        <v>833382</v>
      </c>
      <c r="AS49" s="27">
        <v>834430</v>
      </c>
      <c r="AT49" s="52">
        <f t="shared" ref="AT49:AT53" si="93">AS49</f>
        <v>834430</v>
      </c>
      <c r="AU49" s="27">
        <v>830580</v>
      </c>
      <c r="AV49" s="27"/>
      <c r="AW49" s="27"/>
      <c r="AX49" s="27"/>
      <c r="AY49" s="52"/>
    </row>
    <row r="50" spans="1:51">
      <c r="A50" s="49" t="s">
        <v>108</v>
      </c>
      <c r="B50" s="27">
        <v>54738</v>
      </c>
      <c r="C50" s="27">
        <v>54701</v>
      </c>
      <c r="D50" s="27">
        <v>54681</v>
      </c>
      <c r="E50" s="27">
        <v>54681</v>
      </c>
      <c r="F50" s="52">
        <f t="shared" si="87"/>
        <v>54681</v>
      </c>
      <c r="G50" s="27">
        <v>54787</v>
      </c>
      <c r="H50" s="27">
        <v>54825</v>
      </c>
      <c r="I50" s="27">
        <v>54939</v>
      </c>
      <c r="J50" s="27">
        <v>55253</v>
      </c>
      <c r="K50" s="52">
        <f t="shared" si="88"/>
        <v>55253</v>
      </c>
      <c r="L50" s="27">
        <v>55094</v>
      </c>
      <c r="M50" s="27">
        <v>55203</v>
      </c>
      <c r="N50" s="27">
        <v>55287</v>
      </c>
      <c r="O50" s="27">
        <v>55424</v>
      </c>
      <c r="P50" s="52">
        <f t="shared" si="89"/>
        <v>55424</v>
      </c>
      <c r="Q50" s="27">
        <v>55549</v>
      </c>
      <c r="R50" s="27">
        <v>55533</v>
      </c>
      <c r="S50" s="27">
        <v>55669</v>
      </c>
      <c r="T50" s="27">
        <v>55870</v>
      </c>
      <c r="U50" s="52">
        <f t="shared" si="90"/>
        <v>55870</v>
      </c>
      <c r="V50" s="27">
        <v>54907</v>
      </c>
      <c r="W50" s="27">
        <v>55297</v>
      </c>
      <c r="X50" s="27">
        <v>54963</v>
      </c>
      <c r="Y50" s="27">
        <v>55044</v>
      </c>
      <c r="Z50" s="52">
        <f t="shared" si="91"/>
        <v>55044</v>
      </c>
      <c r="AA50" s="27">
        <v>55156</v>
      </c>
      <c r="AB50" s="27">
        <v>55072</v>
      </c>
      <c r="AC50" s="27">
        <v>55177</v>
      </c>
      <c r="AD50" s="27">
        <v>55286</v>
      </c>
      <c r="AE50" s="52">
        <f t="shared" si="92"/>
        <v>55286</v>
      </c>
      <c r="AF50" s="27">
        <v>55360</v>
      </c>
      <c r="AG50" s="27">
        <v>55346</v>
      </c>
      <c r="AH50" s="27">
        <v>55411</v>
      </c>
      <c r="AI50" s="27">
        <v>55478</v>
      </c>
      <c r="AJ50" s="52">
        <f t="shared" si="0"/>
        <v>55478</v>
      </c>
      <c r="AK50" s="27">
        <v>55530</v>
      </c>
      <c r="AL50" s="27">
        <v>55494</v>
      </c>
      <c r="AM50" s="27">
        <v>55560</v>
      </c>
      <c r="AN50" s="27">
        <v>55596</v>
      </c>
      <c r="AO50" s="52">
        <f t="shared" si="1"/>
        <v>55596</v>
      </c>
      <c r="AP50" s="27">
        <v>55669</v>
      </c>
      <c r="AQ50" s="27">
        <v>55669</v>
      </c>
      <c r="AR50" s="27">
        <v>56937</v>
      </c>
      <c r="AS50" s="27">
        <v>57757</v>
      </c>
      <c r="AT50" s="52">
        <f t="shared" si="93"/>
        <v>57757</v>
      </c>
      <c r="AU50" s="27">
        <v>57987</v>
      </c>
      <c r="AV50" s="27"/>
      <c r="AW50" s="27"/>
      <c r="AX50" s="27"/>
      <c r="AY50" s="52"/>
    </row>
    <row r="51" spans="1:51">
      <c r="A51" s="49" t="s">
        <v>109</v>
      </c>
      <c r="B51" s="27">
        <v>-7784</v>
      </c>
      <c r="C51" s="27">
        <v>-8660</v>
      </c>
      <c r="D51" s="27">
        <v>-8049</v>
      </c>
      <c r="E51" s="27">
        <v>-10039</v>
      </c>
      <c r="F51" s="52">
        <f t="shared" si="87"/>
        <v>-10039</v>
      </c>
      <c r="G51" s="27">
        <v>5953</v>
      </c>
      <c r="H51" s="27">
        <v>5995</v>
      </c>
      <c r="I51" s="27">
        <v>5578</v>
      </c>
      <c r="J51" s="27">
        <v>6427</v>
      </c>
      <c r="K51" s="52">
        <f t="shared" si="88"/>
        <v>6427</v>
      </c>
      <c r="L51" s="27">
        <v>6436</v>
      </c>
      <c r="M51" s="27">
        <v>6399</v>
      </c>
      <c r="N51" s="27">
        <v>6496</v>
      </c>
      <c r="O51" s="27">
        <v>5379</v>
      </c>
      <c r="P51" s="52">
        <f t="shared" si="89"/>
        <v>5379</v>
      </c>
      <c r="Q51" s="27">
        <v>5604</v>
      </c>
      <c r="R51" s="27">
        <v>4511</v>
      </c>
      <c r="S51" s="27">
        <v>4440</v>
      </c>
      <c r="T51" s="27">
        <v>4772</v>
      </c>
      <c r="U51" s="52">
        <f t="shared" si="90"/>
        <v>4772</v>
      </c>
      <c r="V51" s="27">
        <v>4822</v>
      </c>
      <c r="W51" s="27">
        <v>3204</v>
      </c>
      <c r="X51" s="27">
        <f>3064+2131</f>
        <v>5195</v>
      </c>
      <c r="Y51" s="27">
        <f>383+3853</f>
        <v>4236</v>
      </c>
      <c r="Z51" s="52">
        <f t="shared" si="91"/>
        <v>4236</v>
      </c>
      <c r="AA51" s="27">
        <f>2668*2</f>
        <v>5336</v>
      </c>
      <c r="AB51" s="27">
        <f>3645+2544</f>
        <v>6189</v>
      </c>
      <c r="AC51" s="27">
        <f>2201+4658</f>
        <v>6859</v>
      </c>
      <c r="AD51" s="27">
        <v>4739</v>
      </c>
      <c r="AE51" s="52">
        <f t="shared" si="92"/>
        <v>4739</v>
      </c>
      <c r="AF51" s="27">
        <v>6334</v>
      </c>
      <c r="AG51" s="27">
        <v>7423</v>
      </c>
      <c r="AH51" s="27">
        <v>5752</v>
      </c>
      <c r="AI51" s="27">
        <v>5179</v>
      </c>
      <c r="AJ51" s="52">
        <f t="shared" si="0"/>
        <v>5179</v>
      </c>
      <c r="AK51" s="27">
        <v>3878</v>
      </c>
      <c r="AL51" s="27">
        <v>2222</v>
      </c>
      <c r="AM51" s="27">
        <v>2357</v>
      </c>
      <c r="AN51" s="27">
        <v>-723</v>
      </c>
      <c r="AO51" s="52">
        <f t="shared" si="1"/>
        <v>-723</v>
      </c>
      <c r="AP51" s="27">
        <v>-3607</v>
      </c>
      <c r="AQ51" s="27">
        <v>-4812</v>
      </c>
      <c r="AR51" s="27">
        <v>-1584</v>
      </c>
      <c r="AS51" s="27">
        <v>-178</v>
      </c>
      <c r="AT51" s="52">
        <f t="shared" si="93"/>
        <v>-178</v>
      </c>
      <c r="AU51" s="27">
        <v>-448</v>
      </c>
      <c r="AV51" s="27"/>
      <c r="AW51" s="27"/>
      <c r="AX51" s="27"/>
      <c r="AY51" s="52"/>
    </row>
    <row r="52" spans="1:51">
      <c r="A52" s="49" t="s">
        <v>110</v>
      </c>
      <c r="B52" s="27">
        <v>-523455</v>
      </c>
      <c r="C52" s="27">
        <v>-519170</v>
      </c>
      <c r="D52" s="27">
        <v>-514576</v>
      </c>
      <c r="E52" s="27">
        <v>-508277</v>
      </c>
      <c r="F52" s="52">
        <f t="shared" si="87"/>
        <v>-508277</v>
      </c>
      <c r="G52" s="27">
        <v>-496997</v>
      </c>
      <c r="H52" s="27">
        <v>-502327</v>
      </c>
      <c r="I52" s="27">
        <v>-501490</v>
      </c>
      <c r="J52" s="27">
        <v>-456311</v>
      </c>
      <c r="K52" s="52">
        <f t="shared" si="88"/>
        <v>-456311</v>
      </c>
      <c r="L52" s="27">
        <v>-461034</v>
      </c>
      <c r="M52" s="27">
        <v>-464948</v>
      </c>
      <c r="N52" s="27">
        <v>-461149</v>
      </c>
      <c r="O52" s="27">
        <v>-434468</v>
      </c>
      <c r="P52" s="52">
        <f t="shared" si="89"/>
        <v>-434468</v>
      </c>
      <c r="Q52" s="27">
        <v>-452132</v>
      </c>
      <c r="R52" s="27">
        <v>-448147</v>
      </c>
      <c r="S52" s="27">
        <v>-423558</v>
      </c>
      <c r="T52" s="27">
        <v>-365991</v>
      </c>
      <c r="U52" s="52">
        <f t="shared" si="90"/>
        <v>-365991</v>
      </c>
      <c r="V52" s="27">
        <v>-412256</v>
      </c>
      <c r="W52" s="27">
        <v>-390713</v>
      </c>
      <c r="X52" s="27">
        <v>-405294</v>
      </c>
      <c r="Y52" s="27">
        <v>-408120</v>
      </c>
      <c r="Z52" s="52">
        <f t="shared" si="91"/>
        <v>-408120</v>
      </c>
      <c r="AA52" s="27">
        <v>-368954</v>
      </c>
      <c r="AB52" s="27">
        <v>-364195</v>
      </c>
      <c r="AC52" s="27">
        <v>-364125</v>
      </c>
      <c r="AD52" s="27">
        <v>-361873</v>
      </c>
      <c r="AE52" s="52">
        <f t="shared" si="92"/>
        <v>-361873</v>
      </c>
      <c r="AF52" s="27">
        <v>-343214</v>
      </c>
      <c r="AG52" s="27">
        <v>-341946</v>
      </c>
      <c r="AH52" s="27">
        <v>-334187</v>
      </c>
      <c r="AI52" s="27">
        <v>-358154</v>
      </c>
      <c r="AJ52" s="52">
        <f t="shared" si="0"/>
        <v>-358154</v>
      </c>
      <c r="AK52" s="27">
        <v>-367371</v>
      </c>
      <c r="AL52" s="27">
        <v>-418485</v>
      </c>
      <c r="AM52" s="27">
        <v>-430408</v>
      </c>
      <c r="AN52" s="27">
        <v>-431118</v>
      </c>
      <c r="AO52" s="52">
        <f t="shared" si="1"/>
        <v>-431118</v>
      </c>
      <c r="AP52" s="27">
        <f>-522700+3</f>
        <v>-522697</v>
      </c>
      <c r="AQ52" s="27">
        <v>-544364</v>
      </c>
      <c r="AR52" s="27">
        <v>-566302</v>
      </c>
      <c r="AS52" s="27">
        <v>-626272</v>
      </c>
      <c r="AT52" s="52">
        <f t="shared" si="93"/>
        <v>-626272</v>
      </c>
      <c r="AU52" s="27">
        <v>-586260</v>
      </c>
      <c r="AV52" s="27"/>
      <c r="AW52" s="27"/>
      <c r="AX52" s="27"/>
      <c r="AY52" s="52"/>
    </row>
    <row r="53" spans="1:51">
      <c r="A53" s="31" t="s">
        <v>111</v>
      </c>
      <c r="B53" s="51">
        <f t="shared" ref="B53" si="94">SUM(B49:B52)</f>
        <v>71543</v>
      </c>
      <c r="C53" s="51">
        <f t="shared" ref="C53" si="95">SUM(C49:C52)</f>
        <v>75031</v>
      </c>
      <c r="D53" s="51">
        <f t="shared" ref="D53" si="96">SUM(D49:D52)</f>
        <v>80273</v>
      </c>
      <c r="E53" s="51">
        <f>SUM(E49:E52)</f>
        <v>84582</v>
      </c>
      <c r="F53" s="52">
        <f t="shared" si="87"/>
        <v>84582</v>
      </c>
      <c r="G53" s="51">
        <f t="shared" ref="G53" si="97">SUM(G49:G52)</f>
        <v>132787</v>
      </c>
      <c r="H53" s="51">
        <f t="shared" ref="H53" si="98">SUM(H49:H52)</f>
        <v>127537</v>
      </c>
      <c r="I53" s="51">
        <f t="shared" ref="I53" si="99">SUM(I49:I52)</f>
        <v>128071</v>
      </c>
      <c r="J53" s="51">
        <f>SUM(J49:J52)</f>
        <v>174421</v>
      </c>
      <c r="K53" s="52">
        <f t="shared" si="88"/>
        <v>174421</v>
      </c>
      <c r="L53" s="51">
        <f t="shared" ref="L53" si="100">SUM(L49:L52)</f>
        <v>169781</v>
      </c>
      <c r="M53" s="51">
        <f t="shared" ref="M53" si="101">SUM(M49:M52)</f>
        <v>165939</v>
      </c>
      <c r="N53" s="51">
        <f t="shared" ref="N53" si="102">SUM(N49:N52)</f>
        <v>169919</v>
      </c>
      <c r="O53" s="51">
        <f>SUM(O49:O52)</f>
        <v>195620</v>
      </c>
      <c r="P53" s="52">
        <f t="shared" si="89"/>
        <v>195620</v>
      </c>
      <c r="Q53" s="51">
        <f t="shared" ref="Q53" si="103">SUM(Q49:Q52)</f>
        <v>178307</v>
      </c>
      <c r="R53" s="51">
        <f t="shared" ref="R53" si="104">SUM(R49:R52)</f>
        <v>181224</v>
      </c>
      <c r="S53" s="51">
        <f t="shared" ref="S53" si="105">SUM(S49:S52)</f>
        <v>254567</v>
      </c>
      <c r="T53" s="51">
        <f>SUM(T49:T52)</f>
        <v>312714</v>
      </c>
      <c r="U53" s="52">
        <f t="shared" si="90"/>
        <v>312714</v>
      </c>
      <c r="V53" s="51">
        <f t="shared" ref="V53:X53" si="106">SUM(V49:V52)</f>
        <v>268565</v>
      </c>
      <c r="W53" s="51">
        <f t="shared" si="106"/>
        <v>288903</v>
      </c>
      <c r="X53" s="51">
        <f t="shared" si="106"/>
        <v>275979</v>
      </c>
      <c r="Y53" s="51">
        <f>SUM(Y49:Y52)</f>
        <v>272275</v>
      </c>
      <c r="Z53" s="52">
        <f t="shared" si="91"/>
        <v>272275</v>
      </c>
      <c r="AA53" s="51">
        <f t="shared" ref="AA53:AD53" si="107">SUM(AA49:AA52)</f>
        <v>312653</v>
      </c>
      <c r="AB53" s="51">
        <f>SUM(AB49:AB52)</f>
        <v>312988</v>
      </c>
      <c r="AC53" s="51">
        <f t="shared" si="107"/>
        <v>309742</v>
      </c>
      <c r="AD53" s="51">
        <f t="shared" si="107"/>
        <v>310127</v>
      </c>
      <c r="AE53" s="52">
        <f t="shared" si="92"/>
        <v>310127</v>
      </c>
      <c r="AF53" s="51">
        <f t="shared" ref="AF53:AG53" si="108">SUM(AF49:AF52)</f>
        <v>330463</v>
      </c>
      <c r="AG53" s="51">
        <f t="shared" si="108"/>
        <v>332859</v>
      </c>
      <c r="AH53" s="51">
        <f>SUM(AH49:AH52)</f>
        <v>339012</v>
      </c>
      <c r="AI53" s="51">
        <f>SUM(AI49:AI52)</f>
        <v>314802</v>
      </c>
      <c r="AJ53" s="52">
        <f t="shared" si="0"/>
        <v>314802</v>
      </c>
      <c r="AK53" s="51">
        <f>SUM(AK49:AK52)</f>
        <v>304336</v>
      </c>
      <c r="AL53" s="51">
        <f>SUM(AL49:AL52)</f>
        <v>248208</v>
      </c>
      <c r="AM53" s="51">
        <f>SUM(AM49:AM52)</f>
        <v>230418</v>
      </c>
      <c r="AN53" s="51">
        <f>SUM(AN49:AN52)</f>
        <v>222955</v>
      </c>
      <c r="AO53" s="52">
        <f t="shared" si="1"/>
        <v>222955</v>
      </c>
      <c r="AP53" s="51">
        <f>SUM(AP49:AP52)</f>
        <v>139865</v>
      </c>
      <c r="AQ53" s="51">
        <f t="shared" ref="AQ53:AR53" si="109">SUM(AQ49:AQ52)</f>
        <v>139764</v>
      </c>
      <c r="AR53" s="51">
        <f t="shared" si="109"/>
        <v>322433</v>
      </c>
      <c r="AS53" s="51">
        <f t="shared" ref="AS53:AU53" si="110">SUM(AS49:AS52)</f>
        <v>265737</v>
      </c>
      <c r="AT53" s="52">
        <f t="shared" si="93"/>
        <v>265737</v>
      </c>
      <c r="AU53" s="51">
        <f t="shared" si="110"/>
        <v>301859</v>
      </c>
      <c r="AV53" s="51"/>
      <c r="AW53" s="51"/>
      <c r="AX53" s="51"/>
      <c r="AY53" s="52"/>
    </row>
    <row r="54" spans="1:51" s="2" customFormat="1">
      <c r="A54" s="31" t="s">
        <v>112</v>
      </c>
      <c r="B54" s="51">
        <f t="shared" ref="B54:E54" si="111">B46+B53</f>
        <v>178541</v>
      </c>
      <c r="C54" s="51">
        <f t="shared" si="111"/>
        <v>179806</v>
      </c>
      <c r="D54" s="51">
        <f t="shared" si="111"/>
        <v>183090</v>
      </c>
      <c r="E54" s="51">
        <f t="shared" si="111"/>
        <v>186275</v>
      </c>
      <c r="F54" s="52">
        <f t="shared" ref="F54:J54" si="112">F46+F53</f>
        <v>186275</v>
      </c>
      <c r="G54" s="51">
        <f t="shared" si="112"/>
        <v>235574</v>
      </c>
      <c r="H54" s="51">
        <f t="shared" si="112"/>
        <v>242641</v>
      </c>
      <c r="I54" s="51">
        <f t="shared" si="112"/>
        <v>246754</v>
      </c>
      <c r="J54" s="51">
        <f t="shared" si="112"/>
        <v>301294</v>
      </c>
      <c r="K54" s="52">
        <f t="shared" ref="K54:O54" si="113">K46+K53</f>
        <v>301294</v>
      </c>
      <c r="L54" s="51">
        <f t="shared" si="113"/>
        <v>314636</v>
      </c>
      <c r="M54" s="51">
        <f t="shared" si="113"/>
        <v>311818</v>
      </c>
      <c r="N54" s="51">
        <f t="shared" si="113"/>
        <v>319590</v>
      </c>
      <c r="O54" s="51">
        <f t="shared" si="113"/>
        <v>350509</v>
      </c>
      <c r="P54" s="52">
        <f t="shared" ref="P54:T54" si="114">P46+P53</f>
        <v>350509</v>
      </c>
      <c r="Q54" s="51">
        <f>Q46+Q53</f>
        <v>367629</v>
      </c>
      <c r="R54" s="51">
        <f t="shared" si="114"/>
        <v>370753</v>
      </c>
      <c r="S54" s="51">
        <f t="shared" si="114"/>
        <v>446890</v>
      </c>
      <c r="T54" s="51">
        <f t="shared" si="114"/>
        <v>536190</v>
      </c>
      <c r="U54" s="52">
        <f t="shared" ref="U54:X54" si="115">U46+U53</f>
        <v>536190</v>
      </c>
      <c r="V54" s="51">
        <f t="shared" si="115"/>
        <v>568055</v>
      </c>
      <c r="W54" s="51">
        <f t="shared" si="115"/>
        <v>534273</v>
      </c>
      <c r="X54" s="51">
        <f t="shared" si="115"/>
        <v>584490</v>
      </c>
      <c r="Y54" s="51">
        <f t="shared" ref="Y54:Z54" si="116">Y46+Y53</f>
        <v>592480</v>
      </c>
      <c r="Z54" s="52">
        <f t="shared" si="116"/>
        <v>592480</v>
      </c>
      <c r="AA54" s="51">
        <v>654066</v>
      </c>
      <c r="AB54" s="51">
        <f t="shared" ref="AB54:AQ54" si="117">AB46+AB53</f>
        <v>675120</v>
      </c>
      <c r="AC54" s="51">
        <v>657563</v>
      </c>
      <c r="AD54" s="51">
        <f t="shared" si="117"/>
        <v>727308</v>
      </c>
      <c r="AE54" s="52">
        <f t="shared" ref="AE54" si="118">AE46+AE53</f>
        <v>727308</v>
      </c>
      <c r="AF54" s="51">
        <f t="shared" si="117"/>
        <v>731223</v>
      </c>
      <c r="AG54" s="51">
        <f t="shared" si="117"/>
        <v>777013</v>
      </c>
      <c r="AH54" s="51">
        <f t="shared" si="117"/>
        <v>842851</v>
      </c>
      <c r="AI54" s="51">
        <f t="shared" si="117"/>
        <v>923824</v>
      </c>
      <c r="AJ54" s="52">
        <f t="shared" si="117"/>
        <v>923824</v>
      </c>
      <c r="AK54" s="51">
        <f t="shared" si="117"/>
        <v>919338</v>
      </c>
      <c r="AL54" s="51">
        <f t="shared" si="117"/>
        <v>881982</v>
      </c>
      <c r="AM54" s="51">
        <f t="shared" si="117"/>
        <v>955003</v>
      </c>
      <c r="AN54" s="51">
        <f t="shared" si="117"/>
        <v>1080262</v>
      </c>
      <c r="AO54" s="52">
        <f t="shared" si="117"/>
        <v>1080262</v>
      </c>
      <c r="AP54" s="51">
        <f t="shared" si="117"/>
        <v>1138991</v>
      </c>
      <c r="AQ54" s="51">
        <f t="shared" si="117"/>
        <v>1165923</v>
      </c>
      <c r="AR54" s="51">
        <f>AR46+AR53</f>
        <v>1428862</v>
      </c>
      <c r="AS54" s="51">
        <f>AS46+AS53</f>
        <v>1608996</v>
      </c>
      <c r="AT54" s="52">
        <f t="shared" ref="AT54" si="119">AT46+AT53</f>
        <v>1608996</v>
      </c>
      <c r="AU54" s="51">
        <f>AU46+AU53</f>
        <v>1644859</v>
      </c>
      <c r="AV54" s="51"/>
      <c r="AW54" s="51"/>
      <c r="AX54" s="51"/>
      <c r="AY54" s="52"/>
    </row>
    <row r="55" spans="1:51" s="2" customFormat="1">
      <c r="A55" s="31"/>
      <c r="B55" s="51"/>
      <c r="C55" s="51"/>
      <c r="D55" s="51"/>
      <c r="E55" s="51"/>
      <c r="F55" s="52"/>
      <c r="G55" s="51"/>
      <c r="H55" s="51"/>
      <c r="I55" s="51"/>
      <c r="J55" s="51"/>
      <c r="K55" s="52"/>
      <c r="L55" s="51"/>
      <c r="M55" s="51"/>
      <c r="N55" s="51"/>
      <c r="O55" s="51"/>
      <c r="P55" s="52"/>
      <c r="Q55" s="51"/>
      <c r="R55" s="51"/>
      <c r="S55" s="51"/>
      <c r="T55" s="51"/>
      <c r="U55" s="52"/>
      <c r="V55" s="51"/>
      <c r="W55" s="51"/>
      <c r="X55" s="51"/>
      <c r="Y55" s="51"/>
      <c r="Z55" s="52"/>
      <c r="AA55" s="51"/>
      <c r="AB55" s="51"/>
      <c r="AC55" s="51"/>
      <c r="AD55" s="51"/>
      <c r="AE55" s="52"/>
      <c r="AF55" s="51"/>
      <c r="AG55" s="51"/>
      <c r="AH55" s="51"/>
      <c r="AI55" s="51"/>
      <c r="AJ55" s="52"/>
      <c r="AK55" s="51"/>
      <c r="AL55" s="51"/>
      <c r="AM55" s="51"/>
      <c r="AN55" s="51"/>
      <c r="AO55" s="52"/>
      <c r="AP55" s="51"/>
      <c r="AQ55" s="51"/>
      <c r="AR55" s="51"/>
      <c r="AS55" s="51"/>
      <c r="AT55" s="52"/>
      <c r="AU55" s="51"/>
      <c r="AV55" s="51"/>
      <c r="AW55" s="51"/>
      <c r="AX55" s="51"/>
      <c r="AY55" s="52"/>
    </row>
    <row r="56" spans="1:51" s="2" customFormat="1">
      <c r="A56" s="146"/>
      <c r="B56" s="147"/>
      <c r="C56" s="147"/>
      <c r="D56" s="147"/>
      <c r="E56" s="147"/>
      <c r="F56" s="148"/>
      <c r="G56" s="147"/>
      <c r="H56" s="147"/>
      <c r="I56" s="147"/>
      <c r="J56" s="147"/>
      <c r="K56" s="148"/>
      <c r="L56" s="147"/>
      <c r="M56" s="147"/>
      <c r="N56" s="147"/>
      <c r="O56" s="147"/>
      <c r="P56" s="148"/>
      <c r="Q56" s="147"/>
      <c r="R56" s="147"/>
      <c r="S56" s="147"/>
      <c r="T56" s="147"/>
      <c r="U56" s="148"/>
      <c r="V56" s="147"/>
      <c r="W56" s="147"/>
      <c r="X56" s="147"/>
      <c r="Y56" s="147"/>
      <c r="Z56" s="148"/>
      <c r="AA56" s="147"/>
      <c r="AB56" s="147"/>
      <c r="AC56" s="147"/>
      <c r="AD56" s="147"/>
      <c r="AE56" s="148"/>
      <c r="AF56" s="147"/>
      <c r="AG56" s="147"/>
      <c r="AH56" s="147"/>
      <c r="AI56" s="147"/>
      <c r="AJ56" s="148"/>
      <c r="AK56" s="147"/>
      <c r="AL56" s="147"/>
      <c r="AM56" s="147"/>
      <c r="AN56" s="147"/>
      <c r="AO56" s="148"/>
      <c r="AP56" s="147"/>
      <c r="AQ56" s="147"/>
      <c r="AR56" s="147"/>
      <c r="AS56" s="147"/>
      <c r="AT56" s="148"/>
      <c r="AU56" s="147"/>
      <c r="AV56" s="147"/>
      <c r="AW56" s="147"/>
      <c r="AX56" s="147"/>
      <c r="AY56" s="148"/>
    </row>
    <row r="57" spans="1:51">
      <c r="A57" s="49" t="s">
        <v>113</v>
      </c>
      <c r="B57" s="27">
        <v>8293</v>
      </c>
      <c r="C57" s="27">
        <v>21155</v>
      </c>
      <c r="D57" s="27">
        <v>19954</v>
      </c>
      <c r="E57" s="27">
        <v>18052</v>
      </c>
      <c r="F57" s="50">
        <v>18052</v>
      </c>
      <c r="G57" s="27">
        <v>13536</v>
      </c>
      <c r="H57" s="27">
        <v>12671</v>
      </c>
      <c r="I57" s="27">
        <v>11691</v>
      </c>
      <c r="J57" s="27">
        <v>12004</v>
      </c>
      <c r="K57" s="50">
        <v>12004</v>
      </c>
      <c r="L57" s="27">
        <v>18978</v>
      </c>
      <c r="M57" s="27">
        <v>19658</v>
      </c>
      <c r="N57" s="27">
        <v>19932</v>
      </c>
      <c r="O57" s="27">
        <v>22104</v>
      </c>
      <c r="P57" s="50">
        <v>22104</v>
      </c>
      <c r="Q57" s="27">
        <v>25157</v>
      </c>
      <c r="R57" s="27">
        <v>33408</v>
      </c>
      <c r="S57" s="27">
        <v>30559</v>
      </c>
      <c r="T57" s="27">
        <v>28485</v>
      </c>
      <c r="U57" s="50">
        <v>28485</v>
      </c>
      <c r="V57" s="27">
        <v>32034</v>
      </c>
      <c r="W57" s="27">
        <v>39661</v>
      </c>
      <c r="X57" s="27">
        <v>41064</v>
      </c>
      <c r="Y57" s="27">
        <v>58169</v>
      </c>
      <c r="Z57" s="50">
        <v>58169</v>
      </c>
      <c r="AA57" s="27">
        <v>59608</v>
      </c>
      <c r="AB57" s="27">
        <v>60285</v>
      </c>
      <c r="AC57" s="27">
        <v>84045</v>
      </c>
      <c r="AD57" s="27">
        <v>73215</v>
      </c>
      <c r="AE57" s="50">
        <v>73215</v>
      </c>
      <c r="AF57" s="27">
        <v>88358</v>
      </c>
      <c r="AG57" s="27">
        <v>113434</v>
      </c>
      <c r="AH57" s="27">
        <v>101047</v>
      </c>
      <c r="AI57" s="27">
        <v>82865</v>
      </c>
      <c r="AJ57" s="50">
        <f t="shared" si="0"/>
        <v>82865</v>
      </c>
      <c r="AK57" s="27">
        <v>75957</v>
      </c>
      <c r="AL57" s="27">
        <v>98004</v>
      </c>
      <c r="AM57" s="27">
        <v>191194</v>
      </c>
      <c r="AN57" s="27">
        <v>82007</v>
      </c>
      <c r="AO57" s="50">
        <f t="shared" si="1"/>
        <v>82007</v>
      </c>
      <c r="AP57" s="27">
        <v>100853</v>
      </c>
      <c r="AQ57" s="27">
        <v>78786</v>
      </c>
      <c r="AR57" s="27">
        <v>89810</v>
      </c>
      <c r="AS57" s="27">
        <v>99548</v>
      </c>
      <c r="AT57" s="50">
        <f t="shared" ref="AT57:AT59" si="120">AS57</f>
        <v>99548</v>
      </c>
      <c r="AU57" s="27">
        <v>97090</v>
      </c>
      <c r="AV57" s="27"/>
      <c r="AW57" s="27"/>
      <c r="AX57" s="27"/>
      <c r="AY57" s="50"/>
    </row>
    <row r="58" spans="1:51">
      <c r="A58" s="49" t="s">
        <v>114</v>
      </c>
      <c r="B58" s="27">
        <v>17211</v>
      </c>
      <c r="C58" s="27">
        <v>7371</v>
      </c>
      <c r="D58" s="27">
        <v>6827</v>
      </c>
      <c r="E58" s="27">
        <v>7964</v>
      </c>
      <c r="F58" s="50">
        <v>7964</v>
      </c>
      <c r="G58" s="27">
        <v>6631</v>
      </c>
      <c r="H58" s="27">
        <v>18020</v>
      </c>
      <c r="I58" s="27">
        <v>22092</v>
      </c>
      <c r="J58" s="27">
        <v>18597</v>
      </c>
      <c r="K58" s="50">
        <v>18597</v>
      </c>
      <c r="L58" s="27">
        <v>18423</v>
      </c>
      <c r="M58" s="27">
        <v>15316</v>
      </c>
      <c r="N58" s="27">
        <v>20340</v>
      </c>
      <c r="O58" s="27">
        <v>20850</v>
      </c>
      <c r="P58" s="50">
        <v>20850</v>
      </c>
      <c r="Q58" s="27">
        <v>46520</v>
      </c>
      <c r="R58" s="27">
        <v>37915</v>
      </c>
      <c r="S58" s="27">
        <v>37267</v>
      </c>
      <c r="T58" s="27">
        <v>41941</v>
      </c>
      <c r="U58" s="50">
        <v>41941</v>
      </c>
      <c r="V58" s="27">
        <v>57399</v>
      </c>
      <c r="W58" s="27">
        <v>51280</v>
      </c>
      <c r="X58" s="27">
        <v>114579</v>
      </c>
      <c r="Y58" s="27">
        <v>99862</v>
      </c>
      <c r="Z58" s="50">
        <v>99862</v>
      </c>
      <c r="AA58" s="27">
        <v>119650</v>
      </c>
      <c r="AB58" s="27">
        <v>155761</v>
      </c>
      <c r="AC58" s="27">
        <v>123731</v>
      </c>
      <c r="AD58" s="27">
        <v>140827</v>
      </c>
      <c r="AE58" s="50">
        <v>140827</v>
      </c>
      <c r="AF58" s="27">
        <v>111493</v>
      </c>
      <c r="AG58" s="27">
        <v>126758</v>
      </c>
      <c r="AH58" s="27">
        <v>197714</v>
      </c>
      <c r="AI58" s="27">
        <v>250724</v>
      </c>
      <c r="AJ58" s="50">
        <f t="shared" si="0"/>
        <v>250724</v>
      </c>
      <c r="AK58" s="27">
        <v>251081</v>
      </c>
      <c r="AL58" s="27">
        <v>236413</v>
      </c>
      <c r="AM58" s="27">
        <v>149366</v>
      </c>
      <c r="AN58" s="27">
        <v>361097</v>
      </c>
      <c r="AO58" s="50">
        <f t="shared" si="1"/>
        <v>361097</v>
      </c>
      <c r="AP58" s="27">
        <v>366834</v>
      </c>
      <c r="AQ58" s="27">
        <v>375107</v>
      </c>
      <c r="AR58" s="27">
        <v>339966</v>
      </c>
      <c r="AS58" s="27">
        <v>311620</v>
      </c>
      <c r="AT58" s="50">
        <f t="shared" si="120"/>
        <v>311620</v>
      </c>
      <c r="AU58" s="27">
        <v>311958</v>
      </c>
      <c r="AV58" s="27"/>
      <c r="AW58" s="27"/>
      <c r="AX58" s="27"/>
      <c r="AY58" s="50"/>
    </row>
    <row r="59" spans="1:51" s="2" customFormat="1">
      <c r="A59" s="31" t="s">
        <v>115</v>
      </c>
      <c r="B59" s="51">
        <v>25504</v>
      </c>
      <c r="C59" s="51">
        <v>28526</v>
      </c>
      <c r="D59" s="51">
        <v>26781</v>
      </c>
      <c r="E59" s="51">
        <v>26016</v>
      </c>
      <c r="F59" s="52">
        <v>26016</v>
      </c>
      <c r="G59" s="51">
        <v>20167</v>
      </c>
      <c r="H59" s="51">
        <v>30691</v>
      </c>
      <c r="I59" s="51">
        <v>33783</v>
      </c>
      <c r="J59" s="51">
        <v>30601</v>
      </c>
      <c r="K59" s="52">
        <v>30601</v>
      </c>
      <c r="L59" s="51">
        <v>37401</v>
      </c>
      <c r="M59" s="51">
        <v>34974</v>
      </c>
      <c r="N59" s="51">
        <v>40272</v>
      </c>
      <c r="O59" s="51">
        <v>42954</v>
      </c>
      <c r="P59" s="52">
        <v>42954</v>
      </c>
      <c r="Q59" s="51">
        <v>71677</v>
      </c>
      <c r="R59" s="51">
        <v>71323</v>
      </c>
      <c r="S59" s="51">
        <v>67826</v>
      </c>
      <c r="T59" s="51">
        <v>70426</v>
      </c>
      <c r="U59" s="52">
        <v>70426</v>
      </c>
      <c r="V59" s="51">
        <v>89433</v>
      </c>
      <c r="W59" s="51">
        <v>90941</v>
      </c>
      <c r="X59" s="51">
        <v>155643</v>
      </c>
      <c r="Y59" s="51">
        <v>158031</v>
      </c>
      <c r="Z59" s="52">
        <v>158031</v>
      </c>
      <c r="AA59" s="51">
        <v>179258</v>
      </c>
      <c r="AB59" s="51">
        <v>216046</v>
      </c>
      <c r="AC59" s="51">
        <v>207776</v>
      </c>
      <c r="AD59" s="51">
        <v>214042</v>
      </c>
      <c r="AE59" s="52">
        <v>214042</v>
      </c>
      <c r="AF59" s="51">
        <v>199851</v>
      </c>
      <c r="AG59" s="51">
        <v>240192</v>
      </c>
      <c r="AH59" s="51">
        <v>298761</v>
      </c>
      <c r="AI59" s="51">
        <v>333589</v>
      </c>
      <c r="AJ59" s="52">
        <f t="shared" si="0"/>
        <v>333589</v>
      </c>
      <c r="AK59" s="51">
        <v>327038</v>
      </c>
      <c r="AL59" s="51">
        <v>334417</v>
      </c>
      <c r="AM59" s="51">
        <v>340560</v>
      </c>
      <c r="AN59" s="51">
        <v>443104</v>
      </c>
      <c r="AO59" s="52">
        <f t="shared" si="1"/>
        <v>443104</v>
      </c>
      <c r="AP59" s="51">
        <v>467687</v>
      </c>
      <c r="AQ59" s="51">
        <v>453893</v>
      </c>
      <c r="AR59" s="51">
        <v>429776</v>
      </c>
      <c r="AS59" s="51">
        <f>SUM(AS57:AS58)</f>
        <v>411168</v>
      </c>
      <c r="AT59" s="52">
        <f t="shared" si="120"/>
        <v>411168</v>
      </c>
      <c r="AU59" s="51">
        <f>SUM(AU57:AU58)</f>
        <v>409048</v>
      </c>
      <c r="AV59" s="51"/>
      <c r="AW59" s="51"/>
      <c r="AX59" s="51"/>
      <c r="AY59" s="52"/>
    </row>
    <row r="60" spans="1:51" s="2" customFormat="1">
      <c r="A60" s="31"/>
      <c r="B60" s="51"/>
      <c r="C60" s="51"/>
      <c r="D60" s="51"/>
      <c r="E60" s="51"/>
      <c r="F60" s="52"/>
      <c r="G60" s="51"/>
      <c r="H60" s="51"/>
      <c r="I60" s="51"/>
      <c r="J60" s="51"/>
      <c r="K60" s="52"/>
      <c r="L60" s="51"/>
      <c r="M60" s="51"/>
      <c r="N60" s="51"/>
      <c r="O60" s="51"/>
      <c r="P60" s="52"/>
      <c r="Q60" s="51"/>
      <c r="R60" s="51"/>
      <c r="S60" s="51"/>
      <c r="T60" s="51"/>
      <c r="U60" s="52"/>
      <c r="V60" s="51"/>
      <c r="W60" s="51"/>
      <c r="X60" s="51"/>
      <c r="Y60" s="51"/>
      <c r="Z60" s="52"/>
      <c r="AA60" s="51"/>
      <c r="AB60" s="51"/>
      <c r="AC60" s="51"/>
      <c r="AD60" s="51"/>
      <c r="AE60" s="52"/>
      <c r="AF60" s="51"/>
      <c r="AG60" s="51"/>
      <c r="AH60" s="51"/>
      <c r="AI60" s="51"/>
      <c r="AJ60" s="52"/>
      <c r="AK60" s="51"/>
      <c r="AL60" s="51"/>
      <c r="AM60" s="51"/>
      <c r="AN60" s="51"/>
      <c r="AO60" s="52"/>
      <c r="AP60" s="51"/>
      <c r="AQ60" s="51"/>
      <c r="AR60" s="51"/>
      <c r="AS60" s="51"/>
      <c r="AT60" s="52"/>
      <c r="AU60" s="51"/>
      <c r="AV60" s="51"/>
      <c r="AW60" s="51"/>
      <c r="AX60" s="51"/>
      <c r="AY60" s="52"/>
    </row>
    <row r="61" spans="1:51">
      <c r="A61" s="49" t="s">
        <v>75</v>
      </c>
      <c r="B61" s="27">
        <v>11320</v>
      </c>
      <c r="C61" s="27">
        <v>15828</v>
      </c>
      <c r="D61" s="27">
        <v>10484</v>
      </c>
      <c r="E61" s="27">
        <v>11789</v>
      </c>
      <c r="F61" s="50">
        <v>11789</v>
      </c>
      <c r="G61" s="27">
        <v>32430</v>
      </c>
      <c r="H61" s="27">
        <v>37625</v>
      </c>
      <c r="I61" s="27">
        <v>29732</v>
      </c>
      <c r="J61" s="27">
        <v>10507</v>
      </c>
      <c r="K61" s="50">
        <v>10507</v>
      </c>
      <c r="L61" s="27">
        <v>18845</v>
      </c>
      <c r="M61" s="27">
        <v>15012</v>
      </c>
      <c r="N61" s="27">
        <v>23708</v>
      </c>
      <c r="O61" s="27">
        <v>38870</v>
      </c>
      <c r="P61" s="50">
        <v>38870</v>
      </c>
      <c r="Q61" s="27">
        <v>29698</v>
      </c>
      <c r="R61" s="27">
        <v>26390</v>
      </c>
      <c r="S61" s="27">
        <v>85718</v>
      </c>
      <c r="T61" s="27">
        <v>117778</v>
      </c>
      <c r="U61" s="50">
        <v>117778</v>
      </c>
      <c r="V61" s="27">
        <v>150774</v>
      </c>
      <c r="W61" s="27">
        <v>97661</v>
      </c>
      <c r="X61" s="27">
        <v>164848</v>
      </c>
      <c r="Y61" s="27">
        <v>161490</v>
      </c>
      <c r="Z61" s="50">
        <v>161490</v>
      </c>
      <c r="AA61" s="27">
        <v>193829</v>
      </c>
      <c r="AB61" s="27">
        <v>217938</v>
      </c>
      <c r="AC61" s="27">
        <v>120916</v>
      </c>
      <c r="AD61" s="27">
        <v>127901</v>
      </c>
      <c r="AE61" s="50">
        <v>127901</v>
      </c>
      <c r="AF61" s="27">
        <v>103400</v>
      </c>
      <c r="AG61" s="27">
        <v>110074</v>
      </c>
      <c r="AH61" s="27">
        <v>178989</v>
      </c>
      <c r="AI61" s="27">
        <v>237295</v>
      </c>
      <c r="AJ61" s="50">
        <f t="shared" si="0"/>
        <v>237295</v>
      </c>
      <c r="AK61" s="27">
        <v>214066</v>
      </c>
      <c r="AL61" s="27">
        <v>191963</v>
      </c>
      <c r="AM61" s="27">
        <v>195979</v>
      </c>
      <c r="AN61" s="27">
        <v>-270189</v>
      </c>
      <c r="AO61" s="50">
        <f t="shared" si="1"/>
        <v>-270189</v>
      </c>
      <c r="AP61" s="27">
        <v>198066</v>
      </c>
      <c r="AQ61" s="27">
        <v>167938</v>
      </c>
      <c r="AR61" s="27">
        <v>351414</v>
      </c>
      <c r="AS61" s="27">
        <v>286056</v>
      </c>
      <c r="AT61" s="50">
        <f t="shared" ref="AT61:AT63" si="121">AS61</f>
        <v>286056</v>
      </c>
      <c r="AU61" s="27">
        <v>267789</v>
      </c>
      <c r="AV61" s="27"/>
      <c r="AW61" s="27"/>
      <c r="AX61" s="27"/>
      <c r="AY61" s="50"/>
    </row>
    <row r="62" spans="1:51">
      <c r="A62" s="49" t="s">
        <v>76</v>
      </c>
      <c r="B62" s="27">
        <v>0</v>
      </c>
      <c r="C62" s="27">
        <v>0</v>
      </c>
      <c r="D62" s="27">
        <v>0</v>
      </c>
      <c r="E62" s="27">
        <v>0</v>
      </c>
      <c r="F62" s="50">
        <v>0</v>
      </c>
      <c r="G62" s="27">
        <v>0</v>
      </c>
      <c r="H62" s="27">
        <v>0</v>
      </c>
      <c r="I62" s="27">
        <v>0</v>
      </c>
      <c r="J62" s="27">
        <v>0</v>
      </c>
      <c r="K62" s="50">
        <v>0</v>
      </c>
      <c r="L62" s="27">
        <v>0</v>
      </c>
      <c r="M62" s="27">
        <v>0</v>
      </c>
      <c r="N62" s="27">
        <v>0</v>
      </c>
      <c r="O62" s="27">
        <v>230</v>
      </c>
      <c r="P62" s="50">
        <v>230</v>
      </c>
      <c r="Q62" s="27">
        <v>179</v>
      </c>
      <c r="R62" s="27">
        <v>188</v>
      </c>
      <c r="S62" s="27">
        <v>194</v>
      </c>
      <c r="T62" s="27">
        <v>341</v>
      </c>
      <c r="U62" s="50">
        <v>341</v>
      </c>
      <c r="V62" s="27">
        <v>334</v>
      </c>
      <c r="W62" s="27">
        <v>342</v>
      </c>
      <c r="X62" s="27">
        <v>335</v>
      </c>
      <c r="Y62" s="27">
        <v>944</v>
      </c>
      <c r="Z62" s="50">
        <v>944</v>
      </c>
      <c r="AA62" s="27">
        <v>2472</v>
      </c>
      <c r="AB62" s="27">
        <v>601</v>
      </c>
      <c r="AC62" s="27">
        <v>600</v>
      </c>
      <c r="AD62" s="27">
        <v>600</v>
      </c>
      <c r="AE62" s="50">
        <v>600</v>
      </c>
      <c r="AF62" s="27">
        <v>0</v>
      </c>
      <c r="AG62" s="27">
        <v>0</v>
      </c>
      <c r="AH62" s="27">
        <v>0</v>
      </c>
      <c r="AI62" s="27">
        <v>0</v>
      </c>
      <c r="AJ62" s="50">
        <f t="shared" si="0"/>
        <v>0</v>
      </c>
      <c r="AK62" s="27">
        <v>1314</v>
      </c>
      <c r="AL62" s="27">
        <v>0</v>
      </c>
      <c r="AM62" s="27">
        <v>0</v>
      </c>
      <c r="AN62" s="27">
        <v>0</v>
      </c>
      <c r="AO62" s="50">
        <f t="shared" si="1"/>
        <v>0</v>
      </c>
      <c r="AP62" s="27">
        <v>0</v>
      </c>
      <c r="AQ62" s="27"/>
      <c r="AR62" s="27"/>
      <c r="AS62" s="27">
        <v>3075</v>
      </c>
      <c r="AT62" s="50">
        <f t="shared" si="121"/>
        <v>3075</v>
      </c>
      <c r="AU62" s="27">
        <v>3352</v>
      </c>
      <c r="AV62" s="27"/>
      <c r="AW62" s="27"/>
      <c r="AX62" s="27"/>
      <c r="AY62" s="50"/>
    </row>
    <row r="63" spans="1:51">
      <c r="A63" s="49" t="s">
        <v>116</v>
      </c>
      <c r="B63" s="27">
        <v>0</v>
      </c>
      <c r="C63" s="27">
        <v>0</v>
      </c>
      <c r="D63" s="27">
        <v>0</v>
      </c>
      <c r="E63" s="27">
        <v>0</v>
      </c>
      <c r="F63" s="50">
        <v>0</v>
      </c>
      <c r="G63" s="27">
        <v>0</v>
      </c>
      <c r="H63" s="27">
        <v>750</v>
      </c>
      <c r="I63" s="27">
        <v>850</v>
      </c>
      <c r="J63" s="27">
        <v>0</v>
      </c>
      <c r="K63" s="50">
        <v>0</v>
      </c>
      <c r="L63" s="27">
        <v>0</v>
      </c>
      <c r="M63" s="27">
        <v>0</v>
      </c>
      <c r="N63" s="27">
        <v>0</v>
      </c>
      <c r="O63" s="27">
        <v>0</v>
      </c>
      <c r="P63" s="50">
        <v>0</v>
      </c>
      <c r="Q63" s="27">
        <v>0</v>
      </c>
      <c r="R63" s="27">
        <v>0</v>
      </c>
      <c r="S63" s="27">
        <v>0</v>
      </c>
      <c r="T63" s="27">
        <v>0</v>
      </c>
      <c r="U63" s="50">
        <v>0</v>
      </c>
      <c r="V63" s="27">
        <v>0</v>
      </c>
      <c r="W63" s="27">
        <v>0</v>
      </c>
      <c r="X63" s="27">
        <v>0</v>
      </c>
      <c r="Y63" s="27">
        <v>0</v>
      </c>
      <c r="Z63" s="50">
        <v>0</v>
      </c>
      <c r="AA63" s="27">
        <v>12253</v>
      </c>
      <c r="AB63" s="27">
        <v>7825</v>
      </c>
      <c r="AC63" s="27">
        <v>5537</v>
      </c>
      <c r="AD63" s="27">
        <v>8119</v>
      </c>
      <c r="AE63" s="50">
        <v>8119</v>
      </c>
      <c r="AF63" s="27">
        <v>7597</v>
      </c>
      <c r="AG63" s="27">
        <v>16586</v>
      </c>
      <c r="AH63" s="27">
        <v>7662</v>
      </c>
      <c r="AI63" s="27">
        <v>11129</v>
      </c>
      <c r="AJ63" s="50">
        <f t="shared" si="0"/>
        <v>11129</v>
      </c>
      <c r="AK63" s="27">
        <v>6297</v>
      </c>
      <c r="AL63" s="27">
        <v>45</v>
      </c>
      <c r="AM63" s="27">
        <v>1596</v>
      </c>
      <c r="AN63" s="27">
        <v>15164</v>
      </c>
      <c r="AO63" s="50">
        <f t="shared" si="1"/>
        <v>15164</v>
      </c>
      <c r="AP63" s="27">
        <v>2320</v>
      </c>
      <c r="AQ63" s="27">
        <v>5395</v>
      </c>
      <c r="AR63" s="27">
        <v>14950</v>
      </c>
      <c r="AS63" s="27">
        <v>4418</v>
      </c>
      <c r="AT63" s="50">
        <f t="shared" si="121"/>
        <v>4418</v>
      </c>
      <c r="AU63" s="27">
        <v>22726</v>
      </c>
      <c r="AV63" s="27"/>
      <c r="AW63" s="27"/>
      <c r="AX63" s="27"/>
      <c r="AY63" s="50"/>
    </row>
    <row r="64" spans="1:51" s="2" customFormat="1">
      <c r="A64" s="31"/>
      <c r="B64" s="51"/>
      <c r="C64" s="51"/>
      <c r="D64" s="51"/>
      <c r="E64" s="51"/>
      <c r="F64" s="52"/>
      <c r="G64" s="51"/>
      <c r="H64" s="51"/>
      <c r="I64" s="51"/>
      <c r="J64" s="51"/>
      <c r="K64" s="52"/>
      <c r="L64" s="51"/>
      <c r="M64" s="51"/>
      <c r="N64" s="51"/>
      <c r="O64" s="51"/>
      <c r="P64" s="52"/>
      <c r="Q64" s="51"/>
      <c r="R64" s="51"/>
      <c r="S64" s="51"/>
      <c r="T64" s="51"/>
      <c r="U64" s="52"/>
      <c r="V64" s="51"/>
      <c r="W64" s="51"/>
      <c r="X64" s="51"/>
      <c r="Y64" s="51"/>
      <c r="Z64" s="52"/>
      <c r="AA64" s="51"/>
      <c r="AB64" s="51"/>
      <c r="AC64" s="51"/>
      <c r="AD64" s="51"/>
      <c r="AE64" s="52"/>
      <c r="AF64" s="51"/>
      <c r="AG64" s="51"/>
      <c r="AH64" s="51"/>
      <c r="AI64" s="51"/>
      <c r="AJ64" s="52"/>
      <c r="AK64" s="51"/>
      <c r="AL64" s="51"/>
      <c r="AM64" s="51"/>
      <c r="AN64" s="51"/>
      <c r="AO64" s="52"/>
      <c r="AP64" s="51"/>
      <c r="AQ64" s="51"/>
      <c r="AR64" s="51"/>
      <c r="AS64" s="51"/>
      <c r="AT64" s="52"/>
      <c r="AU64" s="51"/>
      <c r="AV64" s="51"/>
      <c r="AW64" s="51"/>
      <c r="AX64" s="51"/>
      <c r="AY64" s="52"/>
    </row>
    <row r="65" spans="1:51" s="2" customFormat="1">
      <c r="A65" s="31" t="s">
        <v>117</v>
      </c>
      <c r="B65" s="51">
        <v>14184</v>
      </c>
      <c r="C65" s="51">
        <v>12698</v>
      </c>
      <c r="D65" s="51">
        <v>16297</v>
      </c>
      <c r="E65" s="51">
        <v>14227</v>
      </c>
      <c r="F65" s="52">
        <v>14227</v>
      </c>
      <c r="G65" s="51">
        <v>-12263</v>
      </c>
      <c r="H65" s="51">
        <v>-7684</v>
      </c>
      <c r="I65" s="51">
        <v>3201</v>
      </c>
      <c r="J65" s="51">
        <v>20094</v>
      </c>
      <c r="K65" s="52">
        <v>20094</v>
      </c>
      <c r="L65" s="51">
        <v>18556</v>
      </c>
      <c r="M65" s="51">
        <v>19962</v>
      </c>
      <c r="N65" s="51">
        <v>16564</v>
      </c>
      <c r="O65" s="51">
        <v>3854</v>
      </c>
      <c r="P65" s="52">
        <v>3854</v>
      </c>
      <c r="Q65" s="51">
        <v>41800</v>
      </c>
      <c r="R65" s="51">
        <v>44745</v>
      </c>
      <c r="S65" s="51">
        <v>-18086</v>
      </c>
      <c r="T65" s="51">
        <v>-47693</v>
      </c>
      <c r="U65" s="52">
        <v>-47693</v>
      </c>
      <c r="V65" s="51">
        <v>-61675</v>
      </c>
      <c r="W65" s="51">
        <v>-7062</v>
      </c>
      <c r="X65" s="51">
        <v>-9540</v>
      </c>
      <c r="Y65" s="51">
        <v>-4403</v>
      </c>
      <c r="Z65" s="52">
        <v>-4403</v>
      </c>
      <c r="AA65" s="51">
        <v>-29296</v>
      </c>
      <c r="AB65" s="51">
        <v>-10318</v>
      </c>
      <c r="AC65" s="51">
        <v>80723</v>
      </c>
      <c r="AD65" s="51">
        <v>77422</v>
      </c>
      <c r="AE65" s="52">
        <v>77422</v>
      </c>
      <c r="AF65" s="51">
        <v>88854</v>
      </c>
      <c r="AG65" s="51">
        <v>113532</v>
      </c>
      <c r="AH65" s="51">
        <v>112110</v>
      </c>
      <c r="AI65" s="51">
        <v>85165</v>
      </c>
      <c r="AJ65" s="52">
        <f t="shared" si="0"/>
        <v>85165</v>
      </c>
      <c r="AK65" s="51">
        <v>105361</v>
      </c>
      <c r="AL65" s="51">
        <v>142499</v>
      </c>
      <c r="AM65" s="51">
        <f>AM59-AM61-AM63</f>
        <v>142985</v>
      </c>
      <c r="AN65" s="51">
        <v>188079</v>
      </c>
      <c r="AO65" s="52">
        <f t="shared" si="1"/>
        <v>188079</v>
      </c>
      <c r="AP65" s="51">
        <v>271941</v>
      </c>
      <c r="AQ65" s="51">
        <f>AQ59-AQ61-AQ63</f>
        <v>280560</v>
      </c>
      <c r="AR65" s="51">
        <v>63722</v>
      </c>
      <c r="AS65" s="51">
        <v>63722</v>
      </c>
      <c r="AT65" s="52">
        <f t="shared" ref="AT65" si="122">AS65</f>
        <v>63722</v>
      </c>
      <c r="AU65" s="51">
        <v>115181</v>
      </c>
      <c r="AV65" s="51"/>
      <c r="AW65" s="51"/>
      <c r="AX65" s="51"/>
      <c r="AY65" s="52"/>
    </row>
    <row r="66" spans="1:51" s="2" customFormat="1">
      <c r="A66" s="31"/>
      <c r="B66" s="51"/>
      <c r="C66" s="51"/>
      <c r="D66" s="51"/>
      <c r="E66" s="51"/>
      <c r="F66" s="52"/>
      <c r="G66" s="51"/>
      <c r="H66" s="51"/>
      <c r="I66" s="51"/>
      <c r="J66" s="51"/>
      <c r="K66" s="52"/>
      <c r="L66" s="51"/>
      <c r="M66" s="51"/>
      <c r="N66" s="51"/>
      <c r="O66" s="51"/>
      <c r="P66" s="52"/>
      <c r="Q66" s="51"/>
      <c r="R66" s="51"/>
      <c r="S66" s="51"/>
      <c r="T66" s="51"/>
      <c r="U66" s="52"/>
      <c r="V66" s="51"/>
      <c r="W66" s="51"/>
      <c r="X66" s="51"/>
      <c r="Y66" s="51"/>
      <c r="Z66" s="52"/>
      <c r="AA66" s="51"/>
      <c r="AB66" s="51"/>
      <c r="AC66" s="51"/>
      <c r="AD66" s="51"/>
      <c r="AE66" s="52"/>
      <c r="AF66" s="51"/>
      <c r="AG66" s="51"/>
      <c r="AH66" s="51"/>
      <c r="AI66" s="51"/>
      <c r="AJ66" s="52"/>
      <c r="AK66" s="51"/>
      <c r="AL66" s="51"/>
      <c r="AM66" s="51"/>
      <c r="AN66" s="51"/>
      <c r="AO66" s="52"/>
      <c r="AP66" s="51"/>
      <c r="AQ66" s="51"/>
      <c r="AR66" s="51"/>
      <c r="AS66" s="51"/>
      <c r="AT66" s="52"/>
      <c r="AU66" s="51"/>
      <c r="AV66" s="51"/>
      <c r="AW66" s="51"/>
      <c r="AX66" s="51"/>
      <c r="AY66" s="52"/>
    </row>
    <row r="67" spans="1:51" s="2" customFormat="1">
      <c r="A67" s="33" t="s">
        <v>118</v>
      </c>
      <c r="B67" s="27">
        <v>4024</v>
      </c>
      <c r="C67" s="27">
        <v>7284</v>
      </c>
      <c r="D67" s="27">
        <v>5499</v>
      </c>
      <c r="E67" s="27">
        <v>12667</v>
      </c>
      <c r="F67" s="50">
        <v>29474</v>
      </c>
      <c r="G67" s="27">
        <v>6868</v>
      </c>
      <c r="H67" s="27">
        <v>5932</v>
      </c>
      <c r="I67" s="27">
        <v>-392</v>
      </c>
      <c r="J67" s="27">
        <v>-158</v>
      </c>
      <c r="K67" s="50">
        <v>12250</v>
      </c>
      <c r="L67" s="27">
        <v>2370</v>
      </c>
      <c r="M67" s="27">
        <v>4179</v>
      </c>
      <c r="N67" s="27">
        <v>20070</v>
      </c>
      <c r="O67" s="27">
        <v>27173</v>
      </c>
      <c r="P67" s="50">
        <v>53825</v>
      </c>
      <c r="Q67" s="27">
        <v>5814</v>
      </c>
      <c r="R67" s="27">
        <v>18982</v>
      </c>
      <c r="S67" s="27">
        <v>44167</v>
      </c>
      <c r="T67" s="27">
        <v>50444.000000000051</v>
      </c>
      <c r="U67" s="50">
        <v>119407.00000000006</v>
      </c>
      <c r="V67" s="27">
        <v>52422</v>
      </c>
      <c r="W67" s="27">
        <v>42592</v>
      </c>
      <c r="X67" s="27">
        <v>39144</v>
      </c>
      <c r="Y67" s="27">
        <v>57114</v>
      </c>
      <c r="Z67" s="50">
        <v>189980</v>
      </c>
      <c r="AA67" s="27">
        <v>50212</v>
      </c>
      <c r="AB67" s="27">
        <v>30322</v>
      </c>
      <c r="AC67" s="27">
        <v>16660.999999999993</v>
      </c>
      <c r="AD67" s="27">
        <v>36584</v>
      </c>
      <c r="AE67" s="50">
        <v>133779</v>
      </c>
      <c r="AF67" s="27">
        <v>36604</v>
      </c>
      <c r="AG67" s="27">
        <v>26596</v>
      </c>
      <c r="AH67" s="27">
        <v>30020</v>
      </c>
      <c r="AI67" s="27">
        <v>40893</v>
      </c>
      <c r="AJ67" s="50">
        <f t="shared" si="0"/>
        <v>40893</v>
      </c>
      <c r="AK67" s="27">
        <v>53208</v>
      </c>
      <c r="AL67" s="27">
        <v>56172</v>
      </c>
      <c r="AM67" s="27">
        <v>78073</v>
      </c>
      <c r="AN67" s="27">
        <v>79319</v>
      </c>
      <c r="AO67" s="50">
        <f t="shared" si="1"/>
        <v>79319</v>
      </c>
      <c r="AP67" s="27">
        <v>81479</v>
      </c>
      <c r="AQ67" s="27">
        <v>106224</v>
      </c>
      <c r="AR67" s="27">
        <v>152105</v>
      </c>
      <c r="AS67" s="27">
        <v>207948</v>
      </c>
      <c r="AT67" s="50">
        <f t="shared" ref="AT67:AT68" si="123">AS67</f>
        <v>207948</v>
      </c>
      <c r="AU67" s="27">
        <v>243868</v>
      </c>
      <c r="AV67" s="27"/>
      <c r="AW67" s="27"/>
      <c r="AX67" s="27"/>
      <c r="AY67" s="50"/>
    </row>
    <row r="68" spans="1:51" s="2" customFormat="1">
      <c r="A68" s="33" t="s">
        <v>119</v>
      </c>
      <c r="B68" s="222">
        <v>3.5248508946322068</v>
      </c>
      <c r="C68" s="149">
        <v>1.743272926963207</v>
      </c>
      <c r="D68" s="149">
        <v>2.9636297508637934</v>
      </c>
      <c r="E68" s="149">
        <v>1.1231546538248993</v>
      </c>
      <c r="F68" s="150">
        <v>0.48269661396485036</v>
      </c>
      <c r="G68" s="222">
        <v>-1.7855270821199767</v>
      </c>
      <c r="H68" s="149">
        <v>-1.2953472690492245</v>
      </c>
      <c r="I68" s="149">
        <v>-8.1658163265306118</v>
      </c>
      <c r="J68" s="149">
        <v>-127.17721518987342</v>
      </c>
      <c r="K68" s="150">
        <v>1.640326530612245</v>
      </c>
      <c r="L68" s="222">
        <v>7.8295358649789026</v>
      </c>
      <c r="M68" s="149">
        <v>4.776740847092606</v>
      </c>
      <c r="N68" s="149">
        <v>0.82531141006477327</v>
      </c>
      <c r="O68" s="149">
        <v>0.15029624995399846</v>
      </c>
      <c r="P68" s="150">
        <v>7.5875522526706915E-2</v>
      </c>
      <c r="Q68" s="222">
        <v>7.2203302373581009</v>
      </c>
      <c r="R68" s="149">
        <v>2.3671372879570121</v>
      </c>
      <c r="S68" s="149">
        <v>-0.40509882944279668</v>
      </c>
      <c r="T68" s="149">
        <v>-0.93870430576480757</v>
      </c>
      <c r="U68" s="150">
        <v>-0.39655966568124129</v>
      </c>
      <c r="V68" s="222">
        <v>-1.1701384914730457</v>
      </c>
      <c r="W68" s="149">
        <v>-0.15777610818933133</v>
      </c>
      <c r="X68" s="149">
        <v>-0.23515736766809728</v>
      </c>
      <c r="Y68" s="149">
        <v>-6.0563084357600591E-2</v>
      </c>
      <c r="Z68" s="150">
        <v>-1.8207179703126644E-2</v>
      </c>
      <c r="AA68" s="222">
        <v>-0.53421492870230225</v>
      </c>
      <c r="AB68" s="149">
        <v>-0.32046039179473651</v>
      </c>
      <c r="AC68" s="149">
        <v>4.8810395534481748</v>
      </c>
      <c r="AD68" s="149">
        <v>2.1326809534222613</v>
      </c>
      <c r="AE68" s="150">
        <v>0.58321560185081367</v>
      </c>
      <c r="AF68" s="222">
        <v>2.4274396240847995</v>
      </c>
      <c r="AG68" s="149">
        <v>4.2687622198826896</v>
      </c>
      <c r="AH68" s="149">
        <v>3.7345103264490338</v>
      </c>
      <c r="AI68" s="149">
        <v>0.64</v>
      </c>
      <c r="AJ68" s="150">
        <f t="shared" si="0"/>
        <v>0.64</v>
      </c>
      <c r="AK68" s="222">
        <v>0.69906513531983783</v>
      </c>
      <c r="AL68" s="149">
        <v>0.79</v>
      </c>
      <c r="AM68" s="149">
        <v>0.63</v>
      </c>
      <c r="AN68" s="149">
        <v>0.7</v>
      </c>
      <c r="AO68" s="150">
        <f t="shared" si="1"/>
        <v>0.7</v>
      </c>
      <c r="AP68" s="149">
        <v>0.92</v>
      </c>
      <c r="AQ68" s="149">
        <v>0.81299352352250831</v>
      </c>
      <c r="AR68" s="149">
        <v>0.15</v>
      </c>
      <c r="AS68" s="149">
        <v>0.28000000000000003</v>
      </c>
      <c r="AT68" s="150">
        <f t="shared" si="123"/>
        <v>0.28000000000000003</v>
      </c>
      <c r="AU68" s="149">
        <v>0.16</v>
      </c>
      <c r="AV68" s="149"/>
      <c r="AW68" s="149"/>
      <c r="AX68" s="149"/>
      <c r="AY68" s="150"/>
    </row>
    <row r="69" spans="1:51" s="2" customFormat="1" ht="14.4" customHeight="1">
      <c r="A69" s="53"/>
      <c r="B69" s="54"/>
      <c r="C69" s="54"/>
      <c r="D69" s="54"/>
      <c r="E69" s="54"/>
      <c r="F69" s="55"/>
      <c r="G69" s="54"/>
      <c r="H69" s="54"/>
      <c r="I69" s="54"/>
      <c r="J69" s="54"/>
      <c r="K69" s="55"/>
      <c r="L69" s="54"/>
      <c r="M69" s="54"/>
      <c r="N69" s="54"/>
      <c r="O69" s="54"/>
      <c r="P69" s="55"/>
      <c r="Q69" s="54"/>
      <c r="R69" s="54"/>
      <c r="S69" s="54"/>
      <c r="T69" s="54"/>
      <c r="U69" s="55"/>
      <c r="V69" s="54"/>
      <c r="W69" s="54"/>
      <c r="X69" s="54"/>
      <c r="Y69" s="54"/>
      <c r="Z69" s="55"/>
      <c r="AA69" s="54"/>
      <c r="AB69" s="54"/>
      <c r="AC69" s="54"/>
      <c r="AD69" s="54"/>
      <c r="AE69" s="55"/>
      <c r="AF69" s="54"/>
      <c r="AG69" s="54"/>
      <c r="AH69" s="54"/>
      <c r="AI69" s="54"/>
      <c r="AJ69" s="55"/>
      <c r="AK69" s="54"/>
      <c r="AL69" s="54"/>
      <c r="AM69" s="54"/>
      <c r="AN69" s="54"/>
      <c r="AO69" s="55"/>
      <c r="AP69" s="54"/>
      <c r="AQ69" s="54"/>
      <c r="AR69" s="54"/>
      <c r="AS69" s="54"/>
      <c r="AT69" s="55"/>
      <c r="AU69" s="54"/>
      <c r="AV69" s="54"/>
      <c r="AW69" s="54"/>
      <c r="AX69" s="54"/>
      <c r="AY69" s="55"/>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8A460-D0F2-4CF6-BC38-4C07B44F12D9}">
  <sheetPr>
    <tabColor rgb="FF2D3D70"/>
  </sheetPr>
  <dimension ref="A3:AY110"/>
  <sheetViews>
    <sheetView showGridLines="0" zoomScaleNormal="100" workbookViewId="0">
      <pane xSplit="1" topLeftCell="B1" activePane="topRight" state="frozen"/>
      <selection activeCell="A35" sqref="A35"/>
      <selection pane="topRight" activeCell="A5" sqref="A5"/>
    </sheetView>
  </sheetViews>
  <sheetFormatPr defaultColWidth="8.88671875" defaultRowHeight="14.4"/>
  <cols>
    <col min="1" max="1" width="59.6640625" style="1" customWidth="1"/>
    <col min="2" max="51" width="11" style="1" customWidth="1"/>
    <col min="52" max="16384" width="8.88671875" style="1"/>
  </cols>
  <sheetData>
    <row r="3" spans="1:51">
      <c r="B3"/>
      <c r="C3"/>
    </row>
    <row r="5" spans="1:51">
      <c r="A5" s="45"/>
      <c r="B5" s="10" t="s">
        <v>15</v>
      </c>
      <c r="C5" s="10" t="s">
        <v>16</v>
      </c>
      <c r="D5" s="10" t="s">
        <v>17</v>
      </c>
      <c r="E5" s="10" t="s">
        <v>18</v>
      </c>
      <c r="F5" s="11">
        <v>2017</v>
      </c>
      <c r="G5" s="10" t="s">
        <v>19</v>
      </c>
      <c r="H5" s="10" t="s">
        <v>20</v>
      </c>
      <c r="I5" s="10" t="s">
        <v>21</v>
      </c>
      <c r="J5" s="10" t="s">
        <v>22</v>
      </c>
      <c r="K5" s="11">
        <v>2018</v>
      </c>
      <c r="L5" s="10" t="s">
        <v>23</v>
      </c>
      <c r="M5" s="10" t="s">
        <v>24</v>
      </c>
      <c r="N5" s="10" t="s">
        <v>25</v>
      </c>
      <c r="O5" s="10" t="s">
        <v>26</v>
      </c>
      <c r="P5" s="11">
        <v>2019</v>
      </c>
      <c r="Q5" s="10" t="s">
        <v>27</v>
      </c>
      <c r="R5" s="10" t="s">
        <v>28</v>
      </c>
      <c r="S5" s="10" t="s">
        <v>29</v>
      </c>
      <c r="T5" s="10" t="s">
        <v>30</v>
      </c>
      <c r="U5" s="11">
        <v>2020</v>
      </c>
      <c r="V5" s="10" t="s">
        <v>31</v>
      </c>
      <c r="W5" s="10" t="s">
        <v>32</v>
      </c>
      <c r="X5" s="10" t="s">
        <v>33</v>
      </c>
      <c r="Y5" s="10" t="s">
        <v>34</v>
      </c>
      <c r="Z5" s="11">
        <v>2021</v>
      </c>
      <c r="AA5" s="10" t="s">
        <v>35</v>
      </c>
      <c r="AB5" s="10" t="s">
        <v>36</v>
      </c>
      <c r="AC5" s="10" t="s">
        <v>37</v>
      </c>
      <c r="AD5" s="10" t="s">
        <v>38</v>
      </c>
      <c r="AE5" s="11">
        <v>2022</v>
      </c>
      <c r="AF5" s="10" t="s">
        <v>39</v>
      </c>
      <c r="AG5" s="10" t="s">
        <v>40</v>
      </c>
      <c r="AH5" s="10" t="s">
        <v>41</v>
      </c>
      <c r="AI5" s="10" t="s">
        <v>42</v>
      </c>
      <c r="AJ5" s="12">
        <v>2023</v>
      </c>
      <c r="AK5" s="10" t="s">
        <v>43</v>
      </c>
      <c r="AL5" s="10" t="s">
        <v>44</v>
      </c>
      <c r="AM5" s="10" t="s">
        <v>45</v>
      </c>
      <c r="AN5" s="10" t="s">
        <v>46</v>
      </c>
      <c r="AO5" s="12">
        <v>2024</v>
      </c>
      <c r="AP5" s="10" t="s">
        <v>47</v>
      </c>
      <c r="AQ5" s="10" t="s">
        <v>48</v>
      </c>
      <c r="AR5" s="10" t="s">
        <v>49</v>
      </c>
      <c r="AS5" s="10" t="s">
        <v>50</v>
      </c>
      <c r="AT5" s="12">
        <v>2025</v>
      </c>
      <c r="AU5" s="10" t="s">
        <v>51</v>
      </c>
      <c r="AV5" s="10" t="s">
        <v>52</v>
      </c>
      <c r="AW5" s="10" t="s">
        <v>53</v>
      </c>
      <c r="AX5" s="10" t="s">
        <v>54</v>
      </c>
      <c r="AY5" s="12">
        <v>2026</v>
      </c>
    </row>
    <row r="6" spans="1:51">
      <c r="A6" s="13" t="s">
        <v>120</v>
      </c>
      <c r="B6" s="46"/>
      <c r="C6" s="46"/>
      <c r="D6" s="46"/>
      <c r="E6" s="46"/>
      <c r="F6" s="47"/>
      <c r="G6" s="46"/>
      <c r="H6" s="46"/>
      <c r="I6" s="46"/>
      <c r="J6" s="46"/>
      <c r="K6" s="47"/>
      <c r="L6" s="46"/>
      <c r="M6" s="46"/>
      <c r="N6" s="46"/>
      <c r="O6" s="46"/>
      <c r="P6" s="47"/>
      <c r="Q6" s="46"/>
      <c r="R6" s="46"/>
      <c r="S6" s="46"/>
      <c r="T6" s="46"/>
      <c r="U6" s="47"/>
      <c r="V6" s="46"/>
      <c r="W6" s="46"/>
      <c r="X6" s="46"/>
      <c r="Y6" s="46"/>
      <c r="Z6" s="47"/>
      <c r="AA6" s="46"/>
      <c r="AB6" s="46"/>
      <c r="AC6" s="46"/>
      <c r="AD6" s="46"/>
      <c r="AE6" s="47"/>
      <c r="AF6" s="46"/>
      <c r="AG6" s="46"/>
      <c r="AH6" s="46"/>
      <c r="AI6" s="46"/>
      <c r="AJ6" s="48"/>
      <c r="AK6" s="46"/>
      <c r="AL6" s="46"/>
      <c r="AM6" s="46"/>
      <c r="AN6" s="46"/>
      <c r="AO6" s="48"/>
      <c r="AP6" s="46"/>
      <c r="AQ6" s="46"/>
      <c r="AR6" s="46"/>
      <c r="AS6" s="46"/>
      <c r="AT6" s="48"/>
      <c r="AU6" s="46"/>
      <c r="AV6" s="46"/>
      <c r="AW6" s="46"/>
      <c r="AX6" s="46"/>
      <c r="AY6" s="48"/>
    </row>
    <row r="7" spans="1:51" ht="8.4" customHeight="1">
      <c r="A7" s="56"/>
      <c r="B7" s="57"/>
      <c r="C7" s="57"/>
      <c r="D7" s="57"/>
      <c r="E7" s="57"/>
      <c r="F7" s="18"/>
      <c r="K7" s="18"/>
      <c r="P7" s="18"/>
      <c r="U7" s="18"/>
      <c r="Z7" s="18"/>
      <c r="AE7" s="18"/>
      <c r="AJ7" s="18"/>
      <c r="AO7" s="18"/>
      <c r="AT7" s="18"/>
      <c r="AY7" s="18"/>
    </row>
    <row r="8" spans="1:51">
      <c r="A8" s="49" t="s">
        <v>121</v>
      </c>
      <c r="B8" s="35">
        <v>-5022.9999999999973</v>
      </c>
      <c r="C8" s="35">
        <v>4241.9999999999955</v>
      </c>
      <c r="D8" s="35">
        <v>4594.0000000000009</v>
      </c>
      <c r="E8" s="35">
        <v>6367.9999999999982</v>
      </c>
      <c r="F8" s="21">
        <v>10180.999999999995</v>
      </c>
      <c r="G8" s="58">
        <v>11280.000000000004</v>
      </c>
      <c r="H8" s="58">
        <v>-5330.0000000000009</v>
      </c>
      <c r="I8" s="58">
        <v>837.00000000000023</v>
      </c>
      <c r="J8" s="58">
        <v>45178</v>
      </c>
      <c r="K8" s="21">
        <v>51965</v>
      </c>
      <c r="L8" s="58">
        <v>-4722.9999999999991</v>
      </c>
      <c r="M8" s="58">
        <v>-3913.9999999999995</v>
      </c>
      <c r="N8" s="58">
        <v>3798.9999999999986</v>
      </c>
      <c r="O8" s="58">
        <v>29725</v>
      </c>
      <c r="P8" s="21">
        <v>24887</v>
      </c>
      <c r="Q8" s="58">
        <v>-17664</v>
      </c>
      <c r="R8" s="58">
        <v>3985.0000000000018</v>
      </c>
      <c r="S8" s="58">
        <v>24589.000000000007</v>
      </c>
      <c r="T8" s="58">
        <v>57567.000000000044</v>
      </c>
      <c r="U8" s="21">
        <v>68477.000000000029</v>
      </c>
      <c r="V8" s="58">
        <v>13959.000000000004</v>
      </c>
      <c r="W8" s="58">
        <v>21543.000000000004</v>
      </c>
      <c r="X8" s="58">
        <v>-14580.999999999989</v>
      </c>
      <c r="Y8" s="58">
        <v>22582.000000000058</v>
      </c>
      <c r="Z8" s="21">
        <v>43503.000000000124</v>
      </c>
      <c r="AA8" s="58">
        <v>39166</v>
      </c>
      <c r="AB8" s="58">
        <v>14947.000000000002</v>
      </c>
      <c r="AC8" s="58">
        <v>69.999999999988745</v>
      </c>
      <c r="AD8" s="58">
        <v>12312.999999999984</v>
      </c>
      <c r="AE8" s="21">
        <v>66495.999999999971</v>
      </c>
      <c r="AF8" s="58">
        <v>18658.999999999993</v>
      </c>
      <c r="AG8" s="58">
        <v>11369</v>
      </c>
      <c r="AH8" s="58">
        <v>7759.0000000000127</v>
      </c>
      <c r="AI8" s="58">
        <v>-5908</v>
      </c>
      <c r="AJ8" s="21">
        <v>31880</v>
      </c>
      <c r="AK8" s="58">
        <v>-9217</v>
      </c>
      <c r="AL8" s="58">
        <v>-25775</v>
      </c>
      <c r="AM8" s="58">
        <v>-11923</v>
      </c>
      <c r="AN8" s="58">
        <v>16644</v>
      </c>
      <c r="AO8" s="21">
        <v>-30270.777219046198</v>
      </c>
      <c r="AP8" s="58">
        <v>-73249</v>
      </c>
      <c r="AQ8" s="58">
        <v>8147</v>
      </c>
      <c r="AR8" s="58">
        <v>5626</v>
      </c>
      <c r="AS8" s="58">
        <v>-19864</v>
      </c>
      <c r="AT8" s="23">
        <f>SUM(AP8:AS8)</f>
        <v>-79340</v>
      </c>
      <c r="AU8" s="58">
        <v>95158</v>
      </c>
      <c r="AV8" s="58"/>
      <c r="AW8" s="58"/>
      <c r="AX8" s="58"/>
      <c r="AY8" s="23"/>
    </row>
    <row r="9" spans="1:51">
      <c r="A9" s="49" t="s">
        <v>122</v>
      </c>
      <c r="B9" s="35">
        <v>7319</v>
      </c>
      <c r="C9" s="35">
        <v>4594</v>
      </c>
      <c r="D9" s="35">
        <v>9680</v>
      </c>
      <c r="E9" s="35">
        <v>-14775</v>
      </c>
      <c r="F9" s="59">
        <v>6818</v>
      </c>
      <c r="G9" s="60">
        <v>-5719</v>
      </c>
      <c r="H9" s="60">
        <v>6446.0000000000009</v>
      </c>
      <c r="I9" s="60">
        <v>2106.9999999999995</v>
      </c>
      <c r="J9" s="60">
        <v>-44775</v>
      </c>
      <c r="K9" s="59">
        <v>-41940.999999999993</v>
      </c>
      <c r="L9" s="60">
        <v>6664</v>
      </c>
      <c r="M9" s="60">
        <v>7766.9999999999991</v>
      </c>
      <c r="N9" s="60">
        <v>13286</v>
      </c>
      <c r="O9" s="60">
        <v>-6982.9999999999973</v>
      </c>
      <c r="P9" s="59">
        <v>20734</v>
      </c>
      <c r="Q9" s="60">
        <v>20498</v>
      </c>
      <c r="R9" s="60">
        <v>11290</v>
      </c>
      <c r="S9" s="60">
        <v>12459</v>
      </c>
      <c r="T9" s="60">
        <v>-5936</v>
      </c>
      <c r="U9" s="59">
        <v>38311</v>
      </c>
      <c r="V9" s="60">
        <v>34654</v>
      </c>
      <c r="W9" s="60">
        <v>22659.999999999996</v>
      </c>
      <c r="X9" s="60">
        <v>51413.000000000007</v>
      </c>
      <c r="Y9" s="60">
        <v>41574.999999999978</v>
      </c>
      <c r="Z9" s="59">
        <v>150302</v>
      </c>
      <c r="AA9" s="60">
        <v>10080</v>
      </c>
      <c r="AB9" s="60">
        <v>20275</v>
      </c>
      <c r="AC9" s="60">
        <v>17670</v>
      </c>
      <c r="AD9" s="60">
        <v>22390</v>
      </c>
      <c r="AE9" s="59">
        <v>70415</v>
      </c>
      <c r="AF9" s="60">
        <v>19075</v>
      </c>
      <c r="AG9" s="60">
        <v>16143.000000000004</v>
      </c>
      <c r="AH9" s="60">
        <v>22533.999999999996</v>
      </c>
      <c r="AI9" s="60">
        <v>45915</v>
      </c>
      <c r="AJ9" s="59">
        <v>103667</v>
      </c>
      <c r="AK9" s="60">
        <v>62168.79189</v>
      </c>
      <c r="AL9" s="60">
        <v>69846.281553307083</v>
      </c>
      <c r="AM9" s="60">
        <v>105657.0535139931</v>
      </c>
      <c r="AN9" s="60">
        <v>67261.738397328998</v>
      </c>
      <c r="AO9" s="59">
        <v>304933.738397329</v>
      </c>
      <c r="AP9" s="60">
        <v>155569</v>
      </c>
      <c r="AQ9" s="60">
        <v>82263</v>
      </c>
      <c r="AR9" s="60">
        <v>133541.66736720857</v>
      </c>
      <c r="AS9" s="60">
        <v>199384.01986352651</v>
      </c>
      <c r="AT9" s="59">
        <f t="shared" ref="AT9:AT13" si="0">SUM(AP9:AS9)</f>
        <v>570757.68723073509</v>
      </c>
      <c r="AU9" s="60">
        <v>118385</v>
      </c>
      <c r="AV9" s="60"/>
      <c r="AW9" s="60"/>
      <c r="AX9" s="60"/>
      <c r="AY9" s="59"/>
    </row>
    <row r="10" spans="1:51">
      <c r="A10" s="26" t="s">
        <v>123</v>
      </c>
      <c r="B10" s="35">
        <v>-3786</v>
      </c>
      <c r="C10" s="35">
        <v>-4809.0000000000009</v>
      </c>
      <c r="D10" s="35">
        <v>-3224.9999999999991</v>
      </c>
      <c r="E10" s="35">
        <v>2551.0000000000005</v>
      </c>
      <c r="F10" s="59">
        <v>-9269</v>
      </c>
      <c r="G10" s="60">
        <v>1559</v>
      </c>
      <c r="H10" s="60">
        <v>1071.9999999999998</v>
      </c>
      <c r="I10" s="60">
        <v>-3609</v>
      </c>
      <c r="J10" s="60">
        <v>5968.9999999999991</v>
      </c>
      <c r="K10" s="59">
        <v>4991</v>
      </c>
      <c r="L10" s="60">
        <v>4998</v>
      </c>
      <c r="M10" s="60">
        <v>-1929.0000000000002</v>
      </c>
      <c r="N10" s="60">
        <v>-6640.0000000000009</v>
      </c>
      <c r="O10" s="60">
        <v>-4111</v>
      </c>
      <c r="P10" s="59">
        <v>-7682</v>
      </c>
      <c r="Q10" s="60">
        <v>-63</v>
      </c>
      <c r="R10" s="60">
        <v>3065</v>
      </c>
      <c r="S10" s="60">
        <v>-4920</v>
      </c>
      <c r="T10" s="60">
        <v>-1164</v>
      </c>
      <c r="U10" s="59">
        <v>-3082</v>
      </c>
      <c r="V10" s="60">
        <v>-5772</v>
      </c>
      <c r="W10" s="60">
        <v>-6414.9999999999991</v>
      </c>
      <c r="X10" s="60">
        <v>-11265.000000000002</v>
      </c>
      <c r="Y10" s="60">
        <v>-10693.000000000004</v>
      </c>
      <c r="Z10" s="59">
        <v>-34145</v>
      </c>
      <c r="AA10" s="60">
        <v>-8125.9999999999991</v>
      </c>
      <c r="AB10" s="60">
        <v>-3199</v>
      </c>
      <c r="AC10" s="60">
        <v>-7626.0000000000009</v>
      </c>
      <c r="AD10" s="60">
        <v>19492</v>
      </c>
      <c r="AE10" s="59">
        <v>541</v>
      </c>
      <c r="AF10" s="60">
        <v>-4192</v>
      </c>
      <c r="AG10" s="60">
        <v>-544.99999999999989</v>
      </c>
      <c r="AH10" s="60">
        <v>2111</v>
      </c>
      <c r="AI10" s="60">
        <v>5268</v>
      </c>
      <c r="AJ10" s="59">
        <v>2612</v>
      </c>
      <c r="AK10" s="60">
        <v>-17770.984368291523</v>
      </c>
      <c r="AL10" s="60">
        <v>638.32349597846405</v>
      </c>
      <c r="AM10" s="60">
        <v>-6674.3050024865915</v>
      </c>
      <c r="AN10" s="60">
        <v>11848.890291227148</v>
      </c>
      <c r="AO10" s="59">
        <v>-11958.109708772852</v>
      </c>
      <c r="AP10" s="60">
        <v>-14135</v>
      </c>
      <c r="AQ10" s="60">
        <v>3372</v>
      </c>
      <c r="AR10" s="60">
        <v>1190.4909167651858</v>
      </c>
      <c r="AS10" s="60">
        <v>-21668.354078544588</v>
      </c>
      <c r="AT10" s="59">
        <f t="shared" si="0"/>
        <v>-31240.863161779402</v>
      </c>
      <c r="AU10" s="60">
        <v>-27353</v>
      </c>
      <c r="AV10" s="60"/>
      <c r="AW10" s="60"/>
      <c r="AX10" s="60"/>
      <c r="AY10" s="59"/>
    </row>
    <row r="11" spans="1:51">
      <c r="A11" s="26" t="s">
        <v>124</v>
      </c>
      <c r="B11" s="35">
        <v>0</v>
      </c>
      <c r="C11" s="35">
        <v>0</v>
      </c>
      <c r="D11" s="35">
        <v>0</v>
      </c>
      <c r="E11" s="35">
        <v>-3727</v>
      </c>
      <c r="F11" s="59">
        <v>-3727</v>
      </c>
      <c r="G11" s="60">
        <v>0</v>
      </c>
      <c r="H11" s="60">
        <v>0</v>
      </c>
      <c r="I11" s="60">
        <v>0</v>
      </c>
      <c r="J11" s="60">
        <v>-4296</v>
      </c>
      <c r="K11" s="59">
        <v>-4296</v>
      </c>
      <c r="L11" s="60">
        <v>-46</v>
      </c>
      <c r="M11" s="60">
        <v>-412.00000000000006</v>
      </c>
      <c r="N11" s="60">
        <v>-971.99999999999977</v>
      </c>
      <c r="O11" s="60">
        <v>-359.00000000000017</v>
      </c>
      <c r="P11" s="59">
        <v>-1789</v>
      </c>
      <c r="Q11" s="60">
        <v>-1020.9999999999999</v>
      </c>
      <c r="R11" s="60">
        <v>-2163.0000000000005</v>
      </c>
      <c r="S11" s="60">
        <v>-886.99999999999955</v>
      </c>
      <c r="T11" s="60">
        <v>-5226</v>
      </c>
      <c r="U11" s="59">
        <v>-9297</v>
      </c>
      <c r="V11" s="60">
        <v>-6895</v>
      </c>
      <c r="W11" s="60">
        <v>-9086</v>
      </c>
      <c r="X11" s="60">
        <v>-5432</v>
      </c>
      <c r="Y11" s="60">
        <v>-3821.9999999999973</v>
      </c>
      <c r="Z11" s="59">
        <v>-25235</v>
      </c>
      <c r="AA11" s="60">
        <v>-7778</v>
      </c>
      <c r="AB11" s="60">
        <v>-22588</v>
      </c>
      <c r="AC11" s="60">
        <v>-6527.9999999999982</v>
      </c>
      <c r="AD11" s="60">
        <v>-4379</v>
      </c>
      <c r="AE11" s="59">
        <v>-41273</v>
      </c>
      <c r="AF11" s="60">
        <v>-10136</v>
      </c>
      <c r="AG11" s="60">
        <v>-618.00000000000034</v>
      </c>
      <c r="AH11" s="60">
        <v>-1767.0000000000011</v>
      </c>
      <c r="AI11" s="60">
        <v>-920.99999999999818</v>
      </c>
      <c r="AJ11" s="59">
        <v>-13442</v>
      </c>
      <c r="AK11" s="60">
        <v>-9297.7999999999993</v>
      </c>
      <c r="AL11" s="60">
        <v>-2136</v>
      </c>
      <c r="AM11" s="60">
        <v>-3728</v>
      </c>
      <c r="AN11" s="60">
        <v>-3739.7066538553918</v>
      </c>
      <c r="AO11" s="59">
        <v>-18901.706653855392</v>
      </c>
      <c r="AP11" s="60">
        <v>-16874</v>
      </c>
      <c r="AQ11" s="60">
        <v>-22570</v>
      </c>
      <c r="AR11" s="60">
        <v>-17755.213649999998</v>
      </c>
      <c r="AS11" s="60">
        <v>-27629.411953531591</v>
      </c>
      <c r="AT11" s="59">
        <f t="shared" si="0"/>
        <v>-84828.625603531589</v>
      </c>
      <c r="AU11" s="60">
        <v>-51502</v>
      </c>
      <c r="AV11" s="60"/>
      <c r="AW11" s="60"/>
      <c r="AX11" s="60"/>
      <c r="AY11" s="59"/>
    </row>
    <row r="12" spans="1:51">
      <c r="A12" s="49" t="s">
        <v>125</v>
      </c>
      <c r="B12" s="35">
        <v>477</v>
      </c>
      <c r="C12" s="35">
        <v>-47.999999999999986</v>
      </c>
      <c r="D12" s="35">
        <v>-7997</v>
      </c>
      <c r="E12" s="35">
        <v>10103</v>
      </c>
      <c r="F12" s="59">
        <v>2535</v>
      </c>
      <c r="G12" s="60">
        <v>-1381</v>
      </c>
      <c r="H12" s="60">
        <v>-231.00000000000009</v>
      </c>
      <c r="I12" s="60">
        <v>1554</v>
      </c>
      <c r="J12" s="60">
        <v>616.00000000000011</v>
      </c>
      <c r="K12" s="59">
        <v>558</v>
      </c>
      <c r="L12" s="60">
        <v>-1111</v>
      </c>
      <c r="M12" s="60">
        <v>-312.00000000000006</v>
      </c>
      <c r="N12" s="60">
        <v>690.00000000000011</v>
      </c>
      <c r="O12" s="60">
        <v>709</v>
      </c>
      <c r="P12" s="59">
        <v>-24.000000000000021</v>
      </c>
      <c r="Q12" s="60">
        <v>2111</v>
      </c>
      <c r="R12" s="60">
        <v>-5694.0000000000009</v>
      </c>
      <c r="S12" s="60">
        <v>349.00000000000063</v>
      </c>
      <c r="T12" s="60">
        <v>-816.00000000000023</v>
      </c>
      <c r="U12" s="59">
        <v>-4050.0000000000009</v>
      </c>
      <c r="V12" s="60">
        <v>3215</v>
      </c>
      <c r="W12" s="60">
        <v>-3756</v>
      </c>
      <c r="X12" s="60">
        <v>1721</v>
      </c>
      <c r="Y12" s="60">
        <v>-4414</v>
      </c>
      <c r="Z12" s="59">
        <v>-3233.9999999999995</v>
      </c>
      <c r="AA12" s="60">
        <v>1723</v>
      </c>
      <c r="AB12" s="60">
        <v>-4831</v>
      </c>
      <c r="AC12" s="60">
        <v>-1890</v>
      </c>
      <c r="AD12" s="60">
        <v>5182</v>
      </c>
      <c r="AE12" s="59">
        <v>184</v>
      </c>
      <c r="AF12" s="60">
        <v>1626</v>
      </c>
      <c r="AG12" s="60">
        <v>4508.0000000000009</v>
      </c>
      <c r="AH12" s="60">
        <v>-3619.0000000000005</v>
      </c>
      <c r="AI12" s="60">
        <v>-2287.0000000000005</v>
      </c>
      <c r="AJ12" s="59">
        <v>228</v>
      </c>
      <c r="AK12" s="60">
        <v>-31</v>
      </c>
      <c r="AL12" s="60">
        <v>11038</v>
      </c>
      <c r="AM12" s="60">
        <v>-6562</v>
      </c>
      <c r="AN12" s="60">
        <v>-26012</v>
      </c>
      <c r="AO12" s="59">
        <v>-21567</v>
      </c>
      <c r="AP12" s="60">
        <v>-10083</v>
      </c>
      <c r="AQ12" s="60">
        <v>8653</v>
      </c>
      <c r="AR12" s="60">
        <v>-30490.848330000001</v>
      </c>
      <c r="AS12" s="60">
        <v>-38243.151669999999</v>
      </c>
      <c r="AT12" s="59">
        <f t="shared" si="0"/>
        <v>-70164</v>
      </c>
      <c r="AU12" s="60">
        <v>-16817</v>
      </c>
      <c r="AV12" s="60"/>
      <c r="AW12" s="60"/>
      <c r="AX12" s="60"/>
      <c r="AY12" s="59"/>
    </row>
    <row r="13" spans="1:51" s="2" customFormat="1">
      <c r="A13" s="61" t="s">
        <v>126</v>
      </c>
      <c r="B13" s="62">
        <v>-1012.9999999999973</v>
      </c>
      <c r="C13" s="62">
        <v>3978.9999999999941</v>
      </c>
      <c r="D13" s="62">
        <v>3052.0000000000014</v>
      </c>
      <c r="E13" s="62">
        <v>519.99999999999784</v>
      </c>
      <c r="F13" s="63">
        <v>6537.9999999999945</v>
      </c>
      <c r="G13" s="62">
        <v>5739.0000000000027</v>
      </c>
      <c r="H13" s="62">
        <v>1956.9999999999995</v>
      </c>
      <c r="I13" s="62">
        <v>889</v>
      </c>
      <c r="J13" s="62">
        <v>2691.9999999999977</v>
      </c>
      <c r="K13" s="63">
        <v>11277.000000000007</v>
      </c>
      <c r="L13" s="62">
        <v>5782.0000000000009</v>
      </c>
      <c r="M13" s="62">
        <v>1199.9999999999995</v>
      </c>
      <c r="N13" s="62">
        <v>10162.999999999996</v>
      </c>
      <c r="O13" s="62">
        <v>18981</v>
      </c>
      <c r="P13" s="63">
        <v>36126</v>
      </c>
      <c r="Q13" s="62">
        <v>3860.9999999999995</v>
      </c>
      <c r="R13" s="62">
        <v>10482.999999999998</v>
      </c>
      <c r="S13" s="62">
        <v>31590</v>
      </c>
      <c r="T13" s="62">
        <v>44425.000000000036</v>
      </c>
      <c r="U13" s="63">
        <v>90359.000000000058</v>
      </c>
      <c r="V13" s="62">
        <v>39161.000000000015</v>
      </c>
      <c r="W13" s="62">
        <v>24946.000000000004</v>
      </c>
      <c r="X13" s="62">
        <v>21856.000000000011</v>
      </c>
      <c r="Y13" s="62">
        <v>45228.000000000036</v>
      </c>
      <c r="Z13" s="63">
        <v>131191.00000000012</v>
      </c>
      <c r="AA13" s="62">
        <v>35065</v>
      </c>
      <c r="AB13" s="62">
        <v>4604.0000000000018</v>
      </c>
      <c r="AC13" s="62">
        <v>1695.9999999999925</v>
      </c>
      <c r="AD13" s="62">
        <v>54997.999999999985</v>
      </c>
      <c r="AE13" s="63">
        <v>96362.999999999971</v>
      </c>
      <c r="AF13" s="62">
        <v>25031.999999999996</v>
      </c>
      <c r="AG13" s="62">
        <v>30857.000000000007</v>
      </c>
      <c r="AH13" s="62">
        <v>27018</v>
      </c>
      <c r="AI13" s="62">
        <v>42067</v>
      </c>
      <c r="AJ13" s="63">
        <v>124945</v>
      </c>
      <c r="AK13" s="62">
        <v>25852.007521708478</v>
      </c>
      <c r="AL13" s="62">
        <v>53611.605049285543</v>
      </c>
      <c r="AM13" s="62">
        <v>76769.748511506506</v>
      </c>
      <c r="AN13" s="62">
        <v>66003.144815654552</v>
      </c>
      <c r="AO13" s="63">
        <v>222236.14481565455</v>
      </c>
      <c r="AP13" s="62">
        <f t="shared" ref="AP13:AR13" si="1">SUM(AP8:AP12)</f>
        <v>41228</v>
      </c>
      <c r="AQ13" s="62">
        <f t="shared" si="1"/>
        <v>79865</v>
      </c>
      <c r="AR13" s="62">
        <f t="shared" si="1"/>
        <v>92112.096303973754</v>
      </c>
      <c r="AS13" s="62">
        <f>SUM(AS8:AS12)</f>
        <v>91979.102161450341</v>
      </c>
      <c r="AT13" s="63">
        <f t="shared" si="0"/>
        <v>305184.19846542412</v>
      </c>
      <c r="AU13" s="62">
        <f>SUM(AU8:AU12)</f>
        <v>117871</v>
      </c>
      <c r="AV13" s="62"/>
      <c r="AW13" s="62"/>
      <c r="AX13" s="62"/>
      <c r="AY13" s="63"/>
    </row>
    <row r="14" spans="1:51" ht="15" customHeight="1">
      <c r="A14" s="49"/>
      <c r="B14" s="58"/>
      <c r="C14" s="58"/>
      <c r="D14" s="58"/>
      <c r="E14" s="58"/>
      <c r="F14" s="59"/>
      <c r="G14" s="58"/>
      <c r="H14" s="58"/>
      <c r="I14" s="58"/>
      <c r="J14" s="58"/>
      <c r="K14" s="59"/>
      <c r="L14" s="58"/>
      <c r="M14" s="58"/>
      <c r="N14" s="58"/>
      <c r="O14" s="58"/>
      <c r="P14" s="59"/>
      <c r="Q14" s="58"/>
      <c r="R14" s="58"/>
      <c r="S14" s="58"/>
      <c r="T14" s="58"/>
      <c r="U14" s="59"/>
      <c r="V14" s="58"/>
      <c r="W14" s="58"/>
      <c r="X14" s="58"/>
      <c r="Y14" s="58"/>
      <c r="Z14" s="59"/>
      <c r="AA14" s="58"/>
      <c r="AB14" s="58"/>
      <c r="AC14" s="58"/>
      <c r="AD14" s="58"/>
      <c r="AE14" s="59"/>
      <c r="AF14" s="58"/>
      <c r="AG14" s="58"/>
      <c r="AH14" s="58"/>
      <c r="AI14" s="58"/>
      <c r="AJ14" s="59"/>
      <c r="AK14" s="58"/>
      <c r="AL14" s="58"/>
      <c r="AM14" s="58"/>
      <c r="AN14" s="58"/>
      <c r="AO14" s="59"/>
      <c r="AP14" s="58"/>
      <c r="AQ14" s="58"/>
      <c r="AR14" s="58"/>
      <c r="AS14" s="58"/>
      <c r="AT14" s="59"/>
      <c r="AU14" s="58"/>
      <c r="AV14" s="58"/>
      <c r="AW14" s="58"/>
      <c r="AX14" s="58"/>
      <c r="AY14" s="59"/>
    </row>
    <row r="15" spans="1:51">
      <c r="A15" s="49" t="s">
        <v>127</v>
      </c>
      <c r="B15" s="35">
        <v>-2234</v>
      </c>
      <c r="C15" s="35">
        <v>-1269.0000000000002</v>
      </c>
      <c r="D15" s="35">
        <v>-3912</v>
      </c>
      <c r="E15" s="35">
        <v>-1392.0000000000005</v>
      </c>
      <c r="F15" s="59">
        <v>-8807</v>
      </c>
      <c r="G15" s="35">
        <v>-5189</v>
      </c>
      <c r="H15" s="35">
        <v>-6545.9999999999991</v>
      </c>
      <c r="I15" s="35">
        <v>-11309.000000000002</v>
      </c>
      <c r="J15" s="35">
        <v>-8460</v>
      </c>
      <c r="K15" s="59">
        <v>-31504</v>
      </c>
      <c r="L15" s="35">
        <v>-8487</v>
      </c>
      <c r="M15" s="35">
        <v>-5936.9999999999991</v>
      </c>
      <c r="N15" s="35">
        <v>-5097.0000000000009</v>
      </c>
      <c r="O15" s="35">
        <v>-6270</v>
      </c>
      <c r="P15" s="59">
        <v>-25791</v>
      </c>
      <c r="Q15" s="35">
        <v>-10704</v>
      </c>
      <c r="R15" s="35">
        <v>-10800</v>
      </c>
      <c r="S15" s="35">
        <v>-17459</v>
      </c>
      <c r="T15" s="35">
        <v>-13009.999999999995</v>
      </c>
      <c r="U15" s="59">
        <v>-51973</v>
      </c>
      <c r="V15" s="35">
        <v>-21859</v>
      </c>
      <c r="W15" s="35">
        <v>-20464</v>
      </c>
      <c r="X15" s="35">
        <v>-17680</v>
      </c>
      <c r="Y15" s="35">
        <v>-19464</v>
      </c>
      <c r="Z15" s="59">
        <v>-79467</v>
      </c>
      <c r="AA15" s="35">
        <v>-19033</v>
      </c>
      <c r="AB15" s="35">
        <v>-24452</v>
      </c>
      <c r="AC15" s="35">
        <v>-30144.000000000007</v>
      </c>
      <c r="AD15" s="35">
        <v>-29735.999999999989</v>
      </c>
      <c r="AE15" s="59">
        <v>-103365</v>
      </c>
      <c r="AF15" s="35">
        <v>-30711</v>
      </c>
      <c r="AG15" s="35">
        <v>-38301</v>
      </c>
      <c r="AH15" s="35">
        <v>-19519.999999999996</v>
      </c>
      <c r="AI15" s="60">
        <v>-7562</v>
      </c>
      <c r="AJ15" s="59">
        <v>-96094</v>
      </c>
      <c r="AK15" s="35">
        <v>-29703</v>
      </c>
      <c r="AL15" s="35">
        <v>-23575.267705427628</v>
      </c>
      <c r="AM15" s="35">
        <v>-60482.965664418269</v>
      </c>
      <c r="AN15" s="60">
        <v>-66816.078200467338</v>
      </c>
      <c r="AO15" s="59">
        <v>-180577.07820046734</v>
      </c>
      <c r="AP15" s="60">
        <v>-51725</v>
      </c>
      <c r="AQ15" s="60">
        <v>-50325</v>
      </c>
      <c r="AR15" s="60">
        <v>-31605.45588228936</v>
      </c>
      <c r="AS15" s="60">
        <v>-45778.54411771064</v>
      </c>
      <c r="AT15" s="59">
        <f>SUM(AP15:AS15)</f>
        <v>-179434</v>
      </c>
      <c r="AU15" s="60">
        <v>-44107</v>
      </c>
      <c r="AV15" s="60"/>
      <c r="AW15" s="60"/>
      <c r="AX15" s="60"/>
      <c r="AY15" s="59"/>
    </row>
    <row r="16" spans="1:51">
      <c r="A16" s="49" t="s">
        <v>128</v>
      </c>
      <c r="B16" s="35">
        <v>0</v>
      </c>
      <c r="C16" s="35">
        <v>0</v>
      </c>
      <c r="D16" s="35">
        <v>0</v>
      </c>
      <c r="E16" s="35">
        <v>0</v>
      </c>
      <c r="F16" s="59">
        <v>0</v>
      </c>
      <c r="G16" s="35">
        <v>0</v>
      </c>
      <c r="H16" s="35">
        <v>0</v>
      </c>
      <c r="I16" s="35">
        <v>0</v>
      </c>
      <c r="J16" s="35">
        <v>-10148</v>
      </c>
      <c r="K16" s="59">
        <v>-10148</v>
      </c>
      <c r="L16" s="35">
        <v>5564</v>
      </c>
      <c r="M16" s="35">
        <v>4584</v>
      </c>
      <c r="N16" s="35">
        <v>0</v>
      </c>
      <c r="O16" s="35">
        <v>0</v>
      </c>
      <c r="P16" s="59">
        <v>10148</v>
      </c>
      <c r="Q16" s="35">
        <v>0</v>
      </c>
      <c r="R16" s="35">
        <v>0</v>
      </c>
      <c r="S16" s="35">
        <v>0</v>
      </c>
      <c r="T16" s="35">
        <v>0</v>
      </c>
      <c r="U16" s="59">
        <v>0</v>
      </c>
      <c r="V16" s="35">
        <v>0</v>
      </c>
      <c r="W16" s="35">
        <v>0</v>
      </c>
      <c r="X16" s="35">
        <v>0</v>
      </c>
      <c r="Y16" s="35">
        <v>0</v>
      </c>
      <c r="Z16" s="59">
        <v>0</v>
      </c>
      <c r="AA16" s="35">
        <v>-1528</v>
      </c>
      <c r="AB16" s="35">
        <v>1749</v>
      </c>
      <c r="AC16" s="35">
        <v>0</v>
      </c>
      <c r="AD16" s="35">
        <v>0</v>
      </c>
      <c r="AE16" s="59">
        <v>221.00000000000009</v>
      </c>
      <c r="AF16" s="35">
        <v>600</v>
      </c>
      <c r="AG16" s="35">
        <v>0</v>
      </c>
      <c r="AH16" s="35">
        <v>0</v>
      </c>
      <c r="AI16" s="60">
        <v>0</v>
      </c>
      <c r="AJ16" s="59">
        <v>600</v>
      </c>
      <c r="AK16" s="35">
        <v>-1314</v>
      </c>
      <c r="AL16" s="35">
        <v>1314</v>
      </c>
      <c r="AM16" s="35">
        <v>0</v>
      </c>
      <c r="AN16" s="60">
        <v>5417.4570155515066</v>
      </c>
      <c r="AO16" s="59">
        <v>5417.4570155515066</v>
      </c>
      <c r="AP16" s="60">
        <v>0</v>
      </c>
      <c r="AQ16" s="60">
        <v>0</v>
      </c>
      <c r="AR16" s="60">
        <v>0</v>
      </c>
      <c r="AS16" s="60">
        <v>0</v>
      </c>
      <c r="AT16" s="59">
        <f t="shared" ref="AT16:AT19" si="2">SUM(AP16:AS16)</f>
        <v>0</v>
      </c>
      <c r="AU16" s="60">
        <v>-277</v>
      </c>
      <c r="AV16" s="60"/>
      <c r="AW16" s="60"/>
      <c r="AX16" s="60"/>
      <c r="AY16" s="59"/>
    </row>
    <row r="17" spans="1:51">
      <c r="A17" s="49" t="s">
        <v>129</v>
      </c>
      <c r="B17" s="35">
        <v>0</v>
      </c>
      <c r="C17" s="35">
        <v>0</v>
      </c>
      <c r="D17" s="35">
        <v>0</v>
      </c>
      <c r="E17" s="35">
        <v>0</v>
      </c>
      <c r="F17" s="59">
        <v>0</v>
      </c>
      <c r="G17" s="35">
        <v>0</v>
      </c>
      <c r="H17" s="35">
        <v>0</v>
      </c>
      <c r="I17" s="35">
        <v>0</v>
      </c>
      <c r="J17" s="35">
        <v>0</v>
      </c>
      <c r="K17" s="59">
        <v>0</v>
      </c>
      <c r="L17" s="35">
        <v>0</v>
      </c>
      <c r="M17" s="35">
        <v>0</v>
      </c>
      <c r="N17" s="35">
        <v>0</v>
      </c>
      <c r="O17" s="35">
        <v>0</v>
      </c>
      <c r="P17" s="59">
        <v>0</v>
      </c>
      <c r="Q17" s="35">
        <v>0</v>
      </c>
      <c r="R17" s="35">
        <v>0</v>
      </c>
      <c r="S17" s="35">
        <v>0</v>
      </c>
      <c r="T17" s="35">
        <v>0</v>
      </c>
      <c r="U17" s="59">
        <v>0</v>
      </c>
      <c r="V17" s="35">
        <v>0</v>
      </c>
      <c r="W17" s="35">
        <v>0</v>
      </c>
      <c r="X17" s="35">
        <v>0</v>
      </c>
      <c r="Y17" s="35">
        <v>0</v>
      </c>
      <c r="Z17" s="59">
        <v>0</v>
      </c>
      <c r="AA17" s="35">
        <v>0</v>
      </c>
      <c r="AB17" s="35">
        <v>0</v>
      </c>
      <c r="AC17" s="35">
        <v>-53963</v>
      </c>
      <c r="AD17" s="35">
        <v>-390.00000000000057</v>
      </c>
      <c r="AE17" s="59">
        <v>-54353</v>
      </c>
      <c r="AF17" s="35">
        <v>0</v>
      </c>
      <c r="AG17" s="35">
        <v>0</v>
      </c>
      <c r="AH17" s="35">
        <v>0</v>
      </c>
      <c r="AI17" s="60">
        <v>-2167</v>
      </c>
      <c r="AJ17" s="59">
        <v>-2167</v>
      </c>
      <c r="AK17" s="35">
        <v>0</v>
      </c>
      <c r="AL17" s="35">
        <v>0</v>
      </c>
      <c r="AM17" s="35">
        <v>0</v>
      </c>
      <c r="AN17" s="60">
        <v>-1244</v>
      </c>
      <c r="AO17" s="59">
        <v>-1244</v>
      </c>
      <c r="AP17" s="60">
        <v>-18538</v>
      </c>
      <c r="AQ17" s="60">
        <v>0</v>
      </c>
      <c r="AR17" s="60">
        <v>0</v>
      </c>
      <c r="AS17" s="60">
        <v>0</v>
      </c>
      <c r="AT17" s="59">
        <f t="shared" si="2"/>
        <v>-18538</v>
      </c>
      <c r="AU17" s="60">
        <v>0</v>
      </c>
      <c r="AV17" s="60"/>
      <c r="AW17" s="60"/>
      <c r="AX17" s="60"/>
      <c r="AY17" s="59"/>
    </row>
    <row r="18" spans="1:51">
      <c r="A18" s="49" t="s">
        <v>130</v>
      </c>
      <c r="B18" s="35">
        <v>0</v>
      </c>
      <c r="C18" s="35">
        <v>0</v>
      </c>
      <c r="D18" s="35">
        <v>0</v>
      </c>
      <c r="E18" s="35">
        <v>918</v>
      </c>
      <c r="F18" s="59">
        <v>918</v>
      </c>
      <c r="G18" s="35">
        <v>30744</v>
      </c>
      <c r="H18" s="35">
        <v>-1.9999999999988916</v>
      </c>
      <c r="I18" s="35">
        <v>276.9999999999975</v>
      </c>
      <c r="J18" s="35">
        <v>0</v>
      </c>
      <c r="K18" s="59">
        <v>31019</v>
      </c>
      <c r="L18" s="35">
        <v>240</v>
      </c>
      <c r="M18" s="35">
        <v>9.0000000000000071</v>
      </c>
      <c r="N18" s="35">
        <v>-3.0000000000000027</v>
      </c>
      <c r="O18" s="35">
        <v>-2.0000000000000018</v>
      </c>
      <c r="P18" s="59">
        <v>244</v>
      </c>
      <c r="Q18" s="35">
        <v>189</v>
      </c>
      <c r="R18" s="35">
        <v>9.0000000000000071</v>
      </c>
      <c r="S18" s="35">
        <v>0</v>
      </c>
      <c r="T18" s="35">
        <v>714</v>
      </c>
      <c r="U18" s="59">
        <v>911.99999999999989</v>
      </c>
      <c r="V18" s="35">
        <v>143</v>
      </c>
      <c r="W18" s="35">
        <v>314.00000000000006</v>
      </c>
      <c r="X18" s="35">
        <v>-35.000000000000057</v>
      </c>
      <c r="Y18" s="35">
        <v>881</v>
      </c>
      <c r="Z18" s="59">
        <v>1303</v>
      </c>
      <c r="AA18" s="35">
        <v>469</v>
      </c>
      <c r="AB18" s="35">
        <v>-469</v>
      </c>
      <c r="AC18" s="35">
        <v>0</v>
      </c>
      <c r="AD18" s="35">
        <v>0</v>
      </c>
      <c r="AE18" s="59">
        <v>0</v>
      </c>
      <c r="AF18" s="35">
        <v>0</v>
      </c>
      <c r="AG18" s="35">
        <v>0</v>
      </c>
      <c r="AH18" s="35">
        <v>0</v>
      </c>
      <c r="AI18" s="35">
        <v>0</v>
      </c>
      <c r="AJ18" s="59">
        <v>0</v>
      </c>
      <c r="AK18" s="35">
        <v>0</v>
      </c>
      <c r="AL18" s="35">
        <v>0</v>
      </c>
      <c r="AM18" s="35">
        <v>0</v>
      </c>
      <c r="AN18" s="35">
        <v>0</v>
      </c>
      <c r="AO18" s="59">
        <v>0</v>
      </c>
      <c r="AP18" s="35">
        <v>0</v>
      </c>
      <c r="AQ18" s="60">
        <v>-439</v>
      </c>
      <c r="AR18" s="35">
        <v>0</v>
      </c>
      <c r="AS18" s="35">
        <v>-3431</v>
      </c>
      <c r="AT18" s="59">
        <f t="shared" si="2"/>
        <v>-3870</v>
      </c>
      <c r="AU18" s="60">
        <v>0</v>
      </c>
      <c r="AV18" s="60"/>
      <c r="AW18" s="35"/>
      <c r="AX18" s="35"/>
      <c r="AY18" s="59"/>
    </row>
    <row r="19" spans="1:51">
      <c r="A19" s="49" t="s">
        <v>131</v>
      </c>
      <c r="B19" s="35"/>
      <c r="C19" s="35"/>
      <c r="D19" s="35"/>
      <c r="E19" s="35"/>
      <c r="F19" s="59"/>
      <c r="G19" s="35"/>
      <c r="H19" s="35"/>
      <c r="I19" s="35"/>
      <c r="J19" s="35"/>
      <c r="K19" s="59"/>
      <c r="L19" s="35"/>
      <c r="M19" s="35"/>
      <c r="N19" s="35"/>
      <c r="O19" s="35"/>
      <c r="P19" s="59"/>
      <c r="Q19" s="35"/>
      <c r="R19" s="35"/>
      <c r="S19" s="35"/>
      <c r="T19" s="35"/>
      <c r="U19" s="59"/>
      <c r="V19" s="35"/>
      <c r="W19" s="35"/>
      <c r="X19" s="35"/>
      <c r="Y19" s="35"/>
      <c r="Z19" s="59"/>
      <c r="AA19" s="35"/>
      <c r="AB19" s="35"/>
      <c r="AC19" s="35"/>
      <c r="AD19" s="35"/>
      <c r="AE19" s="59"/>
      <c r="AF19" s="35"/>
      <c r="AG19" s="35"/>
      <c r="AH19" s="35"/>
      <c r="AI19" s="35"/>
      <c r="AJ19" s="59"/>
      <c r="AK19" s="35"/>
      <c r="AL19" s="35"/>
      <c r="AM19" s="35"/>
      <c r="AN19" s="35"/>
      <c r="AO19" s="59"/>
      <c r="AP19" s="35">
        <v>0</v>
      </c>
      <c r="AQ19" s="60">
        <v>0</v>
      </c>
      <c r="AR19" s="35">
        <v>0</v>
      </c>
      <c r="AS19" s="35">
        <v>-52135</v>
      </c>
      <c r="AT19" s="59">
        <f t="shared" si="2"/>
        <v>-52135</v>
      </c>
      <c r="AU19" s="60">
        <v>0</v>
      </c>
      <c r="AV19" s="60"/>
      <c r="AW19" s="35"/>
      <c r="AX19" s="35"/>
      <c r="AY19" s="59"/>
    </row>
    <row r="20" spans="1:51" s="2" customFormat="1">
      <c r="A20" s="61" t="s">
        <v>132</v>
      </c>
      <c r="B20" s="62">
        <v>-2234</v>
      </c>
      <c r="C20" s="62">
        <v>-1269.0000000000002</v>
      </c>
      <c r="D20" s="62">
        <v>-3912</v>
      </c>
      <c r="E20" s="62">
        <v>-474.00000000000028</v>
      </c>
      <c r="F20" s="63">
        <v>-7889</v>
      </c>
      <c r="G20" s="62">
        <v>25555</v>
      </c>
      <c r="H20" s="62">
        <v>-6547.9999999999982</v>
      </c>
      <c r="I20" s="62">
        <v>-11032.000000000004</v>
      </c>
      <c r="J20" s="62">
        <v>-18608</v>
      </c>
      <c r="K20" s="63">
        <v>-10633.000000000002</v>
      </c>
      <c r="L20" s="62">
        <v>-2683</v>
      </c>
      <c r="M20" s="62">
        <v>-1343.9999999999998</v>
      </c>
      <c r="N20" s="62">
        <v>-5100.0000000000018</v>
      </c>
      <c r="O20" s="62">
        <v>-6271.9999999999991</v>
      </c>
      <c r="P20" s="63">
        <v>-15399</v>
      </c>
      <c r="Q20" s="62">
        <v>-10515</v>
      </c>
      <c r="R20" s="62">
        <v>-10791</v>
      </c>
      <c r="S20" s="62">
        <v>-17459</v>
      </c>
      <c r="T20" s="62">
        <v>-12295.999999999995</v>
      </c>
      <c r="U20" s="63">
        <v>-51061</v>
      </c>
      <c r="V20" s="62">
        <v>-21716</v>
      </c>
      <c r="W20" s="62">
        <v>-20150</v>
      </c>
      <c r="X20" s="62">
        <v>-17715</v>
      </c>
      <c r="Y20" s="62">
        <v>-18583</v>
      </c>
      <c r="Z20" s="63">
        <v>-78164</v>
      </c>
      <c r="AA20" s="62">
        <v>-20092</v>
      </c>
      <c r="AB20" s="62">
        <v>-23172</v>
      </c>
      <c r="AC20" s="62">
        <v>-84107</v>
      </c>
      <c r="AD20" s="62">
        <v>-30125.999999999989</v>
      </c>
      <c r="AE20" s="63">
        <v>-157497</v>
      </c>
      <c r="AF20" s="62">
        <v>-30110.999999999996</v>
      </c>
      <c r="AG20" s="62">
        <v>-38301</v>
      </c>
      <c r="AH20" s="62">
        <v>-19519.999999999996</v>
      </c>
      <c r="AI20" s="62">
        <v>-9729</v>
      </c>
      <c r="AJ20" s="63">
        <v>-97661</v>
      </c>
      <c r="AK20" s="62">
        <v>-31017</v>
      </c>
      <c r="AL20" s="62">
        <v>-22261.267705427628</v>
      </c>
      <c r="AM20" s="62">
        <v>-60482.965664418269</v>
      </c>
      <c r="AN20" s="62">
        <v>-62642.621184915828</v>
      </c>
      <c r="AO20" s="63">
        <v>-176403.62118491583</v>
      </c>
      <c r="AP20" s="62">
        <f>SUM(AP15:AP19)</f>
        <v>-70263</v>
      </c>
      <c r="AQ20" s="62">
        <f t="shared" ref="AQ20:AU20" si="3">SUM(AQ15:AQ19)</f>
        <v>-50764</v>
      </c>
      <c r="AR20" s="62">
        <f t="shared" si="3"/>
        <v>-31605.45588228936</v>
      </c>
      <c r="AS20" s="62">
        <f t="shared" si="3"/>
        <v>-101344.54411771064</v>
      </c>
      <c r="AT20" s="63">
        <f t="shared" ref="AT20" si="4">SUM(AP20:AS20)</f>
        <v>-253977</v>
      </c>
      <c r="AU20" s="62">
        <f t="shared" si="3"/>
        <v>-44384</v>
      </c>
      <c r="AV20" s="62"/>
      <c r="AW20" s="62"/>
      <c r="AX20" s="62"/>
      <c r="AY20" s="63"/>
    </row>
    <row r="21" spans="1:51" ht="9" customHeight="1">
      <c r="A21" s="49"/>
      <c r="B21" s="58">
        <v>0</v>
      </c>
      <c r="C21" s="58">
        <v>0</v>
      </c>
      <c r="D21" s="58">
        <v>0</v>
      </c>
      <c r="E21" s="58">
        <v>0</v>
      </c>
      <c r="F21" s="59">
        <v>0</v>
      </c>
      <c r="G21" s="58">
        <v>0</v>
      </c>
      <c r="H21" s="58">
        <v>0</v>
      </c>
      <c r="I21" s="58">
        <v>0</v>
      </c>
      <c r="J21" s="58">
        <v>0</v>
      </c>
      <c r="K21" s="59">
        <v>0</v>
      </c>
      <c r="L21" s="58">
        <v>0</v>
      </c>
      <c r="M21" s="58">
        <v>0</v>
      </c>
      <c r="N21" s="58">
        <v>0</v>
      </c>
      <c r="O21" s="58">
        <v>0</v>
      </c>
      <c r="P21" s="59">
        <v>0</v>
      </c>
      <c r="Q21" s="58">
        <v>0</v>
      </c>
      <c r="R21" s="58">
        <v>0</v>
      </c>
      <c r="S21" s="58">
        <v>0</v>
      </c>
      <c r="T21" s="58">
        <v>0</v>
      </c>
      <c r="U21" s="59">
        <v>0</v>
      </c>
      <c r="V21" s="58">
        <v>0</v>
      </c>
      <c r="W21" s="58">
        <v>0</v>
      </c>
      <c r="X21" s="58">
        <v>0</v>
      </c>
      <c r="Y21" s="58">
        <v>0</v>
      </c>
      <c r="Z21" s="59">
        <v>0</v>
      </c>
      <c r="AA21" s="58">
        <v>0</v>
      </c>
      <c r="AB21" s="58">
        <v>0</v>
      </c>
      <c r="AC21" s="58">
        <v>0</v>
      </c>
      <c r="AD21" s="58">
        <v>0</v>
      </c>
      <c r="AE21" s="59">
        <v>0</v>
      </c>
      <c r="AF21" s="58">
        <v>0</v>
      </c>
      <c r="AG21" s="58">
        <v>0</v>
      </c>
      <c r="AH21" s="58">
        <v>0</v>
      </c>
      <c r="AI21" s="58">
        <v>0</v>
      </c>
      <c r="AJ21" s="59"/>
      <c r="AK21" s="58"/>
      <c r="AL21" s="58"/>
      <c r="AM21" s="58"/>
      <c r="AN21" s="58"/>
      <c r="AO21" s="59"/>
      <c r="AP21" s="58"/>
      <c r="AQ21" s="58"/>
      <c r="AR21" s="58"/>
      <c r="AS21" s="58"/>
      <c r="AT21" s="59"/>
      <c r="AU21" s="58"/>
      <c r="AV21" s="58"/>
      <c r="AW21" s="58"/>
      <c r="AX21" s="58"/>
      <c r="AY21" s="59"/>
    </row>
    <row r="22" spans="1:51">
      <c r="A22" s="49" t="s">
        <v>133</v>
      </c>
      <c r="B22" s="35"/>
      <c r="C22" s="35"/>
      <c r="D22" s="35"/>
      <c r="E22" s="35"/>
      <c r="F22" s="59"/>
      <c r="G22" s="35"/>
      <c r="H22" s="35"/>
      <c r="I22" s="35"/>
      <c r="J22" s="35"/>
      <c r="K22" s="59"/>
      <c r="L22" s="35"/>
      <c r="M22" s="35"/>
      <c r="N22" s="35"/>
      <c r="O22" s="35"/>
      <c r="P22" s="59"/>
      <c r="Q22" s="35"/>
      <c r="R22" s="35"/>
      <c r="S22" s="35"/>
      <c r="T22" s="35"/>
      <c r="U22" s="59"/>
      <c r="V22" s="35"/>
      <c r="W22" s="35"/>
      <c r="X22" s="35"/>
      <c r="Y22" s="35"/>
      <c r="Z22" s="59"/>
      <c r="AA22" s="35"/>
      <c r="AB22" s="35"/>
      <c r="AC22" s="35"/>
      <c r="AD22" s="35"/>
      <c r="AE22" s="59"/>
      <c r="AF22" s="35"/>
      <c r="AG22" s="35"/>
      <c r="AH22" s="35"/>
      <c r="AI22" s="35"/>
      <c r="AJ22" s="59"/>
      <c r="AK22" s="35"/>
      <c r="AL22" s="35"/>
      <c r="AM22" s="35"/>
      <c r="AN22" s="35"/>
      <c r="AO22" s="59"/>
      <c r="AP22" s="35"/>
      <c r="AQ22" s="35"/>
      <c r="AR22" s="35">
        <v>200116</v>
      </c>
      <c r="AS22" s="35"/>
      <c r="AT22" s="59">
        <f>SUM(AP22:AS22)</f>
        <v>200116</v>
      </c>
      <c r="AU22" s="35"/>
      <c r="AV22" s="35"/>
      <c r="AW22" s="35"/>
      <c r="AX22" s="35"/>
      <c r="AY22" s="59"/>
    </row>
    <row r="23" spans="1:51">
      <c r="A23" s="49" t="s">
        <v>134</v>
      </c>
      <c r="B23" s="35">
        <v>12162</v>
      </c>
      <c r="C23" s="35">
        <v>3999.9999999999982</v>
      </c>
      <c r="D23" s="35">
        <v>0</v>
      </c>
      <c r="E23" s="35">
        <v>3000</v>
      </c>
      <c r="F23" s="59">
        <v>19162</v>
      </c>
      <c r="G23" s="35">
        <v>0</v>
      </c>
      <c r="H23" s="35">
        <v>14000</v>
      </c>
      <c r="I23" s="35">
        <v>6000</v>
      </c>
      <c r="J23" s="35">
        <v>0</v>
      </c>
      <c r="K23" s="59">
        <v>20000</v>
      </c>
      <c r="L23" s="35">
        <v>8568</v>
      </c>
      <c r="M23" s="35">
        <v>2000</v>
      </c>
      <c r="N23" s="35">
        <v>6279.0000000000018</v>
      </c>
      <c r="O23" s="35">
        <v>3596</v>
      </c>
      <c r="P23" s="59">
        <v>20443</v>
      </c>
      <c r="Q23" s="35">
        <v>8000</v>
      </c>
      <c r="R23" s="35">
        <v>0</v>
      </c>
      <c r="S23" s="35">
        <v>0</v>
      </c>
      <c r="T23" s="35">
        <v>6180</v>
      </c>
      <c r="U23" s="59">
        <v>14180</v>
      </c>
      <c r="V23" s="35">
        <v>29965</v>
      </c>
      <c r="W23" s="35">
        <v>6250.0000000000036</v>
      </c>
      <c r="X23" s="35">
        <v>75919</v>
      </c>
      <c r="Y23" s="35">
        <v>4375.0000000000036</v>
      </c>
      <c r="Z23" s="59">
        <v>116509</v>
      </c>
      <c r="AA23" s="35">
        <v>21400</v>
      </c>
      <c r="AB23" s="35">
        <v>75000</v>
      </c>
      <c r="AC23" s="35">
        <v>10000.000000000007</v>
      </c>
      <c r="AD23" s="35">
        <v>18988.999999999982</v>
      </c>
      <c r="AE23" s="59">
        <v>125388.99999999999</v>
      </c>
      <c r="AF23" s="35">
        <v>0</v>
      </c>
      <c r="AG23" s="35">
        <v>38800</v>
      </c>
      <c r="AH23" s="35">
        <v>100750.00000000001</v>
      </c>
      <c r="AI23" s="35">
        <v>40000</v>
      </c>
      <c r="AJ23" s="59">
        <v>179550</v>
      </c>
      <c r="AK23" s="35">
        <v>15000</v>
      </c>
      <c r="AL23" s="35">
        <v>19000</v>
      </c>
      <c r="AM23" s="35">
        <v>39640</v>
      </c>
      <c r="AN23" s="35">
        <v>240704.78510974545</v>
      </c>
      <c r="AO23" s="59">
        <v>314344.78510974545</v>
      </c>
      <c r="AP23" s="35">
        <v>0</v>
      </c>
      <c r="AQ23" s="35"/>
      <c r="AR23" s="35"/>
      <c r="AS23" s="35"/>
      <c r="AT23" s="59">
        <f t="shared" ref="AT23:AT36" si="5">SUM(AP23:AS23)</f>
        <v>0</v>
      </c>
      <c r="AU23" s="35"/>
      <c r="AV23" s="35"/>
      <c r="AW23" s="35"/>
      <c r="AX23" s="35"/>
      <c r="AY23" s="59"/>
    </row>
    <row r="24" spans="1:51">
      <c r="A24" s="49" t="s">
        <v>135</v>
      </c>
      <c r="B24" s="35">
        <v>0</v>
      </c>
      <c r="C24" s="35">
        <v>0</v>
      </c>
      <c r="D24" s="35">
        <v>0</v>
      </c>
      <c r="E24" s="35">
        <v>0</v>
      </c>
      <c r="F24" s="59">
        <v>0</v>
      </c>
      <c r="G24" s="35">
        <v>0</v>
      </c>
      <c r="H24" s="35">
        <v>0</v>
      </c>
      <c r="I24" s="35">
        <v>0</v>
      </c>
      <c r="J24" s="35">
        <v>0</v>
      </c>
      <c r="K24" s="59">
        <v>0</v>
      </c>
      <c r="L24" s="35">
        <v>0</v>
      </c>
      <c r="M24" s="35">
        <v>0</v>
      </c>
      <c r="N24" s="35">
        <v>0</v>
      </c>
      <c r="O24" s="35">
        <v>0</v>
      </c>
      <c r="P24" s="59">
        <v>0</v>
      </c>
      <c r="Q24" s="35">
        <v>-3044</v>
      </c>
      <c r="R24" s="35">
        <v>0</v>
      </c>
      <c r="S24" s="35">
        <v>0</v>
      </c>
      <c r="T24" s="35">
        <v>0</v>
      </c>
      <c r="U24" s="59">
        <v>-3044</v>
      </c>
      <c r="V24" s="35">
        <v>0</v>
      </c>
      <c r="W24" s="35">
        <v>-60224</v>
      </c>
      <c r="X24" s="35">
        <v>0</v>
      </c>
      <c r="Y24" s="35">
        <v>-25408.000000000007</v>
      </c>
      <c r="Z24" s="59">
        <v>-85632</v>
      </c>
      <c r="AA24" s="35">
        <v>0</v>
      </c>
      <c r="AB24" s="35">
        <v>-10188</v>
      </c>
      <c r="AC24" s="35">
        <v>0</v>
      </c>
      <c r="AD24" s="35">
        <v>-10060.999999999998</v>
      </c>
      <c r="AE24" s="59">
        <v>-20249</v>
      </c>
      <c r="AF24" s="35">
        <v>0</v>
      </c>
      <c r="AG24" s="35">
        <v>-10102</v>
      </c>
      <c r="AH24" s="35">
        <v>0</v>
      </c>
      <c r="AI24" s="35">
        <v>-18059</v>
      </c>
      <c r="AJ24" s="59">
        <v>-28161</v>
      </c>
      <c r="AK24" s="35">
        <v>0</v>
      </c>
      <c r="AL24" s="35">
        <v>-25339</v>
      </c>
      <c r="AM24" s="35">
        <v>0</v>
      </c>
      <c r="AN24" s="35">
        <v>-17354</v>
      </c>
      <c r="AO24" s="59">
        <v>-42693</v>
      </c>
      <c r="AP24" s="35">
        <v>-18333</v>
      </c>
      <c r="AQ24" s="35">
        <v>-29811</v>
      </c>
      <c r="AR24" s="35">
        <v>-27564</v>
      </c>
      <c r="AS24" s="35">
        <v>-40106.086079999994</v>
      </c>
      <c r="AT24" s="59">
        <f t="shared" si="5"/>
        <v>-115814.08607999999</v>
      </c>
      <c r="AU24" s="35">
        <v>-55146</v>
      </c>
      <c r="AV24" s="35"/>
      <c r="AW24" s="35"/>
      <c r="AX24" s="35"/>
      <c r="AY24" s="59"/>
    </row>
    <row r="25" spans="1:51">
      <c r="A25" s="49" t="s">
        <v>136</v>
      </c>
      <c r="B25" s="35">
        <v>0</v>
      </c>
      <c r="C25" s="35">
        <v>0</v>
      </c>
      <c r="D25" s="35">
        <v>0</v>
      </c>
      <c r="E25" s="35">
        <v>0</v>
      </c>
      <c r="F25" s="59">
        <v>0</v>
      </c>
      <c r="G25" s="35">
        <v>0</v>
      </c>
      <c r="H25" s="35">
        <v>0</v>
      </c>
      <c r="I25" s="35">
        <v>0</v>
      </c>
      <c r="J25" s="35">
        <v>0</v>
      </c>
      <c r="K25" s="59">
        <v>0</v>
      </c>
      <c r="L25" s="35">
        <v>0</v>
      </c>
      <c r="M25" s="35">
        <v>0</v>
      </c>
      <c r="N25" s="35">
        <v>0</v>
      </c>
      <c r="O25" s="35">
        <v>0</v>
      </c>
      <c r="P25" s="59">
        <v>0</v>
      </c>
      <c r="Q25" s="35">
        <v>0</v>
      </c>
      <c r="R25" s="35">
        <v>0</v>
      </c>
      <c r="S25" s="35">
        <v>52200</v>
      </c>
      <c r="T25" s="35">
        <v>-1.0000000000047748</v>
      </c>
      <c r="U25" s="59">
        <v>52199</v>
      </c>
      <c r="V25" s="35">
        <v>0</v>
      </c>
      <c r="W25" s="35">
        <v>0</v>
      </c>
      <c r="X25" s="35">
        <v>0</v>
      </c>
      <c r="Y25" s="35">
        <v>0</v>
      </c>
      <c r="Z25" s="59">
        <v>0</v>
      </c>
      <c r="AA25" s="35">
        <v>0</v>
      </c>
      <c r="AB25" s="35">
        <v>0</v>
      </c>
      <c r="AC25" s="35">
        <v>0</v>
      </c>
      <c r="AD25" s="35">
        <v>0</v>
      </c>
      <c r="AE25" s="59">
        <v>0</v>
      </c>
      <c r="AF25" s="35">
        <v>0</v>
      </c>
      <c r="AG25" s="35">
        <v>0</v>
      </c>
      <c r="AH25" s="35">
        <v>0</v>
      </c>
      <c r="AI25" s="35">
        <v>-13360</v>
      </c>
      <c r="AJ25" s="59">
        <v>0</v>
      </c>
      <c r="AK25" s="35">
        <v>0</v>
      </c>
      <c r="AL25" s="35">
        <v>-6068</v>
      </c>
      <c r="AM25" s="35">
        <v>0</v>
      </c>
      <c r="AN25" s="35">
        <v>-3835</v>
      </c>
      <c r="AO25" s="59"/>
      <c r="AP25" s="35">
        <v>0</v>
      </c>
      <c r="AQ25" s="35"/>
      <c r="AR25" s="35"/>
      <c r="AS25" s="35">
        <v>849.15499999999997</v>
      </c>
      <c r="AT25" s="59">
        <f t="shared" si="5"/>
        <v>849.15499999999997</v>
      </c>
      <c r="AU25" s="35"/>
      <c r="AV25" s="35"/>
      <c r="AW25" s="35"/>
      <c r="AX25" s="35"/>
      <c r="AY25" s="59"/>
    </row>
    <row r="26" spans="1:51">
      <c r="A26" s="49" t="s">
        <v>137</v>
      </c>
      <c r="B26" s="35">
        <v>0</v>
      </c>
      <c r="C26" s="35">
        <v>75</v>
      </c>
      <c r="D26" s="35">
        <v>36.000000000000007</v>
      </c>
      <c r="E26" s="35">
        <v>61.999999999999986</v>
      </c>
      <c r="F26" s="59">
        <v>173</v>
      </c>
      <c r="G26" s="35">
        <v>15</v>
      </c>
      <c r="H26" s="35">
        <v>0</v>
      </c>
      <c r="I26" s="35">
        <v>0</v>
      </c>
      <c r="J26" s="35">
        <v>2</v>
      </c>
      <c r="K26" s="59">
        <v>17</v>
      </c>
      <c r="L26" s="35">
        <v>-44</v>
      </c>
      <c r="M26" s="35">
        <v>-1.0000000000000009</v>
      </c>
      <c r="N26" s="35">
        <v>0</v>
      </c>
      <c r="O26" s="35">
        <v>0</v>
      </c>
      <c r="P26" s="59">
        <v>-45</v>
      </c>
      <c r="Q26" s="35">
        <v>0</v>
      </c>
      <c r="R26" s="35">
        <v>-107</v>
      </c>
      <c r="S26" s="35">
        <v>0</v>
      </c>
      <c r="T26" s="35">
        <v>0</v>
      </c>
      <c r="U26" s="59">
        <v>-107</v>
      </c>
      <c r="V26" s="35">
        <v>1566</v>
      </c>
      <c r="W26" s="35">
        <v>0</v>
      </c>
      <c r="X26" s="35">
        <v>0</v>
      </c>
      <c r="Y26" s="35">
        <v>0</v>
      </c>
      <c r="Z26" s="59">
        <v>1566</v>
      </c>
      <c r="AA26" s="35">
        <v>1300</v>
      </c>
      <c r="AB26" s="35">
        <v>-5388</v>
      </c>
      <c r="AC26" s="35">
        <v>-1311.9999999999995</v>
      </c>
      <c r="AD26" s="35">
        <v>109.99999999999832</v>
      </c>
      <c r="AE26" s="59">
        <v>-5290.0000000000009</v>
      </c>
      <c r="AF26" s="35">
        <v>3898</v>
      </c>
      <c r="AG26" s="35">
        <v>0</v>
      </c>
      <c r="AH26" s="35">
        <v>7961</v>
      </c>
      <c r="AI26" s="35">
        <v>1800</v>
      </c>
      <c r="AJ26" s="59">
        <v>13659</v>
      </c>
      <c r="AK26" s="35">
        <v>2868</v>
      </c>
      <c r="AL26" s="35">
        <v>-13521.91361</v>
      </c>
      <c r="AM26" s="35">
        <v>0</v>
      </c>
      <c r="AN26" s="35">
        <v>-1964</v>
      </c>
      <c r="AO26" s="59">
        <v>193.66561999994889</v>
      </c>
      <c r="AP26" s="35"/>
      <c r="AQ26" s="35"/>
      <c r="AR26" s="35"/>
      <c r="AS26" s="35">
        <v>198.93450999999047</v>
      </c>
      <c r="AT26" s="59">
        <f t="shared" si="5"/>
        <v>198.93450999999047</v>
      </c>
      <c r="AU26" s="35"/>
      <c r="AV26" s="35"/>
      <c r="AW26" s="35"/>
      <c r="AX26" s="35"/>
      <c r="AY26" s="59"/>
    </row>
    <row r="27" spans="1:51">
      <c r="A27" s="49" t="s">
        <v>138</v>
      </c>
      <c r="B27" s="35"/>
      <c r="C27" s="35"/>
      <c r="D27" s="35"/>
      <c r="E27" s="35"/>
      <c r="F27" s="59"/>
      <c r="G27" s="35"/>
      <c r="H27" s="35"/>
      <c r="I27" s="35"/>
      <c r="J27" s="35"/>
      <c r="K27" s="59"/>
      <c r="L27" s="35"/>
      <c r="M27" s="35"/>
      <c r="N27" s="35"/>
      <c r="O27" s="35"/>
      <c r="P27" s="59"/>
      <c r="Q27" s="35"/>
      <c r="R27" s="35"/>
      <c r="S27" s="35"/>
      <c r="T27" s="35"/>
      <c r="U27" s="59"/>
      <c r="V27" s="35"/>
      <c r="W27" s="35"/>
      <c r="X27" s="35"/>
      <c r="Y27" s="35"/>
      <c r="Z27" s="59"/>
      <c r="AA27" s="35"/>
      <c r="AB27" s="35"/>
      <c r="AC27" s="35"/>
      <c r="AD27" s="35"/>
      <c r="AE27" s="59"/>
      <c r="AF27" s="35">
        <v>0</v>
      </c>
      <c r="AG27" s="35">
        <v>0</v>
      </c>
      <c r="AH27" s="35">
        <v>0</v>
      </c>
      <c r="AI27" s="35">
        <v>21000</v>
      </c>
      <c r="AJ27" s="59">
        <v>21000</v>
      </c>
      <c r="AK27" s="35">
        <v>-74</v>
      </c>
      <c r="AL27" s="35">
        <v>-1136.2505599999986</v>
      </c>
      <c r="AM27" s="35">
        <v>-488.74944000000141</v>
      </c>
      <c r="AN27" s="35">
        <v>-833</v>
      </c>
      <c r="AO27" s="59">
        <v>-2531.7874999999999</v>
      </c>
      <c r="AP27" s="35">
        <v>-741</v>
      </c>
      <c r="AQ27" s="35">
        <v>-853</v>
      </c>
      <c r="AR27" s="35">
        <v>-942</v>
      </c>
      <c r="AS27" s="35">
        <v>-1094</v>
      </c>
      <c r="AT27" s="59">
        <f t="shared" si="5"/>
        <v>-3630</v>
      </c>
      <c r="AU27" s="35">
        <v>-11</v>
      </c>
      <c r="AV27" s="35"/>
      <c r="AW27" s="35"/>
      <c r="AX27" s="35"/>
      <c r="AY27" s="59"/>
    </row>
    <row r="28" spans="1:51">
      <c r="A28" s="49" t="s">
        <v>139</v>
      </c>
      <c r="B28" s="35"/>
      <c r="C28" s="35"/>
      <c r="D28" s="35"/>
      <c r="E28" s="35"/>
      <c r="F28" s="59"/>
      <c r="G28" s="35"/>
      <c r="H28" s="35"/>
      <c r="I28" s="35"/>
      <c r="J28" s="35"/>
      <c r="K28" s="59"/>
      <c r="L28" s="35"/>
      <c r="M28" s="35"/>
      <c r="N28" s="35"/>
      <c r="O28" s="35"/>
      <c r="P28" s="59"/>
      <c r="Q28" s="35"/>
      <c r="R28" s="35"/>
      <c r="S28" s="35"/>
      <c r="T28" s="35"/>
      <c r="U28" s="59"/>
      <c r="V28" s="35"/>
      <c r="W28" s="35"/>
      <c r="X28" s="35"/>
      <c r="Y28" s="35"/>
      <c r="Z28" s="59"/>
      <c r="AA28" s="35"/>
      <c r="AB28" s="35"/>
      <c r="AC28" s="35"/>
      <c r="AD28" s="35"/>
      <c r="AE28" s="59"/>
      <c r="AF28" s="35"/>
      <c r="AG28" s="35"/>
      <c r="AH28" s="35"/>
      <c r="AI28" s="35"/>
      <c r="AJ28" s="59"/>
      <c r="AK28" s="35"/>
      <c r="AL28" s="35"/>
      <c r="AM28" s="35"/>
      <c r="AN28" s="35"/>
      <c r="AO28" s="59"/>
      <c r="AP28" s="35">
        <v>-4239</v>
      </c>
      <c r="AQ28" s="35"/>
      <c r="AR28" s="35">
        <v>-4551</v>
      </c>
      <c r="AS28" s="35">
        <v>-2070.2263659221626</v>
      </c>
      <c r="AT28" s="59">
        <f t="shared" si="5"/>
        <v>-10860.226365922163</v>
      </c>
      <c r="AU28" s="35">
        <v>-4744</v>
      </c>
      <c r="AV28" s="35"/>
      <c r="AW28" s="35"/>
      <c r="AX28" s="35"/>
      <c r="AY28" s="59"/>
    </row>
    <row r="29" spans="1:51">
      <c r="A29" s="49" t="s">
        <v>140</v>
      </c>
      <c r="B29" s="35">
        <v>-6869</v>
      </c>
      <c r="C29" s="35">
        <v>0</v>
      </c>
      <c r="D29" s="35">
        <v>0</v>
      </c>
      <c r="E29" s="35">
        <v>0</v>
      </c>
      <c r="F29" s="59">
        <v>-6869</v>
      </c>
      <c r="G29" s="35">
        <v>0</v>
      </c>
      <c r="H29" s="35">
        <v>0</v>
      </c>
      <c r="I29" s="35">
        <v>0</v>
      </c>
      <c r="J29" s="35">
        <v>0</v>
      </c>
      <c r="K29" s="59">
        <v>0</v>
      </c>
      <c r="L29" s="35">
        <v>0</v>
      </c>
      <c r="M29" s="35">
        <v>0</v>
      </c>
      <c r="N29" s="35">
        <v>0</v>
      </c>
      <c r="O29" s="35">
        <v>0</v>
      </c>
      <c r="P29" s="59">
        <v>0</v>
      </c>
      <c r="Q29" s="35">
        <v>0</v>
      </c>
      <c r="R29" s="35">
        <v>0</v>
      </c>
      <c r="S29" s="35">
        <v>0</v>
      </c>
      <c r="T29" s="35">
        <v>0</v>
      </c>
      <c r="U29" s="59">
        <v>0</v>
      </c>
      <c r="V29" s="35">
        <v>0</v>
      </c>
      <c r="W29" s="35">
        <v>0</v>
      </c>
      <c r="X29" s="35">
        <v>0</v>
      </c>
      <c r="Y29" s="35">
        <v>0</v>
      </c>
      <c r="Z29" s="59">
        <v>0</v>
      </c>
      <c r="AA29" s="35">
        <v>0</v>
      </c>
      <c r="AB29" s="35">
        <v>0</v>
      </c>
      <c r="AC29" s="35">
        <v>0</v>
      </c>
      <c r="AD29" s="35">
        <v>0</v>
      </c>
      <c r="AE29" s="59">
        <v>0</v>
      </c>
      <c r="AF29" s="35">
        <v>0</v>
      </c>
      <c r="AG29" s="35">
        <v>0</v>
      </c>
      <c r="AH29" s="35">
        <v>0</v>
      </c>
      <c r="AI29" s="35">
        <v>0</v>
      </c>
      <c r="AJ29" s="59"/>
      <c r="AK29" s="35">
        <v>0</v>
      </c>
      <c r="AL29" s="35">
        <v>0</v>
      </c>
      <c r="AM29" s="35">
        <v>0</v>
      </c>
      <c r="AN29" s="35">
        <v>0</v>
      </c>
      <c r="AO29" s="59">
        <v>0</v>
      </c>
      <c r="AP29" s="35">
        <v>0</v>
      </c>
      <c r="AQ29" s="35"/>
      <c r="AR29" s="35"/>
      <c r="AS29" s="35"/>
      <c r="AT29" s="59">
        <f t="shared" si="5"/>
        <v>0</v>
      </c>
      <c r="AU29" s="35"/>
      <c r="AV29" s="35"/>
      <c r="AW29" s="35"/>
      <c r="AX29" s="35"/>
      <c r="AY29" s="59"/>
    </row>
    <row r="30" spans="1:51">
      <c r="A30" s="49" t="s">
        <v>141</v>
      </c>
      <c r="B30" s="35">
        <v>-344</v>
      </c>
      <c r="C30" s="35">
        <v>-1844.0000000000002</v>
      </c>
      <c r="D30" s="35">
        <v>-2143.9999999999995</v>
      </c>
      <c r="E30" s="35">
        <v>-2514.0000000000005</v>
      </c>
      <c r="F30" s="59">
        <v>-6846</v>
      </c>
      <c r="G30" s="35">
        <v>-9658</v>
      </c>
      <c r="H30" s="35">
        <v>-3380.0000000000009</v>
      </c>
      <c r="I30" s="35">
        <v>-2949</v>
      </c>
      <c r="J30" s="35">
        <v>-3035</v>
      </c>
      <c r="K30" s="59">
        <v>-19022</v>
      </c>
      <c r="L30" s="35">
        <v>-1997</v>
      </c>
      <c r="M30" s="35">
        <v>-4541</v>
      </c>
      <c r="N30" s="35">
        <v>-1065.9999999999995</v>
      </c>
      <c r="O30" s="35">
        <v>-1084.0000000000002</v>
      </c>
      <c r="P30" s="59">
        <v>-8688</v>
      </c>
      <c r="Q30" s="35">
        <v>-3450</v>
      </c>
      <c r="R30" s="35">
        <v>-1726.9999999999993</v>
      </c>
      <c r="S30" s="35">
        <v>-4726.0000000000018</v>
      </c>
      <c r="T30" s="35">
        <v>-5006.9999999999973</v>
      </c>
      <c r="U30" s="59">
        <v>-14910</v>
      </c>
      <c r="V30" s="35">
        <v>-11649</v>
      </c>
      <c r="W30" s="35">
        <v>-5846.9999999999991</v>
      </c>
      <c r="X30" s="35">
        <v>-9522.9999999999982</v>
      </c>
      <c r="Y30" s="35">
        <v>-6261.0000000000045</v>
      </c>
      <c r="Z30" s="59">
        <v>-33280</v>
      </c>
      <c r="AA30" s="35">
        <v>-11572</v>
      </c>
      <c r="AB30" s="35">
        <v>-8804.0000000000018</v>
      </c>
      <c r="AC30" s="35">
        <v>-13239.999999999998</v>
      </c>
      <c r="AD30" s="35">
        <v>-19170.999999999996</v>
      </c>
      <c r="AE30" s="59">
        <v>-52786.999999999993</v>
      </c>
      <c r="AF30" s="35">
        <v>-12417</v>
      </c>
      <c r="AG30" s="35">
        <v>-8583</v>
      </c>
      <c r="AH30" s="35">
        <v>-31375</v>
      </c>
      <c r="AI30" s="35">
        <v>-13898</v>
      </c>
      <c r="AJ30" s="59">
        <v>-66273</v>
      </c>
      <c r="AK30" s="35">
        <v>-13792</v>
      </c>
      <c r="AL30" s="35">
        <v>-9520</v>
      </c>
      <c r="AM30" s="35">
        <v>-32017.037820296442</v>
      </c>
      <c r="AN30" s="35">
        <v>-129055.99897356081</v>
      </c>
      <c r="AO30" s="59">
        <v>-184384.99897356081</v>
      </c>
      <c r="AP30" s="35">
        <v>-11455.320051783616</v>
      </c>
      <c r="AQ30" s="35">
        <v>-9147</v>
      </c>
      <c r="AR30" s="35">
        <v>-33728</v>
      </c>
      <c r="AS30" s="35">
        <v>-8501.3631433333358</v>
      </c>
      <c r="AT30" s="59">
        <f t="shared" si="5"/>
        <v>-62831.683195116952</v>
      </c>
      <c r="AU30" s="35">
        <v>-18321</v>
      </c>
      <c r="AV30" s="35"/>
      <c r="AW30" s="35"/>
      <c r="AX30" s="35"/>
      <c r="AY30" s="59"/>
    </row>
    <row r="31" spans="1:51">
      <c r="A31" s="49" t="s">
        <v>142</v>
      </c>
      <c r="B31" s="35"/>
      <c r="C31" s="35"/>
      <c r="D31" s="35"/>
      <c r="E31" s="35"/>
      <c r="F31" s="59"/>
      <c r="G31" s="35"/>
      <c r="H31" s="35"/>
      <c r="I31" s="35"/>
      <c r="J31" s="35"/>
      <c r="K31" s="59"/>
      <c r="L31" s="35"/>
      <c r="M31" s="35"/>
      <c r="N31" s="35"/>
      <c r="O31" s="35"/>
      <c r="P31" s="59"/>
      <c r="Q31" s="35"/>
      <c r="R31" s="35"/>
      <c r="S31" s="35"/>
      <c r="T31" s="35"/>
      <c r="U31" s="59"/>
      <c r="V31" s="35"/>
      <c r="W31" s="35"/>
      <c r="X31" s="35"/>
      <c r="Y31" s="35"/>
      <c r="Z31" s="59"/>
      <c r="AA31" s="35"/>
      <c r="AB31" s="35"/>
      <c r="AC31" s="35"/>
      <c r="AD31" s="35"/>
      <c r="AE31" s="59"/>
      <c r="AF31" s="35"/>
      <c r="AG31" s="35"/>
      <c r="AH31" s="35"/>
      <c r="AI31" s="35"/>
      <c r="AJ31" s="59"/>
      <c r="AK31" s="35"/>
      <c r="AL31" s="35"/>
      <c r="AM31" s="35"/>
      <c r="AN31" s="35"/>
      <c r="AO31" s="59"/>
      <c r="AP31" s="35"/>
      <c r="AQ31" s="35">
        <v>2582</v>
      </c>
      <c r="AR31" s="35">
        <v>-1418</v>
      </c>
      <c r="AS31" s="35">
        <v>9621</v>
      </c>
      <c r="AT31" s="59">
        <f t="shared" si="5"/>
        <v>10785</v>
      </c>
      <c r="AU31" s="35">
        <v>-2741</v>
      </c>
      <c r="AV31" s="35"/>
      <c r="AW31" s="35"/>
      <c r="AX31" s="35"/>
      <c r="AY31" s="59"/>
    </row>
    <row r="32" spans="1:51">
      <c r="A32" s="49" t="s">
        <v>143</v>
      </c>
      <c r="B32" s="35">
        <v>-512</v>
      </c>
      <c r="C32" s="35">
        <v>-154.00000000000003</v>
      </c>
      <c r="D32" s="35">
        <v>-1530.0000000000002</v>
      </c>
      <c r="E32" s="35">
        <v>440.00000000000017</v>
      </c>
      <c r="F32" s="59">
        <v>-1756</v>
      </c>
      <c r="G32" s="35">
        <v>-343</v>
      </c>
      <c r="H32" s="35">
        <v>-368.99999999999994</v>
      </c>
      <c r="I32" s="35">
        <v>-396.99999999999994</v>
      </c>
      <c r="J32" s="35">
        <v>-241.00000000000006</v>
      </c>
      <c r="K32" s="59">
        <v>-1350</v>
      </c>
      <c r="L32" s="35">
        <v>-828.00000000000011</v>
      </c>
      <c r="M32" s="35">
        <v>-487.99999999999977</v>
      </c>
      <c r="N32" s="35">
        <v>-972.99999999999989</v>
      </c>
      <c r="O32" s="35">
        <v>837.99999999999966</v>
      </c>
      <c r="P32" s="59">
        <v>-1451</v>
      </c>
      <c r="Q32" s="35">
        <v>-739</v>
      </c>
      <c r="R32" s="35">
        <v>-571.00000000000011</v>
      </c>
      <c r="S32" s="35">
        <v>-1435</v>
      </c>
      <c r="T32" s="35">
        <v>-1091.9999999999995</v>
      </c>
      <c r="U32" s="59">
        <v>-3836.9999999999995</v>
      </c>
      <c r="V32" s="35">
        <v>-1466</v>
      </c>
      <c r="W32" s="35">
        <v>-1235</v>
      </c>
      <c r="X32" s="35">
        <v>-856.99999999999955</v>
      </c>
      <c r="Y32" s="35">
        <v>-644.00000000000034</v>
      </c>
      <c r="Z32" s="59">
        <v>-4202</v>
      </c>
      <c r="AA32" s="35">
        <v>-1276</v>
      </c>
      <c r="AB32" s="35">
        <v>-80.999999999999957</v>
      </c>
      <c r="AC32" s="35">
        <v>-1030</v>
      </c>
      <c r="AD32" s="35">
        <v>-7033.0000000000009</v>
      </c>
      <c r="AE32" s="59">
        <v>-9420.0000000000018</v>
      </c>
      <c r="AF32" s="35">
        <v>-1780</v>
      </c>
      <c r="AG32" s="35">
        <v>-4732</v>
      </c>
      <c r="AH32" s="35">
        <v>-4019</v>
      </c>
      <c r="AI32" s="35">
        <v>-4316</v>
      </c>
      <c r="AJ32" s="59">
        <v>-14847</v>
      </c>
      <c r="AK32" s="35">
        <v>-5232</v>
      </c>
      <c r="AL32" s="35">
        <v>-4272.5393686783664</v>
      </c>
      <c r="AM32" s="35">
        <v>-4810.1356466137586</v>
      </c>
      <c r="AN32" s="35">
        <v>-2809</v>
      </c>
      <c r="AO32" s="59">
        <v>-43694</v>
      </c>
      <c r="AP32" s="35">
        <v>-981</v>
      </c>
      <c r="AQ32" s="35">
        <v>-5122</v>
      </c>
      <c r="AR32" s="35">
        <v>-1044</v>
      </c>
      <c r="AS32" s="35">
        <v>0</v>
      </c>
      <c r="AT32" s="59">
        <f t="shared" si="5"/>
        <v>-7147</v>
      </c>
      <c r="AU32" s="35">
        <v>-981</v>
      </c>
      <c r="AV32" s="35"/>
      <c r="AW32" s="35"/>
      <c r="AX32" s="35"/>
      <c r="AY32" s="59"/>
    </row>
    <row r="33" spans="1:51">
      <c r="A33" s="49" t="s">
        <v>144</v>
      </c>
      <c r="B33" s="35">
        <v>-583</v>
      </c>
      <c r="C33" s="35">
        <v>-279</v>
      </c>
      <c r="D33" s="35">
        <v>-845.99999999999989</v>
      </c>
      <c r="E33" s="35">
        <v>270.99999999999966</v>
      </c>
      <c r="F33" s="59">
        <v>-1437</v>
      </c>
      <c r="G33" s="35">
        <v>-667</v>
      </c>
      <c r="H33" s="35">
        <v>-464.99999999999989</v>
      </c>
      <c r="I33" s="35">
        <v>-404.00000000000011</v>
      </c>
      <c r="J33" s="35">
        <v>-34.999999999999922</v>
      </c>
      <c r="K33" s="59">
        <v>-1571</v>
      </c>
      <c r="L33" s="35">
        <v>-460</v>
      </c>
      <c r="M33" s="35">
        <v>-659</v>
      </c>
      <c r="N33" s="35">
        <v>-607</v>
      </c>
      <c r="O33" s="35">
        <v>-637.99999999999989</v>
      </c>
      <c r="P33" s="59">
        <v>-2364</v>
      </c>
      <c r="Q33" s="35">
        <v>-1154</v>
      </c>
      <c r="R33" s="35">
        <v>-551.00000000000011</v>
      </c>
      <c r="S33" s="35">
        <v>-759.99999999999977</v>
      </c>
      <c r="T33" s="35">
        <v>-711.00000000000034</v>
      </c>
      <c r="U33" s="59">
        <v>-3176</v>
      </c>
      <c r="V33" s="35">
        <v>-1040</v>
      </c>
      <c r="W33" s="35">
        <v>-800</v>
      </c>
      <c r="X33" s="35">
        <v>-1163.0000000000002</v>
      </c>
      <c r="Y33" s="35">
        <v>-586.99999999999955</v>
      </c>
      <c r="Z33" s="59">
        <v>-3590</v>
      </c>
      <c r="AA33" s="35">
        <v>-5117</v>
      </c>
      <c r="AB33" s="35">
        <v>-863.99999999999989</v>
      </c>
      <c r="AC33" s="35">
        <v>-7457.0000000000018</v>
      </c>
      <c r="AD33" s="35">
        <v>-2330</v>
      </c>
      <c r="AE33" s="59">
        <v>-15768.000000000002</v>
      </c>
      <c r="AF33" s="35">
        <v>-9526</v>
      </c>
      <c r="AG33" s="35">
        <v>-1775.9999999999998</v>
      </c>
      <c r="AH33" s="35">
        <v>-12667.000000000002</v>
      </c>
      <c r="AI33" s="35">
        <v>-1525</v>
      </c>
      <c r="AJ33" s="59">
        <v>-25494</v>
      </c>
      <c r="AK33" s="35">
        <v>-13602</v>
      </c>
      <c r="AL33" s="35">
        <v>-4096</v>
      </c>
      <c r="AM33" s="35">
        <v>-11757.596640508786</v>
      </c>
      <c r="AN33" s="35">
        <v>-6581.0415020763758</v>
      </c>
      <c r="AO33" s="59">
        <v>-36037.041502076376</v>
      </c>
      <c r="AP33" s="35">
        <v>-7774.5172781497004</v>
      </c>
      <c r="AQ33" s="35">
        <v>-13397</v>
      </c>
      <c r="AR33" s="35">
        <v>-8308</v>
      </c>
      <c r="AS33" s="35">
        <v>-17774.763379145181</v>
      </c>
      <c r="AT33" s="59">
        <f t="shared" si="5"/>
        <v>-47254.280657294883</v>
      </c>
      <c r="AU33" s="35">
        <v>-6651</v>
      </c>
      <c r="AV33" s="35"/>
      <c r="AW33" s="35"/>
      <c r="AX33" s="35"/>
      <c r="AY33" s="59"/>
    </row>
    <row r="34" spans="1:51">
      <c r="A34" s="49" t="s">
        <v>145</v>
      </c>
      <c r="B34" s="35"/>
      <c r="C34" s="35"/>
      <c r="D34" s="35"/>
      <c r="E34" s="35"/>
      <c r="F34" s="59"/>
      <c r="G34" s="35"/>
      <c r="H34" s="35"/>
      <c r="I34" s="35"/>
      <c r="J34" s="35"/>
      <c r="K34" s="59"/>
      <c r="L34" s="35"/>
      <c r="M34" s="35"/>
      <c r="N34" s="35"/>
      <c r="O34" s="35"/>
      <c r="P34" s="59"/>
      <c r="Q34" s="35"/>
      <c r="R34" s="35"/>
      <c r="S34" s="35"/>
      <c r="T34" s="35"/>
      <c r="U34" s="59"/>
      <c r="V34" s="35"/>
      <c r="W34" s="35"/>
      <c r="X34" s="35"/>
      <c r="Y34" s="35"/>
      <c r="Z34" s="59"/>
      <c r="AA34" s="35"/>
      <c r="AB34" s="35"/>
      <c r="AC34" s="35"/>
      <c r="AD34" s="35"/>
      <c r="AE34" s="59"/>
      <c r="AF34" s="35"/>
      <c r="AG34" s="35"/>
      <c r="AH34" s="35"/>
      <c r="AI34" s="35"/>
      <c r="AJ34" s="59"/>
      <c r="AK34" s="35"/>
      <c r="AL34" s="35">
        <v>-3458</v>
      </c>
      <c r="AM34" s="35"/>
      <c r="AN34" s="35"/>
      <c r="AO34" s="59"/>
      <c r="AP34" s="35">
        <v>-1200</v>
      </c>
      <c r="AQ34" s="35"/>
      <c r="AR34" s="35"/>
      <c r="AS34" s="35"/>
      <c r="AT34" s="59">
        <f t="shared" si="5"/>
        <v>-1200</v>
      </c>
      <c r="AU34" s="35">
        <v>-4632</v>
      </c>
      <c r="AV34" s="35"/>
      <c r="AW34" s="35"/>
      <c r="AX34" s="35"/>
      <c r="AY34" s="59"/>
    </row>
    <row r="35" spans="1:51">
      <c r="A35" s="49" t="s">
        <v>146</v>
      </c>
      <c r="B35" s="35"/>
      <c r="C35" s="35"/>
      <c r="D35" s="35"/>
      <c r="E35" s="35"/>
      <c r="F35" s="59"/>
      <c r="G35" s="35"/>
      <c r="H35" s="35"/>
      <c r="I35" s="35"/>
      <c r="J35" s="35"/>
      <c r="K35" s="59"/>
      <c r="L35" s="35"/>
      <c r="M35" s="35"/>
      <c r="N35" s="35"/>
      <c r="O35" s="35"/>
      <c r="P35" s="59"/>
      <c r="Q35" s="35"/>
      <c r="R35" s="35"/>
      <c r="S35" s="35"/>
      <c r="T35" s="35"/>
      <c r="U35" s="59"/>
      <c r="V35" s="35"/>
      <c r="W35" s="35"/>
      <c r="X35" s="35"/>
      <c r="Y35" s="35"/>
      <c r="Z35" s="59"/>
      <c r="AA35" s="35"/>
      <c r="AB35" s="35"/>
      <c r="AC35" s="35"/>
      <c r="AD35" s="35"/>
      <c r="AE35" s="59"/>
      <c r="AF35" s="35"/>
      <c r="AG35" s="35"/>
      <c r="AH35" s="35"/>
      <c r="AI35" s="35"/>
      <c r="AJ35" s="59"/>
      <c r="AK35" s="35"/>
      <c r="AL35" s="35"/>
      <c r="AM35" s="35"/>
      <c r="AN35" s="35"/>
      <c r="AO35" s="59"/>
      <c r="AP35" s="35"/>
      <c r="AQ35" s="35"/>
      <c r="AR35" s="35"/>
      <c r="AS35" s="35"/>
      <c r="AT35" s="59"/>
      <c r="AU35" s="35">
        <v>350</v>
      </c>
      <c r="AV35" s="35"/>
      <c r="AW35" s="35"/>
      <c r="AX35" s="35"/>
      <c r="AY35" s="59"/>
    </row>
    <row r="36" spans="1:51" s="2" customFormat="1">
      <c r="A36" s="61" t="s">
        <v>147</v>
      </c>
      <c r="B36" s="62">
        <v>3854.0000000000009</v>
      </c>
      <c r="C36" s="62">
        <v>1797.9999999999982</v>
      </c>
      <c r="D36" s="62">
        <v>-4484</v>
      </c>
      <c r="E36" s="62">
        <v>1258.9999999999995</v>
      </c>
      <c r="F36" s="63">
        <v>2426.9999999999968</v>
      </c>
      <c r="G36" s="62">
        <v>-10652.999999999998</v>
      </c>
      <c r="H36" s="62">
        <v>9786</v>
      </c>
      <c r="I36" s="62">
        <v>2250</v>
      </c>
      <c r="J36" s="62">
        <v>-3309</v>
      </c>
      <c r="K36" s="63">
        <v>-1925.9999999999991</v>
      </c>
      <c r="L36" s="62">
        <v>5238.9999999999991</v>
      </c>
      <c r="M36" s="62">
        <v>-3689</v>
      </c>
      <c r="N36" s="62">
        <v>3633.0000000000018</v>
      </c>
      <c r="O36" s="62">
        <v>2711.9999999999991</v>
      </c>
      <c r="P36" s="63">
        <v>7894.9999999999991</v>
      </c>
      <c r="Q36" s="62">
        <v>-387.00000000000057</v>
      </c>
      <c r="R36" s="62">
        <v>-2955.9999999999995</v>
      </c>
      <c r="S36" s="62">
        <v>45279</v>
      </c>
      <c r="T36" s="62">
        <v>-631.00000000000205</v>
      </c>
      <c r="U36" s="63">
        <v>41304.999999999993</v>
      </c>
      <c r="V36" s="62">
        <v>17375.999999999996</v>
      </c>
      <c r="W36" s="62">
        <v>-61855.999999999985</v>
      </c>
      <c r="X36" s="62">
        <v>64376.000000000007</v>
      </c>
      <c r="Y36" s="62">
        <v>-28525.000000000015</v>
      </c>
      <c r="Z36" s="63">
        <v>-8629.0000000000036</v>
      </c>
      <c r="AA36" s="62">
        <v>4735</v>
      </c>
      <c r="AB36" s="62">
        <v>49675</v>
      </c>
      <c r="AC36" s="62">
        <v>-13038.999999999993</v>
      </c>
      <c r="AD36" s="62">
        <v>-19496.000000000018</v>
      </c>
      <c r="AE36" s="63">
        <v>21874.999999999985</v>
      </c>
      <c r="AF36" s="62">
        <v>-19825</v>
      </c>
      <c r="AG36" s="62">
        <v>13606.999999999996</v>
      </c>
      <c r="AH36" s="62">
        <v>60650.000000000007</v>
      </c>
      <c r="AI36" s="62">
        <v>25002</v>
      </c>
      <c r="AJ36" s="63">
        <v>79434</v>
      </c>
      <c r="AK36" s="62">
        <v>-14832.342104340714</v>
      </c>
      <c r="AL36" s="62">
        <v>-42243.703538678317</v>
      </c>
      <c r="AM36" s="62">
        <v>-15999.067077418988</v>
      </c>
      <c r="AN36" s="62">
        <v>78272.951529387341</v>
      </c>
      <c r="AO36" s="63">
        <v>5197.9515293873465</v>
      </c>
      <c r="AP36" s="62">
        <f>SUM(AP21:AP34)</f>
        <v>-44723.837329933318</v>
      </c>
      <c r="AQ36" s="62">
        <f t="shared" ref="AQ36:AS36" si="6">SUM(AQ21:AQ34)</f>
        <v>-55748</v>
      </c>
      <c r="AR36" s="62">
        <f t="shared" si="6"/>
        <v>122561</v>
      </c>
      <c r="AS36" s="62">
        <f t="shared" si="6"/>
        <v>-58877.349458400684</v>
      </c>
      <c r="AT36" s="63">
        <f t="shared" si="5"/>
        <v>-36788.186788334002</v>
      </c>
      <c r="AU36" s="62">
        <f>SUM(AU21:AU35)</f>
        <v>-92877</v>
      </c>
      <c r="AV36" s="62"/>
      <c r="AW36" s="62"/>
      <c r="AX36" s="62"/>
      <c r="AY36" s="63"/>
    </row>
    <row r="37" spans="1:51" s="2" customFormat="1">
      <c r="A37" s="31"/>
      <c r="B37" s="64"/>
      <c r="C37" s="64"/>
      <c r="D37" s="64"/>
      <c r="E37" s="64"/>
      <c r="F37" s="65"/>
      <c r="G37" s="64"/>
      <c r="H37" s="64"/>
      <c r="I37" s="64"/>
      <c r="J37" s="64"/>
      <c r="K37" s="65"/>
      <c r="L37" s="64"/>
      <c r="M37" s="64"/>
      <c r="N37" s="64"/>
      <c r="O37" s="64"/>
      <c r="P37" s="65"/>
      <c r="Q37" s="64"/>
      <c r="R37" s="64"/>
      <c r="S37" s="64"/>
      <c r="T37" s="64"/>
      <c r="U37" s="65"/>
      <c r="V37" s="64"/>
      <c r="W37" s="64"/>
      <c r="X37" s="64"/>
      <c r="Y37" s="64"/>
      <c r="Z37" s="65"/>
      <c r="AA37" s="64"/>
      <c r="AB37" s="64"/>
      <c r="AC37" s="64"/>
      <c r="AD37" s="64"/>
      <c r="AE37" s="65"/>
      <c r="AF37" s="64">
        <v>0</v>
      </c>
      <c r="AG37" s="64">
        <v>0</v>
      </c>
      <c r="AH37" s="64">
        <v>0</v>
      </c>
      <c r="AI37" s="64">
        <v>0</v>
      </c>
      <c r="AJ37" s="65"/>
      <c r="AK37" s="64"/>
      <c r="AL37" s="64"/>
      <c r="AM37" s="64"/>
      <c r="AN37" s="64"/>
      <c r="AO37" s="65"/>
      <c r="AP37" s="64"/>
      <c r="AQ37" s="64"/>
      <c r="AR37" s="64"/>
      <c r="AS37" s="64"/>
      <c r="AT37" s="65"/>
      <c r="AU37" s="64"/>
      <c r="AV37" s="64"/>
      <c r="AW37" s="64"/>
      <c r="AX37" s="64"/>
      <c r="AY37" s="65"/>
    </row>
    <row r="38" spans="1:51" s="2" customFormat="1">
      <c r="A38" s="31"/>
      <c r="B38" s="64"/>
      <c r="C38" s="64"/>
      <c r="D38" s="64"/>
      <c r="E38" s="64"/>
      <c r="F38" s="65"/>
      <c r="G38" s="64"/>
      <c r="H38" s="64"/>
      <c r="I38" s="64"/>
      <c r="J38" s="64"/>
      <c r="K38" s="65"/>
      <c r="L38" s="64"/>
      <c r="M38" s="64"/>
      <c r="N38" s="64"/>
      <c r="O38" s="64"/>
      <c r="P38" s="65"/>
      <c r="Q38" s="64"/>
      <c r="R38" s="64"/>
      <c r="S38" s="64"/>
      <c r="T38" s="64"/>
      <c r="U38" s="65"/>
      <c r="V38" s="64"/>
      <c r="W38" s="64"/>
      <c r="X38" s="64"/>
      <c r="Y38" s="64"/>
      <c r="Z38" s="65"/>
      <c r="AA38" s="64"/>
      <c r="AB38" s="64"/>
      <c r="AC38" s="64"/>
      <c r="AD38" s="64"/>
      <c r="AE38" s="65"/>
      <c r="AF38" s="64"/>
      <c r="AG38" s="64"/>
      <c r="AH38" s="64"/>
      <c r="AI38" s="64"/>
      <c r="AJ38" s="65"/>
      <c r="AK38" s="64"/>
      <c r="AL38" s="64"/>
      <c r="AM38" s="64"/>
      <c r="AN38" s="64"/>
      <c r="AO38" s="65"/>
      <c r="AP38" s="64"/>
      <c r="AQ38" s="64"/>
      <c r="AR38" s="64"/>
      <c r="AS38" s="64"/>
      <c r="AT38" s="65"/>
      <c r="AU38" s="64"/>
      <c r="AV38" s="64"/>
      <c r="AW38" s="64"/>
      <c r="AX38" s="64"/>
      <c r="AY38" s="65"/>
    </row>
    <row r="39" spans="1:51">
      <c r="A39" s="49"/>
      <c r="B39" s="58"/>
      <c r="C39" s="58"/>
      <c r="D39" s="58"/>
      <c r="E39" s="58"/>
      <c r="F39" s="59"/>
      <c r="G39" s="58"/>
      <c r="H39" s="58"/>
      <c r="I39" s="58"/>
      <c r="J39" s="58"/>
      <c r="K39" s="59"/>
      <c r="L39" s="58"/>
      <c r="M39" s="58"/>
      <c r="N39" s="58"/>
      <c r="O39" s="58"/>
      <c r="P39" s="59"/>
      <c r="Q39" s="58"/>
      <c r="R39" s="58"/>
      <c r="S39" s="58"/>
      <c r="T39" s="58"/>
      <c r="U39" s="59"/>
      <c r="V39" s="58"/>
      <c r="W39" s="58"/>
      <c r="X39" s="58"/>
      <c r="Y39" s="58"/>
      <c r="Z39" s="59"/>
      <c r="AA39" s="58"/>
      <c r="AB39" s="58"/>
      <c r="AC39" s="58"/>
      <c r="AD39" s="58"/>
      <c r="AE39" s="59"/>
      <c r="AF39" s="58"/>
      <c r="AG39" s="58"/>
      <c r="AH39" s="58"/>
      <c r="AI39" s="58"/>
      <c r="AJ39" s="59"/>
      <c r="AK39" s="58"/>
      <c r="AL39" s="58"/>
      <c r="AM39" s="58"/>
      <c r="AN39" s="58"/>
      <c r="AO39" s="59"/>
      <c r="AP39" s="58"/>
      <c r="AQ39" s="58"/>
      <c r="AR39" s="58"/>
      <c r="AS39" s="58"/>
      <c r="AT39" s="59"/>
      <c r="AU39" s="58"/>
      <c r="AV39" s="58"/>
      <c r="AW39" s="58"/>
      <c r="AX39" s="58"/>
      <c r="AY39" s="59"/>
    </row>
    <row r="40" spans="1:51" s="2" customFormat="1">
      <c r="A40" s="61" t="s">
        <v>148</v>
      </c>
      <c r="B40" s="62">
        <v>607.00000000000375</v>
      </c>
      <c r="C40" s="62">
        <v>4508</v>
      </c>
      <c r="D40" s="62">
        <v>-5344</v>
      </c>
      <c r="E40" s="62">
        <v>1305</v>
      </c>
      <c r="F40" s="63">
        <v>1075.9999999999916</v>
      </c>
      <c r="G40" s="62">
        <v>20641</v>
      </c>
      <c r="H40" s="62">
        <v>5195</v>
      </c>
      <c r="I40" s="62">
        <v>-7893</v>
      </c>
      <c r="J40" s="62">
        <v>-19225</v>
      </c>
      <c r="K40" s="63">
        <v>-1282</v>
      </c>
      <c r="L40" s="62">
        <v>8338</v>
      </c>
      <c r="M40" s="62">
        <v>-3833</v>
      </c>
      <c r="N40" s="62">
        <v>8695.9999999999982</v>
      </c>
      <c r="O40" s="62">
        <v>15162.000000000002</v>
      </c>
      <c r="P40" s="63">
        <v>28362.999999999996</v>
      </c>
      <c r="Q40" s="62">
        <v>-9172</v>
      </c>
      <c r="R40" s="62">
        <v>-3308.0000000000014</v>
      </c>
      <c r="S40" s="62">
        <v>59328</v>
      </c>
      <c r="T40" s="62">
        <v>32060.000000000044</v>
      </c>
      <c r="U40" s="63">
        <v>78908.000000000044</v>
      </c>
      <c r="V40" s="62">
        <v>32996.000000000007</v>
      </c>
      <c r="W40" s="62">
        <v>-53113.999999999985</v>
      </c>
      <c r="X40" s="62">
        <v>67187.000000000029</v>
      </c>
      <c r="Y40" s="62">
        <v>-3356.9999999999745</v>
      </c>
      <c r="Z40" s="63">
        <v>43712.000000000109</v>
      </c>
      <c r="AA40" s="62">
        <v>32339</v>
      </c>
      <c r="AB40" s="62">
        <v>24109</v>
      </c>
      <c r="AC40" s="62">
        <v>-97021.999999999985</v>
      </c>
      <c r="AD40" s="62">
        <v>6984.9999999999745</v>
      </c>
      <c r="AE40" s="63">
        <v>-39259.000000000044</v>
      </c>
      <c r="AF40" s="62">
        <v>-24501</v>
      </c>
      <c r="AG40" s="62">
        <v>6673</v>
      </c>
      <c r="AH40" s="62">
        <v>68945.000000000015</v>
      </c>
      <c r="AI40" s="62">
        <v>57341</v>
      </c>
      <c r="AJ40" s="63">
        <v>110446</v>
      </c>
      <c r="AK40" s="62">
        <v>-19997</v>
      </c>
      <c r="AL40" s="62">
        <v>-10893</v>
      </c>
      <c r="AM40" s="62">
        <v>288</v>
      </c>
      <c r="AN40" s="62">
        <v>81633</v>
      </c>
      <c r="AO40" s="63">
        <v>32894</v>
      </c>
      <c r="AP40" s="62">
        <v>-73758</v>
      </c>
      <c r="AQ40" s="62">
        <v>-26648</v>
      </c>
      <c r="AR40" s="62">
        <v>184052</v>
      </c>
      <c r="AS40" s="62">
        <v>-68243.791414660984</v>
      </c>
      <c r="AT40" s="63">
        <v>14419</v>
      </c>
      <c r="AU40" s="62">
        <v>-19390</v>
      </c>
      <c r="AV40" s="62"/>
      <c r="AW40" s="62"/>
      <c r="AX40" s="62"/>
      <c r="AY40" s="260"/>
    </row>
    <row r="41" spans="1:51" s="2" customFormat="1">
      <c r="A41" s="31" t="s">
        <v>149</v>
      </c>
      <c r="B41" s="64">
        <v>0</v>
      </c>
      <c r="C41" s="64">
        <v>0</v>
      </c>
      <c r="D41" s="64">
        <v>0</v>
      </c>
      <c r="E41" s="64">
        <v>0</v>
      </c>
      <c r="F41" s="65">
        <v>0</v>
      </c>
      <c r="G41" s="64">
        <v>0</v>
      </c>
      <c r="H41" s="64">
        <v>0</v>
      </c>
      <c r="I41" s="64">
        <v>0</v>
      </c>
      <c r="J41" s="64">
        <v>0</v>
      </c>
      <c r="K41" s="65">
        <v>0</v>
      </c>
      <c r="L41" s="64">
        <v>0</v>
      </c>
      <c r="M41" s="64">
        <v>0</v>
      </c>
      <c r="N41" s="64">
        <v>0</v>
      </c>
      <c r="O41" s="64">
        <v>-259</v>
      </c>
      <c r="P41" s="65">
        <v>-259</v>
      </c>
      <c r="Q41" s="64">
        <v>-2131</v>
      </c>
      <c r="R41" s="64">
        <v>-44.000000000000092</v>
      </c>
      <c r="S41" s="64">
        <v>-82.000000000000298</v>
      </c>
      <c r="T41" s="64">
        <v>562</v>
      </c>
      <c r="U41" s="65">
        <v>-1695</v>
      </c>
      <c r="V41" s="64">
        <v>-1825</v>
      </c>
      <c r="W41" s="64">
        <v>3945.9999999999995</v>
      </c>
      <c r="X41" s="64">
        <v>-1329.9999999999998</v>
      </c>
      <c r="Y41" s="64">
        <v>-1477</v>
      </c>
      <c r="Z41" s="65">
        <v>-686.00000000000034</v>
      </c>
      <c r="AA41" s="64">
        <v>12631</v>
      </c>
      <c r="AB41" s="64">
        <v>-6998</v>
      </c>
      <c r="AC41" s="64">
        <v>-1571.9999999999991</v>
      </c>
      <c r="AD41" s="64">
        <v>1608.9999999999982</v>
      </c>
      <c r="AE41" s="65">
        <v>5669.9999999999991</v>
      </c>
      <c r="AF41" s="64">
        <v>403</v>
      </c>
      <c r="AG41" s="64">
        <v>510</v>
      </c>
      <c r="AH41" s="64">
        <v>796.99999999999966</v>
      </c>
      <c r="AI41" s="64">
        <v>965</v>
      </c>
      <c r="AJ41" s="65">
        <v>-1052</v>
      </c>
      <c r="AK41" s="64">
        <v>-3231.3321278816038</v>
      </c>
      <c r="AL41" s="64">
        <v>-11210.43462054285</v>
      </c>
      <c r="AM41" s="64">
        <v>3729</v>
      </c>
      <c r="AN41" s="64">
        <v>-7423.1341349683244</v>
      </c>
      <c r="AO41" s="65">
        <v>-18136.134134968324</v>
      </c>
      <c r="AP41" s="64">
        <v>1635.0057343113899</v>
      </c>
      <c r="AQ41" s="64">
        <v>-3480</v>
      </c>
      <c r="AR41" s="64">
        <v>-576</v>
      </c>
      <c r="AS41" s="64">
        <v>2885.7193635262947</v>
      </c>
      <c r="AT41" s="65">
        <v>1448</v>
      </c>
      <c r="AU41" s="64">
        <v>1123</v>
      </c>
      <c r="AV41" s="64"/>
      <c r="AW41" s="64"/>
      <c r="AX41" s="64"/>
      <c r="AY41" s="261"/>
    </row>
    <row r="42" spans="1:51">
      <c r="A42" s="61" t="s">
        <v>150</v>
      </c>
      <c r="B42" s="62"/>
      <c r="C42" s="62">
        <f>'3. Balance Sheet'!B8</f>
        <v>11320</v>
      </c>
      <c r="D42" s="62">
        <f>'3. Balance Sheet'!C8</f>
        <v>15828</v>
      </c>
      <c r="E42" s="62">
        <f>'3. Balance Sheet'!D8</f>
        <v>10484</v>
      </c>
      <c r="F42" s="63"/>
      <c r="G42" s="62">
        <f>'3. Balance Sheet'!F8</f>
        <v>11789</v>
      </c>
      <c r="H42" s="62">
        <f>'3. Balance Sheet'!G8</f>
        <v>32430</v>
      </c>
      <c r="I42" s="62">
        <f>'3. Balance Sheet'!H8</f>
        <v>37625</v>
      </c>
      <c r="J42" s="62">
        <f>'3. Balance Sheet'!I8</f>
        <v>29732</v>
      </c>
      <c r="K42" s="63">
        <f>G42</f>
        <v>11789</v>
      </c>
      <c r="L42" s="62">
        <f>'3. Balance Sheet'!K8</f>
        <v>10507</v>
      </c>
      <c r="M42" s="62">
        <f>'3. Balance Sheet'!L8</f>
        <v>18845</v>
      </c>
      <c r="N42" s="62">
        <f>'3. Balance Sheet'!M8</f>
        <v>15012</v>
      </c>
      <c r="O42" s="62">
        <f>'3. Balance Sheet'!N8</f>
        <v>23708</v>
      </c>
      <c r="P42" s="63">
        <f>L42</f>
        <v>10507</v>
      </c>
      <c r="Q42" s="62">
        <f>'3. Balance Sheet'!P8</f>
        <v>38870</v>
      </c>
      <c r="R42" s="62">
        <f>'3. Balance Sheet'!Q8</f>
        <v>29698</v>
      </c>
      <c r="S42" s="62">
        <f>'3. Balance Sheet'!R8</f>
        <v>26390</v>
      </c>
      <c r="T42" s="62">
        <f>'3. Balance Sheet'!S8</f>
        <v>85718</v>
      </c>
      <c r="U42" s="63">
        <f>Q42</f>
        <v>38870</v>
      </c>
      <c r="V42" s="62">
        <f>'3. Balance Sheet'!U8</f>
        <v>117778</v>
      </c>
      <c r="W42" s="62">
        <f>'3. Balance Sheet'!V8</f>
        <v>150774</v>
      </c>
      <c r="X42" s="62">
        <f>'3. Balance Sheet'!W8</f>
        <v>97661</v>
      </c>
      <c r="Y42" s="62">
        <f>'3. Balance Sheet'!X8</f>
        <v>164848</v>
      </c>
      <c r="Z42" s="63">
        <f>V42</f>
        <v>117778</v>
      </c>
      <c r="AA42" s="62">
        <f>'3. Balance Sheet'!Z8</f>
        <v>161490</v>
      </c>
      <c r="AB42" s="62">
        <f>'3. Balance Sheet'!AA8</f>
        <v>193829</v>
      </c>
      <c r="AC42" s="62">
        <f>'3. Balance Sheet'!AB8</f>
        <v>217938</v>
      </c>
      <c r="AD42" s="62">
        <f>'3. Balance Sheet'!AC8</f>
        <v>120916</v>
      </c>
      <c r="AE42" s="63">
        <f>AA42</f>
        <v>161490</v>
      </c>
      <c r="AF42" s="62">
        <f>'3. Balance Sheet'!AE8</f>
        <v>127901</v>
      </c>
      <c r="AG42" s="62">
        <f>'3. Balance Sheet'!AF8</f>
        <v>103400</v>
      </c>
      <c r="AH42" s="62">
        <f>'3. Balance Sheet'!AG8</f>
        <v>110074</v>
      </c>
      <c r="AI42" s="62">
        <v>178989</v>
      </c>
      <c r="AJ42" s="63">
        <v>127901</v>
      </c>
      <c r="AK42" s="62">
        <v>237295</v>
      </c>
      <c r="AL42" s="62">
        <v>214066</v>
      </c>
      <c r="AM42" s="62">
        <v>191963</v>
      </c>
      <c r="AN42" s="62">
        <v>195978.81320944056</v>
      </c>
      <c r="AO42" s="63">
        <v>237295</v>
      </c>
      <c r="AP42" s="62">
        <v>270188.81320944056</v>
      </c>
      <c r="AQ42" s="62">
        <v>198066</v>
      </c>
      <c r="AR42" s="62">
        <v>167938</v>
      </c>
      <c r="AS42" s="62">
        <v>351414</v>
      </c>
      <c r="AT42" s="63">
        <f>AP42</f>
        <v>270188.81320944056</v>
      </c>
      <c r="AU42" s="62">
        <v>286056</v>
      </c>
      <c r="AV42" s="62"/>
      <c r="AW42" s="62"/>
      <c r="AX42" s="62"/>
      <c r="AY42" s="63"/>
    </row>
    <row r="43" spans="1:51">
      <c r="A43" s="61" t="s">
        <v>151</v>
      </c>
      <c r="B43" s="62">
        <f>'3. Balance Sheet'!B8</f>
        <v>11320</v>
      </c>
      <c r="C43" s="62">
        <f>'3. Balance Sheet'!C8</f>
        <v>15828</v>
      </c>
      <c r="D43" s="62">
        <f>'3. Balance Sheet'!D8</f>
        <v>10484</v>
      </c>
      <c r="E43" s="62">
        <f>'3. Balance Sheet'!E8</f>
        <v>11789</v>
      </c>
      <c r="F43" s="63">
        <f>'3. Balance Sheet'!F8</f>
        <v>11789</v>
      </c>
      <c r="G43" s="62">
        <f>'3. Balance Sheet'!G8</f>
        <v>32430</v>
      </c>
      <c r="H43" s="62">
        <f>'3. Balance Sheet'!H8</f>
        <v>37625</v>
      </c>
      <c r="I43" s="62">
        <f>'3. Balance Sheet'!I8</f>
        <v>29732</v>
      </c>
      <c r="J43" s="62">
        <f>'3. Balance Sheet'!J8</f>
        <v>10507</v>
      </c>
      <c r="K43" s="63">
        <f>'3. Balance Sheet'!K8</f>
        <v>10507</v>
      </c>
      <c r="L43" s="62">
        <f>'3. Balance Sheet'!L8</f>
        <v>18845</v>
      </c>
      <c r="M43" s="62">
        <f>'3. Balance Sheet'!M8</f>
        <v>15012</v>
      </c>
      <c r="N43" s="62">
        <f>'3. Balance Sheet'!N8</f>
        <v>23708</v>
      </c>
      <c r="O43" s="62">
        <f>'3. Balance Sheet'!O8</f>
        <v>38870</v>
      </c>
      <c r="P43" s="63">
        <f>'3. Balance Sheet'!P8</f>
        <v>38870</v>
      </c>
      <c r="Q43" s="62">
        <f>'3. Balance Sheet'!Q8</f>
        <v>29698</v>
      </c>
      <c r="R43" s="62">
        <f>'3. Balance Sheet'!R8</f>
        <v>26390</v>
      </c>
      <c r="S43" s="62">
        <f>'3. Balance Sheet'!S8</f>
        <v>85718</v>
      </c>
      <c r="T43" s="62">
        <f>'3. Balance Sheet'!T8</f>
        <v>117778</v>
      </c>
      <c r="U43" s="63">
        <f>'3. Balance Sheet'!U8</f>
        <v>117778</v>
      </c>
      <c r="V43" s="62">
        <f>'3. Balance Sheet'!V8</f>
        <v>150774</v>
      </c>
      <c r="W43" s="62">
        <f>'3. Balance Sheet'!W8</f>
        <v>97661</v>
      </c>
      <c r="X43" s="62">
        <f>'3. Balance Sheet'!X8</f>
        <v>164848</v>
      </c>
      <c r="Y43" s="62">
        <f>'3. Balance Sheet'!Y8</f>
        <v>161490</v>
      </c>
      <c r="Z43" s="63">
        <f>'3. Balance Sheet'!Z8</f>
        <v>161490</v>
      </c>
      <c r="AA43" s="62">
        <f>'3. Balance Sheet'!AA8</f>
        <v>193829</v>
      </c>
      <c r="AB43" s="62">
        <f>'3. Balance Sheet'!AB8</f>
        <v>217938</v>
      </c>
      <c r="AC43" s="62">
        <f>'3. Balance Sheet'!AC8</f>
        <v>120916</v>
      </c>
      <c r="AD43" s="62">
        <f>'3. Balance Sheet'!AD8</f>
        <v>127901</v>
      </c>
      <c r="AE43" s="63">
        <f>'3. Balance Sheet'!AE8</f>
        <v>127901</v>
      </c>
      <c r="AF43" s="62">
        <f>'3. Balance Sheet'!AF8</f>
        <v>103400</v>
      </c>
      <c r="AG43" s="62">
        <f>'3. Balance Sheet'!AG8</f>
        <v>110074</v>
      </c>
      <c r="AH43" s="62">
        <f>'3. Balance Sheet'!AH8</f>
        <v>178989</v>
      </c>
      <c r="AI43" s="62">
        <v>237295</v>
      </c>
      <c r="AJ43" s="63">
        <v>237295</v>
      </c>
      <c r="AK43" s="62">
        <v>214066</v>
      </c>
      <c r="AL43" s="62">
        <v>191963</v>
      </c>
      <c r="AM43" s="62">
        <v>195980</v>
      </c>
      <c r="AN43" s="62">
        <v>270189</v>
      </c>
      <c r="AO43" s="63">
        <v>270189.34102515777</v>
      </c>
      <c r="AP43" s="62">
        <v>198065.89920394018</v>
      </c>
      <c r="AQ43" s="62">
        <v>167938</v>
      </c>
      <c r="AR43" s="62">
        <v>351414</v>
      </c>
      <c r="AS43" s="62">
        <v>286055.92794886534</v>
      </c>
      <c r="AT43" s="63">
        <f>'3. Balance Sheet'!AT8</f>
        <v>286056</v>
      </c>
      <c r="AU43" s="62">
        <v>267789</v>
      </c>
      <c r="AV43" s="62"/>
      <c r="AW43" s="62"/>
      <c r="AX43" s="62"/>
      <c r="AY43" s="63"/>
    </row>
    <row r="44" spans="1:5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N44" s="242"/>
      <c r="AO44" s="242"/>
      <c r="AP44" s="242"/>
      <c r="AQ44" s="242"/>
      <c r="AR44" s="28"/>
      <c r="AS44" s="242"/>
      <c r="AT44" s="242"/>
      <c r="AU44" s="242"/>
      <c r="AV44" s="242"/>
      <c r="AW44" s="28"/>
      <c r="AX44" s="242"/>
      <c r="AY44" s="242"/>
    </row>
    <row r="45" spans="1:5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N45" s="3"/>
      <c r="AO45" s="3"/>
      <c r="AP45" s="3"/>
      <c r="AS45" s="3"/>
      <c r="AT45" s="3"/>
      <c r="AU45" s="3"/>
      <c r="AX45" s="3"/>
      <c r="AY45" s="3"/>
    </row>
    <row r="46" spans="1:5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N46" s="3"/>
      <c r="AO46" s="3"/>
      <c r="AP46" s="3"/>
      <c r="AS46" s="3"/>
      <c r="AT46" s="3"/>
      <c r="AU46" s="3"/>
      <c r="AX46" s="3"/>
      <c r="AY46" s="3"/>
    </row>
    <row r="47" spans="1:5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N47" s="3"/>
      <c r="AO47" s="3"/>
      <c r="AP47" s="3"/>
      <c r="AS47" s="3"/>
      <c r="AT47" s="3"/>
      <c r="AU47" s="3"/>
      <c r="AX47" s="3"/>
      <c r="AY47" s="3"/>
    </row>
    <row r="48" spans="1:5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N48" s="3"/>
      <c r="AO48" s="3"/>
      <c r="AP48" s="3"/>
      <c r="AS48" s="3"/>
      <c r="AT48" s="3"/>
      <c r="AU48" s="3"/>
      <c r="AX48" s="3"/>
      <c r="AY48" s="3"/>
    </row>
    <row r="49" spans="1:5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N49" s="3"/>
      <c r="AO49" s="3"/>
      <c r="AP49" s="3"/>
      <c r="AS49" s="3"/>
      <c r="AT49" s="3"/>
      <c r="AU49" s="3"/>
      <c r="AX49" s="3"/>
      <c r="AY49" s="3"/>
    </row>
    <row r="50" spans="1:5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N50" s="3"/>
      <c r="AO50" s="3"/>
      <c r="AP50" s="3"/>
      <c r="AS50" s="3"/>
      <c r="AT50" s="3"/>
      <c r="AU50" s="3"/>
      <c r="AX50" s="3"/>
      <c r="AY50" s="3"/>
    </row>
    <row r="51" spans="1:5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N51" s="3"/>
      <c r="AO51" s="3"/>
      <c r="AP51" s="3"/>
      <c r="AS51" s="3"/>
      <c r="AT51" s="3"/>
      <c r="AU51" s="3"/>
      <c r="AX51" s="3"/>
      <c r="AY51" s="3"/>
    </row>
    <row r="52" spans="1:5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N52" s="3"/>
      <c r="AO52" s="3"/>
      <c r="AP52" s="3"/>
      <c r="AS52" s="3"/>
      <c r="AT52" s="3"/>
      <c r="AU52" s="3"/>
      <c r="AX52" s="3"/>
      <c r="AY52" s="3"/>
    </row>
    <row r="53" spans="1:5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N53" s="3"/>
      <c r="AO53" s="3"/>
      <c r="AP53" s="3"/>
      <c r="AS53" s="3"/>
      <c r="AT53" s="3"/>
      <c r="AU53" s="3"/>
      <c r="AX53" s="3"/>
      <c r="AY53" s="3"/>
    </row>
    <row r="54" spans="1:5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N54" s="3"/>
      <c r="AO54" s="3"/>
      <c r="AP54" s="3"/>
      <c r="AS54" s="3"/>
      <c r="AT54" s="3"/>
      <c r="AU54" s="3"/>
      <c r="AX54" s="3"/>
      <c r="AY54" s="3"/>
    </row>
    <row r="55" spans="1:5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N55" s="3"/>
      <c r="AO55" s="3"/>
      <c r="AP55" s="3"/>
      <c r="AS55" s="3"/>
      <c r="AT55" s="3"/>
      <c r="AU55" s="3"/>
      <c r="AX55" s="3"/>
      <c r="AY55" s="3"/>
    </row>
    <row r="56" spans="1:5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N56" s="3"/>
      <c r="AO56" s="3"/>
      <c r="AP56" s="3"/>
      <c r="AS56" s="3"/>
      <c r="AT56" s="3"/>
      <c r="AU56" s="3"/>
      <c r="AX56" s="3"/>
      <c r="AY56" s="3"/>
    </row>
    <row r="57" spans="1:5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N57" s="3"/>
      <c r="AO57" s="3"/>
      <c r="AP57" s="3"/>
      <c r="AS57" s="3"/>
      <c r="AT57" s="3"/>
      <c r="AU57" s="3"/>
      <c r="AX57" s="3"/>
      <c r="AY57" s="3"/>
    </row>
    <row r="58" spans="1:5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N58" s="3"/>
      <c r="AO58" s="3"/>
      <c r="AP58" s="3"/>
      <c r="AS58" s="3"/>
      <c r="AT58" s="3"/>
      <c r="AU58" s="3"/>
      <c r="AX58" s="3"/>
      <c r="AY58" s="3"/>
    </row>
    <row r="59" spans="1:5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N59" s="3"/>
      <c r="AO59" s="3"/>
      <c r="AP59" s="3"/>
      <c r="AS59" s="3"/>
      <c r="AT59" s="3"/>
      <c r="AU59" s="3"/>
      <c r="AX59" s="3"/>
      <c r="AY59" s="3"/>
    </row>
    <row r="60" spans="1:5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N60" s="3"/>
      <c r="AO60" s="3"/>
      <c r="AP60" s="3"/>
      <c r="AS60" s="3"/>
      <c r="AT60" s="3"/>
      <c r="AU60" s="3"/>
      <c r="AX60" s="3"/>
      <c r="AY60" s="3"/>
    </row>
    <row r="61" spans="1:5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N61" s="3"/>
      <c r="AO61" s="3"/>
      <c r="AP61" s="3"/>
      <c r="AS61" s="3"/>
      <c r="AT61" s="3"/>
      <c r="AU61" s="3"/>
      <c r="AX61" s="3"/>
      <c r="AY61" s="3"/>
    </row>
    <row r="62" spans="1:5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N62" s="3"/>
      <c r="AO62" s="3"/>
      <c r="AP62" s="3"/>
      <c r="AS62" s="3"/>
      <c r="AT62" s="3"/>
      <c r="AU62" s="3"/>
      <c r="AX62" s="3"/>
      <c r="AY62" s="3"/>
    </row>
    <row r="63" spans="1:5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N63" s="3"/>
      <c r="AO63" s="3"/>
      <c r="AP63" s="3"/>
      <c r="AS63" s="3"/>
      <c r="AT63" s="3"/>
      <c r="AU63" s="3"/>
      <c r="AX63" s="3"/>
      <c r="AY63" s="3"/>
    </row>
    <row r="64" spans="1:5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N64" s="3"/>
      <c r="AO64" s="3"/>
      <c r="AP64" s="3"/>
      <c r="AS64" s="3"/>
      <c r="AT64" s="3"/>
      <c r="AU64" s="3"/>
      <c r="AX64" s="3"/>
      <c r="AY64" s="3"/>
    </row>
    <row r="65" spans="1:5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N65" s="3"/>
      <c r="AO65" s="3"/>
      <c r="AP65" s="3"/>
      <c r="AS65" s="3"/>
      <c r="AT65" s="3"/>
      <c r="AU65" s="3"/>
      <c r="AX65" s="3"/>
      <c r="AY65" s="3"/>
    </row>
    <row r="66" spans="1:5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N66" s="3"/>
      <c r="AO66" s="3"/>
      <c r="AP66" s="3"/>
      <c r="AS66" s="3"/>
      <c r="AT66" s="3"/>
      <c r="AU66" s="3"/>
      <c r="AX66" s="3"/>
      <c r="AY66" s="3"/>
    </row>
    <row r="67" spans="1:5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N67" s="3"/>
      <c r="AO67" s="3"/>
      <c r="AP67" s="3"/>
      <c r="AS67" s="3"/>
      <c r="AT67" s="3"/>
      <c r="AU67" s="3"/>
      <c r="AX67" s="3"/>
      <c r="AY67" s="3"/>
    </row>
    <row r="68" spans="1:5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N68" s="3"/>
      <c r="AO68" s="3"/>
      <c r="AP68" s="3"/>
      <c r="AS68" s="3"/>
      <c r="AT68" s="3"/>
      <c r="AU68" s="3"/>
      <c r="AX68" s="3"/>
      <c r="AY68" s="3"/>
    </row>
    <row r="69" spans="1:5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N69" s="3"/>
      <c r="AO69" s="3"/>
      <c r="AP69" s="3"/>
      <c r="AS69" s="3"/>
      <c r="AT69" s="3"/>
      <c r="AU69" s="3"/>
      <c r="AX69" s="3"/>
      <c r="AY69" s="3"/>
    </row>
    <row r="70" spans="1:5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N70" s="3"/>
      <c r="AO70" s="3"/>
      <c r="AP70" s="3"/>
      <c r="AS70" s="3"/>
      <c r="AT70" s="3"/>
      <c r="AU70" s="3"/>
      <c r="AX70" s="3"/>
      <c r="AY70" s="3"/>
    </row>
    <row r="71" spans="1:5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N71" s="3"/>
      <c r="AO71" s="3"/>
      <c r="AP71" s="3"/>
      <c r="AS71" s="3"/>
      <c r="AT71" s="3"/>
      <c r="AU71" s="3"/>
      <c r="AX71" s="3"/>
      <c r="AY71" s="3"/>
    </row>
    <row r="72" spans="1:5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N72" s="3"/>
      <c r="AO72" s="3"/>
      <c r="AP72" s="3"/>
      <c r="AS72" s="3"/>
      <c r="AT72" s="3"/>
      <c r="AU72" s="3"/>
      <c r="AX72" s="3"/>
      <c r="AY72" s="3"/>
    </row>
    <row r="73" spans="1:5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N73" s="3"/>
      <c r="AO73" s="3"/>
      <c r="AP73" s="3"/>
      <c r="AS73" s="3"/>
      <c r="AT73" s="3"/>
      <c r="AU73" s="3"/>
      <c r="AX73" s="3"/>
      <c r="AY73" s="3"/>
    </row>
    <row r="74" spans="1:5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N74" s="3"/>
      <c r="AO74" s="3"/>
      <c r="AP74" s="3"/>
      <c r="AS74" s="3"/>
      <c r="AT74" s="3"/>
      <c r="AU74" s="3"/>
      <c r="AX74" s="3"/>
      <c r="AY74" s="3"/>
    </row>
    <row r="75" spans="1:5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N75" s="3"/>
      <c r="AO75" s="3"/>
      <c r="AP75" s="3"/>
      <c r="AS75" s="3"/>
      <c r="AT75" s="3"/>
      <c r="AU75" s="3"/>
      <c r="AX75" s="3"/>
      <c r="AY75" s="3"/>
    </row>
    <row r="76" spans="1:5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N76" s="3"/>
      <c r="AO76" s="3"/>
      <c r="AP76" s="3"/>
      <c r="AS76" s="3"/>
      <c r="AT76" s="3"/>
      <c r="AU76" s="3"/>
      <c r="AX76" s="3"/>
      <c r="AY76" s="3"/>
    </row>
    <row r="77" spans="1:5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N77" s="3"/>
      <c r="AO77" s="3"/>
      <c r="AP77" s="3"/>
      <c r="AS77" s="3"/>
      <c r="AT77" s="3"/>
      <c r="AU77" s="3"/>
      <c r="AX77" s="3"/>
      <c r="AY77" s="3"/>
    </row>
    <row r="78" spans="1:5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N78" s="3"/>
      <c r="AO78" s="3"/>
      <c r="AP78" s="3"/>
      <c r="AS78" s="3"/>
      <c r="AT78" s="3"/>
      <c r="AU78" s="3"/>
      <c r="AX78" s="3"/>
      <c r="AY78" s="3"/>
    </row>
    <row r="79" spans="1:5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N79" s="3"/>
      <c r="AO79" s="3"/>
      <c r="AP79" s="3"/>
      <c r="AS79" s="3"/>
      <c r="AT79" s="3"/>
      <c r="AU79" s="3"/>
      <c r="AX79" s="3"/>
      <c r="AY79" s="3"/>
    </row>
    <row r="80" spans="1:5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N80" s="3"/>
      <c r="AO80" s="3"/>
      <c r="AP80" s="3"/>
      <c r="AS80" s="3"/>
      <c r="AT80" s="3"/>
      <c r="AU80" s="3"/>
      <c r="AX80" s="3"/>
      <c r="AY80" s="3"/>
    </row>
    <row r="81" spans="1:5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N81" s="3"/>
      <c r="AO81" s="3"/>
      <c r="AP81" s="3"/>
      <c r="AS81" s="3"/>
      <c r="AT81" s="3"/>
      <c r="AU81" s="3"/>
      <c r="AX81" s="3"/>
      <c r="AY81" s="3"/>
    </row>
    <row r="82" spans="1:5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N82" s="3"/>
      <c r="AO82" s="3"/>
      <c r="AP82" s="3"/>
      <c r="AS82" s="3"/>
      <c r="AT82" s="3"/>
      <c r="AU82" s="3"/>
      <c r="AX82" s="3"/>
      <c r="AY82" s="3"/>
    </row>
    <row r="83" spans="1:5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N83" s="3"/>
      <c r="AO83" s="3"/>
      <c r="AP83" s="3"/>
      <c r="AS83" s="3"/>
      <c r="AT83" s="3"/>
      <c r="AU83" s="3"/>
      <c r="AX83" s="3"/>
      <c r="AY83" s="3"/>
    </row>
    <row r="84" spans="1:5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N84" s="3"/>
      <c r="AO84" s="3"/>
      <c r="AP84" s="3"/>
      <c r="AS84" s="3"/>
      <c r="AT84" s="3"/>
      <c r="AU84" s="3"/>
      <c r="AX84" s="3"/>
      <c r="AY84" s="3"/>
    </row>
    <row r="85" spans="1:5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N85" s="3"/>
      <c r="AO85" s="3"/>
      <c r="AP85" s="3"/>
      <c r="AS85" s="3"/>
      <c r="AT85" s="3"/>
      <c r="AU85" s="3"/>
      <c r="AX85" s="3"/>
      <c r="AY85" s="3"/>
    </row>
    <row r="86" spans="1:5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N86" s="3"/>
      <c r="AO86" s="3"/>
      <c r="AP86" s="3"/>
      <c r="AS86" s="3"/>
      <c r="AT86" s="3"/>
      <c r="AU86" s="3"/>
      <c r="AX86" s="3"/>
      <c r="AY86" s="3"/>
    </row>
    <row r="87" spans="1:5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N87" s="3"/>
      <c r="AO87" s="3"/>
      <c r="AP87" s="3"/>
      <c r="AS87" s="3"/>
      <c r="AT87" s="3"/>
      <c r="AU87" s="3"/>
      <c r="AX87" s="3"/>
      <c r="AY87" s="3"/>
    </row>
    <row r="88" spans="1:5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N88" s="3"/>
      <c r="AO88" s="3"/>
      <c r="AP88" s="3"/>
      <c r="AS88" s="3"/>
      <c r="AT88" s="3"/>
      <c r="AU88" s="3"/>
      <c r="AX88" s="3"/>
      <c r="AY88" s="3"/>
    </row>
    <row r="89" spans="1:5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N89" s="3"/>
      <c r="AO89" s="3"/>
      <c r="AP89" s="3"/>
      <c r="AS89" s="3"/>
      <c r="AT89" s="3"/>
      <c r="AU89" s="3"/>
      <c r="AX89" s="3"/>
      <c r="AY89" s="3"/>
    </row>
    <row r="90" spans="1:5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N90" s="3"/>
      <c r="AO90" s="3"/>
      <c r="AP90" s="3"/>
      <c r="AS90" s="3"/>
      <c r="AT90" s="3"/>
      <c r="AU90" s="3"/>
      <c r="AX90" s="3"/>
      <c r="AY90" s="3"/>
    </row>
    <row r="91" spans="1:5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N91" s="3"/>
      <c r="AO91" s="3"/>
      <c r="AP91" s="3"/>
      <c r="AS91" s="3"/>
      <c r="AT91" s="3"/>
      <c r="AU91" s="3"/>
      <c r="AX91" s="3"/>
      <c r="AY91" s="3"/>
    </row>
    <row r="92" spans="1:5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N92" s="3"/>
      <c r="AO92" s="3"/>
      <c r="AP92" s="3"/>
      <c r="AS92" s="3"/>
      <c r="AT92" s="3"/>
      <c r="AU92" s="3"/>
      <c r="AX92" s="3"/>
      <c r="AY92" s="3"/>
    </row>
    <row r="93" spans="1:5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N93" s="3"/>
      <c r="AO93" s="3"/>
      <c r="AP93" s="3"/>
      <c r="AS93" s="3"/>
      <c r="AT93" s="3"/>
      <c r="AU93" s="3"/>
      <c r="AX93" s="3"/>
      <c r="AY93" s="3"/>
    </row>
    <row r="94" spans="1:5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N94" s="3"/>
      <c r="AO94" s="3"/>
      <c r="AP94" s="3"/>
      <c r="AS94" s="3"/>
      <c r="AT94" s="3"/>
      <c r="AU94" s="3"/>
      <c r="AX94" s="3"/>
      <c r="AY94" s="3"/>
    </row>
    <row r="95" spans="1:5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N95" s="3"/>
      <c r="AO95" s="3"/>
      <c r="AP95" s="3"/>
      <c r="AS95" s="3"/>
      <c r="AT95" s="3"/>
      <c r="AU95" s="3"/>
      <c r="AX95" s="3"/>
      <c r="AY95" s="3"/>
    </row>
    <row r="96" spans="1:5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N96" s="3"/>
      <c r="AO96" s="3"/>
      <c r="AP96" s="3"/>
      <c r="AS96" s="3"/>
      <c r="AT96" s="3"/>
      <c r="AU96" s="3"/>
      <c r="AX96" s="3"/>
      <c r="AY96" s="3"/>
    </row>
    <row r="97" spans="1:5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N97" s="3"/>
      <c r="AO97" s="3"/>
      <c r="AP97" s="3"/>
      <c r="AS97" s="3"/>
      <c r="AT97" s="3"/>
      <c r="AU97" s="3"/>
      <c r="AX97" s="3"/>
      <c r="AY97" s="3"/>
    </row>
    <row r="98" spans="1:5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N98" s="3"/>
      <c r="AO98" s="3"/>
      <c r="AP98" s="3"/>
      <c r="AS98" s="3"/>
      <c r="AT98" s="3"/>
      <c r="AU98" s="3"/>
      <c r="AX98" s="3"/>
      <c r="AY98" s="3"/>
    </row>
    <row r="99" spans="1:5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N99" s="3"/>
      <c r="AO99" s="3"/>
      <c r="AP99" s="3"/>
      <c r="AS99" s="3"/>
      <c r="AT99" s="3"/>
      <c r="AU99" s="3"/>
      <c r="AX99" s="3"/>
      <c r="AY99" s="3"/>
    </row>
    <row r="100" spans="1:5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N100" s="3"/>
      <c r="AO100" s="3"/>
      <c r="AP100" s="3"/>
      <c r="AS100" s="3"/>
      <c r="AT100" s="3"/>
      <c r="AU100" s="3"/>
      <c r="AX100" s="3"/>
      <c r="AY100" s="3"/>
    </row>
    <row r="101" spans="1:5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N101" s="3"/>
      <c r="AO101" s="3"/>
      <c r="AP101" s="3"/>
      <c r="AS101" s="3"/>
      <c r="AT101" s="3"/>
      <c r="AU101" s="3"/>
      <c r="AX101" s="3"/>
      <c r="AY101" s="3"/>
    </row>
    <row r="102" spans="1:5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N102" s="3"/>
      <c r="AO102" s="3"/>
      <c r="AP102" s="3"/>
      <c r="AS102" s="3"/>
      <c r="AT102" s="3"/>
      <c r="AU102" s="3"/>
      <c r="AX102" s="3"/>
      <c r="AY102" s="3"/>
    </row>
    <row r="103" spans="1:5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N103" s="3"/>
      <c r="AO103" s="3"/>
      <c r="AP103" s="3"/>
      <c r="AS103" s="3"/>
      <c r="AT103" s="3"/>
      <c r="AU103" s="3"/>
      <c r="AX103" s="3"/>
      <c r="AY103" s="3"/>
    </row>
    <row r="104" spans="1:5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N104" s="3"/>
      <c r="AO104" s="3"/>
      <c r="AP104" s="3"/>
      <c r="AS104" s="3"/>
      <c r="AT104" s="3"/>
      <c r="AU104" s="3"/>
      <c r="AX104" s="3"/>
      <c r="AY104" s="3"/>
    </row>
    <row r="105" spans="1:5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N105" s="3"/>
      <c r="AO105" s="3"/>
      <c r="AP105" s="3"/>
      <c r="AS105" s="3"/>
      <c r="AT105" s="3"/>
      <c r="AU105" s="3"/>
      <c r="AX105" s="3"/>
      <c r="AY105" s="3"/>
    </row>
    <row r="106" spans="1:5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N106" s="3"/>
      <c r="AO106" s="3"/>
      <c r="AP106" s="3"/>
      <c r="AS106" s="3"/>
      <c r="AT106" s="3"/>
      <c r="AU106" s="3"/>
      <c r="AX106" s="3"/>
      <c r="AY106" s="3"/>
    </row>
    <row r="107" spans="1:5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N107" s="3"/>
      <c r="AO107" s="3"/>
      <c r="AP107" s="3"/>
      <c r="AS107" s="3"/>
      <c r="AT107" s="3"/>
      <c r="AU107" s="3"/>
      <c r="AX107" s="3"/>
      <c r="AY107" s="3"/>
    </row>
    <row r="108" spans="1:5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N108" s="3"/>
      <c r="AO108" s="3"/>
      <c r="AP108" s="3"/>
      <c r="AS108" s="3"/>
      <c r="AT108" s="3"/>
      <c r="AU108" s="3"/>
      <c r="AX108" s="3"/>
      <c r="AY108" s="3"/>
    </row>
    <row r="109" spans="1:5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N109" s="3"/>
      <c r="AO109" s="3"/>
      <c r="AP109" s="3"/>
      <c r="AS109" s="3"/>
      <c r="AT109" s="3"/>
      <c r="AU109" s="3"/>
      <c r="AX109" s="3"/>
      <c r="AY109" s="3"/>
    </row>
    <row r="110" spans="1:5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N110" s="3"/>
      <c r="AO110" s="3"/>
      <c r="AP110" s="3"/>
      <c r="AS110" s="3"/>
      <c r="AT110" s="3"/>
      <c r="AU110" s="3"/>
      <c r="AX110" s="3"/>
      <c r="AY110" s="3"/>
    </row>
  </sheetData>
  <pageMargins left="0.7" right="0.7" top="0.75" bottom="0.75" header="0.3" footer="0.3"/>
  <ignoredErrors>
    <ignoredError sqref="AT8:AT12 AT15:AT19 AT23:AT33"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2B234-6659-474A-8A0A-12FE36AC9BA6}">
  <sheetPr>
    <tabColor rgb="FF2D3D70"/>
  </sheetPr>
  <dimension ref="A3:AY48"/>
  <sheetViews>
    <sheetView showGridLines="0" zoomScaleNormal="100" workbookViewId="0">
      <pane xSplit="1" topLeftCell="B1" activePane="topRight" state="frozen"/>
      <selection activeCell="A6" sqref="A6:AJ7"/>
      <selection pane="topRight" activeCell="A5" sqref="A5"/>
    </sheetView>
  </sheetViews>
  <sheetFormatPr defaultColWidth="8.88671875" defaultRowHeight="14.4"/>
  <cols>
    <col min="1" max="1" width="63.33203125" style="1" bestFit="1" customWidth="1"/>
    <col min="2" max="30" width="10.44140625" style="1" bestFit="1" customWidth="1"/>
    <col min="31" max="31" width="11.6640625" style="1" bestFit="1" customWidth="1"/>
    <col min="32" max="35" width="11.5546875" style="1" bestFit="1" customWidth="1"/>
    <col min="36" max="36" width="10.44140625" style="1" bestFit="1" customWidth="1"/>
    <col min="37" max="39" width="11.5546875" style="1" customWidth="1"/>
    <col min="40" max="40" width="11.5546875" style="1" bestFit="1" customWidth="1"/>
    <col min="41" max="41" width="10.44140625" style="1" bestFit="1" customWidth="1"/>
    <col min="42" max="43" width="11.5546875" style="1" bestFit="1" customWidth="1"/>
    <col min="44" max="44" width="11.5546875" style="1" customWidth="1"/>
    <col min="45" max="45" width="11.5546875" style="1" bestFit="1" customWidth="1"/>
    <col min="46" max="46" width="10.44140625" style="1" bestFit="1" customWidth="1"/>
    <col min="47" max="48" width="11.5546875" style="1" bestFit="1" customWidth="1"/>
    <col min="49" max="49" width="11.5546875" style="1" customWidth="1"/>
    <col min="50" max="50" width="11.5546875" style="1" bestFit="1" customWidth="1"/>
    <col min="51" max="51" width="10.44140625" style="1" bestFit="1" customWidth="1"/>
    <col min="52" max="16384" width="8.88671875" style="1"/>
  </cols>
  <sheetData>
    <row r="3" spans="1:51">
      <c r="B3"/>
      <c r="C3"/>
    </row>
    <row r="5" spans="1:51">
      <c r="A5" s="45"/>
      <c r="B5" s="10" t="s">
        <v>15</v>
      </c>
      <c r="C5" s="10" t="s">
        <v>16</v>
      </c>
      <c r="D5" s="10" t="s">
        <v>17</v>
      </c>
      <c r="E5" s="10" t="s">
        <v>18</v>
      </c>
      <c r="F5" s="11">
        <v>2017</v>
      </c>
      <c r="G5" s="10" t="s">
        <v>19</v>
      </c>
      <c r="H5" s="10" t="s">
        <v>20</v>
      </c>
      <c r="I5" s="10" t="s">
        <v>21</v>
      </c>
      <c r="J5" s="10" t="s">
        <v>22</v>
      </c>
      <c r="K5" s="11">
        <v>2018</v>
      </c>
      <c r="L5" s="10" t="s">
        <v>23</v>
      </c>
      <c r="M5" s="10" t="s">
        <v>24</v>
      </c>
      <c r="N5" s="10" t="s">
        <v>25</v>
      </c>
      <c r="O5" s="10" t="s">
        <v>26</v>
      </c>
      <c r="P5" s="11">
        <v>2019</v>
      </c>
      <c r="Q5" s="10" t="s">
        <v>27</v>
      </c>
      <c r="R5" s="10" t="s">
        <v>28</v>
      </c>
      <c r="S5" s="10" t="s">
        <v>29</v>
      </c>
      <c r="T5" s="10" t="s">
        <v>30</v>
      </c>
      <c r="U5" s="11">
        <v>2020</v>
      </c>
      <c r="V5" s="10" t="s">
        <v>31</v>
      </c>
      <c r="W5" s="10" t="s">
        <v>32</v>
      </c>
      <c r="X5" s="10" t="s">
        <v>33</v>
      </c>
      <c r="Y5" s="10" t="s">
        <v>34</v>
      </c>
      <c r="Z5" s="11">
        <v>2021</v>
      </c>
      <c r="AA5" s="10" t="s">
        <v>35</v>
      </c>
      <c r="AB5" s="10" t="s">
        <v>36</v>
      </c>
      <c r="AC5" s="10" t="s">
        <v>37</v>
      </c>
      <c r="AD5" s="10" t="s">
        <v>38</v>
      </c>
      <c r="AE5" s="11">
        <v>2022</v>
      </c>
      <c r="AF5" s="10" t="s">
        <v>39</v>
      </c>
      <c r="AG5" s="10" t="s">
        <v>40</v>
      </c>
      <c r="AH5" s="10" t="s">
        <v>41</v>
      </c>
      <c r="AI5" s="10" t="s">
        <v>42</v>
      </c>
      <c r="AJ5" s="12">
        <v>2023</v>
      </c>
      <c r="AK5" s="10" t="s">
        <v>43</v>
      </c>
      <c r="AL5" s="10" t="s">
        <v>44</v>
      </c>
      <c r="AM5" s="10" t="s">
        <v>45</v>
      </c>
      <c r="AN5" s="10" t="s">
        <v>46</v>
      </c>
      <c r="AO5" s="12">
        <v>2024</v>
      </c>
      <c r="AP5" s="10" t="s">
        <v>47</v>
      </c>
      <c r="AQ5" s="10" t="s">
        <v>48</v>
      </c>
      <c r="AR5" s="10" t="s">
        <v>49</v>
      </c>
      <c r="AS5" s="10" t="s">
        <v>50</v>
      </c>
      <c r="AT5" s="12">
        <v>2025</v>
      </c>
      <c r="AU5" s="10" t="s">
        <v>51</v>
      </c>
      <c r="AV5" s="10" t="s">
        <v>52</v>
      </c>
      <c r="AW5" s="10" t="s">
        <v>53</v>
      </c>
      <c r="AX5" s="10" t="s">
        <v>54</v>
      </c>
      <c r="AY5" s="12">
        <v>2026</v>
      </c>
    </row>
    <row r="6" spans="1:51">
      <c r="A6" s="13"/>
      <c r="B6" s="46"/>
      <c r="C6" s="46"/>
      <c r="D6" s="46"/>
      <c r="E6" s="46"/>
      <c r="F6" s="47"/>
      <c r="G6" s="46"/>
      <c r="H6" s="46"/>
      <c r="I6" s="46"/>
      <c r="J6" s="46"/>
      <c r="K6" s="47"/>
      <c r="L6" s="46"/>
      <c r="M6" s="46"/>
      <c r="N6" s="46"/>
      <c r="O6" s="46"/>
      <c r="P6" s="47"/>
      <c r="Q6" s="46"/>
      <c r="R6" s="46"/>
      <c r="S6" s="46"/>
      <c r="T6" s="46"/>
      <c r="U6" s="47"/>
      <c r="V6" s="46"/>
      <c r="W6" s="46"/>
      <c r="X6" s="46"/>
      <c r="Y6" s="46"/>
      <c r="Z6" s="47"/>
      <c r="AA6" s="46"/>
      <c r="AB6" s="46"/>
      <c r="AC6" s="46"/>
      <c r="AD6" s="46"/>
      <c r="AE6" s="47"/>
      <c r="AF6" s="46"/>
      <c r="AG6" s="46"/>
      <c r="AH6" s="46"/>
      <c r="AI6" s="46"/>
      <c r="AJ6" s="48"/>
      <c r="AK6" s="46"/>
      <c r="AL6" s="46"/>
      <c r="AM6" s="46"/>
      <c r="AN6" s="46"/>
      <c r="AO6" s="48"/>
      <c r="AP6" s="46"/>
      <c r="AQ6" s="46"/>
      <c r="AR6" s="46"/>
      <c r="AS6" s="46"/>
      <c r="AT6" s="48"/>
      <c r="AU6" s="46"/>
      <c r="AV6" s="46"/>
      <c r="AW6" s="46"/>
      <c r="AX6" s="46"/>
      <c r="AY6" s="48"/>
    </row>
    <row r="7" spans="1:51">
      <c r="A7" s="17"/>
      <c r="F7" s="66"/>
      <c r="K7" s="66"/>
      <c r="P7" s="66"/>
      <c r="U7" s="66"/>
      <c r="Z7" s="66"/>
      <c r="AE7" s="66"/>
      <c r="AJ7" s="66"/>
      <c r="AO7" s="66"/>
      <c r="AT7" s="66"/>
      <c r="AY7" s="66"/>
    </row>
    <row r="8" spans="1:51">
      <c r="A8" s="31" t="s">
        <v>152</v>
      </c>
      <c r="B8" s="67">
        <v>31321</v>
      </c>
      <c r="C8" s="67">
        <v>37685</v>
      </c>
      <c r="D8" s="67">
        <v>34189</v>
      </c>
      <c r="E8" s="67">
        <v>32793</v>
      </c>
      <c r="F8" s="68">
        <v>135988</v>
      </c>
      <c r="G8" s="67">
        <v>33915</v>
      </c>
      <c r="H8" s="67">
        <v>32483</v>
      </c>
      <c r="I8" s="67">
        <v>29613</v>
      </c>
      <c r="J8" s="67">
        <v>26724</v>
      </c>
      <c r="K8" s="68">
        <v>121735</v>
      </c>
      <c r="L8" s="67">
        <v>20064</v>
      </c>
      <c r="M8" s="67">
        <v>25558</v>
      </c>
      <c r="N8" s="67">
        <v>35252</v>
      </c>
      <c r="O8" s="67">
        <v>33432</v>
      </c>
      <c r="P8" s="68">
        <v>114306</v>
      </c>
      <c r="Q8" s="67">
        <v>25968</v>
      </c>
      <c r="R8" s="67">
        <v>21789</v>
      </c>
      <c r="S8" s="67">
        <v>35963</v>
      </c>
      <c r="T8" s="67">
        <v>45457</v>
      </c>
      <c r="U8" s="68">
        <v>129177</v>
      </c>
      <c r="V8" s="67">
        <v>40185</v>
      </c>
      <c r="W8" s="67">
        <v>40430</v>
      </c>
      <c r="X8" s="67">
        <v>34843</v>
      </c>
      <c r="Y8" s="67">
        <v>43926.016165291643</v>
      </c>
      <c r="Z8" s="68">
        <v>159384.01616529166</v>
      </c>
      <c r="AA8" s="67">
        <v>29545</v>
      </c>
      <c r="AB8" s="67">
        <v>29293</v>
      </c>
      <c r="AC8" s="67">
        <v>31980</v>
      </c>
      <c r="AD8" s="67">
        <v>39072</v>
      </c>
      <c r="AE8" s="68">
        <v>129890</v>
      </c>
      <c r="AF8" s="67">
        <v>26803.108403283899</v>
      </c>
      <c r="AG8" s="67">
        <v>23330.434999999998</v>
      </c>
      <c r="AH8" s="67">
        <v>36942.200057394199</v>
      </c>
      <c r="AI8" s="67">
        <v>42662.010963529989</v>
      </c>
      <c r="AJ8" s="68">
        <v>129737.75442420808</v>
      </c>
      <c r="AK8" s="67">
        <v>43186</v>
      </c>
      <c r="AL8" s="67">
        <v>39634.655176475564</v>
      </c>
      <c r="AM8" s="67">
        <v>43759.683451558449</v>
      </c>
      <c r="AN8" s="67">
        <v>43093.590188132534</v>
      </c>
      <c r="AO8" s="68">
        <v>169673.38359532232</v>
      </c>
      <c r="AP8" s="67">
        <v>39630.66783828695</v>
      </c>
      <c r="AQ8" s="67">
        <v>41752.013568578179</v>
      </c>
      <c r="AR8" s="67">
        <f>6697+9248+18138+15088+10219</f>
        <v>59390</v>
      </c>
      <c r="AS8" s="67">
        <f>'5.1. Aranzazu'!AO45+'5.2. Apoena'!AS22+'5.3. Minosa'!AS23+'5.4. Almas'!P23+'5.5 Borborema'!E23+'5.6 MSG'!B23</f>
        <v>82068.16103560121</v>
      </c>
      <c r="AT8" s="68">
        <f>SUM(AP8:AS8)</f>
        <v>222840.84244246635</v>
      </c>
      <c r="AU8" s="67">
        <v>82137</v>
      </c>
      <c r="AV8" s="67"/>
      <c r="AW8" s="67"/>
      <c r="AX8" s="67"/>
      <c r="AY8" s="68"/>
    </row>
    <row r="9" spans="1:51">
      <c r="A9" s="31" t="s">
        <v>153</v>
      </c>
      <c r="B9" s="67">
        <v>0</v>
      </c>
      <c r="C9" s="67">
        <v>0</v>
      </c>
      <c r="D9" s="67">
        <v>0</v>
      </c>
      <c r="E9" s="67">
        <v>0</v>
      </c>
      <c r="F9" s="68">
        <v>0</v>
      </c>
      <c r="G9" s="67">
        <v>0</v>
      </c>
      <c r="H9" s="67">
        <v>0</v>
      </c>
      <c r="I9" s="67">
        <v>0</v>
      </c>
      <c r="J9" s="67">
        <v>0</v>
      </c>
      <c r="K9" s="68">
        <v>0</v>
      </c>
      <c r="L9" s="67">
        <v>5857</v>
      </c>
      <c r="M9" s="67">
        <v>9578</v>
      </c>
      <c r="N9" s="67">
        <v>12119</v>
      </c>
      <c r="O9" s="67">
        <v>14842</v>
      </c>
      <c r="P9" s="68">
        <v>42396</v>
      </c>
      <c r="Q9" s="67">
        <v>12121.537203850705</v>
      </c>
      <c r="R9" s="67">
        <v>13032.812999999998</v>
      </c>
      <c r="S9" s="67">
        <v>14268.074077180474</v>
      </c>
      <c r="T9" s="67">
        <v>14368.609949000002</v>
      </c>
      <c r="U9" s="68">
        <v>53791.034230031175</v>
      </c>
      <c r="V9" s="67">
        <v>16591.693619192429</v>
      </c>
      <c r="W9" s="67">
        <v>13869</v>
      </c>
      <c r="X9" s="67">
        <v>17146.300730808962</v>
      </c>
      <c r="Y9" s="67">
        <v>19456.198597477269</v>
      </c>
      <c r="Z9" s="68">
        <v>67063.192947478659</v>
      </c>
      <c r="AA9" s="67">
        <v>18938</v>
      </c>
      <c r="AB9" s="67">
        <v>17659</v>
      </c>
      <c r="AC9" s="67">
        <v>18644</v>
      </c>
      <c r="AD9" s="67">
        <v>20384</v>
      </c>
      <c r="AE9" s="68">
        <v>75625</v>
      </c>
      <c r="AF9" s="67">
        <v>17500.7354848957</v>
      </c>
      <c r="AG9" s="67">
        <v>17224.562805135058</v>
      </c>
      <c r="AH9" s="67">
        <v>19277.976231134944</v>
      </c>
      <c r="AI9" s="67">
        <v>18969.82050778234</v>
      </c>
      <c r="AJ9" s="68">
        <v>72973.095028948039</v>
      </c>
      <c r="AK9" s="67">
        <v>18933</v>
      </c>
      <c r="AL9" s="67">
        <v>18831.30980660169</v>
      </c>
      <c r="AM9" s="67">
        <v>20033.123389334265</v>
      </c>
      <c r="AN9" s="67">
        <v>19842.370035335742</v>
      </c>
      <c r="AO9" s="68">
        <v>77639.853671227655</v>
      </c>
      <c r="AP9" s="67">
        <v>18848.452241470211</v>
      </c>
      <c r="AQ9" s="67">
        <v>21577.771852514103</v>
      </c>
      <c r="AR9" s="67">
        <v>18234.867509405693</v>
      </c>
      <c r="AS9" s="67">
        <v>17758.413671426824</v>
      </c>
      <c r="AT9" s="68">
        <f t="shared" ref="AT9:AT10" si="0">SUM(AP9:AS9)</f>
        <v>76419.505274816838</v>
      </c>
      <c r="AU9" s="67"/>
      <c r="AV9" s="67"/>
      <c r="AW9" s="67"/>
      <c r="AX9" s="67"/>
      <c r="AY9" s="68"/>
    </row>
    <row r="10" spans="1:51" s="2" customFormat="1">
      <c r="A10" s="31" t="s">
        <v>154</v>
      </c>
      <c r="B10" s="67">
        <v>31321</v>
      </c>
      <c r="C10" s="67">
        <v>37685</v>
      </c>
      <c r="D10" s="67">
        <v>34189</v>
      </c>
      <c r="E10" s="67">
        <v>32793</v>
      </c>
      <c r="F10" s="68">
        <v>135988</v>
      </c>
      <c r="G10" s="67">
        <v>33915</v>
      </c>
      <c r="H10" s="67">
        <v>32483</v>
      </c>
      <c r="I10" s="67">
        <v>29613</v>
      </c>
      <c r="J10" s="67">
        <v>26724</v>
      </c>
      <c r="K10" s="68">
        <v>121735</v>
      </c>
      <c r="L10" s="67">
        <v>30245</v>
      </c>
      <c r="M10" s="67">
        <v>41327</v>
      </c>
      <c r="N10" s="67">
        <v>52542</v>
      </c>
      <c r="O10" s="67">
        <v>53385</v>
      </c>
      <c r="P10" s="68">
        <v>177499</v>
      </c>
      <c r="Q10" s="67">
        <v>39736</v>
      </c>
      <c r="R10" s="67">
        <v>36537</v>
      </c>
      <c r="S10" s="67">
        <v>53872</v>
      </c>
      <c r="T10" s="67">
        <v>64530</v>
      </c>
      <c r="U10" s="68">
        <v>194675</v>
      </c>
      <c r="V10" s="67">
        <v>65198</v>
      </c>
      <c r="W10" s="67">
        <v>63020</v>
      </c>
      <c r="X10" s="67">
        <v>61588</v>
      </c>
      <c r="Y10" s="67">
        <v>76827.229317406978</v>
      </c>
      <c r="Z10" s="68">
        <v>266633.22931740701</v>
      </c>
      <c r="AA10" s="67">
        <v>59938</v>
      </c>
      <c r="AB10" s="67">
        <v>55645</v>
      </c>
      <c r="AC10" s="67">
        <v>58175</v>
      </c>
      <c r="AD10" s="67">
        <v>67663</v>
      </c>
      <c r="AE10" s="68">
        <v>241421</v>
      </c>
      <c r="AF10" s="67">
        <v>53265.073261207101</v>
      </c>
      <c r="AG10" s="67">
        <v>48522.07295990501</v>
      </c>
      <c r="AH10" s="67">
        <v>64874.7995280982</v>
      </c>
      <c r="AI10" s="67">
        <v>69194.010963529989</v>
      </c>
      <c r="AJ10" s="68">
        <v>235855.9567127403</v>
      </c>
      <c r="AK10" s="67">
        <v>68187</v>
      </c>
      <c r="AL10" s="67">
        <v>64326.655176475564</v>
      </c>
      <c r="AM10" s="67">
        <v>68245.763632368587</v>
      </c>
      <c r="AN10" s="67">
        <v>66473.033576255053</v>
      </c>
      <c r="AO10" s="68">
        <v>267231.78359532228</v>
      </c>
      <c r="AP10" s="67">
        <v>60086.551797671404</v>
      </c>
      <c r="AQ10" s="67">
        <v>64032.730388206168</v>
      </c>
      <c r="AR10" s="67">
        <v>74227</v>
      </c>
      <c r="AS10" s="67">
        <v>82068.582845592478</v>
      </c>
      <c r="AT10" s="68">
        <f t="shared" si="0"/>
        <v>280414.86503147002</v>
      </c>
      <c r="AU10" s="67"/>
      <c r="AV10" s="67"/>
      <c r="AW10" s="67"/>
      <c r="AX10" s="67"/>
      <c r="AY10" s="68"/>
    </row>
    <row r="11" spans="1:51">
      <c r="A11" s="39"/>
      <c r="B11" s="35"/>
      <c r="C11" s="35"/>
      <c r="D11" s="35"/>
      <c r="E11" s="35"/>
      <c r="F11" s="69"/>
      <c r="G11" s="35"/>
      <c r="H11" s="35"/>
      <c r="I11" s="35"/>
      <c r="J11" s="35"/>
      <c r="K11" s="69"/>
      <c r="L11" s="35"/>
      <c r="M11" s="35"/>
      <c r="N11" s="35"/>
      <c r="O11" s="35"/>
      <c r="P11" s="69"/>
      <c r="Q11" s="35"/>
      <c r="R11" s="35"/>
      <c r="S11" s="35"/>
      <c r="T11" s="35"/>
      <c r="U11" s="69"/>
      <c r="V11" s="35"/>
      <c r="W11" s="35"/>
      <c r="X11" s="35"/>
      <c r="Y11" s="35"/>
      <c r="Z11" s="69"/>
      <c r="AA11" s="35"/>
      <c r="AB11" s="35"/>
      <c r="AC11" s="35"/>
      <c r="AD11" s="35"/>
      <c r="AE11" s="69"/>
      <c r="AF11" s="35"/>
      <c r="AG11" s="35"/>
      <c r="AH11" s="35"/>
      <c r="AI11" s="35"/>
      <c r="AJ11" s="69"/>
      <c r="AK11" s="35"/>
      <c r="AL11" s="35"/>
      <c r="AM11" s="35"/>
      <c r="AN11" s="35"/>
      <c r="AO11" s="69"/>
      <c r="AP11" s="35"/>
      <c r="AQ11" s="35"/>
      <c r="AR11" s="35"/>
      <c r="AS11" s="35"/>
      <c r="AT11" s="69"/>
      <c r="AU11" s="35"/>
      <c r="AV11" s="35"/>
      <c r="AW11" s="35"/>
      <c r="AX11" s="35"/>
      <c r="AY11" s="69"/>
    </row>
    <row r="12" spans="1:51">
      <c r="A12" s="31" t="s">
        <v>155</v>
      </c>
      <c r="B12" s="67">
        <v>30082</v>
      </c>
      <c r="C12" s="67">
        <v>36757</v>
      </c>
      <c r="D12" s="67">
        <v>32106</v>
      </c>
      <c r="E12" s="67">
        <v>30204</v>
      </c>
      <c r="F12" s="68">
        <v>129149</v>
      </c>
      <c r="G12" s="67">
        <v>34845</v>
      </c>
      <c r="H12" s="67">
        <v>35738</v>
      </c>
      <c r="I12" s="67">
        <v>28448</v>
      </c>
      <c r="J12" s="67">
        <v>26424</v>
      </c>
      <c r="K12" s="68">
        <v>125455</v>
      </c>
      <c r="L12" s="67">
        <v>30438</v>
      </c>
      <c r="M12" s="67">
        <v>41780</v>
      </c>
      <c r="N12" s="67">
        <v>52530</v>
      </c>
      <c r="O12" s="67">
        <v>54320</v>
      </c>
      <c r="P12" s="68">
        <v>179068</v>
      </c>
      <c r="Q12" s="67">
        <v>35216</v>
      </c>
      <c r="R12" s="67">
        <v>40515</v>
      </c>
      <c r="S12" s="67">
        <v>52733</v>
      </c>
      <c r="T12" s="67">
        <v>58662</v>
      </c>
      <c r="U12" s="68">
        <v>187126</v>
      </c>
      <c r="V12" s="67">
        <v>66912</v>
      </c>
      <c r="W12" s="67">
        <v>63168</v>
      </c>
      <c r="X12" s="67">
        <v>61714</v>
      </c>
      <c r="Y12" s="67">
        <v>71689</v>
      </c>
      <c r="Z12" s="68">
        <v>263483</v>
      </c>
      <c r="AA12" s="67">
        <v>65520</v>
      </c>
      <c r="AB12" s="67">
        <v>55655</v>
      </c>
      <c r="AC12" s="67">
        <v>57963</v>
      </c>
      <c r="AD12" s="67">
        <v>68077</v>
      </c>
      <c r="AE12" s="68">
        <v>247215</v>
      </c>
      <c r="AF12" s="67">
        <v>53886.223311751899</v>
      </c>
      <c r="AG12" s="67">
        <v>47949.601192567265</v>
      </c>
      <c r="AH12" s="67">
        <v>63516.208402708471</v>
      </c>
      <c r="AI12" s="67">
        <v>68571.154835500609</v>
      </c>
      <c r="AJ12" s="68">
        <v>233923.18774252824</v>
      </c>
      <c r="AK12" s="67">
        <v>69086</v>
      </c>
      <c r="AL12" s="67">
        <v>63258.157747295932</v>
      </c>
      <c r="AM12" s="67">
        <v>68172.237392291499</v>
      </c>
      <c r="AN12" s="67">
        <v>69340.563912337762</v>
      </c>
      <c r="AO12" s="68">
        <v>269832.8974523709</v>
      </c>
      <c r="AP12" s="67">
        <v>60491.249013933499</v>
      </c>
      <c r="AQ12" s="67">
        <v>62451.880057102666</v>
      </c>
      <c r="AR12" s="67">
        <v>74906</v>
      </c>
      <c r="AS12" s="67">
        <v>80446.970282672672</v>
      </c>
      <c r="AT12" s="68">
        <f>SUM(AP12:AS12)</f>
        <v>278296.09935370885</v>
      </c>
      <c r="AU12" s="67">
        <f>SUM(AU13:AU18)</f>
        <v>81364</v>
      </c>
      <c r="AV12" s="67"/>
      <c r="AW12" s="67"/>
      <c r="AX12" s="67"/>
      <c r="AY12" s="68"/>
    </row>
    <row r="13" spans="1:51">
      <c r="A13" s="33" t="s">
        <v>156</v>
      </c>
      <c r="B13" s="35">
        <v>21796</v>
      </c>
      <c r="C13" s="35">
        <v>25308</v>
      </c>
      <c r="D13" s="35">
        <v>15311</v>
      </c>
      <c r="E13" s="35">
        <v>17926</v>
      </c>
      <c r="F13" s="70">
        <v>80341</v>
      </c>
      <c r="G13" s="35">
        <v>19625</v>
      </c>
      <c r="H13" s="35">
        <v>21121</v>
      </c>
      <c r="I13" s="35">
        <v>14281</v>
      </c>
      <c r="J13" s="35">
        <v>11118</v>
      </c>
      <c r="K13" s="70">
        <v>66145</v>
      </c>
      <c r="L13" s="35">
        <v>5688</v>
      </c>
      <c r="M13" s="35">
        <v>12728</v>
      </c>
      <c r="N13" s="35">
        <v>19558</v>
      </c>
      <c r="O13" s="35">
        <v>18748</v>
      </c>
      <c r="P13" s="70">
        <v>56722</v>
      </c>
      <c r="Q13" s="35">
        <v>12848</v>
      </c>
      <c r="R13" s="35">
        <v>8831</v>
      </c>
      <c r="S13" s="35">
        <v>19231</v>
      </c>
      <c r="T13" s="35">
        <v>15584</v>
      </c>
      <c r="U13" s="70">
        <v>56494</v>
      </c>
      <c r="V13" s="35">
        <v>22871</v>
      </c>
      <c r="W13" s="35">
        <v>24324</v>
      </c>
      <c r="X13" s="35">
        <v>18094</v>
      </c>
      <c r="Y13" s="35">
        <v>24890</v>
      </c>
      <c r="Z13" s="70">
        <v>90179</v>
      </c>
      <c r="AA13" s="35">
        <v>20522</v>
      </c>
      <c r="AB13" s="35">
        <v>16273</v>
      </c>
      <c r="AC13" s="35">
        <v>14616</v>
      </c>
      <c r="AD13" s="35">
        <v>12055</v>
      </c>
      <c r="AE13" s="70">
        <v>63466</v>
      </c>
      <c r="AF13" s="35">
        <v>14322</v>
      </c>
      <c r="AG13" s="35">
        <v>16314.993999999999</v>
      </c>
      <c r="AH13" s="35">
        <v>17719.91</v>
      </c>
      <c r="AI13" s="35">
        <v>17744.204000000002</v>
      </c>
      <c r="AJ13" s="70">
        <v>66101.107999999993</v>
      </c>
      <c r="AK13" s="35">
        <v>19228</v>
      </c>
      <c r="AL13" s="35">
        <v>19737.754883941161</v>
      </c>
      <c r="AM13" s="35">
        <v>20756.697147645424</v>
      </c>
      <c r="AN13" s="35">
        <v>19338.343999999997</v>
      </c>
      <c r="AO13" s="70">
        <v>79036.468599999993</v>
      </c>
      <c r="AP13" s="35">
        <v>17526.165054549048</v>
      </c>
      <c r="AQ13" s="35">
        <v>17835.884584418374</v>
      </c>
      <c r="AR13" s="35">
        <v>17827</v>
      </c>
      <c r="AS13" s="35">
        <v>16971.593914823505</v>
      </c>
      <c r="AT13" s="70">
        <f>SUM(AP13:AS13)</f>
        <v>70160.643553790927</v>
      </c>
      <c r="AU13" s="35">
        <v>17456</v>
      </c>
      <c r="AV13" s="35"/>
      <c r="AW13" s="35"/>
      <c r="AX13" s="35"/>
      <c r="AY13" s="70"/>
    </row>
    <row r="14" spans="1:51">
      <c r="A14" s="33" t="s">
        <v>157</v>
      </c>
      <c r="B14" s="35">
        <v>8286</v>
      </c>
      <c r="C14" s="35">
        <v>11449</v>
      </c>
      <c r="D14" s="35">
        <v>16795</v>
      </c>
      <c r="E14" s="35">
        <v>12278</v>
      </c>
      <c r="F14" s="70">
        <v>48808</v>
      </c>
      <c r="G14" s="35">
        <v>15220</v>
      </c>
      <c r="H14" s="35">
        <v>14617</v>
      </c>
      <c r="I14" s="35">
        <v>14167</v>
      </c>
      <c r="J14" s="35">
        <v>15306</v>
      </c>
      <c r="K14" s="70">
        <v>59310</v>
      </c>
      <c r="L14" s="35">
        <v>14328</v>
      </c>
      <c r="M14" s="35">
        <v>13528</v>
      </c>
      <c r="N14" s="35">
        <v>15003</v>
      </c>
      <c r="O14" s="35">
        <v>15845</v>
      </c>
      <c r="P14" s="70">
        <v>58704</v>
      </c>
      <c r="Q14" s="35">
        <v>8196</v>
      </c>
      <c r="R14" s="35">
        <v>17242</v>
      </c>
      <c r="S14" s="35">
        <v>16825</v>
      </c>
      <c r="T14" s="35">
        <v>24389</v>
      </c>
      <c r="U14" s="70">
        <v>66652</v>
      </c>
      <c r="V14" s="35">
        <v>19487</v>
      </c>
      <c r="W14" s="35">
        <v>14935</v>
      </c>
      <c r="X14" s="35">
        <v>16521</v>
      </c>
      <c r="Y14" s="35">
        <v>16847</v>
      </c>
      <c r="Z14" s="70">
        <v>67790</v>
      </c>
      <c r="AA14" s="35">
        <v>11041</v>
      </c>
      <c r="AB14" s="35">
        <v>12835</v>
      </c>
      <c r="AC14" s="35">
        <v>17474</v>
      </c>
      <c r="AD14" s="35">
        <v>27044</v>
      </c>
      <c r="AE14" s="70">
        <v>68394</v>
      </c>
      <c r="AF14" s="35">
        <v>13276.55</v>
      </c>
      <c r="AG14" s="35">
        <v>6736</v>
      </c>
      <c r="AH14" s="35">
        <v>9584.32</v>
      </c>
      <c r="AI14" s="35">
        <v>14726.680000000004</v>
      </c>
      <c r="AJ14" s="70">
        <v>44323.55</v>
      </c>
      <c r="AK14" s="35">
        <v>12860</v>
      </c>
      <c r="AL14" s="35">
        <v>8257.6782705814639</v>
      </c>
      <c r="AM14" s="35">
        <v>7957</v>
      </c>
      <c r="AN14" s="35">
        <v>9944</v>
      </c>
      <c r="AO14" s="70">
        <v>39018.729266368304</v>
      </c>
      <c r="AP14" s="35">
        <v>9408</v>
      </c>
      <c r="AQ14" s="35">
        <v>8219</v>
      </c>
      <c r="AR14" s="35">
        <v>9248</v>
      </c>
      <c r="AS14" s="35">
        <v>8961</v>
      </c>
      <c r="AT14" s="70">
        <f t="shared" ref="AT14:AT18" si="1">SUM(AP14:AS14)</f>
        <v>35836</v>
      </c>
      <c r="AU14" s="35">
        <v>7525</v>
      </c>
      <c r="AV14" s="35"/>
      <c r="AW14" s="35"/>
      <c r="AX14" s="35"/>
      <c r="AY14" s="70"/>
    </row>
    <row r="15" spans="1:51">
      <c r="A15" s="33" t="s">
        <v>158</v>
      </c>
      <c r="B15" s="35">
        <v>0</v>
      </c>
      <c r="C15" s="35">
        <v>0</v>
      </c>
      <c r="D15" s="35">
        <v>0</v>
      </c>
      <c r="E15" s="35">
        <v>0</v>
      </c>
      <c r="F15" s="70">
        <v>0</v>
      </c>
      <c r="G15" s="35">
        <v>0</v>
      </c>
      <c r="H15" s="35">
        <v>0</v>
      </c>
      <c r="I15" s="35">
        <v>0</v>
      </c>
      <c r="J15" s="35">
        <v>0</v>
      </c>
      <c r="K15" s="70">
        <v>0</v>
      </c>
      <c r="L15" s="35">
        <v>10422</v>
      </c>
      <c r="M15" s="35">
        <v>15524</v>
      </c>
      <c r="N15" s="35">
        <v>17969</v>
      </c>
      <c r="O15" s="35">
        <v>19727</v>
      </c>
      <c r="P15" s="70">
        <v>63642</v>
      </c>
      <c r="Q15" s="35">
        <v>14172</v>
      </c>
      <c r="R15" s="35">
        <v>14442</v>
      </c>
      <c r="S15" s="35">
        <v>16677</v>
      </c>
      <c r="T15" s="35">
        <v>18689</v>
      </c>
      <c r="U15" s="70">
        <v>63980</v>
      </c>
      <c r="V15" s="35">
        <v>24554</v>
      </c>
      <c r="W15" s="35">
        <v>23909</v>
      </c>
      <c r="X15" s="35">
        <v>27099</v>
      </c>
      <c r="Y15" s="35">
        <v>29952</v>
      </c>
      <c r="Z15" s="70">
        <v>105514</v>
      </c>
      <c r="AA15" s="35">
        <v>33957</v>
      </c>
      <c r="AB15" s="35">
        <v>26547</v>
      </c>
      <c r="AC15" s="35">
        <v>25873</v>
      </c>
      <c r="AD15" s="35">
        <v>28978</v>
      </c>
      <c r="AE15" s="70">
        <v>115355</v>
      </c>
      <c r="AF15" s="35">
        <v>26287.6733117519</v>
      </c>
      <c r="AG15" s="35">
        <v>24898.607192567266</v>
      </c>
      <c r="AH15" s="35">
        <v>27997.978402708472</v>
      </c>
      <c r="AI15" s="35">
        <v>26509.2708355006</v>
      </c>
      <c r="AJ15" s="70">
        <v>105693.52974252823</v>
      </c>
      <c r="AK15" s="35">
        <v>25103</v>
      </c>
      <c r="AL15" s="35">
        <v>24682.724592773309</v>
      </c>
      <c r="AM15" s="35">
        <v>24483.540244646076</v>
      </c>
      <c r="AN15" s="35">
        <v>23379.219912337765</v>
      </c>
      <c r="AO15" s="70">
        <v>97648.699586002607</v>
      </c>
      <c r="AP15" s="35">
        <v>20455.468161855231</v>
      </c>
      <c r="AQ15" s="35">
        <v>22289.995472684292</v>
      </c>
      <c r="AR15" s="35">
        <v>21514</v>
      </c>
      <c r="AS15" s="35">
        <v>18068.015660108467</v>
      </c>
      <c r="AT15" s="70">
        <f t="shared" si="1"/>
        <v>82327.479294647987</v>
      </c>
      <c r="AU15" s="35">
        <v>16218</v>
      </c>
      <c r="AV15" s="35"/>
      <c r="AW15" s="35"/>
      <c r="AX15" s="35"/>
      <c r="AY15" s="70"/>
    </row>
    <row r="16" spans="1:51">
      <c r="A16" s="33" t="s">
        <v>159</v>
      </c>
      <c r="B16" s="35">
        <v>0</v>
      </c>
      <c r="C16" s="35">
        <v>0</v>
      </c>
      <c r="D16" s="35">
        <v>0</v>
      </c>
      <c r="E16" s="35">
        <v>0</v>
      </c>
      <c r="F16" s="71">
        <v>0</v>
      </c>
      <c r="G16" s="35">
        <v>0</v>
      </c>
      <c r="H16" s="35">
        <v>0</v>
      </c>
      <c r="I16" s="35">
        <v>0</v>
      </c>
      <c r="J16" s="35">
        <v>0</v>
      </c>
      <c r="K16" s="71">
        <v>0</v>
      </c>
      <c r="L16" s="35">
        <v>0</v>
      </c>
      <c r="M16" s="35">
        <v>0</v>
      </c>
      <c r="N16" s="35">
        <v>0</v>
      </c>
      <c r="O16" s="35">
        <v>0</v>
      </c>
      <c r="P16" s="71">
        <v>0</v>
      </c>
      <c r="Q16" s="35">
        <v>0</v>
      </c>
      <c r="R16" s="35">
        <v>0</v>
      </c>
      <c r="S16" s="35">
        <v>0</v>
      </c>
      <c r="T16" s="35">
        <v>0</v>
      </c>
      <c r="U16" s="71">
        <v>0</v>
      </c>
      <c r="V16" s="35">
        <v>0</v>
      </c>
      <c r="W16" s="35">
        <v>0</v>
      </c>
      <c r="X16" s="35">
        <v>0</v>
      </c>
      <c r="Y16" s="35">
        <v>0</v>
      </c>
      <c r="Z16" s="71">
        <v>0</v>
      </c>
      <c r="AA16" s="35">
        <v>0</v>
      </c>
      <c r="AB16" s="35">
        <v>0</v>
      </c>
      <c r="AC16" s="35">
        <v>0</v>
      </c>
      <c r="AD16" s="35">
        <v>0</v>
      </c>
      <c r="AE16" s="71">
        <v>0</v>
      </c>
      <c r="AF16" s="35">
        <v>0</v>
      </c>
      <c r="AG16" s="35">
        <v>0</v>
      </c>
      <c r="AH16" s="35">
        <v>8214</v>
      </c>
      <c r="AI16" s="35">
        <v>9591</v>
      </c>
      <c r="AJ16" s="70">
        <v>17805</v>
      </c>
      <c r="AK16" s="35">
        <v>11895</v>
      </c>
      <c r="AL16" s="35">
        <v>10580</v>
      </c>
      <c r="AM16" s="35">
        <v>14975</v>
      </c>
      <c r="AN16" s="35">
        <v>16679</v>
      </c>
      <c r="AO16" s="70">
        <v>54129</v>
      </c>
      <c r="AP16" s="35">
        <v>13101.2</v>
      </c>
      <c r="AQ16" s="35">
        <v>12917</v>
      </c>
      <c r="AR16" s="35">
        <v>15089</v>
      </c>
      <c r="AS16" s="35">
        <v>15872</v>
      </c>
      <c r="AT16" s="70">
        <f t="shared" si="1"/>
        <v>56979.199999999997</v>
      </c>
      <c r="AU16" s="35">
        <v>14048</v>
      </c>
      <c r="AV16" s="35"/>
      <c r="AW16" s="35"/>
      <c r="AX16" s="35"/>
      <c r="AY16" s="70"/>
    </row>
    <row r="17" spans="1:51">
      <c r="A17" s="33" t="s">
        <v>160</v>
      </c>
      <c r="B17" s="35"/>
      <c r="C17" s="35"/>
      <c r="D17" s="35"/>
      <c r="E17" s="35"/>
      <c r="F17" s="71"/>
      <c r="G17" s="35"/>
      <c r="H17" s="35"/>
      <c r="I17" s="35"/>
      <c r="J17" s="35"/>
      <c r="K17" s="71"/>
      <c r="L17" s="35"/>
      <c r="M17" s="35"/>
      <c r="N17" s="35"/>
      <c r="O17" s="35"/>
      <c r="P17" s="71"/>
      <c r="Q17" s="35"/>
      <c r="R17" s="35"/>
      <c r="S17" s="35"/>
      <c r="T17" s="35"/>
      <c r="U17" s="71"/>
      <c r="V17" s="35"/>
      <c r="W17" s="35"/>
      <c r="X17" s="35"/>
      <c r="Y17" s="35"/>
      <c r="Z17" s="71"/>
      <c r="AA17" s="35"/>
      <c r="AB17" s="35"/>
      <c r="AC17" s="35"/>
      <c r="AD17" s="35"/>
      <c r="AE17" s="71"/>
      <c r="AF17" s="35"/>
      <c r="AG17" s="35"/>
      <c r="AH17" s="35"/>
      <c r="AI17" s="35"/>
      <c r="AJ17" s="70"/>
      <c r="AK17" s="35"/>
      <c r="AL17" s="35"/>
      <c r="AM17" s="35"/>
      <c r="AN17" s="35"/>
      <c r="AO17" s="70"/>
      <c r="AP17" s="35"/>
      <c r="AQ17" s="35">
        <v>1190</v>
      </c>
      <c r="AR17" s="35">
        <v>11228</v>
      </c>
      <c r="AS17" s="35">
        <v>15777.3607077407</v>
      </c>
      <c r="AT17" s="70">
        <f t="shared" si="1"/>
        <v>28195.3607077407</v>
      </c>
      <c r="AU17" s="35">
        <v>16609</v>
      </c>
      <c r="AV17" s="35"/>
      <c r="AW17" s="35"/>
      <c r="AX17" s="35"/>
      <c r="AY17" s="70"/>
    </row>
    <row r="18" spans="1:51">
      <c r="A18" s="33" t="s">
        <v>161</v>
      </c>
      <c r="B18" s="35"/>
      <c r="C18" s="35"/>
      <c r="D18" s="35"/>
      <c r="E18" s="35"/>
      <c r="F18" s="71"/>
      <c r="G18" s="35"/>
      <c r="H18" s="35"/>
      <c r="I18" s="35"/>
      <c r="J18" s="35"/>
      <c r="K18" s="71"/>
      <c r="L18" s="35"/>
      <c r="M18" s="35"/>
      <c r="N18" s="35"/>
      <c r="O18" s="35"/>
      <c r="P18" s="71"/>
      <c r="Q18" s="35"/>
      <c r="R18" s="35"/>
      <c r="S18" s="35"/>
      <c r="T18" s="35"/>
      <c r="U18" s="71"/>
      <c r="V18" s="35"/>
      <c r="W18" s="35"/>
      <c r="X18" s="35"/>
      <c r="Y18" s="35"/>
      <c r="Z18" s="71"/>
      <c r="AA18" s="35"/>
      <c r="AB18" s="35"/>
      <c r="AC18" s="35"/>
      <c r="AD18" s="35"/>
      <c r="AE18" s="71"/>
      <c r="AF18" s="35"/>
      <c r="AG18" s="35"/>
      <c r="AH18" s="35"/>
      <c r="AI18" s="35"/>
      <c r="AJ18" s="70"/>
      <c r="AK18" s="35"/>
      <c r="AL18" s="35"/>
      <c r="AM18" s="35"/>
      <c r="AN18" s="35"/>
      <c r="AO18" s="70"/>
      <c r="AP18" s="35"/>
      <c r="AQ18" s="35"/>
      <c r="AR18" s="35"/>
      <c r="AS18" s="35">
        <v>4797</v>
      </c>
      <c r="AT18" s="70">
        <f t="shared" si="1"/>
        <v>4797</v>
      </c>
      <c r="AU18" s="35">
        <v>9508</v>
      </c>
      <c r="AV18" s="35"/>
      <c r="AW18" s="35"/>
      <c r="AX18" s="35"/>
      <c r="AY18" s="70"/>
    </row>
    <row r="19" spans="1:51">
      <c r="A19" s="31"/>
      <c r="B19" s="67"/>
      <c r="C19" s="67"/>
      <c r="D19" s="67"/>
      <c r="E19" s="67"/>
      <c r="F19" s="72"/>
      <c r="G19" s="67"/>
      <c r="H19" s="67"/>
      <c r="I19" s="67"/>
      <c r="J19" s="67"/>
      <c r="K19" s="72"/>
      <c r="L19" s="67"/>
      <c r="M19" s="67"/>
      <c r="N19" s="67"/>
      <c r="O19" s="67"/>
      <c r="P19" s="72"/>
      <c r="Q19" s="67"/>
      <c r="R19" s="67"/>
      <c r="S19" s="67"/>
      <c r="T19" s="67"/>
      <c r="U19" s="72"/>
      <c r="V19" s="67"/>
      <c r="W19" s="67"/>
      <c r="X19" s="67"/>
      <c r="Y19" s="67"/>
      <c r="Z19" s="72"/>
      <c r="AA19" s="67"/>
      <c r="AB19" s="67"/>
      <c r="AC19" s="67"/>
      <c r="AD19" s="67"/>
      <c r="AE19" s="72"/>
      <c r="AF19" s="67"/>
      <c r="AG19" s="67"/>
      <c r="AH19" s="67"/>
      <c r="AI19" s="67"/>
      <c r="AJ19" s="72"/>
      <c r="AK19" s="67"/>
      <c r="AL19" s="67"/>
      <c r="AM19" s="67"/>
      <c r="AN19" s="67"/>
      <c r="AO19" s="72"/>
      <c r="AP19" s="67"/>
      <c r="AQ19" s="67"/>
      <c r="AR19" s="67"/>
      <c r="AS19" s="67"/>
      <c r="AT19" s="72"/>
      <c r="AU19" s="67"/>
      <c r="AV19" s="67"/>
      <c r="AW19" s="67"/>
      <c r="AX19" s="67"/>
      <c r="AY19" s="72"/>
    </row>
    <row r="20" spans="1:51" s="2" customFormat="1">
      <c r="A20" s="31" t="s">
        <v>162</v>
      </c>
      <c r="B20" s="67">
        <v>34902</v>
      </c>
      <c r="C20" s="67">
        <v>44247</v>
      </c>
      <c r="D20" s="67">
        <v>39828</v>
      </c>
      <c r="E20" s="67">
        <v>38734</v>
      </c>
      <c r="F20" s="68">
        <v>157711</v>
      </c>
      <c r="G20" s="67">
        <v>45023</v>
      </c>
      <c r="H20" s="67">
        <v>45338</v>
      </c>
      <c r="I20" s="67">
        <v>33176</v>
      </c>
      <c r="J20" s="67">
        <v>31816</v>
      </c>
      <c r="K20" s="68">
        <v>155353</v>
      </c>
      <c r="L20" s="67">
        <v>25591</v>
      </c>
      <c r="M20" s="67">
        <v>33546</v>
      </c>
      <c r="N20" s="67">
        <v>49980</v>
      </c>
      <c r="O20" s="67">
        <v>46380</v>
      </c>
      <c r="P20" s="68">
        <v>155497</v>
      </c>
      <c r="Q20" s="67">
        <v>31273</v>
      </c>
      <c r="R20" s="67">
        <v>43185</v>
      </c>
      <c r="S20" s="67">
        <v>64620</v>
      </c>
      <c r="T20" s="67">
        <v>72722</v>
      </c>
      <c r="U20" s="68">
        <v>211800</v>
      </c>
      <c r="V20" s="67">
        <v>79882</v>
      </c>
      <c r="W20" s="67">
        <v>70123</v>
      </c>
      <c r="X20" s="67">
        <v>59627</v>
      </c>
      <c r="Y20" s="67">
        <v>71440</v>
      </c>
      <c r="Z20" s="68">
        <v>281072</v>
      </c>
      <c r="AA20" s="67">
        <v>56804</v>
      </c>
      <c r="AB20" s="67">
        <v>52991</v>
      </c>
      <c r="AC20" s="67">
        <v>53326</v>
      </c>
      <c r="AD20" s="67">
        <v>65770</v>
      </c>
      <c r="AE20" s="68">
        <v>228891</v>
      </c>
      <c r="AF20" s="67">
        <v>50239</v>
      </c>
      <c r="AG20" s="67">
        <v>43414</v>
      </c>
      <c r="AH20" s="67">
        <v>51053</v>
      </c>
      <c r="AI20" s="67">
        <v>61124</v>
      </c>
      <c r="AJ20" s="68">
        <v>205830</v>
      </c>
      <c r="AK20" s="67">
        <v>87916</v>
      </c>
      <c r="AL20" s="67">
        <v>85171</v>
      </c>
      <c r="AM20" s="67">
        <v>105436</v>
      </c>
      <c r="AN20" s="67">
        <v>118853</v>
      </c>
      <c r="AO20" s="68">
        <v>397376</v>
      </c>
      <c r="AP20" s="67">
        <v>111542</v>
      </c>
      <c r="AQ20" s="67">
        <v>127928</v>
      </c>
      <c r="AR20" s="67">
        <v>180738</v>
      </c>
      <c r="AS20" s="67">
        <v>255120</v>
      </c>
      <c r="AT20" s="68">
        <f t="shared" ref="AT20" si="2">SUM(AP20:AS20)</f>
        <v>675328</v>
      </c>
      <c r="AU20" s="67"/>
      <c r="AV20" s="67"/>
      <c r="AW20" s="67"/>
      <c r="AX20" s="67"/>
      <c r="AY20" s="68"/>
    </row>
    <row r="21" spans="1:51" s="2" customFormat="1">
      <c r="A21" s="31" t="s">
        <v>163</v>
      </c>
      <c r="B21" s="67">
        <v>1219</v>
      </c>
      <c r="C21" s="67">
        <v>1257</v>
      </c>
      <c r="D21" s="67">
        <v>1278</v>
      </c>
      <c r="E21" s="67">
        <v>1277</v>
      </c>
      <c r="F21" s="68">
        <v>1257.75</v>
      </c>
      <c r="G21" s="67">
        <v>1329</v>
      </c>
      <c r="H21" s="67">
        <v>1278</v>
      </c>
      <c r="I21" s="67">
        <v>1278</v>
      </c>
      <c r="J21" s="67">
        <v>1278</v>
      </c>
      <c r="K21" s="68">
        <v>1290.75</v>
      </c>
      <c r="L21" s="67">
        <v>1304</v>
      </c>
      <c r="M21" s="67">
        <v>1310</v>
      </c>
      <c r="N21" s="67">
        <v>1310</v>
      </c>
      <c r="O21" s="67">
        <v>1481</v>
      </c>
      <c r="P21" s="68">
        <v>1351.25</v>
      </c>
      <c r="Q21" s="67">
        <v>1583</v>
      </c>
      <c r="R21" s="67">
        <v>1705</v>
      </c>
      <c r="S21" s="67">
        <v>1909</v>
      </c>
      <c r="T21" s="67">
        <v>1874</v>
      </c>
      <c r="U21" s="68">
        <v>1767.75</v>
      </c>
      <c r="V21" s="67">
        <v>1794</v>
      </c>
      <c r="W21" s="67">
        <v>1816</v>
      </c>
      <c r="X21" s="67">
        <v>1790</v>
      </c>
      <c r="Y21" s="67">
        <v>1789.5223076923075</v>
      </c>
      <c r="Z21" s="68">
        <v>1797.3805769230769</v>
      </c>
      <c r="AA21" s="67">
        <v>1877</v>
      </c>
      <c r="AB21" s="67">
        <v>1871</v>
      </c>
      <c r="AC21" s="67">
        <v>1729</v>
      </c>
      <c r="AD21" s="67">
        <v>1796.74166666667</v>
      </c>
      <c r="AE21" s="68">
        <v>1818.4354166666676</v>
      </c>
      <c r="AF21" s="67">
        <v>1890.2584615384601</v>
      </c>
      <c r="AG21" s="67">
        <v>1975.6186440677959</v>
      </c>
      <c r="AH21" s="67">
        <v>1928.3975280898874</v>
      </c>
      <c r="AI21" s="67">
        <v>1991.07</v>
      </c>
      <c r="AJ21" s="68">
        <v>1946.3361584240358</v>
      </c>
      <c r="AK21" s="67">
        <v>2071.7800000000002</v>
      </c>
      <c r="AL21" s="67">
        <v>2338.0140000000001</v>
      </c>
      <c r="AM21" s="67">
        <v>2478.92</v>
      </c>
      <c r="AN21" s="67">
        <v>2663</v>
      </c>
      <c r="AO21" s="68">
        <v>2386.1999999999998</v>
      </c>
      <c r="AP21" s="67">
        <v>2861.9279369999999</v>
      </c>
      <c r="AQ21" s="67">
        <v>3288.57</v>
      </c>
      <c r="AR21" s="67">
        <v>3068</v>
      </c>
      <c r="AS21" s="67">
        <v>4152</v>
      </c>
      <c r="AT21" s="68">
        <f>AVERAGE(AP21:AS21)</f>
        <v>3342.62448425</v>
      </c>
      <c r="AU21" s="67"/>
      <c r="AV21" s="67"/>
      <c r="AW21" s="67"/>
      <c r="AX21" s="67"/>
      <c r="AY21" s="68"/>
    </row>
    <row r="22" spans="1:51" s="2" customFormat="1">
      <c r="A22" s="31" t="s">
        <v>164</v>
      </c>
      <c r="B22" s="67">
        <v>1209</v>
      </c>
      <c r="C22" s="67">
        <v>1162</v>
      </c>
      <c r="D22" s="67">
        <v>1241</v>
      </c>
      <c r="E22" s="67">
        <v>1282</v>
      </c>
      <c r="F22" s="68">
        <v>1223.5</v>
      </c>
      <c r="G22" s="67">
        <v>1339</v>
      </c>
      <c r="H22" s="67">
        <v>1309</v>
      </c>
      <c r="I22" s="67">
        <v>1205</v>
      </c>
      <c r="J22" s="67">
        <v>1306</v>
      </c>
      <c r="K22" s="68">
        <v>1289.75</v>
      </c>
      <c r="L22" s="67">
        <v>1329</v>
      </c>
      <c r="M22" s="67">
        <v>1302</v>
      </c>
      <c r="N22" s="67">
        <v>1473</v>
      </c>
      <c r="O22" s="67">
        <v>1369</v>
      </c>
      <c r="P22" s="68">
        <v>1368.25</v>
      </c>
      <c r="Q22" s="67">
        <v>1561</v>
      </c>
      <c r="R22" s="67">
        <v>1701</v>
      </c>
      <c r="S22" s="67">
        <v>1877</v>
      </c>
      <c r="T22" s="67">
        <v>1863</v>
      </c>
      <c r="U22" s="68">
        <v>1750.5</v>
      </c>
      <c r="V22" s="67">
        <v>1762</v>
      </c>
      <c r="W22" s="67">
        <v>1809</v>
      </c>
      <c r="X22" s="67">
        <v>1783</v>
      </c>
      <c r="Y22" s="67">
        <v>1778.3496251320066</v>
      </c>
      <c r="Z22" s="68">
        <v>1783.0874062830017</v>
      </c>
      <c r="AA22" s="67">
        <v>1873</v>
      </c>
      <c r="AB22" s="67">
        <v>1889</v>
      </c>
      <c r="AC22" s="67">
        <v>1718</v>
      </c>
      <c r="AD22" s="67">
        <v>1729.1235069950601</v>
      </c>
      <c r="AE22" s="68">
        <v>1802.280876748765</v>
      </c>
      <c r="AF22" s="67">
        <v>1887.9252714363599</v>
      </c>
      <c r="AG22" s="67">
        <v>1965.8154437938772</v>
      </c>
      <c r="AH22" s="67">
        <v>1941.4255721639277</v>
      </c>
      <c r="AI22" s="67">
        <v>1966.8400968439737</v>
      </c>
      <c r="AJ22" s="68">
        <v>1940.5015960595347</v>
      </c>
      <c r="AK22" s="67">
        <v>2070.1407361935294</v>
      </c>
      <c r="AL22" s="67">
        <v>2291.1732357213436</v>
      </c>
      <c r="AM22" s="67">
        <v>2506.8955393626952</v>
      </c>
      <c r="AN22" s="67">
        <v>2585.9339535414806</v>
      </c>
      <c r="AO22" s="68">
        <v>2307.8540593394205</v>
      </c>
      <c r="AP22" s="67">
        <v>2786.0867472551231</v>
      </c>
      <c r="AQ22" s="67">
        <v>3185.3383269721189</v>
      </c>
      <c r="AR22" s="67">
        <v>3385</v>
      </c>
      <c r="AS22" s="67">
        <v>4089.9033066514339</v>
      </c>
      <c r="AT22" s="68">
        <f>AVERAGE(AP22:AS22)</f>
        <v>3361.5820952196691</v>
      </c>
      <c r="AU22" s="67"/>
      <c r="AV22" s="67"/>
      <c r="AW22" s="67"/>
      <c r="AX22" s="67"/>
      <c r="AY22" s="68"/>
    </row>
    <row r="23" spans="1:51">
      <c r="A23" s="31"/>
      <c r="B23" s="67"/>
      <c r="C23" s="67"/>
      <c r="D23" s="67"/>
      <c r="E23" s="67"/>
      <c r="F23" s="73"/>
      <c r="G23" s="67"/>
      <c r="H23" s="67"/>
      <c r="I23" s="67"/>
      <c r="J23" s="67"/>
      <c r="K23" s="73"/>
      <c r="L23" s="67"/>
      <c r="M23" s="67"/>
      <c r="N23" s="67"/>
      <c r="O23" s="67"/>
      <c r="P23" s="73"/>
      <c r="Q23" s="67"/>
      <c r="R23" s="67"/>
      <c r="S23" s="67"/>
      <c r="T23" s="67"/>
      <c r="U23" s="73"/>
      <c r="V23" s="67"/>
      <c r="W23" s="67"/>
      <c r="X23" s="67"/>
      <c r="Y23" s="67"/>
      <c r="Z23" s="72"/>
      <c r="AA23" s="67"/>
      <c r="AB23" s="67"/>
      <c r="AC23" s="67"/>
      <c r="AD23" s="67"/>
      <c r="AE23" s="72"/>
      <c r="AF23" s="67"/>
      <c r="AG23" s="67"/>
      <c r="AH23" s="67"/>
      <c r="AI23" s="67"/>
      <c r="AJ23" s="72"/>
      <c r="AK23" s="67"/>
      <c r="AL23" s="67"/>
      <c r="AM23" s="67"/>
      <c r="AN23" s="67"/>
      <c r="AO23" s="72"/>
      <c r="AP23" s="67"/>
      <c r="AQ23" s="67"/>
      <c r="AR23" s="67"/>
      <c r="AS23" s="67"/>
      <c r="AT23" s="72"/>
      <c r="AU23" s="67"/>
      <c r="AV23" s="67"/>
      <c r="AW23" s="67"/>
      <c r="AX23" s="67"/>
      <c r="AY23" s="72"/>
    </row>
    <row r="24" spans="1:51" s="2" customFormat="1">
      <c r="A24" s="31" t="s">
        <v>165</v>
      </c>
      <c r="B24" s="67"/>
      <c r="C24" s="67"/>
      <c r="D24" s="67"/>
      <c r="E24" s="67"/>
      <c r="F24" s="73"/>
      <c r="G24" s="67"/>
      <c r="H24" s="67"/>
      <c r="I24" s="67"/>
      <c r="J24" s="67"/>
      <c r="K24" s="73"/>
      <c r="L24" s="67"/>
      <c r="M24" s="67"/>
      <c r="N24" s="67"/>
      <c r="O24" s="67"/>
      <c r="P24" s="73"/>
      <c r="Q24" s="67"/>
      <c r="R24" s="67"/>
      <c r="S24" s="67"/>
      <c r="T24" s="67"/>
      <c r="U24" s="73"/>
      <c r="V24" s="67"/>
      <c r="W24" s="67"/>
      <c r="X24" s="67"/>
      <c r="Y24" s="67"/>
      <c r="Z24" s="72"/>
      <c r="AA24" s="67"/>
      <c r="AB24" s="67"/>
      <c r="AC24" s="67"/>
      <c r="AD24" s="67"/>
      <c r="AE24" s="72"/>
      <c r="AF24" s="67"/>
      <c r="AG24" s="67"/>
      <c r="AH24" s="67"/>
      <c r="AI24" s="67"/>
      <c r="AJ24" s="72"/>
      <c r="AK24" s="67"/>
      <c r="AL24" s="67"/>
      <c r="AM24" s="67"/>
      <c r="AN24" s="67"/>
      <c r="AO24" s="72"/>
      <c r="AP24" s="67"/>
      <c r="AQ24" s="67"/>
      <c r="AR24" s="67"/>
      <c r="AS24" s="67"/>
      <c r="AT24" s="72"/>
      <c r="AU24" s="67"/>
      <c r="AV24" s="67"/>
      <c r="AW24" s="67"/>
      <c r="AX24" s="67"/>
      <c r="AY24" s="72"/>
    </row>
    <row r="25" spans="1:51">
      <c r="A25" s="33" t="s">
        <v>166</v>
      </c>
      <c r="B25" s="35">
        <v>783</v>
      </c>
      <c r="C25" s="35">
        <v>764</v>
      </c>
      <c r="D25" s="35">
        <v>1003</v>
      </c>
      <c r="E25" s="35">
        <v>874</v>
      </c>
      <c r="F25" s="69">
        <v>849</v>
      </c>
      <c r="G25" s="35">
        <v>837</v>
      </c>
      <c r="H25" s="35">
        <v>975</v>
      </c>
      <c r="I25" s="35">
        <v>1062</v>
      </c>
      <c r="J25" s="35">
        <v>1062</v>
      </c>
      <c r="K25" s="69">
        <v>959</v>
      </c>
      <c r="L25" s="35">
        <v>1192</v>
      </c>
      <c r="M25" s="35">
        <v>1165</v>
      </c>
      <c r="N25" s="35">
        <v>841</v>
      </c>
      <c r="O25" s="35">
        <v>846</v>
      </c>
      <c r="P25" s="69">
        <v>907</v>
      </c>
      <c r="Q25" s="35">
        <v>1060</v>
      </c>
      <c r="R25" s="35">
        <v>900</v>
      </c>
      <c r="S25" s="35">
        <v>776</v>
      </c>
      <c r="T25" s="35">
        <v>924</v>
      </c>
      <c r="U25" s="69">
        <v>846</v>
      </c>
      <c r="V25" s="35">
        <v>858.31054926190973</v>
      </c>
      <c r="W25" s="35">
        <v>850.34272297960365</v>
      </c>
      <c r="X25" s="35">
        <v>811.4133281575015</v>
      </c>
      <c r="Y25" s="35">
        <v>661.54484340740191</v>
      </c>
      <c r="Z25" s="74">
        <v>792</v>
      </c>
      <c r="AA25" s="35">
        <v>987</v>
      </c>
      <c r="AB25" s="35">
        <v>1319</v>
      </c>
      <c r="AC25" s="35">
        <v>1252</v>
      </c>
      <c r="AD25" s="35">
        <v>1453.92580706279</v>
      </c>
      <c r="AE25" s="74">
        <v>1222</v>
      </c>
      <c r="AF25" s="35">
        <v>1347.3676860773601</v>
      </c>
      <c r="AG25" s="35">
        <v>1111.2463648514185</v>
      </c>
      <c r="AH25" s="35">
        <v>1366.767664169852</v>
      </c>
      <c r="AI25" s="35">
        <v>1197.4614358581539</v>
      </c>
      <c r="AJ25" s="74">
        <v>1254</v>
      </c>
      <c r="AK25" s="35">
        <v>1187</v>
      </c>
      <c r="AL25" s="35">
        <v>1094</v>
      </c>
      <c r="AM25" s="35">
        <v>997.50937505723118</v>
      </c>
      <c r="AN25" s="35">
        <v>1234.4903989710806</v>
      </c>
      <c r="AO25" s="74">
        <v>1125.6855844867157</v>
      </c>
      <c r="AP25" s="35">
        <v>1148.8537245501866</v>
      </c>
      <c r="AQ25" s="35">
        <v>1178.2426546064855</v>
      </c>
      <c r="AR25" s="35">
        <v>1192</v>
      </c>
      <c r="AS25" s="35">
        <v>1086.8160110695071</v>
      </c>
      <c r="AT25" s="243">
        <v>1152.3101390968495</v>
      </c>
      <c r="AU25" s="35">
        <v>1188</v>
      </c>
      <c r="AV25" s="35"/>
      <c r="AW25" s="35"/>
      <c r="AX25" s="35"/>
      <c r="AY25" s="243"/>
    </row>
    <row r="26" spans="1:51">
      <c r="A26" s="33" t="s">
        <v>167</v>
      </c>
      <c r="B26" s="35">
        <v>1012</v>
      </c>
      <c r="C26" s="35">
        <v>840</v>
      </c>
      <c r="D26" s="35">
        <v>783</v>
      </c>
      <c r="E26" s="35">
        <v>939</v>
      </c>
      <c r="F26" s="69">
        <v>908</v>
      </c>
      <c r="G26" s="35">
        <v>907</v>
      </c>
      <c r="H26" s="35">
        <v>839</v>
      </c>
      <c r="I26" s="35">
        <v>750</v>
      </c>
      <c r="J26" s="35">
        <v>722</v>
      </c>
      <c r="K26" s="69">
        <v>815</v>
      </c>
      <c r="L26" s="35">
        <v>843</v>
      </c>
      <c r="M26" s="35">
        <v>1017</v>
      </c>
      <c r="N26" s="35">
        <v>953</v>
      </c>
      <c r="O26" s="35">
        <v>1147</v>
      </c>
      <c r="P26" s="69">
        <v>963</v>
      </c>
      <c r="Q26" s="35">
        <v>1221</v>
      </c>
      <c r="R26" s="35">
        <v>832</v>
      </c>
      <c r="S26" s="35">
        <v>689</v>
      </c>
      <c r="T26" s="35">
        <v>587</v>
      </c>
      <c r="U26" s="69">
        <v>743</v>
      </c>
      <c r="V26" s="35">
        <v>746</v>
      </c>
      <c r="W26" s="35">
        <v>997</v>
      </c>
      <c r="X26" s="35">
        <v>997</v>
      </c>
      <c r="Y26" s="35">
        <v>971</v>
      </c>
      <c r="Z26" s="74">
        <v>883</v>
      </c>
      <c r="AA26" s="35">
        <v>1171</v>
      </c>
      <c r="AB26" s="35">
        <v>1191</v>
      </c>
      <c r="AC26" s="35">
        <v>1096</v>
      </c>
      <c r="AD26" s="35">
        <v>678.55214596877397</v>
      </c>
      <c r="AE26" s="74">
        <v>961</v>
      </c>
      <c r="AF26" s="35">
        <v>811.50600118253601</v>
      </c>
      <c r="AG26" s="35">
        <v>1348.2847133106461</v>
      </c>
      <c r="AH26" s="35">
        <v>1610.3385529698508</v>
      </c>
      <c r="AI26" s="35">
        <v>1124.9650294567407</v>
      </c>
      <c r="AJ26" s="74">
        <v>1170</v>
      </c>
      <c r="AK26" s="35">
        <v>740</v>
      </c>
      <c r="AL26" s="35">
        <v>1252</v>
      </c>
      <c r="AM26" s="35">
        <v>1094.759331406309</v>
      </c>
      <c r="AN26" s="35">
        <v>1792.538213998391</v>
      </c>
      <c r="AO26" s="74">
        <v>1189.1129962326047</v>
      </c>
      <c r="AP26" s="35">
        <v>1228.1548439043356</v>
      </c>
      <c r="AQ26" s="35">
        <v>1168.0457810906564</v>
      </c>
      <c r="AR26" s="35">
        <v>1082</v>
      </c>
      <c r="AS26" s="35">
        <v>1450.1864311860888</v>
      </c>
      <c r="AT26" s="243">
        <v>1232.0879687569841</v>
      </c>
      <c r="AU26" s="35">
        <v>1380</v>
      </c>
      <c r="AV26" s="35"/>
      <c r="AW26" s="35"/>
      <c r="AX26" s="35"/>
      <c r="AY26" s="243"/>
    </row>
    <row r="27" spans="1:51">
      <c r="A27" s="33" t="s">
        <v>158</v>
      </c>
      <c r="B27" s="35">
        <v>0</v>
      </c>
      <c r="C27" s="35">
        <v>0</v>
      </c>
      <c r="D27" s="35">
        <v>0</v>
      </c>
      <c r="E27" s="35">
        <v>0</v>
      </c>
      <c r="F27" s="74">
        <v>0</v>
      </c>
      <c r="G27" s="35">
        <v>0</v>
      </c>
      <c r="H27" s="35">
        <v>0</v>
      </c>
      <c r="I27" s="35">
        <v>0</v>
      </c>
      <c r="J27" s="35">
        <v>0</v>
      </c>
      <c r="K27" s="74">
        <v>0</v>
      </c>
      <c r="L27" s="35">
        <v>1023</v>
      </c>
      <c r="M27" s="35">
        <v>812</v>
      </c>
      <c r="N27" s="35">
        <v>736</v>
      </c>
      <c r="O27" s="35">
        <v>540</v>
      </c>
      <c r="P27" s="69">
        <v>749</v>
      </c>
      <c r="Q27" s="35">
        <v>1051</v>
      </c>
      <c r="R27" s="35">
        <v>859.98</v>
      </c>
      <c r="S27" s="35">
        <v>757</v>
      </c>
      <c r="T27" s="35">
        <v>757.35234862292361</v>
      </c>
      <c r="U27" s="69">
        <v>840</v>
      </c>
      <c r="V27" s="35">
        <v>673.83437653967292</v>
      </c>
      <c r="W27" s="35">
        <v>786.52829410450545</v>
      </c>
      <c r="X27" s="35">
        <v>719.57335351928555</v>
      </c>
      <c r="Y27" s="35">
        <v>519.33214788951386</v>
      </c>
      <c r="Z27" s="74">
        <v>667</v>
      </c>
      <c r="AA27" s="35">
        <v>601</v>
      </c>
      <c r="AB27" s="35">
        <v>707</v>
      </c>
      <c r="AC27" s="35">
        <v>728</v>
      </c>
      <c r="AD27" s="35">
        <v>703.04197129214401</v>
      </c>
      <c r="AE27" s="74">
        <v>680</v>
      </c>
      <c r="AF27" s="35">
        <v>778.92020937608902</v>
      </c>
      <c r="AG27" s="35">
        <v>850.40901429702717</v>
      </c>
      <c r="AH27" s="35">
        <v>830.41709889135564</v>
      </c>
      <c r="AI27" s="35">
        <v>840.00801599488773</v>
      </c>
      <c r="AJ27" s="74">
        <v>825</v>
      </c>
      <c r="AK27" s="35">
        <v>926</v>
      </c>
      <c r="AL27" s="35">
        <v>958</v>
      </c>
      <c r="AM27" s="35">
        <v>996.91465188893199</v>
      </c>
      <c r="AN27" s="35">
        <v>979.50231384389053</v>
      </c>
      <c r="AO27" s="74">
        <v>964.66150567159002</v>
      </c>
      <c r="AP27" s="35">
        <v>1164.2363700288965</v>
      </c>
      <c r="AQ27" s="35">
        <v>1110.3187540046447</v>
      </c>
      <c r="AR27" s="35">
        <v>1133</v>
      </c>
      <c r="AS27" s="35">
        <v>1228.3031195837884</v>
      </c>
      <c r="AT27" s="243">
        <v>1155.623324880499</v>
      </c>
      <c r="AU27" s="35">
        <v>1558</v>
      </c>
      <c r="AV27" s="35"/>
      <c r="AW27" s="35"/>
      <c r="AX27" s="35"/>
      <c r="AY27" s="243"/>
    </row>
    <row r="28" spans="1:51">
      <c r="A28" s="33" t="s">
        <v>159</v>
      </c>
      <c r="B28" s="35">
        <v>0</v>
      </c>
      <c r="C28" s="35">
        <v>0</v>
      </c>
      <c r="D28" s="35">
        <v>0</v>
      </c>
      <c r="E28" s="35">
        <v>0</v>
      </c>
      <c r="F28" s="74">
        <v>0</v>
      </c>
      <c r="G28" s="35">
        <v>0</v>
      </c>
      <c r="H28" s="35">
        <v>0</v>
      </c>
      <c r="I28" s="35">
        <v>0</v>
      </c>
      <c r="J28" s="35">
        <v>0</v>
      </c>
      <c r="K28" s="74">
        <v>0</v>
      </c>
      <c r="L28" s="35">
        <v>0</v>
      </c>
      <c r="M28" s="35">
        <v>0</v>
      </c>
      <c r="N28" s="35">
        <v>0</v>
      </c>
      <c r="O28" s="35">
        <v>0</v>
      </c>
      <c r="P28" s="74">
        <v>0</v>
      </c>
      <c r="Q28" s="35">
        <v>0</v>
      </c>
      <c r="R28" s="35">
        <v>0</v>
      </c>
      <c r="S28" s="35">
        <v>0</v>
      </c>
      <c r="T28" s="35">
        <v>0</v>
      </c>
      <c r="U28" s="74">
        <v>0</v>
      </c>
      <c r="V28" s="35">
        <v>0</v>
      </c>
      <c r="W28" s="35">
        <v>0</v>
      </c>
      <c r="X28" s="35">
        <v>0</v>
      </c>
      <c r="Y28" s="35">
        <v>0</v>
      </c>
      <c r="Z28" s="74">
        <v>0</v>
      </c>
      <c r="AA28" s="35">
        <v>0</v>
      </c>
      <c r="AB28" s="35">
        <v>0</v>
      </c>
      <c r="AC28" s="35">
        <v>0</v>
      </c>
      <c r="AD28" s="35">
        <v>0</v>
      </c>
      <c r="AE28" s="74">
        <v>0</v>
      </c>
      <c r="AF28" s="35">
        <v>0</v>
      </c>
      <c r="AG28" s="35">
        <v>0</v>
      </c>
      <c r="AH28" s="35">
        <v>959</v>
      </c>
      <c r="AI28" s="35">
        <v>1486.7062871441976</v>
      </c>
      <c r="AJ28" s="74">
        <v>1243</v>
      </c>
      <c r="AK28" s="35">
        <v>1151</v>
      </c>
      <c r="AL28" s="35">
        <v>1203</v>
      </c>
      <c r="AM28" s="35">
        <v>899.23205342237065</v>
      </c>
      <c r="AN28" s="35">
        <v>692.48755920618737</v>
      </c>
      <c r="AO28" s="74">
        <v>950.3517803280082</v>
      </c>
      <c r="AP28" s="35">
        <v>1069.1362893144017</v>
      </c>
      <c r="AQ28" s="35">
        <v>1166.7777264199106</v>
      </c>
      <c r="AR28" s="35">
        <v>986</v>
      </c>
      <c r="AS28" s="35">
        <v>836.72964021664984</v>
      </c>
      <c r="AT28" s="243">
        <v>1004.4340572272197</v>
      </c>
      <c r="AU28" s="35">
        <v>1204</v>
      </c>
      <c r="AV28" s="35"/>
      <c r="AW28" s="35"/>
      <c r="AX28" s="35"/>
      <c r="AY28" s="243"/>
    </row>
    <row r="29" spans="1:51">
      <c r="A29" s="33" t="s">
        <v>160</v>
      </c>
      <c r="B29" s="35"/>
      <c r="C29" s="35"/>
      <c r="D29" s="35"/>
      <c r="E29" s="35"/>
      <c r="F29" s="74"/>
      <c r="G29" s="35"/>
      <c r="H29" s="35"/>
      <c r="I29" s="35"/>
      <c r="J29" s="35"/>
      <c r="K29" s="74"/>
      <c r="L29" s="35"/>
      <c r="M29" s="35"/>
      <c r="N29" s="35"/>
      <c r="O29" s="35"/>
      <c r="P29" s="74"/>
      <c r="Q29" s="35"/>
      <c r="R29" s="35"/>
      <c r="S29" s="35"/>
      <c r="T29" s="35"/>
      <c r="U29" s="74"/>
      <c r="V29" s="35"/>
      <c r="W29" s="35"/>
      <c r="X29" s="35"/>
      <c r="Y29" s="35"/>
      <c r="Z29" s="74"/>
      <c r="AA29" s="35"/>
      <c r="AB29" s="35"/>
      <c r="AC29" s="35"/>
      <c r="AD29" s="35"/>
      <c r="AE29" s="74"/>
      <c r="AF29" s="35"/>
      <c r="AG29" s="35"/>
      <c r="AH29" s="35"/>
      <c r="AI29" s="35"/>
      <c r="AJ29" s="74"/>
      <c r="AK29" s="35"/>
      <c r="AL29" s="35"/>
      <c r="AM29" s="35"/>
      <c r="AN29" s="35"/>
      <c r="AO29" s="74"/>
      <c r="AP29" s="35"/>
      <c r="AQ29" s="35">
        <v>936.13445378151266</v>
      </c>
      <c r="AR29" s="35">
        <v>1127</v>
      </c>
      <c r="AS29" s="35">
        <v>931.27109610869638</v>
      </c>
      <c r="AT29" s="243">
        <v>1009.3633622982799</v>
      </c>
      <c r="AU29" s="35">
        <v>1200</v>
      </c>
      <c r="AV29" s="35"/>
      <c r="AW29" s="35"/>
      <c r="AX29" s="35"/>
      <c r="AY29" s="243"/>
    </row>
    <row r="30" spans="1:51">
      <c r="A30" s="33" t="s">
        <v>161</v>
      </c>
      <c r="B30" s="35"/>
      <c r="C30" s="35"/>
      <c r="D30" s="35"/>
      <c r="E30" s="35"/>
      <c r="F30" s="74"/>
      <c r="G30" s="35"/>
      <c r="H30" s="35"/>
      <c r="I30" s="35"/>
      <c r="J30" s="35"/>
      <c r="K30" s="74"/>
      <c r="L30" s="35"/>
      <c r="M30" s="35"/>
      <c r="N30" s="35"/>
      <c r="O30" s="35"/>
      <c r="P30" s="74"/>
      <c r="Q30" s="35"/>
      <c r="R30" s="35"/>
      <c r="S30" s="35"/>
      <c r="T30" s="35"/>
      <c r="U30" s="74"/>
      <c r="V30" s="35"/>
      <c r="W30" s="35"/>
      <c r="X30" s="35"/>
      <c r="Y30" s="35"/>
      <c r="Z30" s="74"/>
      <c r="AA30" s="35"/>
      <c r="AB30" s="35"/>
      <c r="AC30" s="35"/>
      <c r="AD30" s="35"/>
      <c r="AE30" s="74"/>
      <c r="AF30" s="35"/>
      <c r="AG30" s="35"/>
      <c r="AH30" s="35"/>
      <c r="AI30" s="35"/>
      <c r="AJ30" s="74"/>
      <c r="AK30" s="35"/>
      <c r="AL30" s="35"/>
      <c r="AM30" s="35"/>
      <c r="AN30" s="35"/>
      <c r="AO30" s="74"/>
      <c r="AP30" s="35"/>
      <c r="AQ30" s="35"/>
      <c r="AR30" s="35"/>
      <c r="AS30" s="35">
        <v>2148.4260996456119</v>
      </c>
      <c r="AT30" s="243">
        <v>2148.4260996456119</v>
      </c>
      <c r="AU30" s="35">
        <v>2900</v>
      </c>
      <c r="AV30" s="35"/>
      <c r="AW30" s="35"/>
      <c r="AX30" s="35"/>
      <c r="AY30" s="243"/>
    </row>
    <row r="31" spans="1:51" s="2" customFormat="1">
      <c r="A31" s="31" t="s">
        <v>168</v>
      </c>
      <c r="B31" s="67">
        <v>849</v>
      </c>
      <c r="C31" s="67">
        <v>794</v>
      </c>
      <c r="D31" s="67">
        <v>902</v>
      </c>
      <c r="E31" s="67">
        <v>900</v>
      </c>
      <c r="F31" s="73">
        <v>872</v>
      </c>
      <c r="G31" s="67">
        <v>865</v>
      </c>
      <c r="H31" s="67">
        <v>916</v>
      </c>
      <c r="I31" s="67">
        <v>896</v>
      </c>
      <c r="J31" s="67">
        <v>862</v>
      </c>
      <c r="K31" s="73">
        <v>890</v>
      </c>
      <c r="L31" s="67">
        <v>978</v>
      </c>
      <c r="M31" s="67">
        <v>983</v>
      </c>
      <c r="N31" s="67">
        <v>837</v>
      </c>
      <c r="O31" s="67">
        <v>815</v>
      </c>
      <c r="P31" s="73">
        <v>868</v>
      </c>
      <c r="Q31" s="67">
        <v>1076</v>
      </c>
      <c r="R31" s="67">
        <v>858</v>
      </c>
      <c r="S31" s="67">
        <v>742</v>
      </c>
      <c r="T31" s="67">
        <v>739</v>
      </c>
      <c r="U31" s="73">
        <v>809</v>
      </c>
      <c r="V31" s="67">
        <v>724</v>
      </c>
      <c r="W31" s="67">
        <v>854</v>
      </c>
      <c r="X31" s="67">
        <v>825</v>
      </c>
      <c r="Y31" s="67">
        <v>676</v>
      </c>
      <c r="Z31" s="72">
        <v>765</v>
      </c>
      <c r="AA31" s="67">
        <v>804</v>
      </c>
      <c r="AB31" s="67">
        <v>998</v>
      </c>
      <c r="AC31" s="67">
        <v>971</v>
      </c>
      <c r="AD31" s="67">
        <v>826</v>
      </c>
      <c r="AE31" s="72">
        <v>897</v>
      </c>
      <c r="AF31" s="67">
        <v>938</v>
      </c>
      <c r="AG31" s="67">
        <v>1009</v>
      </c>
      <c r="AH31" s="67">
        <v>1114</v>
      </c>
      <c r="AI31" s="67">
        <v>1084</v>
      </c>
      <c r="AJ31" s="72">
        <v>1043</v>
      </c>
      <c r="AK31" s="67">
        <v>1003</v>
      </c>
      <c r="AL31" s="67">
        <v>1080</v>
      </c>
      <c r="AM31" s="67">
        <v>987</v>
      </c>
      <c r="AN31" s="67">
        <v>1098</v>
      </c>
      <c r="AO31" s="72">
        <v>1041</v>
      </c>
      <c r="AP31" s="67">
        <v>1149</v>
      </c>
      <c r="AQ31" s="67">
        <v>1145.6729250218896</v>
      </c>
      <c r="AR31" s="67">
        <v>1110</v>
      </c>
      <c r="AS31" s="67">
        <v>1142.5176998854411</v>
      </c>
      <c r="AT31" s="68">
        <v>1135.9742187215356</v>
      </c>
      <c r="AU31" s="67">
        <v>1485</v>
      </c>
      <c r="AV31" s="67"/>
      <c r="AW31" s="67"/>
      <c r="AX31" s="67"/>
      <c r="AY31" s="68"/>
    </row>
    <row r="32" spans="1:51">
      <c r="A32" s="31"/>
      <c r="B32" s="35"/>
      <c r="C32" s="35"/>
      <c r="D32" s="35"/>
      <c r="E32" s="35"/>
      <c r="F32" s="69"/>
      <c r="G32" s="35"/>
      <c r="H32" s="35"/>
      <c r="I32" s="35"/>
      <c r="J32" s="35"/>
      <c r="K32" s="69"/>
      <c r="L32" s="35"/>
      <c r="M32" s="35"/>
      <c r="N32" s="35"/>
      <c r="O32" s="35"/>
      <c r="P32" s="69"/>
      <c r="Q32" s="35"/>
      <c r="R32" s="35"/>
      <c r="S32" s="35"/>
      <c r="T32" s="35"/>
      <c r="U32" s="69"/>
      <c r="V32" s="67"/>
      <c r="W32" s="67"/>
      <c r="X32" s="67"/>
      <c r="Y32" s="67"/>
      <c r="Z32" s="72"/>
      <c r="AA32" s="67"/>
      <c r="AB32" s="67"/>
      <c r="AC32" s="67"/>
      <c r="AD32" s="67"/>
      <c r="AE32" s="72"/>
      <c r="AF32" s="67"/>
      <c r="AG32" s="67"/>
      <c r="AH32" s="67"/>
      <c r="AI32" s="67"/>
      <c r="AJ32" s="72"/>
      <c r="AK32" s="67"/>
      <c r="AL32" s="67"/>
      <c r="AM32" s="67"/>
      <c r="AN32" s="67"/>
      <c r="AO32" s="72"/>
      <c r="AP32" s="67"/>
      <c r="AQ32" s="67"/>
      <c r="AR32" s="67"/>
      <c r="AS32" s="67"/>
      <c r="AT32" s="72"/>
      <c r="AU32" s="67"/>
      <c r="AV32" s="67"/>
      <c r="AW32" s="67"/>
      <c r="AX32" s="67"/>
      <c r="AY32" s="72"/>
    </row>
    <row r="33" spans="1:51">
      <c r="A33" s="31" t="s">
        <v>169</v>
      </c>
      <c r="B33" s="35"/>
      <c r="C33" s="35"/>
      <c r="D33" s="35"/>
      <c r="E33" s="35"/>
      <c r="F33" s="69"/>
      <c r="G33" s="35"/>
      <c r="H33" s="35"/>
      <c r="I33" s="35"/>
      <c r="J33" s="35"/>
      <c r="K33" s="69"/>
      <c r="L33" s="35"/>
      <c r="M33" s="35"/>
      <c r="N33" s="35"/>
      <c r="O33" s="35"/>
      <c r="P33" s="69"/>
      <c r="Q33" s="35"/>
      <c r="R33" s="35"/>
      <c r="S33" s="35"/>
      <c r="T33" s="35"/>
      <c r="U33" s="69"/>
      <c r="V33" s="35"/>
      <c r="W33" s="35"/>
      <c r="X33" s="35"/>
      <c r="Y33" s="35"/>
      <c r="Z33" s="69"/>
      <c r="AA33" s="35"/>
      <c r="AB33" s="35"/>
      <c r="AC33" s="35"/>
      <c r="AD33" s="35"/>
      <c r="AE33" s="69"/>
      <c r="AF33" s="35"/>
      <c r="AG33" s="35"/>
      <c r="AH33" s="35"/>
      <c r="AI33" s="35"/>
      <c r="AJ33" s="69"/>
      <c r="AK33" s="35"/>
      <c r="AL33" s="35"/>
      <c r="AM33" s="35"/>
      <c r="AN33" s="35"/>
      <c r="AO33" s="69"/>
      <c r="AP33" s="35"/>
      <c r="AQ33" s="35"/>
      <c r="AR33" s="35"/>
      <c r="AS33" s="35"/>
      <c r="AT33" s="69"/>
      <c r="AU33" s="35"/>
      <c r="AV33" s="35"/>
      <c r="AW33" s="35"/>
      <c r="AX33" s="35"/>
      <c r="AY33" s="69"/>
    </row>
    <row r="34" spans="1:51">
      <c r="A34" s="33" t="s">
        <v>170</v>
      </c>
      <c r="B34" s="35"/>
      <c r="C34" s="35"/>
      <c r="D34" s="35"/>
      <c r="E34" s="35"/>
      <c r="F34" s="69"/>
      <c r="G34" s="35"/>
      <c r="H34" s="35"/>
      <c r="I34" s="35"/>
      <c r="J34" s="35"/>
      <c r="K34" s="69"/>
      <c r="L34" s="35"/>
      <c r="M34" s="35"/>
      <c r="N34" s="35"/>
      <c r="O34" s="35"/>
      <c r="P34" s="69"/>
      <c r="Q34" s="35"/>
      <c r="R34" s="35"/>
      <c r="S34" s="35"/>
      <c r="T34" s="35"/>
      <c r="U34" s="69"/>
      <c r="V34" s="35"/>
      <c r="W34" s="35"/>
      <c r="X34" s="35"/>
      <c r="Y34" s="35"/>
      <c r="Z34" s="74">
        <v>985</v>
      </c>
      <c r="AA34" s="35">
        <v>1085</v>
      </c>
      <c r="AB34" s="35">
        <v>1460</v>
      </c>
      <c r="AC34" s="35">
        <v>1358</v>
      </c>
      <c r="AD34" s="35">
        <v>1603</v>
      </c>
      <c r="AE34" s="74">
        <v>1342</v>
      </c>
      <c r="AF34" s="35">
        <v>1508.5336545175301</v>
      </c>
      <c r="AG34" s="35">
        <v>1196.9805235839822</v>
      </c>
      <c r="AH34" s="35">
        <v>1457.1977514951063</v>
      </c>
      <c r="AI34" s="35">
        <v>1283.5659468689412</v>
      </c>
      <c r="AJ34" s="74">
        <v>1357</v>
      </c>
      <c r="AK34" s="35">
        <v>1289</v>
      </c>
      <c r="AL34" s="35">
        <v>1159</v>
      </c>
      <c r="AM34" s="35">
        <v>1088.6606784915843</v>
      </c>
      <c r="AN34" s="35">
        <v>1295.1234748952652</v>
      </c>
      <c r="AO34" s="74">
        <v>1205.3893612742654</v>
      </c>
      <c r="AP34" s="35">
        <v>1248.9233789521222</v>
      </c>
      <c r="AQ34" s="35">
        <v>1292.1162037644756</v>
      </c>
      <c r="AR34" s="35">
        <v>1378.3127908281174</v>
      </c>
      <c r="AS34" s="35">
        <v>1267.1299241503</v>
      </c>
      <c r="AT34" s="70">
        <v>1297.1842530147121</v>
      </c>
      <c r="AU34" s="35">
        <v>1370</v>
      </c>
      <c r="AV34" s="35"/>
      <c r="AW34" s="35"/>
      <c r="AX34" s="35"/>
      <c r="AY34" s="70"/>
    </row>
    <row r="35" spans="1:51">
      <c r="A35" s="33" t="s">
        <v>157</v>
      </c>
      <c r="B35" s="35"/>
      <c r="C35" s="35"/>
      <c r="D35" s="35"/>
      <c r="E35" s="35"/>
      <c r="F35" s="69"/>
      <c r="G35" s="35"/>
      <c r="H35" s="35"/>
      <c r="I35" s="35"/>
      <c r="J35" s="35"/>
      <c r="K35" s="69"/>
      <c r="L35" s="35"/>
      <c r="M35" s="35"/>
      <c r="N35" s="35"/>
      <c r="O35" s="35"/>
      <c r="P35" s="69"/>
      <c r="Q35" s="35"/>
      <c r="R35" s="35"/>
      <c r="S35" s="35"/>
      <c r="T35" s="35"/>
      <c r="U35" s="69"/>
      <c r="V35" s="35"/>
      <c r="W35" s="35"/>
      <c r="X35" s="35"/>
      <c r="Y35" s="35"/>
      <c r="Z35" s="74">
        <v>1151</v>
      </c>
      <c r="AA35" s="35">
        <v>1253</v>
      </c>
      <c r="AB35" s="35">
        <v>1523</v>
      </c>
      <c r="AC35" s="35">
        <v>1564</v>
      </c>
      <c r="AD35" s="35">
        <v>875</v>
      </c>
      <c r="AE35" s="74">
        <v>1254</v>
      </c>
      <c r="AF35" s="35">
        <v>1066.2328874464999</v>
      </c>
      <c r="AG35" s="35">
        <v>2655.6182880681936</v>
      </c>
      <c r="AH35" s="35">
        <v>2550.3730037301598</v>
      </c>
      <c r="AI35" s="35">
        <v>1646.0052883649805</v>
      </c>
      <c r="AJ35" s="74">
        <v>1822</v>
      </c>
      <c r="AK35" s="35">
        <v>1207</v>
      </c>
      <c r="AL35" s="35">
        <v>1958</v>
      </c>
      <c r="AM35" s="35">
        <v>1888.417198267407</v>
      </c>
      <c r="AN35" s="35">
        <v>2494.0554117339479</v>
      </c>
      <c r="AO35" s="74">
        <v>1832.7713199701482</v>
      </c>
      <c r="AP35" s="35">
        <v>2041.4336252035398</v>
      </c>
      <c r="AQ35" s="35">
        <v>1751.4860698952205</v>
      </c>
      <c r="AR35" s="35">
        <v>1791</v>
      </c>
      <c r="AS35" s="35">
        <v>2427.2261014732981</v>
      </c>
      <c r="AT35" s="70">
        <v>2006.7544923084645</v>
      </c>
      <c r="AU35" s="35">
        <v>2129</v>
      </c>
      <c r="AV35" s="35"/>
      <c r="AW35" s="35"/>
      <c r="AX35" s="35"/>
      <c r="AY35" s="70"/>
    </row>
    <row r="36" spans="1:51">
      <c r="A36" s="33" t="s">
        <v>158</v>
      </c>
      <c r="B36" s="35"/>
      <c r="C36" s="35"/>
      <c r="D36" s="35"/>
      <c r="E36" s="35"/>
      <c r="F36" s="69"/>
      <c r="G36" s="35"/>
      <c r="H36" s="35"/>
      <c r="I36" s="35"/>
      <c r="J36" s="35"/>
      <c r="K36" s="69"/>
      <c r="L36" s="35"/>
      <c r="M36" s="35"/>
      <c r="N36" s="35"/>
      <c r="O36" s="35"/>
      <c r="P36" s="69"/>
      <c r="Q36" s="35"/>
      <c r="R36" s="35"/>
      <c r="S36" s="35"/>
      <c r="T36" s="35"/>
      <c r="U36" s="69"/>
      <c r="V36" s="35"/>
      <c r="W36" s="35"/>
      <c r="X36" s="35"/>
      <c r="Y36" s="35"/>
      <c r="Z36" s="74">
        <v>931</v>
      </c>
      <c r="AA36" s="35">
        <v>811</v>
      </c>
      <c r="AB36" s="35">
        <v>1023</v>
      </c>
      <c r="AC36" s="35">
        <v>980</v>
      </c>
      <c r="AD36" s="35">
        <v>877</v>
      </c>
      <c r="AE36" s="74">
        <v>914</v>
      </c>
      <c r="AF36" s="35">
        <v>1009.18022243301</v>
      </c>
      <c r="AG36" s="35">
        <v>1163.8402010153609</v>
      </c>
      <c r="AH36" s="35">
        <v>1081.478082612952</v>
      </c>
      <c r="AI36" s="35">
        <v>1068.909068673933</v>
      </c>
      <c r="AJ36" s="74">
        <v>1080</v>
      </c>
      <c r="AK36" s="35">
        <v>1263</v>
      </c>
      <c r="AL36" s="35">
        <v>1206</v>
      </c>
      <c r="AM36" s="35">
        <v>1337.9192581090522</v>
      </c>
      <c r="AN36" s="35">
        <v>1431.3158456012566</v>
      </c>
      <c r="AO36" s="74">
        <v>1307.7999937021423</v>
      </c>
      <c r="AP36" s="35">
        <v>1545.1372586494454</v>
      </c>
      <c r="AQ36" s="35">
        <v>1513.8255008318806</v>
      </c>
      <c r="AR36" s="35">
        <v>1512.5847561448686</v>
      </c>
      <c r="AS36" s="35">
        <v>1731.9608759907355</v>
      </c>
      <c r="AT36" s="70">
        <v>1569.1539881272918</v>
      </c>
      <c r="AU36" s="35">
        <v>2046</v>
      </c>
      <c r="AV36" s="35"/>
      <c r="AW36" s="35"/>
      <c r="AX36" s="35"/>
      <c r="AY36" s="70"/>
    </row>
    <row r="37" spans="1:51">
      <c r="A37" s="33" t="s">
        <v>159</v>
      </c>
      <c r="B37" s="35"/>
      <c r="C37" s="35"/>
      <c r="D37" s="35"/>
      <c r="E37" s="35"/>
      <c r="F37" s="69"/>
      <c r="G37" s="35"/>
      <c r="H37" s="35"/>
      <c r="I37" s="35"/>
      <c r="J37" s="35"/>
      <c r="K37" s="69"/>
      <c r="L37" s="35"/>
      <c r="M37" s="35"/>
      <c r="N37" s="35"/>
      <c r="O37" s="35"/>
      <c r="P37" s="69"/>
      <c r="Q37" s="35"/>
      <c r="R37" s="35"/>
      <c r="S37" s="35"/>
      <c r="T37" s="35"/>
      <c r="U37" s="69"/>
      <c r="V37" s="35"/>
      <c r="W37" s="35"/>
      <c r="X37" s="35"/>
      <c r="Y37" s="35"/>
      <c r="Z37" s="74">
        <v>0</v>
      </c>
      <c r="AA37" s="35">
        <v>0</v>
      </c>
      <c r="AB37" s="35">
        <v>0</v>
      </c>
      <c r="AC37" s="35">
        <v>0</v>
      </c>
      <c r="AD37" s="35">
        <v>0</v>
      </c>
      <c r="AE37" s="74">
        <v>0</v>
      </c>
      <c r="AF37" s="35">
        <v>0</v>
      </c>
      <c r="AG37" s="35">
        <v>0</v>
      </c>
      <c r="AH37" s="35">
        <v>1306.8458576820062</v>
      </c>
      <c r="AI37" s="35">
        <v>1514.7534146595767</v>
      </c>
      <c r="AJ37" s="74">
        <v>1419</v>
      </c>
      <c r="AK37" s="35">
        <v>1422</v>
      </c>
      <c r="AL37" s="35">
        <v>1434</v>
      </c>
      <c r="AM37" s="35">
        <v>1181.9305930304261</v>
      </c>
      <c r="AN37" s="35">
        <v>712.70267011775331</v>
      </c>
      <c r="AO37" s="74">
        <v>1139.4949189127344</v>
      </c>
      <c r="AP37" s="35">
        <v>1194.8399866223244</v>
      </c>
      <c r="AQ37" s="35">
        <v>1363.7140287017878</v>
      </c>
      <c r="AR37" s="35">
        <v>1128</v>
      </c>
      <c r="AS37" s="35">
        <v>962.18713927113686</v>
      </c>
      <c r="AT37" s="70">
        <v>1150.4926806974506</v>
      </c>
      <c r="AU37" s="35">
        <v>1376</v>
      </c>
      <c r="AV37" s="35"/>
      <c r="AW37" s="35"/>
      <c r="AX37" s="35"/>
      <c r="AY37" s="70"/>
    </row>
    <row r="38" spans="1:51">
      <c r="A38" s="33" t="s">
        <v>160</v>
      </c>
      <c r="B38" s="35"/>
      <c r="C38" s="35"/>
      <c r="D38" s="35"/>
      <c r="E38" s="35"/>
      <c r="F38" s="69"/>
      <c r="G38" s="35"/>
      <c r="H38" s="35"/>
      <c r="I38" s="35"/>
      <c r="J38" s="35"/>
      <c r="K38" s="69"/>
      <c r="L38" s="35"/>
      <c r="M38" s="35"/>
      <c r="N38" s="35"/>
      <c r="O38" s="35"/>
      <c r="P38" s="69"/>
      <c r="Q38" s="35"/>
      <c r="R38" s="35"/>
      <c r="S38" s="35"/>
      <c r="T38" s="35"/>
      <c r="U38" s="69"/>
      <c r="V38" s="35"/>
      <c r="W38" s="35"/>
      <c r="X38" s="35"/>
      <c r="Y38" s="35"/>
      <c r="Z38" s="74"/>
      <c r="AA38" s="35"/>
      <c r="AB38" s="35"/>
      <c r="AC38" s="35"/>
      <c r="AD38" s="35"/>
      <c r="AE38" s="74"/>
      <c r="AF38" s="35"/>
      <c r="AG38" s="35"/>
      <c r="AH38" s="35"/>
      <c r="AI38" s="35"/>
      <c r="AJ38" s="74"/>
      <c r="AK38" s="35"/>
      <c r="AL38" s="35"/>
      <c r="AM38" s="35"/>
      <c r="AN38" s="35"/>
      <c r="AO38" s="74"/>
      <c r="AP38" s="35"/>
      <c r="AQ38" s="35">
        <v>1441.4415411241316</v>
      </c>
      <c r="AR38" s="35">
        <v>1237</v>
      </c>
      <c r="AS38" s="35">
        <v>1111.3338262289651</v>
      </c>
      <c r="AT38" s="70">
        <v>1175.2762774650844</v>
      </c>
      <c r="AU38" s="35">
        <v>1256</v>
      </c>
      <c r="AV38" s="35"/>
      <c r="AW38" s="35"/>
      <c r="AX38" s="35"/>
      <c r="AY38" s="70"/>
    </row>
    <row r="39" spans="1:51">
      <c r="A39" s="33" t="s">
        <v>161</v>
      </c>
      <c r="B39" s="35"/>
      <c r="C39" s="35"/>
      <c r="D39" s="35"/>
      <c r="E39" s="35"/>
      <c r="F39" s="69"/>
      <c r="G39" s="35"/>
      <c r="H39" s="35"/>
      <c r="I39" s="35"/>
      <c r="J39" s="35"/>
      <c r="K39" s="69"/>
      <c r="L39" s="35"/>
      <c r="M39" s="35"/>
      <c r="N39" s="35"/>
      <c r="O39" s="35"/>
      <c r="P39" s="69"/>
      <c r="Q39" s="35"/>
      <c r="R39" s="35"/>
      <c r="S39" s="35"/>
      <c r="T39" s="35"/>
      <c r="U39" s="69"/>
      <c r="V39" s="35"/>
      <c r="W39" s="35"/>
      <c r="X39" s="35"/>
      <c r="Y39" s="35"/>
      <c r="Z39" s="74"/>
      <c r="AA39" s="35"/>
      <c r="AB39" s="35"/>
      <c r="AC39" s="35"/>
      <c r="AD39" s="35"/>
      <c r="AE39" s="74"/>
      <c r="AF39" s="35"/>
      <c r="AG39" s="35"/>
      <c r="AH39" s="35"/>
      <c r="AI39" s="35"/>
      <c r="AJ39" s="74"/>
      <c r="AK39" s="35"/>
      <c r="AL39" s="35"/>
      <c r="AM39" s="35"/>
      <c r="AN39" s="35"/>
      <c r="AO39" s="74"/>
      <c r="AP39" s="35"/>
      <c r="AQ39" s="35"/>
      <c r="AR39" s="35"/>
      <c r="AS39" s="35">
        <v>3132.1659370439857</v>
      </c>
      <c r="AT39" s="70">
        <v>3132.1659370439857</v>
      </c>
      <c r="AU39" s="35">
        <v>3735</v>
      </c>
      <c r="AV39" s="35"/>
      <c r="AW39" s="35"/>
      <c r="AX39" s="35"/>
      <c r="AY39" s="70"/>
    </row>
    <row r="40" spans="1:51" s="2" customFormat="1">
      <c r="A40" s="75" t="s">
        <v>171</v>
      </c>
      <c r="B40" s="76"/>
      <c r="C40" s="76"/>
      <c r="D40" s="76"/>
      <c r="E40" s="76"/>
      <c r="F40" s="77"/>
      <c r="G40" s="76"/>
      <c r="H40" s="76"/>
      <c r="I40" s="76"/>
      <c r="J40" s="76"/>
      <c r="K40" s="77"/>
      <c r="L40" s="76"/>
      <c r="M40" s="76"/>
      <c r="N40" s="76"/>
      <c r="O40" s="76"/>
      <c r="P40" s="77"/>
      <c r="Q40" s="76"/>
      <c r="R40" s="76"/>
      <c r="S40" s="76"/>
      <c r="T40" s="76"/>
      <c r="U40" s="77"/>
      <c r="V40" s="76"/>
      <c r="W40" s="76"/>
      <c r="X40" s="76"/>
      <c r="Y40" s="76"/>
      <c r="Z40" s="78">
        <v>1005</v>
      </c>
      <c r="AA40" s="76">
        <v>976</v>
      </c>
      <c r="AB40" s="76">
        <v>1266</v>
      </c>
      <c r="AC40" s="76">
        <v>1251</v>
      </c>
      <c r="AD40" s="76">
        <v>1005</v>
      </c>
      <c r="AE40" s="78">
        <v>1118</v>
      </c>
      <c r="AF40" s="76">
        <v>1156</v>
      </c>
      <c r="AG40" s="76">
        <v>1385</v>
      </c>
      <c r="AH40" s="76">
        <v>1437</v>
      </c>
      <c r="AI40" s="76">
        <v>1311</v>
      </c>
      <c r="AJ40" s="78">
        <v>1324</v>
      </c>
      <c r="AK40" s="76">
        <v>1287</v>
      </c>
      <c r="AL40" s="76">
        <v>1328</v>
      </c>
      <c r="AM40" s="76">
        <v>1292</v>
      </c>
      <c r="AN40" s="76">
        <v>1373</v>
      </c>
      <c r="AO40" s="78">
        <v>1320</v>
      </c>
      <c r="AP40" s="76">
        <v>1461</v>
      </c>
      <c r="AQ40" s="76">
        <v>1449.3566670141859</v>
      </c>
      <c r="AR40" s="76">
        <v>1396</v>
      </c>
      <c r="AS40" s="76">
        <v>1521.2235101704016</v>
      </c>
      <c r="AT40" s="125">
        <v>1458.2559864091177</v>
      </c>
      <c r="AU40" s="76">
        <v>1829</v>
      </c>
      <c r="AV40" s="76"/>
      <c r="AW40" s="76"/>
      <c r="AX40" s="76"/>
      <c r="AY40" s="125"/>
    </row>
    <row r="41" spans="1:5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N41" s="3"/>
      <c r="AO41" s="3"/>
      <c r="AP41" s="3"/>
      <c r="AQ41" s="3"/>
      <c r="AS41" s="3"/>
      <c r="AT41" s="3"/>
      <c r="AU41" s="3"/>
      <c r="AV41" s="3"/>
      <c r="AX41" s="3"/>
      <c r="AY41" s="3"/>
    </row>
    <row r="42" spans="1:5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N42" s="3"/>
      <c r="AO42" s="3"/>
      <c r="AP42" s="3"/>
      <c r="AQ42" s="3"/>
      <c r="AS42" s="3"/>
      <c r="AT42" s="3"/>
      <c r="AU42" s="3"/>
      <c r="AV42" s="3"/>
      <c r="AX42" s="3"/>
      <c r="AY42" s="3"/>
    </row>
    <row r="43" spans="1:5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N43" s="3"/>
      <c r="AO43" s="3"/>
      <c r="AP43" s="3"/>
      <c r="AQ43" s="3"/>
      <c r="AS43" s="3"/>
      <c r="AT43" s="3"/>
      <c r="AU43" s="3"/>
      <c r="AV43" s="3"/>
      <c r="AX43" s="3"/>
      <c r="AY43" s="3"/>
    </row>
    <row r="44" spans="1:5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N44" s="3"/>
      <c r="AO44" s="3"/>
      <c r="AP44" s="3"/>
      <c r="AQ44" s="3"/>
      <c r="AS44" s="3"/>
      <c r="AT44" s="3"/>
      <c r="AU44" s="3"/>
      <c r="AV44" s="3"/>
      <c r="AX44" s="3"/>
      <c r="AY44" s="3"/>
    </row>
    <row r="45" spans="1:5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N45" s="3"/>
      <c r="AO45" s="3"/>
      <c r="AP45" s="3"/>
      <c r="AQ45" s="3"/>
      <c r="AS45" s="3"/>
      <c r="AT45" s="3"/>
      <c r="AU45" s="3"/>
      <c r="AV45" s="3"/>
      <c r="AX45" s="3"/>
      <c r="AY45" s="3"/>
    </row>
    <row r="46" spans="1:5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N46" s="3"/>
      <c r="AO46" s="3"/>
      <c r="AP46" s="3"/>
      <c r="AQ46" s="3"/>
      <c r="AS46" s="3"/>
      <c r="AT46" s="3"/>
      <c r="AU46" s="3"/>
      <c r="AV46" s="3"/>
      <c r="AX46" s="3"/>
      <c r="AY46" s="3"/>
    </row>
    <row r="47" spans="1:5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N47" s="3"/>
      <c r="AO47" s="3"/>
      <c r="AP47" s="3"/>
      <c r="AQ47" s="3"/>
      <c r="AS47" s="3"/>
      <c r="AT47" s="3"/>
      <c r="AU47" s="3"/>
      <c r="AV47" s="3"/>
      <c r="AX47" s="3"/>
      <c r="AY47" s="3"/>
    </row>
    <row r="48" spans="1:5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N48" s="3"/>
      <c r="AO48" s="3"/>
      <c r="AP48" s="3"/>
      <c r="AQ48" s="3"/>
      <c r="AS48" s="3"/>
      <c r="AT48" s="3"/>
      <c r="AU48" s="3"/>
      <c r="AV48" s="3"/>
      <c r="AX48" s="3"/>
      <c r="AY48" s="3"/>
    </row>
  </sheetData>
  <pageMargins left="0.7" right="0.7" top="0.75" bottom="0.75" header="0.3" footer="0.3"/>
  <ignoredErrors>
    <ignoredError sqref="AT9:AT10 AT12:AT16 AT20 AT21:AT22"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7D002-A5DB-4F27-AD94-289FAA56E182}">
  <sheetPr>
    <tabColor rgb="FF2D3D70"/>
  </sheetPr>
  <dimension ref="A5:AX87"/>
  <sheetViews>
    <sheetView showGridLines="0" topLeftCell="A3" zoomScaleNormal="100" workbookViewId="0">
      <pane xSplit="1" ySplit="4" topLeftCell="B7" activePane="bottomRight" state="frozen"/>
      <selection activeCell="A3" sqref="A3"/>
      <selection pane="topRight" activeCell="B3" sqref="B3"/>
      <selection pane="bottomLeft" activeCell="A7" sqref="A7"/>
      <selection pane="bottomRight" activeCell="A6" sqref="A6"/>
    </sheetView>
  </sheetViews>
  <sheetFormatPr defaultColWidth="8.88671875" defaultRowHeight="14.4"/>
  <cols>
    <col min="1" max="1" width="42.33203125" style="1" bestFit="1" customWidth="1"/>
    <col min="2" max="2" width="11" style="1" bestFit="1" customWidth="1"/>
    <col min="3" max="6" width="11.33203125" style="1" bestFit="1" customWidth="1"/>
    <col min="7" max="7" width="11" style="1" bestFit="1" customWidth="1"/>
    <col min="8" max="11" width="11.33203125" style="1" bestFit="1" customWidth="1"/>
    <col min="12" max="12" width="11" style="1" bestFit="1" customWidth="1"/>
    <col min="13" max="16" width="11.33203125" style="1" bestFit="1" customWidth="1"/>
    <col min="17" max="17" width="11" style="1" bestFit="1" customWidth="1"/>
    <col min="18" max="21" width="11.33203125" style="1" bestFit="1" customWidth="1"/>
    <col min="22" max="22" width="11" style="1" bestFit="1" customWidth="1"/>
    <col min="23" max="26" width="11.33203125" style="1" bestFit="1" customWidth="1"/>
    <col min="27" max="27" width="12.109375" style="1" bestFit="1" customWidth="1"/>
    <col min="28" max="31" width="12.33203125" style="1" bestFit="1" customWidth="1"/>
    <col min="32" max="32" width="12.109375" style="1" bestFit="1" customWidth="1"/>
    <col min="33" max="36" width="12.33203125" style="1" bestFit="1" customWidth="1"/>
    <col min="37" max="37" width="12.109375" style="1" bestFit="1" customWidth="1"/>
    <col min="38" max="41" width="12.33203125" style="1" bestFit="1" customWidth="1"/>
    <col min="42" max="42" width="12.109375" style="1" bestFit="1" customWidth="1"/>
    <col min="43" max="46" width="12.33203125" style="1" bestFit="1" customWidth="1"/>
    <col min="47" max="47" width="12.109375" style="1" bestFit="1" customWidth="1"/>
    <col min="48" max="16384" width="8.88671875" style="1"/>
  </cols>
  <sheetData>
    <row r="5" spans="1:47">
      <c r="A5" s="8"/>
      <c r="C5" s="8"/>
      <c r="D5" s="8"/>
      <c r="E5" s="8"/>
    </row>
    <row r="6" spans="1:47" s="162" customFormat="1">
      <c r="A6" s="45"/>
      <c r="B6" s="11">
        <v>2017</v>
      </c>
      <c r="C6" s="10" t="s">
        <v>19</v>
      </c>
      <c r="D6" s="10" t="s">
        <v>20</v>
      </c>
      <c r="E6" s="10" t="s">
        <v>21</v>
      </c>
      <c r="F6" s="10" t="s">
        <v>22</v>
      </c>
      <c r="G6" s="11">
        <v>2018</v>
      </c>
      <c r="H6" s="10" t="s">
        <v>23</v>
      </c>
      <c r="I6" s="10" t="s">
        <v>24</v>
      </c>
      <c r="J6" s="10" t="s">
        <v>25</v>
      </c>
      <c r="K6" s="10" t="s">
        <v>26</v>
      </c>
      <c r="L6" s="11">
        <v>2019</v>
      </c>
      <c r="M6" s="10" t="s">
        <v>27</v>
      </c>
      <c r="N6" s="10" t="s">
        <v>28</v>
      </c>
      <c r="O6" s="10" t="s">
        <v>29</v>
      </c>
      <c r="P6" s="10" t="s">
        <v>30</v>
      </c>
      <c r="Q6" s="11">
        <v>2020</v>
      </c>
      <c r="R6" s="10" t="s">
        <v>31</v>
      </c>
      <c r="S6" s="10" t="s">
        <v>32</v>
      </c>
      <c r="T6" s="10" t="s">
        <v>33</v>
      </c>
      <c r="U6" s="10" t="s">
        <v>34</v>
      </c>
      <c r="V6" s="11">
        <v>2021</v>
      </c>
      <c r="W6" s="10" t="s">
        <v>35</v>
      </c>
      <c r="X6" s="10" t="s">
        <v>36</v>
      </c>
      <c r="Y6" s="10" t="s">
        <v>37</v>
      </c>
      <c r="Z6" s="10" t="s">
        <v>38</v>
      </c>
      <c r="AA6" s="11">
        <v>2022</v>
      </c>
      <c r="AB6" s="10" t="s">
        <v>39</v>
      </c>
      <c r="AC6" s="10" t="s">
        <v>40</v>
      </c>
      <c r="AD6" s="10" t="s">
        <v>41</v>
      </c>
      <c r="AE6" s="10" t="s">
        <v>42</v>
      </c>
      <c r="AF6" s="12">
        <v>2023</v>
      </c>
      <c r="AG6" s="10" t="s">
        <v>43</v>
      </c>
      <c r="AH6" s="10" t="s">
        <v>44</v>
      </c>
      <c r="AI6" s="10" t="s">
        <v>45</v>
      </c>
      <c r="AJ6" s="10" t="s">
        <v>46</v>
      </c>
      <c r="AK6" s="12">
        <v>2024</v>
      </c>
      <c r="AL6" s="10" t="s">
        <v>47</v>
      </c>
      <c r="AM6" s="10" t="s">
        <v>48</v>
      </c>
      <c r="AN6" s="10" t="s">
        <v>49</v>
      </c>
      <c r="AO6" s="10" t="s">
        <v>50</v>
      </c>
      <c r="AP6" s="12">
        <v>2025</v>
      </c>
      <c r="AQ6" s="10" t="s">
        <v>51</v>
      </c>
      <c r="AR6" s="10" t="s">
        <v>52</v>
      </c>
      <c r="AS6" s="10" t="s">
        <v>53</v>
      </c>
      <c r="AT6" s="10" t="s">
        <v>54</v>
      </c>
      <c r="AU6" s="12">
        <v>2026</v>
      </c>
    </row>
    <row r="7" spans="1:47">
      <c r="A7" s="13" t="s">
        <v>172</v>
      </c>
      <c r="B7" s="47"/>
      <c r="C7" s="46"/>
      <c r="D7" s="46"/>
      <c r="E7" s="46"/>
      <c r="F7" s="46"/>
      <c r="G7" s="47"/>
      <c r="H7" s="46"/>
      <c r="I7" s="46"/>
      <c r="J7" s="46"/>
      <c r="K7" s="46"/>
      <c r="L7" s="47"/>
      <c r="M7" s="46"/>
      <c r="N7" s="46"/>
      <c r="O7" s="46"/>
      <c r="P7" s="46"/>
      <c r="Q7" s="47"/>
      <c r="R7" s="46"/>
      <c r="S7" s="46"/>
      <c r="T7" s="46"/>
      <c r="U7" s="46"/>
      <c r="V7" s="47"/>
      <c r="W7" s="46"/>
      <c r="X7" s="46"/>
      <c r="Y7" s="46"/>
      <c r="Z7" s="46"/>
      <c r="AA7" s="47"/>
      <c r="AB7" s="46"/>
      <c r="AC7" s="46"/>
      <c r="AD7" s="46"/>
      <c r="AE7" s="46"/>
      <c r="AF7" s="48"/>
      <c r="AG7" s="46"/>
      <c r="AH7" s="46"/>
      <c r="AI7" s="46"/>
      <c r="AJ7" s="46"/>
      <c r="AK7" s="48"/>
      <c r="AL7" s="46"/>
      <c r="AM7" s="46"/>
      <c r="AN7" s="46"/>
      <c r="AO7" s="46"/>
      <c r="AP7" s="48"/>
      <c r="AQ7" s="46"/>
      <c r="AR7" s="46"/>
      <c r="AS7" s="46"/>
      <c r="AT7" s="46"/>
      <c r="AU7" s="48"/>
    </row>
    <row r="8" spans="1:47">
      <c r="A8" s="79"/>
      <c r="B8" s="66"/>
      <c r="G8" s="66"/>
      <c r="L8" s="66"/>
      <c r="Q8" s="66"/>
      <c r="V8" s="66"/>
      <c r="AA8" s="66"/>
      <c r="AF8" s="66"/>
      <c r="AK8" s="66"/>
      <c r="AP8" s="66"/>
      <c r="AU8" s="66"/>
    </row>
    <row r="9" spans="1:47" s="3" customFormat="1">
      <c r="A9" s="80" t="s">
        <v>173</v>
      </c>
      <c r="B9" s="81"/>
      <c r="C9" s="82"/>
      <c r="D9" s="82"/>
      <c r="E9" s="82"/>
      <c r="G9" s="81"/>
      <c r="H9" s="20"/>
      <c r="I9" s="20"/>
      <c r="J9" s="20"/>
      <c r="K9" s="20"/>
      <c r="L9" s="81"/>
      <c r="Q9" s="81"/>
      <c r="V9" s="81"/>
      <c r="AA9" s="81"/>
      <c r="AF9" s="81"/>
      <c r="AK9" s="81"/>
      <c r="AP9" s="81"/>
      <c r="AU9" s="81"/>
    </row>
    <row r="10" spans="1:47" s="3" customFormat="1">
      <c r="A10" s="83" t="s">
        <v>174</v>
      </c>
      <c r="B10" s="81">
        <v>176412</v>
      </c>
      <c r="C10" s="35">
        <v>176412</v>
      </c>
      <c r="D10" s="35">
        <v>176412</v>
      </c>
      <c r="E10" s="35">
        <v>176412</v>
      </c>
      <c r="F10" s="35">
        <v>176412</v>
      </c>
      <c r="G10" s="81">
        <v>160128</v>
      </c>
      <c r="H10" s="35">
        <v>160128</v>
      </c>
      <c r="I10" s="35">
        <v>160128</v>
      </c>
      <c r="J10" s="35">
        <v>160128</v>
      </c>
      <c r="K10" s="35">
        <v>160128</v>
      </c>
      <c r="L10" s="81">
        <v>155616</v>
      </c>
      <c r="M10" s="35">
        <v>155616</v>
      </c>
      <c r="N10" s="35">
        <v>155616</v>
      </c>
      <c r="O10" s="35">
        <v>155616</v>
      </c>
      <c r="P10" s="35">
        <v>155616</v>
      </c>
      <c r="Q10" s="81">
        <v>187629</v>
      </c>
      <c r="R10" s="35">
        <v>187629</v>
      </c>
      <c r="S10" s="35">
        <v>187629</v>
      </c>
      <c r="T10" s="35">
        <v>187629</v>
      </c>
      <c r="U10" s="35">
        <v>187629</v>
      </c>
      <c r="V10" s="81">
        <v>194996</v>
      </c>
      <c r="W10" s="35">
        <v>194996</v>
      </c>
      <c r="X10" s="35">
        <v>194996</v>
      </c>
      <c r="Y10" s="35">
        <v>194996</v>
      </c>
      <c r="Z10" s="35">
        <v>194996</v>
      </c>
      <c r="AA10" s="81">
        <v>259004</v>
      </c>
      <c r="AB10" s="35">
        <v>259004</v>
      </c>
      <c r="AC10" s="35">
        <v>259004</v>
      </c>
      <c r="AD10" s="35">
        <v>259004</v>
      </c>
      <c r="AE10" s="35">
        <v>259004</v>
      </c>
      <c r="AF10" s="81">
        <v>270386</v>
      </c>
      <c r="AG10" s="35">
        <v>270386</v>
      </c>
      <c r="AH10" s="35">
        <v>270386</v>
      </c>
      <c r="AI10" s="35">
        <v>270386</v>
      </c>
      <c r="AJ10" s="35">
        <v>270386</v>
      </c>
      <c r="AK10" s="81">
        <f>AJ10</f>
        <v>270386</v>
      </c>
      <c r="AL10" s="22">
        <v>264102</v>
      </c>
      <c r="AM10" s="35">
        <v>264102</v>
      </c>
      <c r="AN10" s="35">
        <v>264102</v>
      </c>
      <c r="AO10" s="35">
        <v>264102</v>
      </c>
      <c r="AP10" s="81">
        <f>AO10</f>
        <v>264102</v>
      </c>
      <c r="AQ10" s="22">
        <f>AP10</f>
        <v>264102</v>
      </c>
      <c r="AR10" s="35"/>
      <c r="AS10" s="35"/>
      <c r="AT10" s="35"/>
      <c r="AU10" s="81"/>
    </row>
    <row r="11" spans="1:47" s="3" customFormat="1">
      <c r="A11" s="83" t="s">
        <v>175</v>
      </c>
      <c r="B11" s="81">
        <v>444399</v>
      </c>
      <c r="C11" s="84">
        <v>444399</v>
      </c>
      <c r="D11" s="84">
        <v>444399</v>
      </c>
      <c r="E11" s="84">
        <v>444399</v>
      </c>
      <c r="F11" s="84">
        <v>444399</v>
      </c>
      <c r="G11" s="81">
        <v>432081</v>
      </c>
      <c r="H11" s="84">
        <v>432081</v>
      </c>
      <c r="I11" s="84">
        <v>432081</v>
      </c>
      <c r="J11" s="84">
        <v>432081</v>
      </c>
      <c r="K11" s="84">
        <v>432081</v>
      </c>
      <c r="L11" s="81">
        <v>390117</v>
      </c>
      <c r="M11" s="84">
        <v>390117</v>
      </c>
      <c r="N11" s="84">
        <v>390117</v>
      </c>
      <c r="O11" s="84">
        <v>390117</v>
      </c>
      <c r="P11" s="84">
        <v>390117</v>
      </c>
      <c r="Q11" s="81">
        <v>379575</v>
      </c>
      <c r="R11" s="84">
        <v>379575</v>
      </c>
      <c r="S11" s="84">
        <v>379575</v>
      </c>
      <c r="T11" s="84">
        <v>379575</v>
      </c>
      <c r="U11" s="84">
        <v>379575</v>
      </c>
      <c r="V11" s="81">
        <v>392335</v>
      </c>
      <c r="W11" s="84">
        <v>392335</v>
      </c>
      <c r="X11" s="84">
        <v>392335</v>
      </c>
      <c r="Y11" s="84">
        <v>392335</v>
      </c>
      <c r="Z11" s="84">
        <v>392335</v>
      </c>
      <c r="AA11" s="81">
        <v>477490</v>
      </c>
      <c r="AB11" s="84">
        <v>477490</v>
      </c>
      <c r="AC11" s="84">
        <v>477490</v>
      </c>
      <c r="AD11" s="84">
        <v>477490</v>
      </c>
      <c r="AE11" s="84">
        <v>477490</v>
      </c>
      <c r="AF11" s="81">
        <v>488904</v>
      </c>
      <c r="AG11" s="84">
        <v>488904</v>
      </c>
      <c r="AH11" s="84">
        <v>488904</v>
      </c>
      <c r="AI11" s="84">
        <v>488904</v>
      </c>
      <c r="AJ11" s="84">
        <v>488904</v>
      </c>
      <c r="AK11" s="81">
        <f t="shared" ref="AK11:AK20" si="0">AJ11</f>
        <v>488904</v>
      </c>
      <c r="AL11" s="225">
        <v>521919</v>
      </c>
      <c r="AM11" s="84">
        <v>521919</v>
      </c>
      <c r="AN11" s="84">
        <v>521919</v>
      </c>
      <c r="AO11" s="84">
        <v>521919</v>
      </c>
      <c r="AP11" s="81">
        <f t="shared" ref="AP11:AQ20" si="1">AO11</f>
        <v>521919</v>
      </c>
      <c r="AQ11" s="225">
        <f t="shared" si="1"/>
        <v>521919</v>
      </c>
      <c r="AR11" s="84"/>
      <c r="AS11" s="84"/>
      <c r="AT11" s="84"/>
      <c r="AU11" s="81"/>
    </row>
    <row r="12" spans="1:47" s="3" customFormat="1">
      <c r="A12" s="83" t="s">
        <v>176</v>
      </c>
      <c r="B12" s="81">
        <v>221081</v>
      </c>
      <c r="C12" s="35">
        <v>221081</v>
      </c>
      <c r="D12" s="35">
        <v>221081</v>
      </c>
      <c r="E12" s="35">
        <v>221081</v>
      </c>
      <c r="F12" s="35">
        <v>221081</v>
      </c>
      <c r="G12" s="81">
        <v>221081</v>
      </c>
      <c r="H12" s="35">
        <v>221081</v>
      </c>
      <c r="I12" s="35">
        <v>221081</v>
      </c>
      <c r="J12" s="35">
        <v>221081</v>
      </c>
      <c r="K12" s="35">
        <v>221081</v>
      </c>
      <c r="L12" s="81">
        <v>221081</v>
      </c>
      <c r="M12" s="35">
        <v>221081</v>
      </c>
      <c r="N12" s="35">
        <v>221081</v>
      </c>
      <c r="O12" s="35">
        <v>221081</v>
      </c>
      <c r="P12" s="35">
        <v>221081</v>
      </c>
      <c r="Q12" s="81">
        <v>111816</v>
      </c>
      <c r="R12" s="35">
        <v>111816</v>
      </c>
      <c r="S12" s="35">
        <v>111816</v>
      </c>
      <c r="T12" s="35">
        <v>111816</v>
      </c>
      <c r="U12" s="35">
        <v>111816</v>
      </c>
      <c r="V12" s="81">
        <v>123705</v>
      </c>
      <c r="W12" s="35">
        <v>123705</v>
      </c>
      <c r="X12" s="35">
        <v>123705</v>
      </c>
      <c r="Y12" s="35">
        <v>123705</v>
      </c>
      <c r="Z12" s="35">
        <v>123705</v>
      </c>
      <c r="AA12" s="81">
        <v>99051</v>
      </c>
      <c r="AB12" s="35">
        <v>99051</v>
      </c>
      <c r="AC12" s="35">
        <v>99051</v>
      </c>
      <c r="AD12" s="35">
        <v>99051</v>
      </c>
      <c r="AE12" s="35">
        <v>99051</v>
      </c>
      <c r="AF12" s="81">
        <v>90443</v>
      </c>
      <c r="AG12" s="35">
        <v>90443</v>
      </c>
      <c r="AH12" s="35">
        <v>90443</v>
      </c>
      <c r="AI12" s="35">
        <v>90443</v>
      </c>
      <c r="AJ12" s="35">
        <v>90443</v>
      </c>
      <c r="AK12" s="81">
        <f t="shared" si="0"/>
        <v>90443</v>
      </c>
      <c r="AL12" s="22">
        <v>101897</v>
      </c>
      <c r="AM12" s="35">
        <v>101897</v>
      </c>
      <c r="AN12" s="35">
        <v>101897</v>
      </c>
      <c r="AO12" s="35">
        <v>101897</v>
      </c>
      <c r="AP12" s="81">
        <f t="shared" si="1"/>
        <v>101897</v>
      </c>
      <c r="AQ12" s="22">
        <f t="shared" si="1"/>
        <v>101897</v>
      </c>
      <c r="AR12" s="35"/>
      <c r="AS12" s="35"/>
      <c r="AT12" s="35"/>
      <c r="AU12" s="81"/>
    </row>
    <row r="13" spans="1:47" s="3" customFormat="1">
      <c r="A13" s="83"/>
      <c r="B13" s="81"/>
      <c r="C13" s="84"/>
      <c r="D13" s="84"/>
      <c r="E13" s="84"/>
      <c r="F13" s="84"/>
      <c r="G13" s="81"/>
      <c r="H13" s="84"/>
      <c r="I13" s="84"/>
      <c r="J13" s="84"/>
      <c r="K13" s="84"/>
      <c r="L13" s="81"/>
      <c r="M13" s="84"/>
      <c r="N13" s="84"/>
      <c r="O13" s="84"/>
      <c r="P13" s="84"/>
      <c r="Q13" s="81"/>
      <c r="R13" s="84"/>
      <c r="S13" s="84"/>
      <c r="T13" s="84"/>
      <c r="U13" s="84"/>
      <c r="V13" s="81"/>
      <c r="W13" s="84"/>
      <c r="X13" s="84"/>
      <c r="Y13" s="84"/>
      <c r="Z13" s="84"/>
      <c r="AA13" s="81"/>
      <c r="AB13" s="84"/>
      <c r="AC13" s="84"/>
      <c r="AD13" s="84"/>
      <c r="AE13" s="84"/>
      <c r="AF13" s="81"/>
      <c r="AG13" s="84"/>
      <c r="AH13" s="84"/>
      <c r="AI13" s="84"/>
      <c r="AJ13" s="84"/>
      <c r="AK13" s="81"/>
      <c r="AL13" s="225"/>
      <c r="AM13" s="84"/>
      <c r="AN13" s="84"/>
      <c r="AO13" s="84"/>
      <c r="AP13" s="81"/>
      <c r="AQ13" s="225"/>
      <c r="AR13" s="84"/>
      <c r="AS13" s="84"/>
      <c r="AT13" s="84"/>
      <c r="AU13" s="81"/>
    </row>
    <row r="14" spans="1:47" s="3" customFormat="1">
      <c r="A14" s="83" t="s">
        <v>177</v>
      </c>
      <c r="B14" s="81">
        <v>174000</v>
      </c>
      <c r="C14" s="35">
        <v>174000</v>
      </c>
      <c r="D14" s="35">
        <v>174000</v>
      </c>
      <c r="E14" s="35">
        <v>174000</v>
      </c>
      <c r="F14" s="35">
        <v>174000</v>
      </c>
      <c r="G14" s="81">
        <v>163000</v>
      </c>
      <c r="H14" s="35">
        <v>163000</v>
      </c>
      <c r="I14" s="35">
        <v>163000</v>
      </c>
      <c r="J14" s="35">
        <v>163000</v>
      </c>
      <c r="K14" s="35">
        <v>163000</v>
      </c>
      <c r="L14" s="81">
        <v>123000</v>
      </c>
      <c r="M14" s="35">
        <v>123000</v>
      </c>
      <c r="N14" s="35">
        <v>123000</v>
      </c>
      <c r="O14" s="35">
        <v>123000</v>
      </c>
      <c r="P14" s="35">
        <v>123000</v>
      </c>
      <c r="Q14" s="81">
        <v>206000</v>
      </c>
      <c r="R14" s="35">
        <v>206000</v>
      </c>
      <c r="S14" s="35">
        <v>206000</v>
      </c>
      <c r="T14" s="35">
        <v>206000</v>
      </c>
      <c r="U14" s="35">
        <v>206000</v>
      </c>
      <c r="V14" s="81">
        <v>200000</v>
      </c>
      <c r="W14" s="35">
        <v>200000</v>
      </c>
      <c r="X14" s="35">
        <v>200000</v>
      </c>
      <c r="Y14" s="35">
        <v>200000</v>
      </c>
      <c r="Z14" s="35">
        <v>200000</v>
      </c>
      <c r="AA14" s="81">
        <v>249000</v>
      </c>
      <c r="AB14" s="35">
        <v>249000</v>
      </c>
      <c r="AC14" s="35">
        <v>249000</v>
      </c>
      <c r="AD14" s="35">
        <v>249000</v>
      </c>
      <c r="AE14" s="35">
        <v>249000</v>
      </c>
      <c r="AF14" s="81">
        <v>245000</v>
      </c>
      <c r="AG14" s="35">
        <v>245000</v>
      </c>
      <c r="AH14" s="35">
        <v>245000</v>
      </c>
      <c r="AI14" s="35">
        <v>245000</v>
      </c>
      <c r="AJ14" s="35">
        <v>245000</v>
      </c>
      <c r="AK14" s="81">
        <f t="shared" si="0"/>
        <v>245000</v>
      </c>
      <c r="AL14" s="22">
        <v>237000</v>
      </c>
      <c r="AM14" s="35">
        <v>237000</v>
      </c>
      <c r="AN14" s="35">
        <v>237000</v>
      </c>
      <c r="AO14" s="35">
        <v>237000</v>
      </c>
      <c r="AP14" s="81">
        <f t="shared" si="1"/>
        <v>237000</v>
      </c>
      <c r="AQ14" s="22">
        <f t="shared" si="1"/>
        <v>237000</v>
      </c>
      <c r="AR14" s="35"/>
      <c r="AS14" s="35"/>
      <c r="AT14" s="35"/>
      <c r="AU14" s="81"/>
    </row>
    <row r="15" spans="1:47" s="3" customFormat="1">
      <c r="A15" s="83" t="s">
        <v>178</v>
      </c>
      <c r="B15" s="81">
        <v>436000</v>
      </c>
      <c r="C15" s="84">
        <v>436000</v>
      </c>
      <c r="D15" s="84">
        <v>436000</v>
      </c>
      <c r="E15" s="84">
        <v>436000</v>
      </c>
      <c r="F15" s="84">
        <v>436000</v>
      </c>
      <c r="G15" s="81">
        <v>428000</v>
      </c>
      <c r="H15" s="84">
        <v>428000</v>
      </c>
      <c r="I15" s="84">
        <v>428000</v>
      </c>
      <c r="J15" s="84">
        <v>428000</v>
      </c>
      <c r="K15" s="84">
        <v>428000</v>
      </c>
      <c r="L15" s="81">
        <v>388000</v>
      </c>
      <c r="M15" s="84">
        <v>388000</v>
      </c>
      <c r="N15" s="84">
        <v>388000</v>
      </c>
      <c r="O15" s="84">
        <v>388000</v>
      </c>
      <c r="P15" s="84">
        <v>388000</v>
      </c>
      <c r="Q15" s="81">
        <v>433000</v>
      </c>
      <c r="R15" s="84">
        <v>433000</v>
      </c>
      <c r="S15" s="84">
        <v>433000</v>
      </c>
      <c r="T15" s="84">
        <v>433000</v>
      </c>
      <c r="U15" s="84">
        <v>433000</v>
      </c>
      <c r="V15" s="81">
        <v>424000</v>
      </c>
      <c r="W15" s="84">
        <v>424000</v>
      </c>
      <c r="X15" s="84">
        <v>424000</v>
      </c>
      <c r="Y15" s="84">
        <v>424000</v>
      </c>
      <c r="Z15" s="84">
        <v>424000</v>
      </c>
      <c r="AA15" s="81">
        <v>436000</v>
      </c>
      <c r="AB15" s="84">
        <v>132000</v>
      </c>
      <c r="AC15" s="84">
        <v>132000</v>
      </c>
      <c r="AD15" s="84">
        <v>132000</v>
      </c>
      <c r="AE15" s="84">
        <v>132000</v>
      </c>
      <c r="AF15" s="81">
        <v>467000</v>
      </c>
      <c r="AG15" s="84">
        <v>467000</v>
      </c>
      <c r="AH15" s="84">
        <v>467000</v>
      </c>
      <c r="AI15" s="84">
        <v>467000</v>
      </c>
      <c r="AJ15" s="84">
        <v>467000</v>
      </c>
      <c r="AK15" s="81">
        <f t="shared" si="0"/>
        <v>467000</v>
      </c>
      <c r="AL15" s="225">
        <v>493885</v>
      </c>
      <c r="AM15" s="84">
        <v>493885</v>
      </c>
      <c r="AN15" s="84">
        <v>493885</v>
      </c>
      <c r="AO15" s="84">
        <v>493885</v>
      </c>
      <c r="AP15" s="81">
        <f t="shared" si="1"/>
        <v>493885</v>
      </c>
      <c r="AQ15" s="225">
        <f t="shared" si="1"/>
        <v>493885</v>
      </c>
      <c r="AR15" s="84"/>
      <c r="AS15" s="84"/>
      <c r="AT15" s="84"/>
      <c r="AU15" s="81"/>
    </row>
    <row r="16" spans="1:47" s="3" customFormat="1">
      <c r="A16" s="83" t="s">
        <v>179</v>
      </c>
      <c r="B16" s="81">
        <v>234000</v>
      </c>
      <c r="C16" s="35">
        <v>234000</v>
      </c>
      <c r="D16" s="35">
        <v>234000</v>
      </c>
      <c r="E16" s="35">
        <v>234000</v>
      </c>
      <c r="F16" s="35">
        <v>234000</v>
      </c>
      <c r="G16" s="81">
        <v>234000</v>
      </c>
      <c r="H16" s="35">
        <v>234000</v>
      </c>
      <c r="I16" s="35">
        <v>234000</v>
      </c>
      <c r="J16" s="35">
        <v>234000</v>
      </c>
      <c r="K16" s="35">
        <v>234000</v>
      </c>
      <c r="L16" s="81">
        <v>234000</v>
      </c>
      <c r="M16" s="35">
        <v>234000</v>
      </c>
      <c r="N16" s="35">
        <v>234000</v>
      </c>
      <c r="O16" s="35">
        <v>234000</v>
      </c>
      <c r="P16" s="35">
        <v>234000</v>
      </c>
      <c r="Q16" s="81">
        <v>110000</v>
      </c>
      <c r="R16" s="35">
        <v>110000</v>
      </c>
      <c r="S16" s="35">
        <v>110000</v>
      </c>
      <c r="T16" s="35">
        <v>110000</v>
      </c>
      <c r="U16" s="35">
        <v>110000</v>
      </c>
      <c r="V16" s="81">
        <v>128000</v>
      </c>
      <c r="W16" s="35">
        <v>128000</v>
      </c>
      <c r="X16" s="35">
        <v>128000</v>
      </c>
      <c r="Y16" s="35">
        <v>128000</v>
      </c>
      <c r="Z16" s="35">
        <v>128000</v>
      </c>
      <c r="AA16" s="81">
        <v>76000</v>
      </c>
      <c r="AB16" s="35">
        <v>76000</v>
      </c>
      <c r="AC16" s="35">
        <v>76000</v>
      </c>
      <c r="AD16" s="35">
        <v>76000</v>
      </c>
      <c r="AE16" s="35">
        <v>76000</v>
      </c>
      <c r="AF16" s="81">
        <v>67000</v>
      </c>
      <c r="AG16" s="35">
        <v>67000</v>
      </c>
      <c r="AH16" s="35">
        <v>67000</v>
      </c>
      <c r="AI16" s="35">
        <v>67000</v>
      </c>
      <c r="AJ16" s="35">
        <v>67000</v>
      </c>
      <c r="AK16" s="81">
        <f t="shared" si="0"/>
        <v>67000</v>
      </c>
      <c r="AL16" s="22">
        <v>78808</v>
      </c>
      <c r="AM16" s="35">
        <v>78808</v>
      </c>
      <c r="AN16" s="35">
        <v>78808</v>
      </c>
      <c r="AO16" s="35">
        <v>78808</v>
      </c>
      <c r="AP16" s="81">
        <f t="shared" si="1"/>
        <v>78808</v>
      </c>
      <c r="AQ16" s="22">
        <f t="shared" si="1"/>
        <v>78808</v>
      </c>
      <c r="AR16" s="35"/>
      <c r="AS16" s="35"/>
      <c r="AT16" s="35"/>
      <c r="AU16" s="81"/>
    </row>
    <row r="17" spans="1:47" s="3" customFormat="1">
      <c r="A17" s="83"/>
      <c r="B17" s="86"/>
      <c r="C17" s="84"/>
      <c r="D17" s="84"/>
      <c r="E17" s="84"/>
      <c r="F17" s="84"/>
      <c r="G17" s="86"/>
      <c r="H17" s="84"/>
      <c r="I17" s="84"/>
      <c r="J17" s="84"/>
      <c r="K17" s="84"/>
      <c r="L17" s="86"/>
      <c r="M17" s="84"/>
      <c r="N17" s="84"/>
      <c r="O17" s="84"/>
      <c r="P17" s="84"/>
      <c r="Q17" s="86"/>
      <c r="R17" s="84"/>
      <c r="S17" s="84"/>
      <c r="T17" s="84"/>
      <c r="U17" s="84"/>
      <c r="V17" s="81"/>
      <c r="W17" s="84"/>
      <c r="X17" s="84"/>
      <c r="Y17" s="84"/>
      <c r="Z17" s="84"/>
      <c r="AA17" s="81"/>
      <c r="AB17" s="84"/>
      <c r="AC17" s="84"/>
      <c r="AD17" s="84"/>
      <c r="AE17" s="84"/>
      <c r="AF17" s="86"/>
      <c r="AG17" s="84"/>
      <c r="AH17" s="84"/>
      <c r="AI17" s="84"/>
      <c r="AJ17" s="84"/>
      <c r="AK17" s="86"/>
      <c r="AL17" s="225"/>
      <c r="AM17" s="84"/>
      <c r="AN17" s="84"/>
      <c r="AO17" s="84"/>
      <c r="AP17" s="86"/>
      <c r="AQ17" s="225"/>
      <c r="AR17" s="84"/>
      <c r="AS17" s="84"/>
      <c r="AT17" s="84"/>
      <c r="AU17" s="86"/>
    </row>
    <row r="18" spans="1:47" s="3" customFormat="1">
      <c r="A18" s="83" t="s">
        <v>180</v>
      </c>
      <c r="B18" s="81">
        <v>2872000</v>
      </c>
      <c r="C18" s="35">
        <v>2872000</v>
      </c>
      <c r="D18" s="35">
        <v>2872000</v>
      </c>
      <c r="E18" s="35">
        <v>2872000</v>
      </c>
      <c r="F18" s="35">
        <v>2872000</v>
      </c>
      <c r="G18" s="81">
        <v>2675400</v>
      </c>
      <c r="H18" s="35">
        <v>2675400</v>
      </c>
      <c r="I18" s="35">
        <v>2675400</v>
      </c>
      <c r="J18" s="35">
        <v>2675400</v>
      </c>
      <c r="K18" s="35">
        <v>2675400</v>
      </c>
      <c r="L18" s="81">
        <v>2518000</v>
      </c>
      <c r="M18" s="35">
        <v>2518000</v>
      </c>
      <c r="N18" s="35">
        <v>2518000</v>
      </c>
      <c r="O18" s="35">
        <v>2518000</v>
      </c>
      <c r="P18" s="35">
        <v>2518000</v>
      </c>
      <c r="Q18" s="81">
        <v>3714000</v>
      </c>
      <c r="R18" s="35">
        <v>3714000</v>
      </c>
      <c r="S18" s="35">
        <v>3714000</v>
      </c>
      <c r="T18" s="35">
        <v>3714000</v>
      </c>
      <c r="U18" s="35">
        <v>3714000</v>
      </c>
      <c r="V18" s="81">
        <v>3868000</v>
      </c>
      <c r="W18" s="35">
        <v>3868000</v>
      </c>
      <c r="X18" s="35">
        <v>3868000</v>
      </c>
      <c r="Y18" s="35">
        <v>3868000</v>
      </c>
      <c r="Z18" s="35">
        <v>3868000</v>
      </c>
      <c r="AA18" s="81">
        <v>5419000</v>
      </c>
      <c r="AB18" s="35">
        <v>5419000</v>
      </c>
      <c r="AC18" s="35">
        <v>5419000</v>
      </c>
      <c r="AD18" s="35">
        <v>5419000</v>
      </c>
      <c r="AE18" s="35">
        <v>5419000</v>
      </c>
      <c r="AF18" s="81">
        <v>5721000</v>
      </c>
      <c r="AG18" s="35">
        <v>5721000</v>
      </c>
      <c r="AH18" s="35">
        <v>5721000</v>
      </c>
      <c r="AI18" s="35">
        <v>5721000</v>
      </c>
      <c r="AJ18" s="35">
        <v>5721000</v>
      </c>
      <c r="AK18" s="81">
        <f t="shared" si="0"/>
        <v>5721000</v>
      </c>
      <c r="AL18" s="22">
        <v>6129000</v>
      </c>
      <c r="AM18" s="35">
        <v>6129000</v>
      </c>
      <c r="AN18" s="35">
        <v>6129000</v>
      </c>
      <c r="AO18" s="35">
        <v>6129000</v>
      </c>
      <c r="AP18" s="81">
        <f t="shared" si="1"/>
        <v>6129000</v>
      </c>
      <c r="AQ18" s="22">
        <f t="shared" si="1"/>
        <v>6129000</v>
      </c>
      <c r="AR18" s="35"/>
      <c r="AS18" s="35"/>
      <c r="AT18" s="35"/>
      <c r="AU18" s="81"/>
    </row>
    <row r="19" spans="1:47" s="3" customFormat="1">
      <c r="A19" s="83" t="s">
        <v>181</v>
      </c>
      <c r="B19" s="81">
        <v>8000000</v>
      </c>
      <c r="C19" s="84">
        <v>8000000</v>
      </c>
      <c r="D19" s="84">
        <v>8000000</v>
      </c>
      <c r="E19" s="84">
        <v>8000000</v>
      </c>
      <c r="F19" s="84">
        <v>8000000</v>
      </c>
      <c r="G19" s="81">
        <v>7785000</v>
      </c>
      <c r="H19" s="84">
        <v>7785000</v>
      </c>
      <c r="I19" s="84">
        <v>7785000</v>
      </c>
      <c r="J19" s="84">
        <v>7785000</v>
      </c>
      <c r="K19" s="84">
        <v>7785000</v>
      </c>
      <c r="L19" s="81">
        <v>7124000</v>
      </c>
      <c r="M19" s="84">
        <v>7124000</v>
      </c>
      <c r="N19" s="84">
        <v>7124000</v>
      </c>
      <c r="O19" s="84">
        <v>7124000</v>
      </c>
      <c r="P19" s="84">
        <v>7124000</v>
      </c>
      <c r="Q19" s="81">
        <v>7854000</v>
      </c>
      <c r="R19" s="84">
        <v>7854000</v>
      </c>
      <c r="S19" s="84">
        <v>7854000</v>
      </c>
      <c r="T19" s="84">
        <v>7854000</v>
      </c>
      <c r="U19" s="84">
        <v>7854000</v>
      </c>
      <c r="V19" s="81">
        <v>8137000</v>
      </c>
      <c r="W19" s="84">
        <v>8137000</v>
      </c>
      <c r="X19" s="84">
        <v>8137000</v>
      </c>
      <c r="Y19" s="84">
        <v>8137000</v>
      </c>
      <c r="Z19" s="84">
        <v>8137000</v>
      </c>
      <c r="AA19" s="81">
        <v>10386000</v>
      </c>
      <c r="AB19" s="84">
        <v>10386000</v>
      </c>
      <c r="AC19" s="84">
        <v>10386000</v>
      </c>
      <c r="AD19" s="84">
        <v>10386000</v>
      </c>
      <c r="AE19" s="84">
        <v>10386000</v>
      </c>
      <c r="AF19" s="81">
        <v>10592000</v>
      </c>
      <c r="AG19" s="84">
        <v>10592000</v>
      </c>
      <c r="AH19" s="84">
        <v>10592000</v>
      </c>
      <c r="AI19" s="84">
        <v>10592000</v>
      </c>
      <c r="AJ19" s="84">
        <v>10592000</v>
      </c>
      <c r="AK19" s="81">
        <f t="shared" si="0"/>
        <v>10592000</v>
      </c>
      <c r="AL19" s="225">
        <v>12260000</v>
      </c>
      <c r="AM19" s="84">
        <v>12260000</v>
      </c>
      <c r="AN19" s="84">
        <v>12260000</v>
      </c>
      <c r="AO19" s="84">
        <v>12260000</v>
      </c>
      <c r="AP19" s="81">
        <f t="shared" si="1"/>
        <v>12260000</v>
      </c>
      <c r="AQ19" s="225">
        <f t="shared" si="1"/>
        <v>12260000</v>
      </c>
      <c r="AR19" s="84"/>
      <c r="AS19" s="84"/>
      <c r="AT19" s="84"/>
      <c r="AU19" s="81"/>
    </row>
    <row r="20" spans="1:47" s="3" customFormat="1">
      <c r="A20" s="83" t="s">
        <v>182</v>
      </c>
      <c r="B20" s="81">
        <v>4211000</v>
      </c>
      <c r="C20" s="35">
        <v>4211000</v>
      </c>
      <c r="D20" s="35">
        <v>4211000</v>
      </c>
      <c r="E20" s="35">
        <v>4211000</v>
      </c>
      <c r="F20" s="35">
        <v>4211000</v>
      </c>
      <c r="G20" s="81">
        <v>4211000</v>
      </c>
      <c r="H20" s="35">
        <v>4211000</v>
      </c>
      <c r="I20" s="35">
        <v>4211000</v>
      </c>
      <c r="J20" s="35">
        <v>4211000</v>
      </c>
      <c r="K20" s="35">
        <v>4211000</v>
      </c>
      <c r="L20" s="81">
        <v>4211000</v>
      </c>
      <c r="M20" s="35">
        <v>4211000</v>
      </c>
      <c r="N20" s="35">
        <v>4211000</v>
      </c>
      <c r="O20" s="35">
        <v>4211000</v>
      </c>
      <c r="P20" s="35">
        <v>4211000</v>
      </c>
      <c r="Q20" s="81">
        <v>2229000</v>
      </c>
      <c r="R20" s="35">
        <v>2229000</v>
      </c>
      <c r="S20" s="35">
        <v>2229000</v>
      </c>
      <c r="T20" s="35">
        <v>2229000</v>
      </c>
      <c r="U20" s="35">
        <v>2229000</v>
      </c>
      <c r="V20" s="81">
        <v>2224000</v>
      </c>
      <c r="W20" s="35">
        <v>2224000</v>
      </c>
      <c r="X20" s="35">
        <v>2224000</v>
      </c>
      <c r="Y20" s="35">
        <v>2224000</v>
      </c>
      <c r="Z20" s="35">
        <v>2224000</v>
      </c>
      <c r="AA20" s="81">
        <v>2276000</v>
      </c>
      <c r="AB20" s="35">
        <v>2276000</v>
      </c>
      <c r="AC20" s="35">
        <v>2276000</v>
      </c>
      <c r="AD20" s="35">
        <v>2276000</v>
      </c>
      <c r="AE20" s="35">
        <v>2276000</v>
      </c>
      <c r="AF20" s="81">
        <v>2056000</v>
      </c>
      <c r="AG20" s="35">
        <v>2056000</v>
      </c>
      <c r="AH20" s="35">
        <v>2056000</v>
      </c>
      <c r="AI20" s="35">
        <v>2056000</v>
      </c>
      <c r="AJ20" s="35">
        <v>2056000</v>
      </c>
      <c r="AK20" s="81">
        <f t="shared" si="0"/>
        <v>2056000</v>
      </c>
      <c r="AL20" s="22">
        <v>2496000</v>
      </c>
      <c r="AM20" s="35">
        <v>2496000</v>
      </c>
      <c r="AN20" s="35">
        <v>2496000</v>
      </c>
      <c r="AO20" s="35">
        <v>2496000</v>
      </c>
      <c r="AP20" s="81">
        <f t="shared" si="1"/>
        <v>2496000</v>
      </c>
      <c r="AQ20" s="22">
        <f t="shared" si="1"/>
        <v>2496000</v>
      </c>
      <c r="AR20" s="35"/>
      <c r="AS20" s="35"/>
      <c r="AT20" s="35"/>
      <c r="AU20" s="81"/>
    </row>
    <row r="21" spans="1:47" s="3" customFormat="1">
      <c r="A21" s="83"/>
      <c r="B21" s="69"/>
      <c r="C21" s="88"/>
      <c r="D21" s="88"/>
      <c r="E21" s="88"/>
      <c r="G21" s="69"/>
      <c r="H21" s="20"/>
      <c r="I21" s="20"/>
      <c r="J21" s="20"/>
      <c r="K21" s="20"/>
      <c r="L21" s="81"/>
      <c r="Q21" s="81"/>
      <c r="V21" s="81"/>
      <c r="AA21" s="81"/>
      <c r="AF21" s="81"/>
      <c r="AK21" s="81"/>
      <c r="AL21" s="22"/>
      <c r="AP21" s="81"/>
      <c r="AQ21" s="22"/>
      <c r="AU21" s="81"/>
    </row>
    <row r="22" spans="1:47" s="89" customFormat="1">
      <c r="A22" s="80" t="s">
        <v>183</v>
      </c>
      <c r="B22" s="81"/>
      <c r="C22" s="82"/>
      <c r="D22" s="82"/>
      <c r="E22" s="82"/>
      <c r="F22" s="67">
        <v>153129</v>
      </c>
      <c r="G22" s="81">
        <v>153129</v>
      </c>
      <c r="H22" s="67">
        <v>160176</v>
      </c>
      <c r="I22" s="67">
        <v>187096</v>
      </c>
      <c r="J22" s="67">
        <v>207015</v>
      </c>
      <c r="K22" s="67">
        <v>206502</v>
      </c>
      <c r="L22" s="81">
        <v>760789</v>
      </c>
      <c r="M22" s="67">
        <v>217559.1808494</v>
      </c>
      <c r="N22" s="67">
        <v>188112.47467999998</v>
      </c>
      <c r="O22" s="67">
        <v>227942.42366348801</v>
      </c>
      <c r="P22" s="67">
        <v>258084.93565</v>
      </c>
      <c r="Q22" s="81">
        <v>891699.01484288799</v>
      </c>
      <c r="R22" s="67">
        <v>275665.52689999994</v>
      </c>
      <c r="S22" s="67">
        <v>298459</v>
      </c>
      <c r="T22" s="67">
        <v>300656.78700000001</v>
      </c>
      <c r="U22" s="67">
        <v>295440.97014374996</v>
      </c>
      <c r="V22" s="81">
        <v>1170222</v>
      </c>
      <c r="W22" s="67">
        <v>298080</v>
      </c>
      <c r="X22" s="67">
        <v>307197</v>
      </c>
      <c r="Y22" s="67">
        <v>313008</v>
      </c>
      <c r="Z22" s="67">
        <v>299544</v>
      </c>
      <c r="AA22" s="81">
        <v>1217829.47755</v>
      </c>
      <c r="AB22" s="67">
        <v>290397.40385</v>
      </c>
      <c r="AC22" s="67">
        <v>303824.00870000001</v>
      </c>
      <c r="AD22" s="67">
        <v>314146.78019999998</v>
      </c>
      <c r="AE22" s="67">
        <v>309044.02874999994</v>
      </c>
      <c r="AF22" s="81">
        <v>1217412.2215</v>
      </c>
      <c r="AG22" s="67">
        <v>297923</v>
      </c>
      <c r="AH22" s="67">
        <v>302381.31229800003</v>
      </c>
      <c r="AI22" s="67">
        <v>307693.15940815001</v>
      </c>
      <c r="AJ22" s="67">
        <v>311012.8248455</v>
      </c>
      <c r="AK22" s="81">
        <f>SUM(AG22:AJ22)</f>
        <v>1219010.2965516502</v>
      </c>
      <c r="AL22" s="67">
        <v>295697.86355000001</v>
      </c>
      <c r="AM22" s="67">
        <v>316042.28739999991</v>
      </c>
      <c r="AN22" s="67">
        <v>323153.60331499996</v>
      </c>
      <c r="AO22" s="67">
        <v>336385.10233000002</v>
      </c>
      <c r="AP22" s="81">
        <f>SUM(AL22:AO22)</f>
        <v>1271278.8565949998</v>
      </c>
      <c r="AQ22" s="67">
        <v>316164.34254500002</v>
      </c>
      <c r="AR22" s="67"/>
      <c r="AS22" s="67"/>
      <c r="AT22" s="67"/>
      <c r="AU22" s="81"/>
    </row>
    <row r="23" spans="1:47" s="89" customFormat="1">
      <c r="A23" s="80" t="s">
        <v>184</v>
      </c>
      <c r="B23" s="81"/>
      <c r="C23" s="82"/>
      <c r="D23" s="82"/>
      <c r="E23" s="82"/>
      <c r="F23" s="90">
        <v>146151</v>
      </c>
      <c r="G23" s="81">
        <v>146151</v>
      </c>
      <c r="H23" s="90">
        <v>159303</v>
      </c>
      <c r="I23" s="90">
        <v>201675</v>
      </c>
      <c r="J23" s="90">
        <v>223364</v>
      </c>
      <c r="K23" s="90">
        <v>231611</v>
      </c>
      <c r="L23" s="81">
        <v>815953</v>
      </c>
      <c r="M23" s="90">
        <v>197233.372344</v>
      </c>
      <c r="N23" s="90">
        <v>211319.11424999998</v>
      </c>
      <c r="O23" s="90">
        <v>227176.58897248798</v>
      </c>
      <c r="P23" s="90">
        <v>260301.045636</v>
      </c>
      <c r="Q23" s="81">
        <v>896030.12120248796</v>
      </c>
      <c r="R23" s="90">
        <v>273813.20550000004</v>
      </c>
      <c r="S23" s="90">
        <v>292712.39116</v>
      </c>
      <c r="T23" s="90">
        <v>309994.28023000003</v>
      </c>
      <c r="U23" s="90">
        <v>290951.5075549999</v>
      </c>
      <c r="V23" s="81">
        <v>1167471</v>
      </c>
      <c r="W23" s="90">
        <v>302119</v>
      </c>
      <c r="X23" s="90">
        <v>307159</v>
      </c>
      <c r="Y23" s="90">
        <v>313308</v>
      </c>
      <c r="Z23" s="90">
        <v>297117</v>
      </c>
      <c r="AA23" s="81">
        <v>1219702.7420979999</v>
      </c>
      <c r="AB23" s="90">
        <v>290682.93195</v>
      </c>
      <c r="AC23" s="90">
        <v>302833.50378800032</v>
      </c>
      <c r="AD23" s="90">
        <v>315126.91845200019</v>
      </c>
      <c r="AE23" s="90">
        <v>301819.08264999976</v>
      </c>
      <c r="AF23" s="81">
        <v>1210462.4368400006</v>
      </c>
      <c r="AG23" s="90">
        <v>303144</v>
      </c>
      <c r="AH23" s="90">
        <v>303249.29832</v>
      </c>
      <c r="AI23" s="90">
        <v>309835.45168300014</v>
      </c>
      <c r="AJ23" s="90">
        <v>312372.26777400007</v>
      </c>
      <c r="AK23" s="81">
        <f>SUM(AG23:AJ23)</f>
        <v>1228601.0177770003</v>
      </c>
      <c r="AL23" s="90">
        <v>289209.72084199998</v>
      </c>
      <c r="AM23" s="90">
        <v>308922.0109259999</v>
      </c>
      <c r="AN23" s="90">
        <v>309398.26093599974</v>
      </c>
      <c r="AO23" s="90">
        <v>302888.58099000005</v>
      </c>
      <c r="AP23" s="81">
        <f>SUM(AL23:AO23)</f>
        <v>1210418.5736939996</v>
      </c>
      <c r="AQ23" s="90">
        <v>303358.47639219981</v>
      </c>
      <c r="AR23" s="90"/>
      <c r="AS23" s="90"/>
      <c r="AT23" s="90"/>
      <c r="AU23" s="81"/>
    </row>
    <row r="24" spans="1:47" s="163" customFormat="1">
      <c r="A24" s="91"/>
      <c r="B24" s="69"/>
      <c r="C24" s="92"/>
      <c r="D24" s="92"/>
      <c r="E24" s="92"/>
      <c r="F24" s="3"/>
      <c r="G24" s="69"/>
      <c r="H24" s="3"/>
      <c r="I24" s="3"/>
      <c r="J24" s="3"/>
      <c r="K24" s="3"/>
      <c r="L24" s="81"/>
      <c r="M24" s="3"/>
      <c r="N24" s="3"/>
      <c r="O24" s="3"/>
      <c r="P24" s="3"/>
      <c r="Q24" s="81"/>
      <c r="R24" s="3"/>
      <c r="S24" s="3"/>
      <c r="T24" s="3"/>
      <c r="U24" s="3"/>
      <c r="V24" s="81"/>
      <c r="W24" s="3"/>
      <c r="X24" s="3"/>
      <c r="Y24" s="3"/>
      <c r="Z24" s="3"/>
      <c r="AA24" s="81"/>
      <c r="AB24" s="3"/>
      <c r="AC24" s="3"/>
      <c r="AD24" s="3"/>
      <c r="AE24" s="3"/>
      <c r="AF24" s="81"/>
      <c r="AG24" s="3"/>
      <c r="AH24" s="3"/>
      <c r="AI24" s="3"/>
      <c r="AJ24" s="3"/>
      <c r="AK24" s="81"/>
      <c r="AL24" s="3"/>
      <c r="AM24" s="3"/>
      <c r="AN24" s="3"/>
      <c r="AO24" s="3"/>
      <c r="AP24" s="81"/>
      <c r="AQ24" s="3"/>
      <c r="AR24" s="3"/>
      <c r="AS24" s="3"/>
      <c r="AT24" s="3"/>
      <c r="AU24" s="81"/>
    </row>
    <row r="25" spans="1:47" s="163" customFormat="1">
      <c r="A25" s="91" t="s">
        <v>185</v>
      </c>
      <c r="B25" s="69"/>
      <c r="C25" s="92"/>
      <c r="D25" s="92"/>
      <c r="E25" s="92"/>
      <c r="F25" s="3"/>
      <c r="G25" s="69"/>
      <c r="H25" s="3"/>
      <c r="I25" s="3"/>
      <c r="J25" s="3"/>
      <c r="K25" s="3"/>
      <c r="L25" s="81"/>
      <c r="M25" s="3"/>
      <c r="N25" s="3"/>
      <c r="O25" s="3"/>
      <c r="P25" s="3"/>
      <c r="Q25" s="81"/>
      <c r="R25" s="3"/>
      <c r="S25" s="3"/>
      <c r="T25" s="3"/>
      <c r="U25" s="3"/>
      <c r="V25" s="81"/>
      <c r="W25" s="3"/>
      <c r="X25" s="3"/>
      <c r="Y25" s="3"/>
      <c r="Z25" s="3"/>
      <c r="AA25" s="81"/>
      <c r="AB25" s="3"/>
      <c r="AC25" s="3"/>
      <c r="AD25" s="3"/>
      <c r="AE25" s="3"/>
      <c r="AF25" s="81"/>
      <c r="AG25" s="3"/>
      <c r="AH25" s="3"/>
      <c r="AI25" s="3"/>
      <c r="AJ25" s="3"/>
      <c r="AK25" s="81"/>
      <c r="AL25" s="3"/>
      <c r="AM25" s="3"/>
      <c r="AN25" s="3"/>
      <c r="AO25" s="3"/>
      <c r="AP25" s="81"/>
      <c r="AQ25" s="3"/>
      <c r="AR25" s="3"/>
      <c r="AS25" s="3"/>
      <c r="AT25" s="3"/>
      <c r="AU25" s="81"/>
    </row>
    <row r="26" spans="1:47" s="163" customFormat="1">
      <c r="A26" s="93" t="s">
        <v>186</v>
      </c>
      <c r="B26" s="226"/>
      <c r="C26" s="94"/>
      <c r="D26" s="94"/>
      <c r="E26" s="94"/>
      <c r="F26" s="227">
        <v>1.2999999999999999E-2</v>
      </c>
      <c r="G26" s="228">
        <v>1.3000000000000001E-2</v>
      </c>
      <c r="H26" s="227">
        <v>1.0700000000000001E-2</v>
      </c>
      <c r="I26" s="227">
        <v>1.3899999999999999E-2</v>
      </c>
      <c r="J26" s="227">
        <v>1.4800000000000001E-2</v>
      </c>
      <c r="K26" s="227">
        <v>1.5700000000000002E-2</v>
      </c>
      <c r="L26" s="228">
        <v>1.2800000000000001E-2</v>
      </c>
      <c r="M26" s="227">
        <v>1.4316058067638098E-2</v>
      </c>
      <c r="N26" s="227">
        <v>1.46121096788621E-2</v>
      </c>
      <c r="O26" s="227">
        <v>1.5372332378461702E-2</v>
      </c>
      <c r="P26" s="227">
        <v>1.3577074343162202E-2</v>
      </c>
      <c r="Q26" s="228">
        <v>1.4469393617031026E-2</v>
      </c>
      <c r="R26" s="227">
        <v>1.44840724674673E-2</v>
      </c>
      <c r="S26" s="227">
        <v>1.1629039972522799E-2</v>
      </c>
      <c r="T26" s="227">
        <v>1.2997604753581899E-2</v>
      </c>
      <c r="U26" s="227">
        <v>1.6532396563717199E-2</v>
      </c>
      <c r="V26" s="228">
        <v>1.3899999999999999E-2</v>
      </c>
      <c r="W26" s="227">
        <v>1.47E-2</v>
      </c>
      <c r="X26" s="227">
        <v>1.3299999999999999E-2</v>
      </c>
      <c r="Y26" s="227">
        <v>1.43E-2</v>
      </c>
      <c r="Z26" s="227">
        <v>1.61E-2</v>
      </c>
      <c r="AA26" s="228">
        <v>1.4591232111972401E-2</v>
      </c>
      <c r="AB26" s="168">
        <v>1.4659274241853201E-2</v>
      </c>
      <c r="AC26" s="168">
        <v>1.4657818235190601E-2</v>
      </c>
      <c r="AD26" s="168">
        <v>1.52853410845121E-2</v>
      </c>
      <c r="AE26" s="168">
        <v>1.57574888840025E-2</v>
      </c>
      <c r="AF26" s="228">
        <v>1.5095728696812076E-2</v>
      </c>
      <c r="AG26" s="168">
        <v>1.5100000000000001E-2</v>
      </c>
      <c r="AH26" s="168">
        <v>1.4899009184705899E-2</v>
      </c>
      <c r="AI26" s="168">
        <v>1.5217803262212301E-2</v>
      </c>
      <c r="AJ26" s="168">
        <v>1.48777950283681E-2</v>
      </c>
      <c r="AK26" s="228">
        <v>1.5033508990018001E-2</v>
      </c>
      <c r="AL26" s="168">
        <v>1.4773226933058299E-2</v>
      </c>
      <c r="AM26" s="168">
        <v>1.58994633454108E-2</v>
      </c>
      <c r="AN26" s="168">
        <v>1.55115102226011E-2</v>
      </c>
      <c r="AO26" s="168">
        <v>1.44516967627669E-2</v>
      </c>
      <c r="AP26" s="228">
        <v>1.51689206017848E-2</v>
      </c>
      <c r="AQ26" s="168">
        <v>1.15255483581571E-2</v>
      </c>
      <c r="AR26" s="168"/>
      <c r="AS26" s="168"/>
      <c r="AT26" s="168"/>
      <c r="AU26" s="228"/>
    </row>
    <row r="27" spans="1:47" s="3" customFormat="1">
      <c r="A27" s="93" t="s">
        <v>187</v>
      </c>
      <c r="B27" s="95"/>
      <c r="C27" s="94"/>
      <c r="D27" s="94"/>
      <c r="E27" s="94"/>
      <c r="F27" s="85">
        <v>0.66</v>
      </c>
      <c r="G27" s="95">
        <v>0.66</v>
      </c>
      <c r="H27" s="85">
        <v>0.66</v>
      </c>
      <c r="I27" s="85">
        <v>0.79</v>
      </c>
      <c r="J27" s="85">
        <v>0.89</v>
      </c>
      <c r="K27" s="85">
        <v>0.98</v>
      </c>
      <c r="L27" s="95">
        <v>0.77</v>
      </c>
      <c r="M27" s="85">
        <v>0.81705961462439436</v>
      </c>
      <c r="N27" s="85">
        <v>0.98848661499535906</v>
      </c>
      <c r="O27" s="85">
        <v>1.0221856766855397</v>
      </c>
      <c r="P27" s="85">
        <v>0.78811974057944445</v>
      </c>
      <c r="Q27" s="95">
        <v>0.90396291172118437</v>
      </c>
      <c r="R27" s="85">
        <v>0.91290316815348183</v>
      </c>
      <c r="S27" s="85">
        <v>0.6933973612840848</v>
      </c>
      <c r="T27" s="85">
        <v>0.79712309762377165</v>
      </c>
      <c r="U27" s="85">
        <v>0.99371564545251523</v>
      </c>
      <c r="V27" s="95">
        <v>0.85</v>
      </c>
      <c r="W27" s="85">
        <v>0.91</v>
      </c>
      <c r="X27" s="85">
        <v>0.82</v>
      </c>
      <c r="Y27" s="85">
        <v>0.81</v>
      </c>
      <c r="Z27" s="85">
        <v>0.89</v>
      </c>
      <c r="AA27" s="95">
        <v>0.85691660900875999</v>
      </c>
      <c r="AB27" s="85">
        <v>0.84988346206198895</v>
      </c>
      <c r="AC27" s="85">
        <v>0.81912012235758447</v>
      </c>
      <c r="AD27" s="85">
        <v>0.91424294405755979</v>
      </c>
      <c r="AE27" s="85">
        <v>0.89943803996999672</v>
      </c>
      <c r="AF27" s="95">
        <v>0.87129821376341243</v>
      </c>
      <c r="AG27" s="85">
        <v>0.83</v>
      </c>
      <c r="AH27" s="85">
        <v>0.79374968721989325</v>
      </c>
      <c r="AI27" s="85">
        <v>0.85763539177578185</v>
      </c>
      <c r="AJ27" s="85">
        <v>0.83379730127285079</v>
      </c>
      <c r="AK27" s="95">
        <v>0.82794404494048879</v>
      </c>
      <c r="AL27" s="85">
        <v>0.84276822862120715</v>
      </c>
      <c r="AM27" s="85">
        <v>0.90458064388478177</v>
      </c>
      <c r="AN27" s="85">
        <v>0.83482905996433832</v>
      </c>
      <c r="AO27" s="85">
        <v>0.79121300637593739</v>
      </c>
      <c r="AP27" s="248">
        <v>0.84361369031640132</v>
      </c>
      <c r="AQ27" s="85">
        <v>0.67470851106174157</v>
      </c>
      <c r="AR27" s="85"/>
      <c r="AS27" s="85"/>
      <c r="AT27" s="85"/>
      <c r="AU27" s="248"/>
    </row>
    <row r="28" spans="1:47" s="3" customFormat="1">
      <c r="A28" s="93" t="s">
        <v>188</v>
      </c>
      <c r="B28" s="95"/>
      <c r="C28" s="94"/>
      <c r="D28" s="94"/>
      <c r="E28" s="94"/>
      <c r="F28" s="85">
        <v>15.48</v>
      </c>
      <c r="G28" s="95">
        <v>15.48</v>
      </c>
      <c r="H28" s="85">
        <v>14.93</v>
      </c>
      <c r="I28" s="85">
        <v>19.98</v>
      </c>
      <c r="J28" s="85">
        <v>21.61</v>
      </c>
      <c r="K28" s="85">
        <v>22.54</v>
      </c>
      <c r="L28" s="95">
        <v>18.36</v>
      </c>
      <c r="M28" s="85">
        <v>22.75162134003936</v>
      </c>
      <c r="N28" s="85">
        <v>22.387060746730345</v>
      </c>
      <c r="O28" s="85">
        <v>22.479263305847219</v>
      </c>
      <c r="P28" s="85">
        <v>20.663183594744567</v>
      </c>
      <c r="Q28" s="95">
        <v>22.070282246840371</v>
      </c>
      <c r="R28" s="85">
        <v>19.670233877509048</v>
      </c>
      <c r="S28" s="85">
        <v>16.181055099497843</v>
      </c>
      <c r="T28" s="85">
        <v>18.575154119422475</v>
      </c>
      <c r="U28" s="85">
        <v>21.506321157561963</v>
      </c>
      <c r="V28" s="95">
        <v>18.96</v>
      </c>
      <c r="W28" s="85">
        <v>18.95</v>
      </c>
      <c r="X28" s="85">
        <v>17.14</v>
      </c>
      <c r="Y28" s="85">
        <v>18.079999999999998</v>
      </c>
      <c r="Z28" s="85">
        <v>21.47</v>
      </c>
      <c r="AA28" s="95">
        <v>18.8848391273559</v>
      </c>
      <c r="AB28" s="85">
        <v>19.34</v>
      </c>
      <c r="AC28" s="85">
        <v>19.601325983017698</v>
      </c>
      <c r="AD28" s="85">
        <v>21.497849035582647</v>
      </c>
      <c r="AE28" s="85">
        <v>21.690237048257242</v>
      </c>
      <c r="AF28" s="95">
        <v>20.553512957398649</v>
      </c>
      <c r="AG28" s="85">
        <v>21.57</v>
      </c>
      <c r="AH28" s="85">
        <v>20.67403881680443</v>
      </c>
      <c r="AI28" s="85">
        <v>21.892577478647873</v>
      </c>
      <c r="AJ28" s="85">
        <v>22.386211597079896</v>
      </c>
      <c r="AK28" s="95">
        <v>21.636599501198535</v>
      </c>
      <c r="AL28" s="85">
        <v>22.15653005377413</v>
      </c>
      <c r="AM28" s="85">
        <v>22.309466360155152</v>
      </c>
      <c r="AN28" s="85">
        <v>22.261013683710463</v>
      </c>
      <c r="AO28" s="85">
        <v>20.939066583104541</v>
      </c>
      <c r="AP28" s="248">
        <v>21.917618205745953</v>
      </c>
      <c r="AQ28" s="85">
        <v>17.069458678595005</v>
      </c>
      <c r="AR28" s="85"/>
      <c r="AS28" s="85"/>
      <c r="AT28" s="85"/>
      <c r="AU28" s="248"/>
    </row>
    <row r="29" spans="1:47" s="3" customFormat="1">
      <c r="A29" s="93" t="s">
        <v>189</v>
      </c>
      <c r="B29" s="95"/>
      <c r="C29" s="94"/>
      <c r="D29" s="94"/>
      <c r="E29" s="94"/>
      <c r="F29" s="85"/>
      <c r="G29" s="95"/>
      <c r="H29" s="85"/>
      <c r="I29" s="85"/>
      <c r="J29" s="85"/>
      <c r="K29" s="85"/>
      <c r="L29" s="95"/>
      <c r="M29" s="85"/>
      <c r="N29" s="85"/>
      <c r="O29" s="85"/>
      <c r="P29" s="85"/>
      <c r="Q29" s="95"/>
      <c r="R29" s="85"/>
      <c r="S29" s="85"/>
      <c r="T29" s="85"/>
      <c r="U29" s="85"/>
      <c r="V29" s="95"/>
      <c r="W29" s="85"/>
      <c r="X29" s="85"/>
      <c r="Y29" s="85"/>
      <c r="Z29" s="85"/>
      <c r="AA29" s="95"/>
      <c r="AB29" s="85"/>
      <c r="AC29" s="85"/>
      <c r="AD29" s="85"/>
      <c r="AE29" s="85"/>
      <c r="AF29" s="95"/>
      <c r="AG29" s="85"/>
      <c r="AH29" s="85"/>
      <c r="AI29" s="85"/>
      <c r="AJ29" s="85"/>
      <c r="AK29" s="95"/>
      <c r="AL29" s="85"/>
      <c r="AM29" s="85"/>
      <c r="AN29" s="85">
        <v>0.28675663875398349</v>
      </c>
      <c r="AO29" s="85">
        <v>0.60487796020606399</v>
      </c>
      <c r="AP29" s="95">
        <v>0.37810128862825676</v>
      </c>
      <c r="AQ29" s="85">
        <v>0.78938119852582433</v>
      </c>
      <c r="AR29" s="85"/>
      <c r="AS29" s="85"/>
      <c r="AT29" s="85"/>
      <c r="AU29" s="95"/>
    </row>
    <row r="30" spans="1:47" s="3" customFormat="1">
      <c r="A30" s="93"/>
      <c r="B30" s="95"/>
      <c r="C30" s="94"/>
      <c r="D30" s="94"/>
      <c r="E30" s="94"/>
      <c r="G30" s="95"/>
      <c r="L30" s="95"/>
      <c r="Q30" s="95"/>
      <c r="V30" s="95"/>
      <c r="AA30" s="95"/>
      <c r="AF30" s="95"/>
      <c r="AK30" s="95"/>
      <c r="AP30" s="95"/>
      <c r="AU30" s="95"/>
    </row>
    <row r="31" spans="1:47" s="3" customFormat="1">
      <c r="A31" s="91" t="s">
        <v>190</v>
      </c>
      <c r="B31" s="81"/>
      <c r="C31" s="92"/>
      <c r="D31" s="92"/>
      <c r="E31" s="92"/>
      <c r="G31" s="81"/>
      <c r="L31" s="81"/>
      <c r="N31" s="96"/>
      <c r="Q31" s="81"/>
      <c r="S31" s="96"/>
      <c r="V31" s="81"/>
      <c r="AA31" s="81"/>
      <c r="AF31" s="81"/>
      <c r="AK31" s="81"/>
      <c r="AP31" s="81"/>
      <c r="AU31" s="81"/>
    </row>
    <row r="32" spans="1:47" s="3" customFormat="1">
      <c r="A32" s="93" t="s">
        <v>191</v>
      </c>
      <c r="B32" s="97"/>
      <c r="C32" s="94"/>
      <c r="D32" s="94"/>
      <c r="E32" s="94"/>
      <c r="F32" s="87">
        <v>0.86399999999999999</v>
      </c>
      <c r="G32" s="97">
        <v>0.8640000000000001</v>
      </c>
      <c r="H32" s="87">
        <v>0.86699999999999999</v>
      </c>
      <c r="I32" s="87">
        <v>0.88</v>
      </c>
      <c r="J32" s="87">
        <v>0.87599999999999989</v>
      </c>
      <c r="K32" s="87">
        <v>0.89</v>
      </c>
      <c r="L32" s="97">
        <v>0.80100000000000005</v>
      </c>
      <c r="M32" s="87">
        <v>0.90957431830728963</v>
      </c>
      <c r="N32" s="87">
        <v>0.90649931266802153</v>
      </c>
      <c r="O32" s="87">
        <v>0.89856777734462867</v>
      </c>
      <c r="P32" s="87">
        <v>0.91276747443240058</v>
      </c>
      <c r="Q32" s="97">
        <v>0.90685222068808513</v>
      </c>
      <c r="R32" s="87">
        <v>0.90921383634961239</v>
      </c>
      <c r="S32" s="87">
        <v>0.90413119570463518</v>
      </c>
      <c r="T32" s="87">
        <v>0.90580169167531988</v>
      </c>
      <c r="U32" s="87">
        <v>0.90817065663944818</v>
      </c>
      <c r="V32" s="97">
        <v>0.90700000000000003</v>
      </c>
      <c r="W32" s="87">
        <v>0.92300000000000004</v>
      </c>
      <c r="X32" s="87">
        <v>0.90900000000000003</v>
      </c>
      <c r="Y32" s="87">
        <v>0.91</v>
      </c>
      <c r="Z32" s="87">
        <v>0.90700000000000003</v>
      </c>
      <c r="AA32" s="97">
        <v>0.91213541402852405</v>
      </c>
      <c r="AB32" s="87">
        <v>0.91157913034135196</v>
      </c>
      <c r="AC32" s="87">
        <v>0.90507474164780766</v>
      </c>
      <c r="AD32" s="87">
        <v>0.90635046357422089</v>
      </c>
      <c r="AE32" s="87">
        <v>0.91816589143337801</v>
      </c>
      <c r="AF32" s="97">
        <v>0.91023300821150943</v>
      </c>
      <c r="AG32" s="87">
        <v>0.90200000000000002</v>
      </c>
      <c r="AH32" s="87">
        <v>0.8963416189305754</v>
      </c>
      <c r="AI32" s="87">
        <v>0.91453794595276705</v>
      </c>
      <c r="AJ32" s="87">
        <v>0.91857130379168672</v>
      </c>
      <c r="AK32" s="97">
        <v>0.9079057819700892</v>
      </c>
      <c r="AL32" s="87">
        <v>0.89736597559590425</v>
      </c>
      <c r="AM32" s="87">
        <v>0.91644493695306928</v>
      </c>
      <c r="AN32" s="87">
        <v>0.91897303068283975</v>
      </c>
      <c r="AO32" s="87">
        <v>0.91150258724355893</v>
      </c>
      <c r="AP32" s="97">
        <v>0.91129579705195574</v>
      </c>
      <c r="AQ32" s="87">
        <v>0.90630344050135769</v>
      </c>
      <c r="AR32" s="87"/>
      <c r="AS32" s="87"/>
      <c r="AT32" s="87"/>
      <c r="AU32" s="97"/>
    </row>
    <row r="33" spans="1:50" s="3" customFormat="1">
      <c r="A33" s="93" t="s">
        <v>192</v>
      </c>
      <c r="B33" s="97"/>
      <c r="C33" s="94"/>
      <c r="D33" s="94"/>
      <c r="E33" s="94"/>
      <c r="F33" s="87">
        <v>0.69599999999999995</v>
      </c>
      <c r="G33" s="97">
        <v>0.69599999999999995</v>
      </c>
      <c r="H33" s="87">
        <v>0.74199999999999999</v>
      </c>
      <c r="I33" s="87">
        <v>0.74900000000000011</v>
      </c>
      <c r="J33" s="87">
        <v>0.76900000000000002</v>
      </c>
      <c r="K33" s="87">
        <v>0.78500000000000003</v>
      </c>
      <c r="L33" s="97">
        <v>0.69499999999999995</v>
      </c>
      <c r="M33" s="87">
        <v>0.76439656664789268</v>
      </c>
      <c r="N33" s="87">
        <v>0.75460532455421414</v>
      </c>
      <c r="O33" s="87">
        <v>0.78751023112836405</v>
      </c>
      <c r="P33" s="87">
        <v>0.79331381724046779</v>
      </c>
      <c r="Q33" s="97">
        <v>0.77495648489273461</v>
      </c>
      <c r="R33" s="87">
        <v>0.80029492931715329</v>
      </c>
      <c r="S33" s="87">
        <v>0.78414614507256564</v>
      </c>
      <c r="T33" s="87">
        <v>0.80560446482807246</v>
      </c>
      <c r="U33" s="87">
        <v>0.80160293128574012</v>
      </c>
      <c r="V33" s="97">
        <v>0.79800000000000004</v>
      </c>
      <c r="W33" s="87">
        <v>0.80700000000000005</v>
      </c>
      <c r="X33" s="87">
        <v>0.79600000000000004</v>
      </c>
      <c r="Y33" s="87">
        <v>0.81599999999999995</v>
      </c>
      <c r="Z33" s="87">
        <v>0.81400000000000006</v>
      </c>
      <c r="AA33" s="97">
        <v>0.80804113407806599</v>
      </c>
      <c r="AB33" s="87">
        <v>0.82747002729761898</v>
      </c>
      <c r="AC33" s="87">
        <v>0.81246561804854223</v>
      </c>
      <c r="AD33" s="87">
        <v>0.80214937522290741</v>
      </c>
      <c r="AE33" s="87">
        <v>0.8095514561280609</v>
      </c>
      <c r="AF33" s="97">
        <v>0.81265649566398035</v>
      </c>
      <c r="AG33" s="87">
        <v>0.80900000000000005</v>
      </c>
      <c r="AH33" s="87">
        <v>0.79838787930377053</v>
      </c>
      <c r="AI33" s="87">
        <v>0.80715703265983263</v>
      </c>
      <c r="AJ33" s="87">
        <v>0.83409676636756658</v>
      </c>
      <c r="AK33" s="97">
        <v>0.81230746727837899</v>
      </c>
      <c r="AL33" s="87">
        <v>0.81232730022667943</v>
      </c>
      <c r="AM33" s="87">
        <v>0.83051540128249979</v>
      </c>
      <c r="AN33" s="87">
        <v>0.80773431371828208</v>
      </c>
      <c r="AO33" s="87">
        <v>0.79947436356002655</v>
      </c>
      <c r="AP33" s="97">
        <v>0.81257897759927822</v>
      </c>
      <c r="AQ33" s="87">
        <v>0.80070831299206879</v>
      </c>
      <c r="AR33" s="87"/>
      <c r="AS33" s="87"/>
      <c r="AT33" s="87"/>
      <c r="AU33" s="97"/>
    </row>
    <row r="34" spans="1:50" s="3" customFormat="1">
      <c r="A34" s="93" t="s">
        <v>193</v>
      </c>
      <c r="B34" s="97"/>
      <c r="C34" s="94"/>
      <c r="D34" s="94"/>
      <c r="E34" s="94"/>
      <c r="F34" s="87">
        <v>0.56499999999999995</v>
      </c>
      <c r="G34" s="97">
        <v>0.56499999999999995</v>
      </c>
      <c r="H34" s="87">
        <v>0.54600000000000004</v>
      </c>
      <c r="I34" s="87">
        <v>0.57899999999999996</v>
      </c>
      <c r="J34" s="87">
        <v>0.60199999999999998</v>
      </c>
      <c r="K34" s="87">
        <v>0.61899999999999999</v>
      </c>
      <c r="L34" s="97">
        <v>0.53800000000000003</v>
      </c>
      <c r="M34" s="87">
        <v>0.60806695334594851</v>
      </c>
      <c r="N34" s="87">
        <v>0.60239030303815311</v>
      </c>
      <c r="O34" s="87">
        <v>0.61474246786815312</v>
      </c>
      <c r="P34" s="87">
        <v>0.59382820659369284</v>
      </c>
      <c r="Q34" s="97">
        <v>0.60475698271148692</v>
      </c>
      <c r="R34" s="87">
        <v>0.60727022727285795</v>
      </c>
      <c r="S34" s="87">
        <v>0.55177426782059424</v>
      </c>
      <c r="T34" s="87">
        <v>0.57328801764445225</v>
      </c>
      <c r="U34" s="87">
        <v>0.61417464287929235</v>
      </c>
      <c r="V34" s="97">
        <v>0.58599999999999997</v>
      </c>
      <c r="W34" s="87">
        <v>0.621</v>
      </c>
      <c r="X34" s="87">
        <v>0.60899999999999999</v>
      </c>
      <c r="Y34" s="87">
        <v>0.621</v>
      </c>
      <c r="Z34" s="87">
        <v>0.66</v>
      </c>
      <c r="AA34" s="97">
        <v>0.62738254906979696</v>
      </c>
      <c r="AB34" s="87">
        <v>0.656079228886288</v>
      </c>
      <c r="AC34" s="87">
        <v>0.63191286955177317</v>
      </c>
      <c r="AD34" s="87">
        <v>0.6280992875196395</v>
      </c>
      <c r="AE34" s="87">
        <v>0.6209595493919744</v>
      </c>
      <c r="AF34" s="97">
        <v>0.63399229367321275</v>
      </c>
      <c r="AG34" s="87">
        <v>0.64300000000000002</v>
      </c>
      <c r="AH34" s="87">
        <v>0.59734928910399854</v>
      </c>
      <c r="AI34" s="87">
        <v>0.62978151901353474</v>
      </c>
      <c r="AJ34" s="87">
        <v>0.64990452139372556</v>
      </c>
      <c r="AK34" s="97">
        <v>0.63026246614900727</v>
      </c>
      <c r="AL34" s="87">
        <v>0.63444381740143885</v>
      </c>
      <c r="AM34" s="87">
        <v>0.64666938412764863</v>
      </c>
      <c r="AN34" s="87">
        <v>0.63643478483332638</v>
      </c>
      <c r="AO34" s="87">
        <v>0.62296981137539342</v>
      </c>
      <c r="AP34" s="97">
        <v>0.63520173960720749</v>
      </c>
      <c r="AQ34" s="87">
        <v>0.61559430763510414</v>
      </c>
      <c r="AR34" s="87"/>
      <c r="AS34" s="87"/>
      <c r="AT34" s="87"/>
      <c r="AU34" s="97"/>
    </row>
    <row r="35" spans="1:50" s="3" customFormat="1">
      <c r="A35" s="93" t="s">
        <v>194</v>
      </c>
      <c r="B35" s="97"/>
      <c r="C35" s="94"/>
      <c r="D35" s="94"/>
      <c r="E35" s="94"/>
      <c r="F35" s="87"/>
      <c r="G35" s="97"/>
      <c r="H35" s="87"/>
      <c r="I35" s="87"/>
      <c r="J35" s="87"/>
      <c r="K35" s="87"/>
      <c r="L35" s="97"/>
      <c r="M35" s="87"/>
      <c r="N35" s="87"/>
      <c r="O35" s="87"/>
      <c r="P35" s="87"/>
      <c r="Q35" s="97"/>
      <c r="R35" s="87"/>
      <c r="S35" s="87"/>
      <c r="T35" s="87"/>
      <c r="U35" s="87"/>
      <c r="V35" s="97"/>
      <c r="W35" s="87"/>
      <c r="X35" s="87"/>
      <c r="Y35" s="87"/>
      <c r="Z35" s="87"/>
      <c r="AA35" s="97"/>
      <c r="AB35" s="87"/>
      <c r="AC35" s="87"/>
      <c r="AD35" s="87"/>
      <c r="AE35" s="87"/>
      <c r="AF35" s="97"/>
      <c r="AG35" s="87"/>
      <c r="AH35" s="87"/>
      <c r="AI35" s="87"/>
      <c r="AJ35" s="87"/>
      <c r="AK35" s="97"/>
      <c r="AL35" s="87"/>
      <c r="AM35" s="87"/>
      <c r="AN35" s="87">
        <v>0.61261173316867401</v>
      </c>
      <c r="AO35" s="87">
        <v>0.49768457764007279</v>
      </c>
      <c r="AP35" s="97">
        <v>0.53842980336333002</v>
      </c>
      <c r="AQ35" s="87">
        <v>0.49229198930211221</v>
      </c>
      <c r="AR35" s="87"/>
      <c r="AS35" s="87"/>
      <c r="AT35" s="87"/>
      <c r="AU35" s="97"/>
    </row>
    <row r="36" spans="1:50" s="3" customFormat="1">
      <c r="A36" s="93"/>
      <c r="B36" s="69"/>
      <c r="C36" s="94"/>
      <c r="D36" s="94"/>
      <c r="E36" s="94"/>
      <c r="G36" s="69"/>
      <c r="L36" s="98"/>
      <c r="Q36" s="98"/>
      <c r="V36" s="98"/>
      <c r="AA36" s="98"/>
      <c r="AF36" s="98"/>
      <c r="AK36" s="98"/>
      <c r="AP36" s="98"/>
      <c r="AU36" s="98"/>
    </row>
    <row r="37" spans="1:50" s="3" customFormat="1">
      <c r="A37" s="80" t="s">
        <v>195</v>
      </c>
      <c r="B37" s="69"/>
      <c r="C37" s="82"/>
      <c r="D37" s="82"/>
      <c r="E37" s="82"/>
      <c r="G37" s="69"/>
      <c r="L37" s="98"/>
      <c r="Q37" s="98"/>
      <c r="V37" s="98"/>
      <c r="AA37" s="98"/>
      <c r="AF37" s="98"/>
      <c r="AK37" s="98"/>
      <c r="AP37" s="98"/>
      <c r="AU37" s="98"/>
    </row>
    <row r="38" spans="1:50" s="3" customFormat="1">
      <c r="A38" s="93" t="s">
        <v>196</v>
      </c>
      <c r="B38" s="70"/>
      <c r="C38" s="94"/>
      <c r="D38" s="94"/>
      <c r="E38" s="94"/>
      <c r="F38" s="35">
        <v>6289</v>
      </c>
      <c r="G38" s="70">
        <v>6289</v>
      </c>
      <c r="H38" s="35">
        <v>5857</v>
      </c>
      <c r="I38" s="35">
        <v>9578</v>
      </c>
      <c r="J38" s="35">
        <v>12119</v>
      </c>
      <c r="K38" s="35">
        <v>14842</v>
      </c>
      <c r="L38" s="70">
        <v>42396</v>
      </c>
      <c r="M38" s="35">
        <v>12121.537203850705</v>
      </c>
      <c r="N38" s="35">
        <v>13032.812999999998</v>
      </c>
      <c r="O38" s="35">
        <v>14268.074077180474</v>
      </c>
      <c r="P38" s="35">
        <v>14368.609949000002</v>
      </c>
      <c r="Q38" s="70">
        <v>53791</v>
      </c>
      <c r="R38" s="35">
        <v>16591.693619192429</v>
      </c>
      <c r="S38" s="35">
        <v>13869</v>
      </c>
      <c r="T38" s="35">
        <v>17146.300730808962</v>
      </c>
      <c r="U38" s="35">
        <v>19456.198597477269</v>
      </c>
      <c r="V38" s="70">
        <v>67063</v>
      </c>
      <c r="W38" s="35">
        <v>18938</v>
      </c>
      <c r="X38" s="35">
        <v>17659</v>
      </c>
      <c r="Y38" s="35">
        <v>18644</v>
      </c>
      <c r="Z38" s="35">
        <v>20384</v>
      </c>
      <c r="AA38" s="70">
        <v>75625.071931965998</v>
      </c>
      <c r="AB38" s="35">
        <v>17500.7354848957</v>
      </c>
      <c r="AC38" s="35">
        <v>17224.562805135058</v>
      </c>
      <c r="AD38" s="35">
        <v>19277.976231134944</v>
      </c>
      <c r="AE38" s="35">
        <v>18969.82050778234</v>
      </c>
      <c r="AF38" s="70">
        <v>72973.095028948039</v>
      </c>
      <c r="AG38" s="35">
        <v>18933</v>
      </c>
      <c r="AH38" s="35">
        <v>18831.30980660169</v>
      </c>
      <c r="AI38" s="35">
        <v>20033.123389334265</v>
      </c>
      <c r="AJ38" s="35">
        <v>19842.370035335742</v>
      </c>
      <c r="AK38" s="70">
        <v>77639.853671227655</v>
      </c>
      <c r="AL38" s="35">
        <v>18848.452241470211</v>
      </c>
      <c r="AM38" s="35">
        <v>21577.771852514103</v>
      </c>
      <c r="AN38" s="35">
        <v>18234.867509405693</v>
      </c>
      <c r="AO38" s="35">
        <v>17758.413671426824</v>
      </c>
      <c r="AP38" s="70">
        <v>76419.505274816824</v>
      </c>
      <c r="AQ38" s="35">
        <v>15490.115994725737</v>
      </c>
      <c r="AR38" s="35"/>
      <c r="AS38" s="35"/>
      <c r="AT38" s="35"/>
      <c r="AU38" s="70"/>
    </row>
    <row r="39" spans="1:50" s="3" customFormat="1">
      <c r="A39" s="93" t="s">
        <v>197</v>
      </c>
      <c r="B39" s="99"/>
      <c r="C39" s="94"/>
      <c r="D39" s="94"/>
      <c r="E39" s="94"/>
      <c r="F39" s="87">
        <v>0.26300000000000001</v>
      </c>
      <c r="G39" s="99">
        <v>0.26300000000000001</v>
      </c>
      <c r="H39" s="87">
        <v>0.253</v>
      </c>
      <c r="I39" s="87">
        <v>0.255</v>
      </c>
      <c r="J39" s="87">
        <v>0.23899999999999999</v>
      </c>
      <c r="K39" s="87">
        <v>0.21899999999999997</v>
      </c>
      <c r="L39" s="99">
        <v>0.187</v>
      </c>
      <c r="M39" s="87">
        <v>0.21208910858305183</v>
      </c>
      <c r="N39" s="87">
        <v>0.21451412024403332</v>
      </c>
      <c r="O39" s="87">
        <v>0.22000950814182491</v>
      </c>
      <c r="P39" s="87">
        <v>0.22443998577286536</v>
      </c>
      <c r="Q39" s="99">
        <v>0.21776318068544387</v>
      </c>
      <c r="R39" s="87">
        <v>0.21723080603775888</v>
      </c>
      <c r="S39" s="87">
        <v>0.22193634810711724</v>
      </c>
      <c r="T39" s="87">
        <v>0.21289740874891946</v>
      </c>
      <c r="U39" s="87">
        <v>0.22449539780037336</v>
      </c>
      <c r="V39" s="99">
        <v>0.219</v>
      </c>
      <c r="W39" s="87">
        <v>0.216</v>
      </c>
      <c r="X39" s="87">
        <v>0.21099999999999999</v>
      </c>
      <c r="Y39" s="87">
        <v>0.21899999999999997</v>
      </c>
      <c r="Z39" s="87">
        <v>0.21299999999999999</v>
      </c>
      <c r="AA39" s="99">
        <v>0.21476953681199301</v>
      </c>
      <c r="AB39" s="87">
        <v>0.22203457154103401</v>
      </c>
      <c r="AC39" s="87">
        <v>0.23324562586487904</v>
      </c>
      <c r="AD39" s="87">
        <v>0.22660529536027776</v>
      </c>
      <c r="AE39" s="87">
        <v>0.23024409182137309</v>
      </c>
      <c r="AF39" s="99">
        <v>0.22802243515650789</v>
      </c>
      <c r="AG39" s="87">
        <v>0.21879999999999999</v>
      </c>
      <c r="AH39" s="87">
        <v>0.21515685518536237</v>
      </c>
      <c r="AI39" s="87">
        <v>0.21534143111752257</v>
      </c>
      <c r="AJ39" s="87">
        <v>0.21517050614769118</v>
      </c>
      <c r="AK39" s="99">
        <v>0.21609399285085146</v>
      </c>
      <c r="AL39" s="87">
        <v>0.20362458596898922</v>
      </c>
      <c r="AM39" s="87">
        <v>0.20856775991338733</v>
      </c>
      <c r="AN39" s="87">
        <v>0.24192254320265363</v>
      </c>
      <c r="AO39" s="87">
        <v>0.22465772459997294</v>
      </c>
      <c r="AP39" s="118">
        <v>0.2190465129759169</v>
      </c>
      <c r="AQ39" s="87">
        <v>0.20454868958405023</v>
      </c>
      <c r="AR39" s="87"/>
      <c r="AS39" s="87"/>
      <c r="AT39" s="87"/>
      <c r="AU39" s="118"/>
    </row>
    <row r="40" spans="1:50" s="3" customFormat="1" ht="16.2" customHeight="1">
      <c r="A40" s="93" t="s">
        <v>198</v>
      </c>
      <c r="B40" s="100"/>
      <c r="C40" s="94"/>
      <c r="D40" s="94"/>
      <c r="E40" s="94"/>
      <c r="F40" s="85">
        <v>9.3000000000000007</v>
      </c>
      <c r="G40" s="100">
        <v>9.3000000000000007</v>
      </c>
      <c r="H40" s="85">
        <v>12.7</v>
      </c>
      <c r="I40" s="85">
        <v>12.1</v>
      </c>
      <c r="J40" s="85">
        <v>12.5</v>
      </c>
      <c r="K40" s="85">
        <v>12</v>
      </c>
      <c r="L40" s="100">
        <v>9.6999999999999993</v>
      </c>
      <c r="M40" s="85">
        <v>10.166864388264941</v>
      </c>
      <c r="N40" s="85">
        <v>12.089843828036203</v>
      </c>
      <c r="O40" s="85">
        <v>12.819813568384324</v>
      </c>
      <c r="P40" s="85">
        <v>11.322881708280365</v>
      </c>
      <c r="Q40" s="100">
        <v>46.399403492965831</v>
      </c>
      <c r="R40" s="85">
        <v>12.044581736476605</v>
      </c>
      <c r="S40" s="85">
        <v>11.483379325905025</v>
      </c>
      <c r="T40" s="85">
        <v>11.616625172506916</v>
      </c>
      <c r="U40" s="85">
        <v>11.90231828058889</v>
      </c>
      <c r="V40" s="100">
        <v>11.8</v>
      </c>
      <c r="W40" s="85">
        <v>11.7</v>
      </c>
      <c r="X40" s="85">
        <v>11.4</v>
      </c>
      <c r="Y40" s="85">
        <v>11.1</v>
      </c>
      <c r="Z40" s="85">
        <v>10.5</v>
      </c>
      <c r="AA40" s="100">
        <v>11.1648140891306</v>
      </c>
      <c r="AB40" s="85">
        <v>11.686442320039101</v>
      </c>
      <c r="AC40" s="85">
        <v>11.700258911839049</v>
      </c>
      <c r="AD40" s="85">
        <v>11.992001886342866</v>
      </c>
      <c r="AE40" s="85">
        <v>11.576933032643224</v>
      </c>
      <c r="AF40" s="100">
        <v>11.74</v>
      </c>
      <c r="AG40" s="85">
        <v>10.71</v>
      </c>
      <c r="AH40" s="85">
        <v>10.199610641805565</v>
      </c>
      <c r="AI40" s="85">
        <v>10.710393417041015</v>
      </c>
      <c r="AJ40" s="85">
        <v>10.951721650725705</v>
      </c>
      <c r="AK40" s="100">
        <v>10.647582671875513</v>
      </c>
      <c r="AL40" s="85">
        <v>10.519027507188</v>
      </c>
      <c r="AM40" s="85">
        <v>10.755013043095245</v>
      </c>
      <c r="AN40" s="85">
        <v>11.440481745080191</v>
      </c>
      <c r="AO40" s="85">
        <v>10.784864315927159</v>
      </c>
      <c r="AP40" s="70">
        <v>10.867308720488358</v>
      </c>
      <c r="AQ40" s="85">
        <v>10.577482391829351</v>
      </c>
      <c r="AR40" s="85"/>
      <c r="AS40" s="85"/>
      <c r="AT40" s="85"/>
      <c r="AU40" s="70"/>
    </row>
    <row r="41" spans="1:50" s="3" customFormat="1">
      <c r="A41" s="93" t="s">
        <v>199</v>
      </c>
      <c r="B41" s="100"/>
      <c r="C41" s="94"/>
      <c r="D41" s="94"/>
      <c r="E41" s="94"/>
      <c r="F41" s="85">
        <v>225.2</v>
      </c>
      <c r="G41" s="100">
        <v>225.2</v>
      </c>
      <c r="H41" s="85">
        <v>216.5</v>
      </c>
      <c r="I41" s="85">
        <v>234.5</v>
      </c>
      <c r="J41" s="85">
        <v>237.9</v>
      </c>
      <c r="K41" s="85">
        <v>217.7</v>
      </c>
      <c r="L41" s="100">
        <v>179</v>
      </c>
      <c r="M41" s="85">
        <v>225.00115542435211</v>
      </c>
      <c r="N41" s="85">
        <v>218.71687414681699</v>
      </c>
      <c r="O41" s="85">
        <v>221.00044284238345</v>
      </c>
      <c r="P41" s="85">
        <v>222.5541032830364</v>
      </c>
      <c r="Q41" s="100">
        <v>221.82</v>
      </c>
      <c r="R41" s="85">
        <v>197.15086101346222</v>
      </c>
      <c r="S41" s="85">
        <v>188.97172980487295</v>
      </c>
      <c r="T41" s="85">
        <v>192.45998963392722</v>
      </c>
      <c r="U41" s="85">
        <v>197.41694066980395</v>
      </c>
      <c r="V41" s="100">
        <v>194.3</v>
      </c>
      <c r="W41" s="85">
        <v>187.9</v>
      </c>
      <c r="X41" s="85">
        <v>181.6</v>
      </c>
      <c r="Y41" s="85">
        <v>188.4</v>
      </c>
      <c r="Z41" s="85">
        <v>207.1</v>
      </c>
      <c r="AA41" s="100">
        <v>191.73787798952901</v>
      </c>
      <c r="AB41" s="85">
        <v>210.93437544940801</v>
      </c>
      <c r="AC41" s="85">
        <v>218.01000090350752</v>
      </c>
      <c r="AD41" s="85">
        <v>221.03799255813252</v>
      </c>
      <c r="AE41" s="85">
        <v>214.34877102753327</v>
      </c>
      <c r="AF41" s="100">
        <v>187.91014003567034</v>
      </c>
      <c r="AG41" s="85">
        <v>222.57600380889861</v>
      </c>
      <c r="AH41" s="85">
        <v>198.94173143458326</v>
      </c>
      <c r="AI41" s="85">
        <v>213.34858343309861</v>
      </c>
      <c r="AJ41" s="85">
        <v>229.15196320475897</v>
      </c>
      <c r="AK41" s="100">
        <v>216.14327998470262</v>
      </c>
      <c r="AL41" s="85">
        <v>216.00832679276638</v>
      </c>
      <c r="AM41" s="85">
        <v>206.58708571606726</v>
      </c>
      <c r="AN41" s="85">
        <v>240.70583141684486</v>
      </c>
      <c r="AO41" s="85">
        <v>221.9325637250723</v>
      </c>
      <c r="AP41" s="70">
        <v>220.61803190636363</v>
      </c>
      <c r="AQ41" s="85">
        <v>205.83479226579206</v>
      </c>
      <c r="AR41" s="85"/>
      <c r="AS41" s="85"/>
      <c r="AT41" s="85"/>
      <c r="AU41" s="70"/>
    </row>
    <row r="42" spans="1:50" s="3" customFormat="1">
      <c r="A42" s="93" t="s">
        <v>200</v>
      </c>
      <c r="B42" s="70"/>
      <c r="C42" s="94"/>
      <c r="D42" s="94"/>
      <c r="E42" s="94"/>
      <c r="F42" s="35">
        <v>1445</v>
      </c>
      <c r="G42" s="70">
        <v>1445</v>
      </c>
      <c r="H42" s="35">
        <v>3381</v>
      </c>
      <c r="I42" s="35">
        <v>5251</v>
      </c>
      <c r="J42" s="35">
        <v>6392</v>
      </c>
      <c r="K42" s="35">
        <v>7158</v>
      </c>
      <c r="L42" s="70">
        <v>22181</v>
      </c>
      <c r="M42" s="35">
        <v>5668</v>
      </c>
      <c r="N42" s="35">
        <v>6163.5055505573</v>
      </c>
      <c r="O42" s="35">
        <v>6920.5490089280311</v>
      </c>
      <c r="P42" s="35">
        <v>7109.6583421945907</v>
      </c>
      <c r="Q42" s="70">
        <v>25862</v>
      </c>
      <c r="R42" s="35">
        <v>7945.9580896374646</v>
      </c>
      <c r="S42" s="35">
        <v>6785.9285771903596</v>
      </c>
      <c r="T42" s="35">
        <v>8047.7587521255518</v>
      </c>
      <c r="U42" s="35">
        <v>9629.4075930087492</v>
      </c>
      <c r="V42" s="70">
        <v>32409</v>
      </c>
      <c r="W42" s="35">
        <v>9036.4049493684506</v>
      </c>
      <c r="X42" s="35">
        <v>8201.370244315287</v>
      </c>
      <c r="Y42" s="35">
        <v>8997.5768646370452</v>
      </c>
      <c r="Z42" s="35">
        <v>9563.3837830444281</v>
      </c>
      <c r="AA42" s="70">
        <v>35799</v>
      </c>
      <c r="AB42" s="35">
        <v>8566.6425206612348</v>
      </c>
      <c r="AC42" s="35">
        <v>8857.1797489764176</v>
      </c>
      <c r="AD42" s="35">
        <v>9630.8637258903036</v>
      </c>
      <c r="AE42" s="35">
        <v>9629.0947322414759</v>
      </c>
      <c r="AF42" s="70">
        <v>36684</v>
      </c>
      <c r="AG42" s="35">
        <v>9132.3436431789269</v>
      </c>
      <c r="AH42" s="35">
        <v>8932.4266599555122</v>
      </c>
      <c r="AI42" s="35">
        <v>9510.6457148560476</v>
      </c>
      <c r="AJ42" s="35">
        <v>9412.6092248335081</v>
      </c>
      <c r="AK42" s="70">
        <v>36988.025242823991</v>
      </c>
      <c r="AL42" s="35">
        <v>8461.34982268768</v>
      </c>
      <c r="AM42" s="35">
        <v>9921.7325614733272</v>
      </c>
      <c r="AN42" s="35">
        <v>9725.5169361610133</v>
      </c>
      <c r="AO42" s="35">
        <v>8795.4743668537903</v>
      </c>
      <c r="AP42" s="70">
        <v>36904.073687175805</v>
      </c>
      <c r="AQ42" s="35">
        <v>6985.3008332257941</v>
      </c>
      <c r="AR42" s="35"/>
      <c r="AS42" s="35"/>
      <c r="AT42" s="35"/>
      <c r="AU42" s="70"/>
    </row>
    <row r="43" spans="1:50" s="3" customFormat="1">
      <c r="A43" s="93" t="s">
        <v>201</v>
      </c>
      <c r="B43" s="70"/>
      <c r="C43" s="94"/>
      <c r="D43" s="94"/>
      <c r="E43" s="94"/>
      <c r="G43" s="70"/>
      <c r="L43" s="98"/>
      <c r="Q43" s="98"/>
      <c r="V43" s="98"/>
      <c r="AA43" s="98"/>
      <c r="AF43" s="98"/>
      <c r="AK43" s="98"/>
      <c r="AM43" s="35">
        <v>57.855985342176496</v>
      </c>
      <c r="AN43" s="35">
        <v>105.34298215536995</v>
      </c>
      <c r="AO43" s="35">
        <v>85.857183859505554</v>
      </c>
      <c r="AP43" s="70">
        <v>249.05615135705199</v>
      </c>
      <c r="AQ43" s="35">
        <v>63.340152307596142</v>
      </c>
      <c r="AR43" s="35"/>
      <c r="AS43" s="35"/>
      <c r="AT43" s="35"/>
      <c r="AU43" s="70"/>
    </row>
    <row r="44" spans="1:50" s="3" customFormat="1">
      <c r="A44" s="93"/>
      <c r="B44" s="70"/>
      <c r="C44" s="94"/>
      <c r="D44" s="94"/>
      <c r="E44" s="94"/>
      <c r="G44" s="70"/>
      <c r="L44" s="98"/>
      <c r="Q44" s="98"/>
      <c r="V44" s="98"/>
      <c r="AA44" s="98"/>
      <c r="AF44" s="98"/>
      <c r="AK44" s="98"/>
      <c r="AP44" s="98"/>
      <c r="AU44" s="98"/>
    </row>
    <row r="45" spans="1:50" s="89" customFormat="1">
      <c r="A45" s="80" t="s">
        <v>202</v>
      </c>
      <c r="B45" s="68"/>
      <c r="C45" s="82"/>
      <c r="D45" s="82"/>
      <c r="E45" s="82"/>
      <c r="F45" s="67"/>
      <c r="G45" s="68"/>
      <c r="H45" s="67">
        <v>10181</v>
      </c>
      <c r="I45" s="67">
        <v>15769</v>
      </c>
      <c r="J45" s="67">
        <v>17290</v>
      </c>
      <c r="K45" s="67">
        <v>19953</v>
      </c>
      <c r="L45" s="81">
        <v>63193</v>
      </c>
      <c r="M45" s="67">
        <v>13768.454893587659</v>
      </c>
      <c r="N45" s="67">
        <v>14748</v>
      </c>
      <c r="O45" s="67">
        <v>17909.118522637011</v>
      </c>
      <c r="P45" s="67">
        <v>19073.024631487591</v>
      </c>
      <c r="Q45" s="81">
        <v>65498.598047712258</v>
      </c>
      <c r="R45" s="67">
        <v>25012.833338028431</v>
      </c>
      <c r="S45" s="67">
        <v>22590.468663196505</v>
      </c>
      <c r="T45" s="67">
        <v>26744.700865121191</v>
      </c>
      <c r="U45" s="67">
        <v>32901.213152115342</v>
      </c>
      <c r="V45" s="81">
        <v>107249.21601846148</v>
      </c>
      <c r="W45" s="67">
        <v>30393</v>
      </c>
      <c r="X45" s="67">
        <v>26352</v>
      </c>
      <c r="Y45" s="67">
        <v>26196</v>
      </c>
      <c r="Z45" s="67">
        <v>28591</v>
      </c>
      <c r="AA45" s="81">
        <v>111532</v>
      </c>
      <c r="AB45" s="67">
        <v>26461.9648579231</v>
      </c>
      <c r="AC45" s="67">
        <v>25191.637959905016</v>
      </c>
      <c r="AD45" s="67">
        <v>27932.599470704001</v>
      </c>
      <c r="AE45" s="67">
        <v>26532</v>
      </c>
      <c r="AF45" s="81">
        <v>106118.20228853211</v>
      </c>
      <c r="AG45" s="67">
        <v>25001</v>
      </c>
      <c r="AH45" s="67">
        <v>24692</v>
      </c>
      <c r="AI45" s="67">
        <v>24486.080180810146</v>
      </c>
      <c r="AJ45" s="67">
        <v>23379.44338812252</v>
      </c>
      <c r="AK45" s="81">
        <v>97558.399999999994</v>
      </c>
      <c r="AL45" s="67">
        <v>20455.883959384453</v>
      </c>
      <c r="AM45" s="67">
        <v>22280.716819627989</v>
      </c>
      <c r="AN45" s="67">
        <v>21534</v>
      </c>
      <c r="AO45" s="67">
        <v>18878.246788377102</v>
      </c>
      <c r="AP45" s="81">
        <f t="shared" ref="AP45:AP46" si="2">SUM(AL45:AO45)</f>
        <v>83148.847567389545</v>
      </c>
      <c r="AQ45" s="67">
        <v>15693.892759655801</v>
      </c>
      <c r="AR45" s="67"/>
      <c r="AS45" s="67"/>
      <c r="AT45" s="67"/>
      <c r="AU45" s="81"/>
      <c r="AX45" s="245"/>
    </row>
    <row r="46" spans="1:50" s="89" customFormat="1">
      <c r="A46" s="80" t="s">
        <v>203</v>
      </c>
      <c r="B46" s="68"/>
      <c r="C46" s="82"/>
      <c r="D46" s="82"/>
      <c r="E46" s="82"/>
      <c r="F46" s="67"/>
      <c r="G46" s="68"/>
      <c r="H46" s="67"/>
      <c r="I46" s="67"/>
      <c r="J46" s="67"/>
      <c r="K46" s="67"/>
      <c r="L46" s="81">
        <v>0</v>
      </c>
      <c r="M46" s="67">
        <v>14172.353835797669</v>
      </c>
      <c r="N46" s="67">
        <v>14442.046827670791</v>
      </c>
      <c r="O46" s="67">
        <v>16676.618179622466</v>
      </c>
      <c r="P46" s="67">
        <v>18688.515902173127</v>
      </c>
      <c r="Q46" s="81">
        <v>63979.534745264056</v>
      </c>
      <c r="R46" s="67">
        <v>24553.511331617097</v>
      </c>
      <c r="S46" s="67">
        <v>23908.866522609031</v>
      </c>
      <c r="T46" s="67">
        <v>27099.39147222379</v>
      </c>
      <c r="U46" s="67">
        <v>29951.929729775315</v>
      </c>
      <c r="V46" s="81">
        <v>105513.69905622525</v>
      </c>
      <c r="W46" s="67">
        <v>33957</v>
      </c>
      <c r="X46" s="67">
        <v>26546.694406140814</v>
      </c>
      <c r="Y46" s="67">
        <v>25873.407415977075</v>
      </c>
      <c r="Z46" s="67">
        <v>28978</v>
      </c>
      <c r="AA46" s="81">
        <v>115355.1018221179</v>
      </c>
      <c r="AB46" s="67">
        <v>26287.673311751863</v>
      </c>
      <c r="AC46" s="67">
        <v>24898.607192567266</v>
      </c>
      <c r="AD46" s="67">
        <v>27997.978402708472</v>
      </c>
      <c r="AE46" s="67">
        <v>26509.2708355006</v>
      </c>
      <c r="AF46" s="81">
        <v>105693.5297425282</v>
      </c>
      <c r="AG46" s="67">
        <v>25103</v>
      </c>
      <c r="AH46" s="67">
        <v>24682.724592773309</v>
      </c>
      <c r="AI46" s="67">
        <v>24483.540244646076</v>
      </c>
      <c r="AJ46" s="67">
        <v>23379.219912337765</v>
      </c>
      <c r="AK46" s="81">
        <v>97648.699586002607</v>
      </c>
      <c r="AL46" s="67">
        <v>20455.883959384453</v>
      </c>
      <c r="AM46" s="67">
        <v>22289.995472684292</v>
      </c>
      <c r="AN46" s="67">
        <v>21514</v>
      </c>
      <c r="AO46" s="67">
        <v>18068.015660108467</v>
      </c>
      <c r="AP46" s="81">
        <f t="shared" si="2"/>
        <v>82327.895092177205</v>
      </c>
      <c r="AQ46" s="67">
        <v>16218.250776030669</v>
      </c>
      <c r="AR46" s="67"/>
      <c r="AS46" s="67"/>
      <c r="AT46" s="67"/>
      <c r="AU46" s="81"/>
    </row>
    <row r="47" spans="1:50" s="3" customFormat="1">
      <c r="A47" s="93"/>
      <c r="B47" s="70"/>
      <c r="C47" s="94"/>
      <c r="D47" s="94"/>
      <c r="E47" s="94"/>
      <c r="G47" s="70"/>
      <c r="L47" s="98"/>
      <c r="Q47" s="98"/>
      <c r="V47" s="98"/>
      <c r="AA47" s="98"/>
      <c r="AF47" s="98"/>
      <c r="AK47" s="98"/>
      <c r="AP47" s="98"/>
      <c r="AU47" s="98"/>
    </row>
    <row r="48" spans="1:50" s="89" customFormat="1">
      <c r="A48" s="80" t="s">
        <v>204</v>
      </c>
      <c r="B48" s="68"/>
      <c r="C48" s="82"/>
      <c r="D48" s="82"/>
      <c r="E48" s="82"/>
      <c r="F48" s="67"/>
      <c r="G48" s="68"/>
      <c r="H48" s="67">
        <v>1023</v>
      </c>
      <c r="I48" s="67">
        <v>812</v>
      </c>
      <c r="J48" s="67">
        <v>736</v>
      </c>
      <c r="K48" s="67">
        <v>540</v>
      </c>
      <c r="L48" s="81">
        <v>749</v>
      </c>
      <c r="M48" s="67">
        <v>1051</v>
      </c>
      <c r="N48" s="67">
        <v>859.98</v>
      </c>
      <c r="O48" s="67">
        <v>757</v>
      </c>
      <c r="P48" s="67">
        <v>757.35234862292361</v>
      </c>
      <c r="Q48" s="81">
        <v>840</v>
      </c>
      <c r="R48" s="67">
        <v>673.83437653967292</v>
      </c>
      <c r="S48" s="67">
        <v>786.52829410450545</v>
      </c>
      <c r="T48" s="67">
        <v>719.57335351928555</v>
      </c>
      <c r="U48" s="67">
        <v>519.33214788951386</v>
      </c>
      <c r="V48" s="81">
        <v>667</v>
      </c>
      <c r="W48" s="67">
        <v>601</v>
      </c>
      <c r="X48" s="67">
        <v>707</v>
      </c>
      <c r="Y48" s="67">
        <v>728</v>
      </c>
      <c r="Z48" s="67">
        <v>703.04197129214401</v>
      </c>
      <c r="AA48" s="81">
        <v>680</v>
      </c>
      <c r="AB48" s="67">
        <v>778.92020937608902</v>
      </c>
      <c r="AC48" s="67">
        <v>847</v>
      </c>
      <c r="AD48" s="67">
        <v>827</v>
      </c>
      <c r="AE48" s="67">
        <v>840.00801599488773</v>
      </c>
      <c r="AF48" s="81">
        <v>825</v>
      </c>
      <c r="AG48" s="67">
        <v>926</v>
      </c>
      <c r="AH48" s="67">
        <v>958</v>
      </c>
      <c r="AI48" s="67">
        <v>997</v>
      </c>
      <c r="AJ48" s="67">
        <v>979.50231384389053</v>
      </c>
      <c r="AK48" s="81">
        <v>964.66150567159002</v>
      </c>
      <c r="AL48" s="20">
        <v>1164.2363700288965</v>
      </c>
      <c r="AM48" s="67">
        <v>1116.0163774140185</v>
      </c>
      <c r="AN48" s="67">
        <v>1133</v>
      </c>
      <c r="AO48" s="67">
        <v>1228.3031195837884</v>
      </c>
      <c r="AP48" s="81">
        <v>1155.623324880499</v>
      </c>
      <c r="AQ48" s="20">
        <f>'5. Operational Data'!AU27</f>
        <v>1558</v>
      </c>
      <c r="AR48" s="67"/>
      <c r="AS48" s="67"/>
      <c r="AT48" s="67"/>
      <c r="AU48" s="81"/>
    </row>
    <row r="49" spans="1:50" s="89" customFormat="1">
      <c r="A49" s="80" t="s">
        <v>205</v>
      </c>
      <c r="B49" s="68"/>
      <c r="C49" s="82"/>
      <c r="D49" s="82"/>
      <c r="E49" s="82"/>
      <c r="F49" s="67"/>
      <c r="G49" s="68"/>
      <c r="H49" s="67"/>
      <c r="I49" s="67"/>
      <c r="J49" s="67"/>
      <c r="K49" s="67"/>
      <c r="L49" s="81"/>
      <c r="M49" s="67"/>
      <c r="N49" s="67"/>
      <c r="O49" s="67"/>
      <c r="P49" s="67"/>
      <c r="Q49" s="81"/>
      <c r="R49" s="67"/>
      <c r="S49" s="67"/>
      <c r="T49" s="67"/>
      <c r="U49" s="67"/>
      <c r="V49" s="81">
        <v>931</v>
      </c>
      <c r="W49" s="67">
        <v>810.61342285832086</v>
      </c>
      <c r="X49" s="67">
        <v>1022.7521000489697</v>
      </c>
      <c r="Y49" s="67">
        <v>979.94047849109108</v>
      </c>
      <c r="Z49" s="67">
        <v>877.03390273351249</v>
      </c>
      <c r="AA49" s="81">
        <v>914.09719608812395</v>
      </c>
      <c r="AB49" s="67">
        <v>1009.18022243301</v>
      </c>
      <c r="AC49" s="67">
        <v>1163.8402010153609</v>
      </c>
      <c r="AD49" s="67">
        <v>1081.478082612952</v>
      </c>
      <c r="AE49" s="67">
        <v>1068.909068673933</v>
      </c>
      <c r="AF49" s="81">
        <v>1080</v>
      </c>
      <c r="AG49" s="67">
        <v>1263</v>
      </c>
      <c r="AH49" s="67">
        <v>1206</v>
      </c>
      <c r="AI49" s="67">
        <v>1338</v>
      </c>
      <c r="AJ49" s="67">
        <v>1431.3158456012566</v>
      </c>
      <c r="AK49" s="81">
        <v>1307.7999937021423</v>
      </c>
      <c r="AL49" s="20">
        <v>1545.1372586494454</v>
      </c>
      <c r="AM49" s="67">
        <v>1519.5231242412542</v>
      </c>
      <c r="AN49" s="67">
        <v>1511</v>
      </c>
      <c r="AO49" s="67">
        <v>1731.9608759907355</v>
      </c>
      <c r="AP49" s="81">
        <v>1569.1539881272918</v>
      </c>
      <c r="AQ49" s="20">
        <f>'5. Operational Data'!AU36</f>
        <v>2046</v>
      </c>
      <c r="AR49" s="67"/>
      <c r="AS49" s="67"/>
      <c r="AT49" s="67"/>
      <c r="AU49" s="81"/>
    </row>
    <row r="50" spans="1:50" s="3" customFormat="1">
      <c r="A50" s="80"/>
      <c r="B50" s="70"/>
      <c r="C50" s="82"/>
      <c r="D50" s="82"/>
      <c r="E50" s="82"/>
      <c r="F50" s="35"/>
      <c r="G50" s="70"/>
      <c r="H50" s="67"/>
      <c r="I50" s="67"/>
      <c r="J50" s="67"/>
      <c r="K50" s="67"/>
      <c r="L50" s="81"/>
      <c r="M50" s="35"/>
      <c r="N50" s="35"/>
      <c r="O50" s="35"/>
      <c r="P50" s="35"/>
      <c r="Q50" s="81"/>
      <c r="R50" s="35"/>
      <c r="S50" s="35"/>
      <c r="T50" s="35"/>
      <c r="U50" s="35"/>
      <c r="V50" s="81"/>
      <c r="W50" s="35"/>
      <c r="X50" s="35"/>
      <c r="Y50" s="35"/>
      <c r="Z50" s="35"/>
      <c r="AA50" s="81"/>
      <c r="AB50" s="35"/>
      <c r="AC50" s="35"/>
      <c r="AD50" s="35"/>
      <c r="AE50" s="35"/>
      <c r="AF50" s="81"/>
      <c r="AG50" s="35"/>
      <c r="AH50" s="35"/>
      <c r="AI50" s="35"/>
      <c r="AJ50" s="35"/>
      <c r="AK50" s="81"/>
      <c r="AL50" s="22"/>
      <c r="AM50" s="35"/>
      <c r="AN50" s="35"/>
      <c r="AO50" s="35"/>
      <c r="AP50" s="81"/>
      <c r="AQ50" s="22"/>
      <c r="AR50" s="35"/>
      <c r="AS50" s="35"/>
      <c r="AT50" s="35"/>
      <c r="AU50" s="81"/>
    </row>
    <row r="51" spans="1:50">
      <c r="A51" s="102"/>
      <c r="B51" s="103"/>
      <c r="C51" s="104"/>
      <c r="D51" s="104"/>
      <c r="E51" s="104"/>
      <c r="F51" s="105"/>
      <c r="G51" s="103"/>
      <c r="H51" s="105"/>
      <c r="I51" s="105"/>
      <c r="J51" s="105"/>
      <c r="K51" s="105"/>
      <c r="L51" s="106"/>
      <c r="M51" s="105"/>
      <c r="N51" s="105"/>
      <c r="O51" s="105"/>
      <c r="P51" s="105"/>
      <c r="Q51" s="106"/>
      <c r="R51" s="105"/>
      <c r="S51" s="105"/>
      <c r="T51" s="105"/>
      <c r="U51" s="105"/>
      <c r="V51" s="106"/>
      <c r="W51" s="105"/>
      <c r="X51" s="105"/>
      <c r="Y51" s="105"/>
      <c r="Z51" s="105"/>
      <c r="AA51" s="106"/>
      <c r="AB51" s="107"/>
      <c r="AC51" s="107"/>
      <c r="AD51" s="107"/>
      <c r="AE51" s="107"/>
      <c r="AF51" s="106"/>
      <c r="AG51" s="107"/>
      <c r="AH51" s="107"/>
      <c r="AI51" s="107"/>
      <c r="AJ51" s="107"/>
      <c r="AK51" s="106"/>
      <c r="AL51" s="107"/>
      <c r="AM51" s="107"/>
      <c r="AN51" s="107"/>
      <c r="AO51" s="107"/>
      <c r="AP51" s="106"/>
      <c r="AQ51" s="107"/>
      <c r="AR51" s="107"/>
      <c r="AS51" s="107"/>
      <c r="AT51" s="107"/>
      <c r="AU51" s="106"/>
    </row>
    <row r="52" spans="1:50">
      <c r="A52" s="108" t="s">
        <v>206</v>
      </c>
      <c r="B52" s="68"/>
      <c r="C52" s="109"/>
      <c r="D52" s="109"/>
      <c r="E52" s="109"/>
      <c r="F52" s="20">
        <v>2349</v>
      </c>
      <c r="G52" s="68">
        <v>2349</v>
      </c>
      <c r="H52" s="20">
        <v>10665</v>
      </c>
      <c r="I52" s="20">
        <v>16828</v>
      </c>
      <c r="J52" s="20">
        <v>19939</v>
      </c>
      <c r="K52" s="20">
        <v>23273</v>
      </c>
      <c r="L52" s="68">
        <v>70705</v>
      </c>
      <c r="M52" s="20">
        <v>17353</v>
      </c>
      <c r="N52" s="20">
        <v>17649</v>
      </c>
      <c r="O52" s="20">
        <v>25188</v>
      </c>
      <c r="P52" s="20">
        <v>27884</v>
      </c>
      <c r="Q52" s="68">
        <v>88074</v>
      </c>
      <c r="R52" s="20">
        <v>36144</v>
      </c>
      <c r="S52" s="20">
        <v>34975</v>
      </c>
      <c r="T52" s="20">
        <v>37433</v>
      </c>
      <c r="U52" s="20">
        <v>42408</v>
      </c>
      <c r="V52" s="68">
        <v>150960</v>
      </c>
      <c r="W52" s="20">
        <v>55472</v>
      </c>
      <c r="X52" s="20">
        <v>40393</v>
      </c>
      <c r="Y52" s="20">
        <v>27863</v>
      </c>
      <c r="Z52" s="20">
        <v>40080</v>
      </c>
      <c r="AA52" s="68">
        <v>163808</v>
      </c>
      <c r="AB52" s="20">
        <v>46748</v>
      </c>
      <c r="AC52" s="20">
        <v>41536</v>
      </c>
      <c r="AD52" s="20">
        <v>44138</v>
      </c>
      <c r="AE52" s="20">
        <v>44392</v>
      </c>
      <c r="AF52" s="81">
        <v>176814</v>
      </c>
      <c r="AG52" s="20">
        <v>44162</v>
      </c>
      <c r="AH52" s="20">
        <v>49240</v>
      </c>
      <c r="AI52" s="20">
        <v>50721</v>
      </c>
      <c r="AJ52" s="20">
        <v>52664</v>
      </c>
      <c r="AK52" s="81">
        <v>196787</v>
      </c>
      <c r="AL52" s="20">
        <v>50262</v>
      </c>
      <c r="AM52" s="67">
        <v>62508</v>
      </c>
      <c r="AN52" s="67">
        <v>67094</v>
      </c>
      <c r="AO52" s="67">
        <v>66540</v>
      </c>
      <c r="AP52" s="81">
        <f t="shared" ref="AP52:AP55" si="3">SUM(AL52:AO52)</f>
        <v>246404</v>
      </c>
      <c r="AQ52" s="20">
        <v>69177.933000000005</v>
      </c>
      <c r="AR52" s="67"/>
      <c r="AS52" s="67"/>
      <c r="AT52" s="67"/>
      <c r="AU52" s="81"/>
    </row>
    <row r="53" spans="1:50" s="3" customFormat="1">
      <c r="A53" s="108" t="s">
        <v>207</v>
      </c>
      <c r="B53" s="68"/>
      <c r="C53" s="109"/>
      <c r="D53" s="109"/>
      <c r="E53" s="109"/>
      <c r="F53" s="67">
        <v>2349</v>
      </c>
      <c r="G53" s="68">
        <v>2349</v>
      </c>
      <c r="H53" s="67">
        <v>10665</v>
      </c>
      <c r="I53" s="67">
        <v>16828</v>
      </c>
      <c r="J53" s="67">
        <v>19939</v>
      </c>
      <c r="K53" s="67">
        <v>23273</v>
      </c>
      <c r="L53" s="68">
        <v>70705</v>
      </c>
      <c r="M53" s="67">
        <v>17353</v>
      </c>
      <c r="N53" s="67">
        <v>17649</v>
      </c>
      <c r="O53" s="67">
        <v>25188</v>
      </c>
      <c r="P53" s="67">
        <v>27884</v>
      </c>
      <c r="Q53" s="68">
        <v>88074</v>
      </c>
      <c r="R53" s="67">
        <v>36144</v>
      </c>
      <c r="S53" s="67">
        <v>34975</v>
      </c>
      <c r="T53" s="67">
        <v>37433</v>
      </c>
      <c r="U53" s="67">
        <v>42408</v>
      </c>
      <c r="V53" s="68">
        <v>150960</v>
      </c>
      <c r="W53" s="67">
        <v>55472</v>
      </c>
      <c r="X53" s="67">
        <v>40393</v>
      </c>
      <c r="Y53" s="67">
        <v>27863</v>
      </c>
      <c r="Z53" s="67">
        <v>40080</v>
      </c>
      <c r="AA53" s="68">
        <v>163808</v>
      </c>
      <c r="AB53" s="67">
        <v>46748</v>
      </c>
      <c r="AC53" s="67">
        <v>41536</v>
      </c>
      <c r="AD53" s="67">
        <v>44138</v>
      </c>
      <c r="AE53" s="67">
        <v>44392</v>
      </c>
      <c r="AF53" s="81">
        <v>176814</v>
      </c>
      <c r="AG53" s="67">
        <v>44162</v>
      </c>
      <c r="AH53" s="67">
        <v>49240</v>
      </c>
      <c r="AI53" s="67">
        <v>50721</v>
      </c>
      <c r="AJ53" s="67">
        <v>52664</v>
      </c>
      <c r="AK53" s="81">
        <v>196787</v>
      </c>
      <c r="AL53" s="20">
        <v>50262</v>
      </c>
      <c r="AM53" s="67">
        <v>62508</v>
      </c>
      <c r="AN53" s="67">
        <v>67094</v>
      </c>
      <c r="AO53" s="67">
        <v>66541</v>
      </c>
      <c r="AP53" s="81">
        <f t="shared" si="3"/>
        <v>246405</v>
      </c>
      <c r="AQ53" s="20">
        <v>69178</v>
      </c>
      <c r="AR53" s="67"/>
      <c r="AS53" s="67"/>
      <c r="AT53" s="67"/>
      <c r="AU53" s="81"/>
      <c r="AX53" s="225"/>
    </row>
    <row r="54" spans="1:50" s="3" customFormat="1">
      <c r="A54" s="108" t="s">
        <v>57</v>
      </c>
      <c r="B54" s="68"/>
      <c r="C54" s="109"/>
      <c r="D54" s="109"/>
      <c r="E54" s="109"/>
      <c r="F54" s="67">
        <v>1682</v>
      </c>
      <c r="G54" s="68">
        <v>1682</v>
      </c>
      <c r="H54" s="67">
        <v>-12943</v>
      </c>
      <c r="I54" s="67">
        <v>-14533</v>
      </c>
      <c r="J54" s="67">
        <v>-15959</v>
      </c>
      <c r="K54" s="67">
        <v>-12656</v>
      </c>
      <c r="L54" s="68">
        <v>-56091</v>
      </c>
      <c r="M54" s="67">
        <v>-15580</v>
      </c>
      <c r="N54" s="67">
        <v>-15811</v>
      </c>
      <c r="O54" s="67">
        <v>-14499</v>
      </c>
      <c r="P54" s="67">
        <v>-17108</v>
      </c>
      <c r="Q54" s="68">
        <v>-62998</v>
      </c>
      <c r="R54" s="67">
        <v>-19744</v>
      </c>
      <c r="S54" s="67">
        <v>-22871</v>
      </c>
      <c r="T54" s="67">
        <v>-23795</v>
      </c>
      <c r="U54" s="67">
        <v>-19110</v>
      </c>
      <c r="V54" s="68">
        <v>-85520</v>
      </c>
      <c r="W54" s="67">
        <v>-25808</v>
      </c>
      <c r="X54" s="67">
        <v>-24059</v>
      </c>
      <c r="Y54" s="67">
        <v>-24459</v>
      </c>
      <c r="Z54" s="67">
        <v>-26265</v>
      </c>
      <c r="AA54" s="68">
        <v>-100591</v>
      </c>
      <c r="AB54" s="67">
        <v>-26377</v>
      </c>
      <c r="AC54" s="67">
        <v>-27469</v>
      </c>
      <c r="AD54" s="67">
        <v>-30186</v>
      </c>
      <c r="AE54" s="67">
        <v>-23528</v>
      </c>
      <c r="AF54" s="81">
        <v>-107560</v>
      </c>
      <c r="AG54" s="67">
        <v>-28864</v>
      </c>
      <c r="AH54" s="67">
        <v>-29266</v>
      </c>
      <c r="AI54" s="67">
        <v>-32036</v>
      </c>
      <c r="AJ54" s="67">
        <v>-29570</v>
      </c>
      <c r="AK54" s="81">
        <v>-119736</v>
      </c>
      <c r="AL54" s="20">
        <v>-30282</v>
      </c>
      <c r="AM54" s="67">
        <v>-31021</v>
      </c>
      <c r="AN54" s="67">
        <v>-29631</v>
      </c>
      <c r="AO54" s="67">
        <v>-31896</v>
      </c>
      <c r="AP54" s="81">
        <f t="shared" si="3"/>
        <v>-122830</v>
      </c>
      <c r="AQ54" s="264">
        <f>-25266+AQ55</f>
        <v>-32479</v>
      </c>
      <c r="AR54" s="67"/>
      <c r="AS54" s="67"/>
      <c r="AT54" s="67"/>
      <c r="AU54" s="81"/>
    </row>
    <row r="55" spans="1:50" s="3" customFormat="1">
      <c r="A55" s="110" t="s">
        <v>71</v>
      </c>
      <c r="B55" s="70"/>
      <c r="C55" s="111"/>
      <c r="D55" s="111"/>
      <c r="E55" s="111"/>
      <c r="F55" s="35">
        <v>282</v>
      </c>
      <c r="G55" s="70">
        <v>282</v>
      </c>
      <c r="H55" s="35">
        <v>1527</v>
      </c>
      <c r="I55" s="35">
        <v>1618</v>
      </c>
      <c r="J55" s="35">
        <v>1829</v>
      </c>
      <c r="K55" s="35">
        <v>1975</v>
      </c>
      <c r="L55" s="70">
        <v>6949</v>
      </c>
      <c r="M55" s="35">
        <v>1956</v>
      </c>
      <c r="N55" s="35">
        <v>2400</v>
      </c>
      <c r="O55" s="35">
        <v>2244</v>
      </c>
      <c r="P55" s="35">
        <v>2724</v>
      </c>
      <c r="Q55" s="70">
        <v>9324</v>
      </c>
      <c r="R55" s="35">
        <v>3199</v>
      </c>
      <c r="S55" s="35">
        <v>4068</v>
      </c>
      <c r="T55" s="35">
        <v>4293</v>
      </c>
      <c r="U55" s="35">
        <v>3555</v>
      </c>
      <c r="V55" s="70">
        <v>15115</v>
      </c>
      <c r="W55" s="35">
        <v>5391</v>
      </c>
      <c r="X55" s="35">
        <v>5298</v>
      </c>
      <c r="Y55" s="35">
        <v>5615</v>
      </c>
      <c r="Z55" s="35">
        <v>5907</v>
      </c>
      <c r="AA55" s="70">
        <v>22211</v>
      </c>
      <c r="AB55" s="35">
        <v>5900</v>
      </c>
      <c r="AC55" s="35">
        <v>6295</v>
      </c>
      <c r="AD55" s="35">
        <v>6936</v>
      </c>
      <c r="AE55" s="35">
        <v>1260</v>
      </c>
      <c r="AF55" s="86">
        <v>20391</v>
      </c>
      <c r="AG55" s="35">
        <v>5614</v>
      </c>
      <c r="AH55" s="35">
        <v>5575</v>
      </c>
      <c r="AI55" s="35">
        <v>7609</v>
      </c>
      <c r="AJ55" s="35">
        <v>6779</v>
      </c>
      <c r="AK55" s="86">
        <v>25538</v>
      </c>
      <c r="AL55" s="35">
        <v>6467</v>
      </c>
      <c r="AM55" s="35">
        <v>6507</v>
      </c>
      <c r="AN55" s="35">
        <v>5210</v>
      </c>
      <c r="AO55" s="35">
        <v>9443</v>
      </c>
      <c r="AP55" s="81">
        <f t="shared" si="3"/>
        <v>27627</v>
      </c>
      <c r="AQ55" s="35">
        <v>-7213</v>
      </c>
      <c r="AR55" s="35"/>
      <c r="AS55" s="35"/>
      <c r="AT55" s="35"/>
      <c r="AU55" s="81"/>
    </row>
    <row r="56" spans="1:50" s="3" customFormat="1">
      <c r="A56" s="112"/>
      <c r="B56" s="70"/>
      <c r="C56" s="113"/>
      <c r="D56" s="113"/>
      <c r="E56" s="113"/>
      <c r="F56" s="35"/>
      <c r="G56" s="70"/>
      <c r="H56" s="35"/>
      <c r="I56" s="35"/>
      <c r="J56" s="35"/>
      <c r="K56" s="67"/>
      <c r="L56" s="68">
        <v>0</v>
      </c>
      <c r="M56" s="35"/>
      <c r="N56" s="35"/>
      <c r="O56" s="35"/>
      <c r="P56" s="35"/>
      <c r="Q56" s="70"/>
      <c r="R56" s="35"/>
      <c r="S56" s="35"/>
      <c r="T56" s="27"/>
      <c r="U56" s="35"/>
      <c r="V56" s="68">
        <v>0</v>
      </c>
      <c r="W56" s="35"/>
      <c r="X56" s="35"/>
      <c r="Y56" s="35"/>
      <c r="Z56" s="35"/>
      <c r="AA56" s="68">
        <v>0</v>
      </c>
      <c r="AB56" s="35"/>
      <c r="AC56" s="35"/>
      <c r="AD56" s="35"/>
      <c r="AE56" s="35"/>
      <c r="AF56" s="81"/>
      <c r="AG56" s="35"/>
      <c r="AH56" s="35"/>
      <c r="AI56" s="35"/>
      <c r="AJ56" s="35"/>
      <c r="AK56" s="81"/>
      <c r="AL56" s="22"/>
      <c r="AM56" s="35"/>
      <c r="AN56" s="35"/>
      <c r="AO56" s="35"/>
      <c r="AP56" s="81"/>
      <c r="AQ56" s="22"/>
      <c r="AR56" s="35"/>
      <c r="AS56" s="35"/>
      <c r="AT56" s="35"/>
      <c r="AU56" s="81"/>
    </row>
    <row r="57" spans="1:50" s="89" customFormat="1">
      <c r="A57" s="80" t="s">
        <v>208</v>
      </c>
      <c r="B57" s="68"/>
      <c r="C57" s="82"/>
      <c r="D57" s="82"/>
      <c r="E57" s="82"/>
      <c r="F57" s="67">
        <v>667</v>
      </c>
      <c r="G57" s="68">
        <v>667</v>
      </c>
      <c r="H57" s="67">
        <v>-2278</v>
      </c>
      <c r="I57" s="67">
        <v>2295</v>
      </c>
      <c r="J57" s="67">
        <v>3980</v>
      </c>
      <c r="K57" s="67">
        <v>10617</v>
      </c>
      <c r="L57" s="68">
        <v>14614</v>
      </c>
      <c r="M57" s="67">
        <v>1773</v>
      </c>
      <c r="N57" s="67">
        <v>1838</v>
      </c>
      <c r="O57" s="67">
        <v>10689</v>
      </c>
      <c r="P57" s="67">
        <v>10776</v>
      </c>
      <c r="Q57" s="68">
        <v>25076</v>
      </c>
      <c r="R57" s="67">
        <v>16400</v>
      </c>
      <c r="S57" s="67">
        <v>12104</v>
      </c>
      <c r="T57" s="67">
        <v>13638</v>
      </c>
      <c r="U57" s="67">
        <v>23298</v>
      </c>
      <c r="V57" s="68">
        <v>65440</v>
      </c>
      <c r="W57" s="67">
        <v>29664</v>
      </c>
      <c r="X57" s="67">
        <v>16334</v>
      </c>
      <c r="Y57" s="67">
        <v>3404</v>
      </c>
      <c r="Z57" s="67">
        <v>13815</v>
      </c>
      <c r="AA57" s="68">
        <v>63217</v>
      </c>
      <c r="AB57" s="67">
        <v>20371</v>
      </c>
      <c r="AC57" s="67">
        <v>14067</v>
      </c>
      <c r="AD57" s="67">
        <v>13952</v>
      </c>
      <c r="AE57" s="67">
        <v>20864</v>
      </c>
      <c r="AF57" s="81">
        <v>69254</v>
      </c>
      <c r="AG57" s="67">
        <v>15298</v>
      </c>
      <c r="AH57" s="67">
        <v>19974</v>
      </c>
      <c r="AI57" s="67">
        <v>18685</v>
      </c>
      <c r="AJ57" s="67">
        <v>23094</v>
      </c>
      <c r="AK57" s="81">
        <v>77051</v>
      </c>
      <c r="AL57" s="20">
        <v>19980</v>
      </c>
      <c r="AM57" s="67">
        <v>31487</v>
      </c>
      <c r="AN57" s="67">
        <v>37463</v>
      </c>
      <c r="AO57" s="67">
        <v>34645</v>
      </c>
      <c r="AP57" s="81">
        <f>SUM(AL57:AO57)</f>
        <v>123575</v>
      </c>
      <c r="AQ57" s="20">
        <f>AQ53+AQ54</f>
        <v>36699</v>
      </c>
      <c r="AR57" s="67"/>
      <c r="AS57" s="67"/>
      <c r="AT57" s="67"/>
      <c r="AU57" s="81"/>
    </row>
    <row r="58" spans="1:50" s="3" customFormat="1">
      <c r="A58" s="114"/>
      <c r="B58" s="70"/>
      <c r="C58" s="115"/>
      <c r="D58" s="115"/>
      <c r="E58" s="115"/>
      <c r="F58" s="35"/>
      <c r="G58" s="70"/>
      <c r="H58" s="35"/>
      <c r="I58" s="35"/>
      <c r="J58" s="35"/>
      <c r="K58" s="67"/>
      <c r="L58" s="68">
        <v>0</v>
      </c>
      <c r="M58" s="35"/>
      <c r="N58" s="35"/>
      <c r="O58" s="35"/>
      <c r="P58" s="35"/>
      <c r="Q58" s="70"/>
      <c r="R58" s="35"/>
      <c r="S58" s="35"/>
      <c r="T58" s="35"/>
      <c r="U58" s="35"/>
      <c r="V58" s="68">
        <v>0</v>
      </c>
      <c r="W58" s="35"/>
      <c r="X58" s="35"/>
      <c r="Y58" s="35"/>
      <c r="Z58" s="35"/>
      <c r="AA58" s="68">
        <v>0</v>
      </c>
      <c r="AB58" s="35"/>
      <c r="AC58" s="35"/>
      <c r="AD58" s="35"/>
      <c r="AE58" s="35"/>
      <c r="AF58" s="81"/>
      <c r="AG58" s="35"/>
      <c r="AH58" s="35"/>
      <c r="AI58" s="35"/>
      <c r="AJ58" s="35"/>
      <c r="AK58" s="81"/>
      <c r="AL58" s="22"/>
      <c r="AM58" s="35"/>
      <c r="AN58" s="35"/>
      <c r="AO58" s="35"/>
      <c r="AP58" s="81"/>
      <c r="AQ58" s="22"/>
      <c r="AR58" s="35"/>
      <c r="AS58" s="35"/>
      <c r="AT58" s="35"/>
      <c r="AU58" s="81"/>
    </row>
    <row r="59" spans="1:50" s="3" customFormat="1">
      <c r="A59" s="83" t="s">
        <v>59</v>
      </c>
      <c r="B59" s="70"/>
      <c r="C59" s="88"/>
      <c r="D59" s="88"/>
      <c r="E59" s="88"/>
      <c r="F59" s="60"/>
      <c r="G59" s="70"/>
      <c r="H59" s="60">
        <v>-539</v>
      </c>
      <c r="I59" s="60">
        <v>-528</v>
      </c>
      <c r="J59" s="60">
        <v>-520</v>
      </c>
      <c r="K59" s="35">
        <v>-708</v>
      </c>
      <c r="L59" s="70">
        <v>-2295</v>
      </c>
      <c r="M59" s="60">
        <v>-488</v>
      </c>
      <c r="N59" s="60">
        <v>-611</v>
      </c>
      <c r="O59" s="60">
        <v>-799</v>
      </c>
      <c r="P59" s="60">
        <v>-1341</v>
      </c>
      <c r="Q59" s="68">
        <v>3238</v>
      </c>
      <c r="R59" s="60">
        <v>-1028</v>
      </c>
      <c r="S59" s="60">
        <v>-877</v>
      </c>
      <c r="T59" s="60">
        <v>-1229</v>
      </c>
      <c r="U59" s="60">
        <v>-898</v>
      </c>
      <c r="V59" s="68">
        <v>-4032</v>
      </c>
      <c r="W59" s="60">
        <v>-430</v>
      </c>
      <c r="X59" s="60">
        <v>-280</v>
      </c>
      <c r="Y59" s="60">
        <v>-372</v>
      </c>
      <c r="Z59" s="60">
        <v>-485</v>
      </c>
      <c r="AA59" s="68">
        <v>-1567</v>
      </c>
      <c r="AB59" s="60">
        <v>-517</v>
      </c>
      <c r="AC59" s="60">
        <v>-479</v>
      </c>
      <c r="AD59" s="60">
        <v>-493</v>
      </c>
      <c r="AE59" s="60">
        <v>-2371</v>
      </c>
      <c r="AF59" s="81">
        <v>-3860</v>
      </c>
      <c r="AG59" s="60">
        <v>-1312</v>
      </c>
      <c r="AH59" s="60">
        <v>-932</v>
      </c>
      <c r="AI59" s="60">
        <v>-759</v>
      </c>
      <c r="AJ59" s="60">
        <v>-4140</v>
      </c>
      <c r="AK59" s="81">
        <v>-7143</v>
      </c>
      <c r="AL59" s="22">
        <v>-1774</v>
      </c>
      <c r="AM59" s="60">
        <v>-1516</v>
      </c>
      <c r="AN59" s="60">
        <v>-1784</v>
      </c>
      <c r="AO59" s="60">
        <v>-1711</v>
      </c>
      <c r="AP59" s="70">
        <f t="shared" ref="AP59:AP61" si="4">SUM(AL59:AO59)</f>
        <v>-6785</v>
      </c>
      <c r="AQ59" s="22">
        <v>-1587</v>
      </c>
      <c r="AR59" s="60"/>
      <c r="AS59" s="60"/>
      <c r="AT59" s="60"/>
      <c r="AU59" s="70"/>
    </row>
    <row r="60" spans="1:50" s="3" customFormat="1">
      <c r="A60" s="83" t="s">
        <v>209</v>
      </c>
      <c r="B60" s="70"/>
      <c r="C60" s="88"/>
      <c r="D60" s="88"/>
      <c r="E60" s="88"/>
      <c r="F60" s="27">
        <v>-697</v>
      </c>
      <c r="G60" s="70">
        <v>-697</v>
      </c>
      <c r="H60" s="27">
        <v>0</v>
      </c>
      <c r="I60" s="27">
        <v>0</v>
      </c>
      <c r="J60" s="27">
        <v>0</v>
      </c>
      <c r="K60" s="67"/>
      <c r="L60" s="70">
        <v>0</v>
      </c>
      <c r="M60" s="27">
        <v>0</v>
      </c>
      <c r="N60" s="27">
        <v>0</v>
      </c>
      <c r="O60" s="27">
        <v>0</v>
      </c>
      <c r="P60" s="27">
        <v>0</v>
      </c>
      <c r="Q60" s="70">
        <v>0</v>
      </c>
      <c r="R60" s="27">
        <v>-2</v>
      </c>
      <c r="S60" s="27">
        <v>-3</v>
      </c>
      <c r="T60" s="27">
        <v>5</v>
      </c>
      <c r="U60" s="27">
        <v>0</v>
      </c>
      <c r="V60" s="68">
        <v>0</v>
      </c>
      <c r="W60" s="27">
        <v>0</v>
      </c>
      <c r="X60" s="27">
        <v>0</v>
      </c>
      <c r="Y60" s="27">
        <v>0</v>
      </c>
      <c r="Z60" s="27">
        <v>0</v>
      </c>
      <c r="AA60" s="68">
        <v>0</v>
      </c>
      <c r="AB60" s="27">
        <v>0</v>
      </c>
      <c r="AC60" s="27">
        <v>0</v>
      </c>
      <c r="AD60" s="27">
        <v>0</v>
      </c>
      <c r="AE60" s="27">
        <v>0</v>
      </c>
      <c r="AF60" s="81">
        <v>0</v>
      </c>
      <c r="AG60" s="27">
        <v>0</v>
      </c>
      <c r="AH60" s="27">
        <v>0</v>
      </c>
      <c r="AI60" s="27">
        <v>0</v>
      </c>
      <c r="AJ60" s="27">
        <v>0</v>
      </c>
      <c r="AK60" s="81">
        <v>0</v>
      </c>
      <c r="AL60" s="27">
        <v>0</v>
      </c>
      <c r="AM60" s="27">
        <v>0</v>
      </c>
      <c r="AN60" s="27"/>
      <c r="AO60" s="27"/>
      <c r="AP60" s="70">
        <f t="shared" si="4"/>
        <v>0</v>
      </c>
      <c r="AQ60" s="27"/>
      <c r="AR60" s="27"/>
      <c r="AS60" s="27"/>
      <c r="AT60" s="27"/>
      <c r="AU60" s="70"/>
    </row>
    <row r="61" spans="1:50" s="3" customFormat="1">
      <c r="A61" s="83" t="s">
        <v>60</v>
      </c>
      <c r="B61" s="70"/>
      <c r="C61" s="88"/>
      <c r="D61" s="88"/>
      <c r="E61" s="88"/>
      <c r="F61" s="27"/>
      <c r="G61" s="70"/>
      <c r="H61" s="27">
        <v>-43</v>
      </c>
      <c r="I61" s="27">
        <v>-172</v>
      </c>
      <c r="J61" s="27">
        <v>-23</v>
      </c>
      <c r="K61" s="35">
        <v>-40</v>
      </c>
      <c r="L61" s="70">
        <v>-278</v>
      </c>
      <c r="M61" s="27">
        <v>-28</v>
      </c>
      <c r="N61" s="27">
        <v>-34</v>
      </c>
      <c r="O61" s="27">
        <v>-5</v>
      </c>
      <c r="P61" s="27">
        <v>-410</v>
      </c>
      <c r="Q61" s="68">
        <v>-477</v>
      </c>
      <c r="R61" s="27">
        <v>-35</v>
      </c>
      <c r="S61" s="27">
        <v>-166</v>
      </c>
      <c r="T61" s="27">
        <v>-408</v>
      </c>
      <c r="U61" s="27">
        <v>-277</v>
      </c>
      <c r="V61" s="68">
        <v>-886</v>
      </c>
      <c r="W61" s="27">
        <v>-838</v>
      </c>
      <c r="X61" s="27">
        <v>-1201</v>
      </c>
      <c r="Y61" s="27">
        <v>-1909</v>
      </c>
      <c r="Z61" s="27">
        <v>-2203</v>
      </c>
      <c r="AA61" s="68">
        <v>-6151</v>
      </c>
      <c r="AB61" s="27">
        <v>-2131</v>
      </c>
      <c r="AC61" s="27">
        <v>-1937</v>
      </c>
      <c r="AD61" s="27">
        <v>-1528</v>
      </c>
      <c r="AE61" s="27">
        <v>-1320</v>
      </c>
      <c r="AF61" s="81">
        <v>-6916</v>
      </c>
      <c r="AG61" s="27">
        <v>-1110</v>
      </c>
      <c r="AH61" s="27">
        <v>-1656</v>
      </c>
      <c r="AI61" s="27">
        <v>-1193</v>
      </c>
      <c r="AJ61" s="27">
        <v>-714</v>
      </c>
      <c r="AK61" s="81">
        <v>-4673</v>
      </c>
      <c r="AL61" s="27">
        <v>-709</v>
      </c>
      <c r="AM61" s="27">
        <v>-794</v>
      </c>
      <c r="AN61" s="27">
        <v>-675</v>
      </c>
      <c r="AO61" s="27">
        <v>-1416</v>
      </c>
      <c r="AP61" s="70">
        <f t="shared" si="4"/>
        <v>-3594</v>
      </c>
      <c r="AQ61" s="27">
        <v>-935</v>
      </c>
      <c r="AR61" s="27"/>
      <c r="AS61" s="27"/>
      <c r="AT61" s="27"/>
      <c r="AU61" s="70"/>
    </row>
    <row r="62" spans="1:50" s="3" customFormat="1">
      <c r="A62" s="83" t="s">
        <v>210</v>
      </c>
      <c r="B62" s="70"/>
      <c r="C62" s="88"/>
      <c r="D62" s="88"/>
      <c r="E62" s="88"/>
      <c r="F62" s="27">
        <v>52986</v>
      </c>
      <c r="G62" s="70">
        <v>52986</v>
      </c>
      <c r="H62" s="35">
        <v>-68</v>
      </c>
      <c r="I62" s="35">
        <v>-663</v>
      </c>
      <c r="J62" s="35">
        <v>830</v>
      </c>
      <c r="K62" s="35">
        <v>-289</v>
      </c>
      <c r="L62" s="70">
        <v>-190</v>
      </c>
      <c r="M62" s="35">
        <v>1622</v>
      </c>
      <c r="N62" s="35">
        <v>-2493</v>
      </c>
      <c r="O62" s="35">
        <v>-1861</v>
      </c>
      <c r="P62" s="35">
        <v>-398</v>
      </c>
      <c r="Q62" s="68">
        <v>-3130</v>
      </c>
      <c r="R62" s="35">
        <v>-1297</v>
      </c>
      <c r="S62" s="35">
        <v>201</v>
      </c>
      <c r="T62" s="35">
        <v>-139</v>
      </c>
      <c r="U62" s="67">
        <v>-259</v>
      </c>
      <c r="V62" s="68">
        <v>-1494</v>
      </c>
      <c r="W62" s="35">
        <v>-603</v>
      </c>
      <c r="X62" s="35">
        <v>-120</v>
      </c>
      <c r="Y62" s="35">
        <v>-373</v>
      </c>
      <c r="Z62" s="35">
        <v>99</v>
      </c>
      <c r="AA62" s="68">
        <v>-997</v>
      </c>
      <c r="AB62" s="35">
        <v>-142</v>
      </c>
      <c r="AC62" s="35">
        <v>-300</v>
      </c>
      <c r="AD62" s="35">
        <v>41</v>
      </c>
      <c r="AE62" s="35">
        <v>-543</v>
      </c>
      <c r="AF62" s="81">
        <v>-944</v>
      </c>
      <c r="AG62" s="35">
        <v>-296</v>
      </c>
      <c r="AH62" s="35">
        <v>-631</v>
      </c>
      <c r="AI62" s="35">
        <v>-550</v>
      </c>
      <c r="AJ62" s="35">
        <v>-363</v>
      </c>
      <c r="AK62" s="81">
        <v>-1840</v>
      </c>
      <c r="AL62" s="27">
        <v>-34</v>
      </c>
      <c r="AM62" s="27">
        <v>-3762</v>
      </c>
      <c r="AN62" s="27">
        <v>-2173</v>
      </c>
      <c r="AO62" s="27">
        <f>-714-AN62-AM62-AL62</f>
        <v>5255</v>
      </c>
      <c r="AP62" s="70">
        <f>SUM(AL62:AO62)</f>
        <v>-714</v>
      </c>
      <c r="AQ62" s="22">
        <v>-1233</v>
      </c>
      <c r="AR62" s="27"/>
      <c r="AS62" s="27"/>
      <c r="AT62" s="27"/>
      <c r="AU62" s="70"/>
    </row>
    <row r="63" spans="1:50" s="3" customFormat="1">
      <c r="A63" s="83"/>
      <c r="B63" s="70"/>
      <c r="C63" s="88"/>
      <c r="D63" s="88"/>
      <c r="E63" s="88"/>
      <c r="F63" s="35"/>
      <c r="G63" s="70"/>
      <c r="H63" s="35"/>
      <c r="I63" s="35"/>
      <c r="J63" s="35"/>
      <c r="K63" s="67"/>
      <c r="L63" s="68">
        <v>0</v>
      </c>
      <c r="M63" s="35"/>
      <c r="N63" s="35"/>
      <c r="O63" s="35"/>
      <c r="P63" s="35"/>
      <c r="Q63" s="70"/>
      <c r="R63" s="35"/>
      <c r="S63" s="35"/>
      <c r="T63" s="35"/>
      <c r="U63" s="35"/>
      <c r="V63" s="68">
        <v>0</v>
      </c>
      <c r="W63" s="35"/>
      <c r="X63" s="35"/>
      <c r="Y63" s="35"/>
      <c r="Z63" s="35"/>
      <c r="AA63" s="68">
        <v>0</v>
      </c>
      <c r="AB63" s="35"/>
      <c r="AC63" s="35"/>
      <c r="AD63" s="35"/>
      <c r="AE63" s="35"/>
      <c r="AF63" s="81"/>
      <c r="AG63" s="35"/>
      <c r="AH63" s="35"/>
      <c r="AI63" s="35"/>
      <c r="AJ63" s="35"/>
      <c r="AK63" s="81"/>
      <c r="AL63" s="22"/>
      <c r="AM63" s="35"/>
      <c r="AN63" s="35"/>
      <c r="AO63" s="35"/>
      <c r="AP63" s="81"/>
      <c r="AQ63" s="22"/>
      <c r="AR63" s="35"/>
      <c r="AS63" s="35"/>
      <c r="AT63" s="35"/>
      <c r="AU63" s="81"/>
    </row>
    <row r="64" spans="1:50" s="89" customFormat="1">
      <c r="A64" s="80" t="s">
        <v>63</v>
      </c>
      <c r="B64" s="68"/>
      <c r="C64" s="82"/>
      <c r="D64" s="82"/>
      <c r="E64" s="82"/>
      <c r="F64" s="101">
        <v>52956</v>
      </c>
      <c r="G64" s="68">
        <v>52956</v>
      </c>
      <c r="H64" s="101">
        <v>-2860</v>
      </c>
      <c r="I64" s="101">
        <v>1595</v>
      </c>
      <c r="J64" s="101">
        <v>3437</v>
      </c>
      <c r="K64" s="67">
        <v>9869</v>
      </c>
      <c r="L64" s="68">
        <v>12041</v>
      </c>
      <c r="M64" s="101">
        <v>1257</v>
      </c>
      <c r="N64" s="101">
        <v>1193</v>
      </c>
      <c r="O64" s="101">
        <v>9885</v>
      </c>
      <c r="P64" s="101">
        <v>9026</v>
      </c>
      <c r="Q64" s="68">
        <v>21361</v>
      </c>
      <c r="R64" s="101">
        <v>15335</v>
      </c>
      <c r="S64" s="101">
        <v>11058</v>
      </c>
      <c r="T64" s="101">
        <v>12006</v>
      </c>
      <c r="U64" s="101">
        <v>22123</v>
      </c>
      <c r="V64" s="68">
        <v>60522</v>
      </c>
      <c r="W64" s="101">
        <v>28396</v>
      </c>
      <c r="X64" s="101">
        <v>14853</v>
      </c>
      <c r="Y64" s="101">
        <v>1123</v>
      </c>
      <c r="Z64" s="101">
        <v>11127</v>
      </c>
      <c r="AA64" s="68">
        <v>55499</v>
      </c>
      <c r="AB64" s="101">
        <v>17724</v>
      </c>
      <c r="AC64" s="101">
        <v>11651</v>
      </c>
      <c r="AD64" s="101">
        <v>11931</v>
      </c>
      <c r="AE64" s="101">
        <v>17173</v>
      </c>
      <c r="AF64" s="81">
        <v>58479</v>
      </c>
      <c r="AG64" s="101">
        <v>12876</v>
      </c>
      <c r="AH64" s="101">
        <v>17386</v>
      </c>
      <c r="AI64" s="101">
        <v>16733</v>
      </c>
      <c r="AJ64" s="101">
        <v>18240</v>
      </c>
      <c r="AK64" s="81">
        <v>65235</v>
      </c>
      <c r="AL64" s="20">
        <f>SUM(AL57:AL63)</f>
        <v>17463</v>
      </c>
      <c r="AM64" s="20">
        <f>SUM(AM57:AM63)</f>
        <v>25415</v>
      </c>
      <c r="AN64" s="20">
        <f>SUM(AN57:AN63)</f>
        <v>32831</v>
      </c>
      <c r="AO64" s="20">
        <f>SUM(AO57:AO63)</f>
        <v>36773</v>
      </c>
      <c r="AP64" s="81">
        <f>SUM(AL64:AO64)</f>
        <v>112482</v>
      </c>
      <c r="AQ64" s="20">
        <f>SUM(AQ57:AQ63)</f>
        <v>32944</v>
      </c>
      <c r="AR64" s="101"/>
      <c r="AS64" s="101"/>
      <c r="AT64" s="101"/>
      <c r="AU64" s="81"/>
    </row>
    <row r="65" spans="1:47" s="3" customFormat="1">
      <c r="A65" s="83"/>
      <c r="B65" s="70"/>
      <c r="C65" s="88"/>
      <c r="D65" s="88"/>
      <c r="E65" s="88"/>
      <c r="F65" s="27"/>
      <c r="G65" s="70"/>
      <c r="H65" s="51"/>
      <c r="I65" s="51"/>
      <c r="J65" s="51"/>
      <c r="K65" s="67"/>
      <c r="L65" s="68">
        <v>0</v>
      </c>
      <c r="M65" s="27"/>
      <c r="N65" s="27"/>
      <c r="O65" s="27"/>
      <c r="P65" s="27"/>
      <c r="Q65" s="70"/>
      <c r="R65" s="27"/>
      <c r="S65" s="27"/>
      <c r="T65" s="27"/>
      <c r="U65" s="27"/>
      <c r="V65" s="68">
        <v>0</v>
      </c>
      <c r="W65" s="27"/>
      <c r="X65" s="27"/>
      <c r="Y65" s="27"/>
      <c r="Z65" s="27"/>
      <c r="AA65" s="68">
        <v>0</v>
      </c>
      <c r="AB65" s="27"/>
      <c r="AC65" s="27"/>
      <c r="AD65" s="27"/>
      <c r="AE65" s="27"/>
      <c r="AF65" s="81"/>
      <c r="AG65" s="27"/>
      <c r="AH65" s="27"/>
      <c r="AI65" s="27"/>
      <c r="AJ65" s="27"/>
      <c r="AK65" s="81"/>
      <c r="AL65" s="27"/>
      <c r="AM65" s="27"/>
      <c r="AN65" s="27"/>
      <c r="AO65" s="27"/>
      <c r="AP65" s="81"/>
      <c r="AQ65" s="27"/>
      <c r="AR65" s="27"/>
      <c r="AS65" s="27"/>
      <c r="AT65" s="27"/>
      <c r="AU65" s="81"/>
    </row>
    <row r="66" spans="1:47" s="3" customFormat="1">
      <c r="A66" s="83" t="s">
        <v>307</v>
      </c>
      <c r="B66" s="70"/>
      <c r="C66" s="88"/>
      <c r="D66" s="88"/>
      <c r="E66" s="88"/>
      <c r="F66" s="27"/>
      <c r="G66" s="70"/>
      <c r="H66" s="27">
        <v>-497</v>
      </c>
      <c r="I66" s="27">
        <v>-509</v>
      </c>
      <c r="J66" s="27">
        <v>-1003</v>
      </c>
      <c r="K66" s="35">
        <v>-1742</v>
      </c>
      <c r="L66" s="70">
        <v>-3751</v>
      </c>
      <c r="M66" s="27">
        <v>-586</v>
      </c>
      <c r="N66" s="27">
        <v>-488</v>
      </c>
      <c r="O66" s="27">
        <v>-490</v>
      </c>
      <c r="P66" s="27">
        <v>-283</v>
      </c>
      <c r="Q66" s="68">
        <v>-1847</v>
      </c>
      <c r="R66" s="27">
        <v>-395</v>
      </c>
      <c r="S66" s="27">
        <v>-1122</v>
      </c>
      <c r="T66" s="27">
        <v>-397</v>
      </c>
      <c r="U66" s="67">
        <v>-447</v>
      </c>
      <c r="V66" s="68">
        <v>-2361</v>
      </c>
      <c r="W66" s="27">
        <v>-873</v>
      </c>
      <c r="X66" s="27">
        <v>479</v>
      </c>
      <c r="Y66" s="27">
        <v>-620</v>
      </c>
      <c r="Z66" s="27">
        <v>-1773</v>
      </c>
      <c r="AA66" s="68">
        <v>-2787</v>
      </c>
      <c r="AB66" s="27">
        <v>-805</v>
      </c>
      <c r="AC66" s="27">
        <v>-304</v>
      </c>
      <c r="AD66" s="27">
        <v>-1154</v>
      </c>
      <c r="AE66" s="27">
        <v>-1429</v>
      </c>
      <c r="AF66" s="81">
        <v>-3692</v>
      </c>
      <c r="AG66" s="27">
        <v>-547</v>
      </c>
      <c r="AH66" s="27">
        <v>-201</v>
      </c>
      <c r="AI66" s="27">
        <v>-432</v>
      </c>
      <c r="AJ66" s="27">
        <v>-2737</v>
      </c>
      <c r="AK66" s="81">
        <v>-3917</v>
      </c>
      <c r="AL66" s="27">
        <v>0</v>
      </c>
      <c r="AM66" s="27">
        <v>0</v>
      </c>
      <c r="AN66" s="27">
        <v>0</v>
      </c>
      <c r="AO66" s="27">
        <v>0</v>
      </c>
      <c r="AP66" s="70">
        <f t="shared" ref="AP66" si="5">SUM(AL66:AO66)</f>
        <v>0</v>
      </c>
      <c r="AQ66" s="27">
        <v>0</v>
      </c>
      <c r="AR66" s="27"/>
      <c r="AS66" s="27"/>
      <c r="AT66" s="27"/>
      <c r="AU66" s="70"/>
    </row>
    <row r="67" spans="1:47" s="3" customFormat="1">
      <c r="A67" s="83" t="s">
        <v>210</v>
      </c>
      <c r="B67" s="70"/>
      <c r="C67" s="88"/>
      <c r="D67" s="88"/>
      <c r="E67" s="88"/>
      <c r="F67" s="35"/>
      <c r="G67" s="70"/>
      <c r="H67" s="35"/>
      <c r="I67" s="35"/>
      <c r="J67" s="35"/>
      <c r="K67" s="35"/>
      <c r="L67" s="70"/>
      <c r="M67" s="35"/>
      <c r="N67" s="35"/>
      <c r="O67" s="35"/>
      <c r="P67" s="35"/>
      <c r="Q67" s="68"/>
      <c r="R67" s="35"/>
      <c r="S67" s="35"/>
      <c r="T67" s="35"/>
      <c r="U67" s="67"/>
      <c r="V67" s="68"/>
      <c r="W67" s="35"/>
      <c r="X67" s="35"/>
      <c r="Y67" s="35"/>
      <c r="Z67" s="35"/>
      <c r="AA67" s="68"/>
      <c r="AB67" s="35"/>
      <c r="AC67" s="35"/>
      <c r="AD67" s="35"/>
      <c r="AE67" s="35"/>
      <c r="AF67" s="81"/>
      <c r="AG67" s="35"/>
      <c r="AH67" s="35"/>
      <c r="AI67" s="35"/>
      <c r="AJ67" s="35"/>
      <c r="AK67" s="81"/>
      <c r="AL67" s="27"/>
      <c r="AM67" s="27"/>
      <c r="AN67" s="27"/>
      <c r="AO67" s="27"/>
      <c r="AP67" s="70"/>
      <c r="AQ67" s="22"/>
      <c r="AR67" s="35"/>
      <c r="AS67" s="35"/>
      <c r="AT67" s="35"/>
      <c r="AU67" s="70"/>
    </row>
    <row r="68" spans="1:47" s="3" customFormat="1">
      <c r="A68" s="83" t="s">
        <v>308</v>
      </c>
      <c r="B68" s="70"/>
      <c r="C68" s="88"/>
      <c r="D68" s="88"/>
      <c r="E68" s="88"/>
      <c r="F68" s="35"/>
      <c r="G68" s="70"/>
      <c r="H68" s="35"/>
      <c r="I68" s="35"/>
      <c r="J68" s="35"/>
      <c r="K68" s="35"/>
      <c r="L68" s="70"/>
      <c r="M68" s="35"/>
      <c r="N68" s="35"/>
      <c r="O68" s="35"/>
      <c r="P68" s="35"/>
      <c r="Q68" s="68"/>
      <c r="R68" s="35"/>
      <c r="S68" s="35"/>
      <c r="T68" s="35"/>
      <c r="U68" s="67"/>
      <c r="V68" s="68"/>
      <c r="W68" s="35"/>
      <c r="X68" s="35"/>
      <c r="Y68" s="35"/>
      <c r="Z68" s="35"/>
      <c r="AA68" s="68"/>
      <c r="AB68" s="35"/>
      <c r="AC68" s="35"/>
      <c r="AD68" s="35"/>
      <c r="AE68" s="35"/>
      <c r="AF68" s="81"/>
      <c r="AG68" s="35"/>
      <c r="AH68" s="35"/>
      <c r="AI68" s="35"/>
      <c r="AJ68" s="35"/>
      <c r="AK68" s="81"/>
      <c r="AL68" s="22">
        <v>-125</v>
      </c>
      <c r="AM68" s="35">
        <f>-3796-AL68</f>
        <v>-3671</v>
      </c>
      <c r="AN68" s="35">
        <f>-5979-AM68-AL68</f>
        <v>-2183</v>
      </c>
      <c r="AO68" s="35">
        <f>-8316-AN68-AM68-AL68</f>
        <v>-2337</v>
      </c>
      <c r="AP68" s="70">
        <f>SUM(AL68:AO68)</f>
        <v>-8316</v>
      </c>
      <c r="AQ68" s="22">
        <v>-149</v>
      </c>
      <c r="AR68" s="35"/>
      <c r="AS68" s="35"/>
      <c r="AT68" s="35"/>
      <c r="AU68" s="70"/>
    </row>
    <row r="69" spans="1:47" s="3" customFormat="1">
      <c r="A69" s="83" t="s">
        <v>309</v>
      </c>
      <c r="B69" s="70"/>
      <c r="C69" s="88"/>
      <c r="D69" s="88"/>
      <c r="E69" s="88"/>
      <c r="F69" s="35"/>
      <c r="G69" s="70"/>
      <c r="H69" s="35"/>
      <c r="I69" s="35"/>
      <c r="J69" s="35"/>
      <c r="K69" s="35"/>
      <c r="L69" s="70"/>
      <c r="M69" s="35"/>
      <c r="N69" s="35"/>
      <c r="O69" s="35"/>
      <c r="P69" s="35"/>
      <c r="Q69" s="68"/>
      <c r="R69" s="35"/>
      <c r="S69" s="35"/>
      <c r="T69" s="35"/>
      <c r="U69" s="67"/>
      <c r="V69" s="68"/>
      <c r="W69" s="35"/>
      <c r="X69" s="35"/>
      <c r="Y69" s="35"/>
      <c r="Z69" s="35"/>
      <c r="AA69" s="68"/>
      <c r="AB69" s="35"/>
      <c r="AC69" s="35"/>
      <c r="AD69" s="35"/>
      <c r="AE69" s="35"/>
      <c r="AF69" s="81"/>
      <c r="AG69" s="35"/>
      <c r="AH69" s="35"/>
      <c r="AI69" s="35"/>
      <c r="AJ69" s="35"/>
      <c r="AK69" s="81"/>
      <c r="AL69" s="22">
        <v>91</v>
      </c>
      <c r="AM69" s="35">
        <f>0-AL69</f>
        <v>-91</v>
      </c>
      <c r="AN69" s="35">
        <f>10-AM69-AL69</f>
        <v>10</v>
      </c>
      <c r="AO69" s="35">
        <f>235-AN69-AM69-AL69</f>
        <v>225</v>
      </c>
      <c r="AP69" s="70">
        <f>SUM(AL69:AO69)</f>
        <v>235</v>
      </c>
      <c r="AQ69" s="22">
        <v>113</v>
      </c>
      <c r="AR69" s="35"/>
      <c r="AS69" s="35"/>
      <c r="AT69" s="35"/>
      <c r="AU69" s="70"/>
    </row>
    <row r="70" spans="1:47" s="3" customFormat="1">
      <c r="A70" s="83"/>
      <c r="B70" s="70"/>
      <c r="C70" s="88"/>
      <c r="D70" s="88"/>
      <c r="E70" s="88"/>
      <c r="F70" s="27"/>
      <c r="G70" s="70"/>
      <c r="H70" s="27"/>
      <c r="I70" s="27"/>
      <c r="J70" s="27"/>
      <c r="K70" s="67"/>
      <c r="L70" s="68">
        <v>0</v>
      </c>
      <c r="M70" s="27"/>
      <c r="N70" s="27"/>
      <c r="O70" s="27"/>
      <c r="P70" s="27"/>
      <c r="Q70" s="68">
        <v>0</v>
      </c>
      <c r="R70" s="27"/>
      <c r="S70" s="27"/>
      <c r="T70" s="27"/>
      <c r="U70" s="27"/>
      <c r="V70" s="68">
        <v>0</v>
      </c>
      <c r="W70" s="27"/>
      <c r="X70" s="27"/>
      <c r="Y70" s="27"/>
      <c r="Z70" s="27"/>
      <c r="AA70" s="68">
        <v>0</v>
      </c>
      <c r="AB70" s="27"/>
      <c r="AC70" s="27"/>
      <c r="AD70" s="27"/>
      <c r="AE70" s="27"/>
      <c r="AF70" s="81"/>
      <c r="AG70" s="27"/>
      <c r="AH70" s="27"/>
      <c r="AI70" s="27"/>
      <c r="AJ70" s="27"/>
      <c r="AK70" s="81"/>
      <c r="AL70" s="27"/>
      <c r="AM70" s="27"/>
      <c r="AN70" s="27"/>
      <c r="AO70" s="27"/>
      <c r="AP70" s="81"/>
      <c r="AQ70" s="27"/>
      <c r="AR70" s="27"/>
      <c r="AS70" s="27"/>
      <c r="AT70" s="27"/>
      <c r="AU70" s="81"/>
    </row>
    <row r="71" spans="1:47" s="89" customFormat="1">
      <c r="A71" s="80" t="s">
        <v>213</v>
      </c>
      <c r="B71" s="68"/>
      <c r="C71" s="82"/>
      <c r="D71" s="82"/>
      <c r="E71" s="82"/>
      <c r="F71" s="67"/>
      <c r="G71" s="68"/>
      <c r="H71" s="67">
        <v>-3425</v>
      </c>
      <c r="I71" s="67">
        <v>423</v>
      </c>
      <c r="J71" s="67">
        <v>3264</v>
      </c>
      <c r="K71" s="67">
        <v>7838</v>
      </c>
      <c r="L71" s="68">
        <v>8100</v>
      </c>
      <c r="M71" s="67">
        <v>2293</v>
      </c>
      <c r="N71" s="67">
        <v>-1788</v>
      </c>
      <c r="O71" s="67">
        <v>7534</v>
      </c>
      <c r="P71" s="67">
        <v>8345</v>
      </c>
      <c r="Q71" s="68">
        <v>16384</v>
      </c>
      <c r="R71" s="67">
        <v>13643</v>
      </c>
      <c r="S71" s="67">
        <v>10137</v>
      </c>
      <c r="T71" s="67">
        <v>11470</v>
      </c>
      <c r="U71" s="67">
        <v>21417</v>
      </c>
      <c r="V71" s="68">
        <v>56667</v>
      </c>
      <c r="W71" s="67">
        <v>26920</v>
      </c>
      <c r="X71" s="67">
        <v>15212</v>
      </c>
      <c r="Y71" s="67">
        <v>130</v>
      </c>
      <c r="Z71" s="67">
        <v>9453</v>
      </c>
      <c r="AA71" s="68">
        <v>51715</v>
      </c>
      <c r="AB71" s="67">
        <v>16777</v>
      </c>
      <c r="AC71" s="67">
        <v>11047</v>
      </c>
      <c r="AD71" s="67">
        <v>10818</v>
      </c>
      <c r="AE71" s="67">
        <v>15201</v>
      </c>
      <c r="AF71" s="81">
        <v>53843</v>
      </c>
      <c r="AG71" s="67">
        <v>12033</v>
      </c>
      <c r="AH71" s="67">
        <v>16554</v>
      </c>
      <c r="AI71" s="67">
        <v>15751</v>
      </c>
      <c r="AJ71" s="67">
        <v>15140</v>
      </c>
      <c r="AK71" s="81">
        <v>59478</v>
      </c>
      <c r="AL71" s="20">
        <f>SUM(AL64:AL70)</f>
        <v>17429</v>
      </c>
      <c r="AM71" s="20">
        <f t="shared" ref="AM71:AN71" si="6">SUM(AM64:AM70)</f>
        <v>21653</v>
      </c>
      <c r="AN71" s="20">
        <f t="shared" si="6"/>
        <v>30658</v>
      </c>
      <c r="AO71" s="20">
        <f>SUM(AO64:AO70)</f>
        <v>34661</v>
      </c>
      <c r="AP71" s="81">
        <f>SUM(AL71:AO71)</f>
        <v>104401</v>
      </c>
      <c r="AQ71" s="20">
        <f>SUM(AQ64:AQ70)</f>
        <v>32908</v>
      </c>
      <c r="AR71" s="67"/>
      <c r="AS71" s="67"/>
      <c r="AT71" s="67"/>
      <c r="AU71" s="81"/>
    </row>
    <row r="72" spans="1:47" s="3" customFormat="1">
      <c r="A72" s="83"/>
      <c r="B72" s="70"/>
      <c r="C72" s="88"/>
      <c r="D72" s="88"/>
      <c r="E72" s="88"/>
      <c r="F72" s="35"/>
      <c r="G72" s="70"/>
      <c r="H72" s="35"/>
      <c r="I72" s="35"/>
      <c r="J72" s="35"/>
      <c r="K72" s="67"/>
      <c r="L72" s="68">
        <v>0</v>
      </c>
      <c r="M72" s="35"/>
      <c r="N72" s="35"/>
      <c r="O72" s="35"/>
      <c r="P72" s="35"/>
      <c r="Q72" s="68">
        <v>0</v>
      </c>
      <c r="R72" s="35"/>
      <c r="S72" s="35"/>
      <c r="T72" s="35"/>
      <c r="U72" s="35"/>
      <c r="V72" s="68">
        <v>0</v>
      </c>
      <c r="W72" s="35"/>
      <c r="X72" s="35"/>
      <c r="Y72" s="35"/>
      <c r="Z72" s="35"/>
      <c r="AA72" s="68">
        <v>0</v>
      </c>
      <c r="AB72" s="35"/>
      <c r="AC72" s="35"/>
      <c r="AD72" s="35"/>
      <c r="AE72" s="35"/>
      <c r="AF72" s="81"/>
      <c r="AG72" s="35"/>
      <c r="AH72" s="35"/>
      <c r="AI72" s="35"/>
      <c r="AJ72" s="35"/>
      <c r="AK72" s="81"/>
      <c r="AL72" s="22"/>
      <c r="AM72" s="35"/>
      <c r="AN72" s="35"/>
      <c r="AO72" s="35"/>
      <c r="AP72" s="81"/>
      <c r="AQ72" s="22"/>
      <c r="AR72" s="35"/>
      <c r="AS72" s="35"/>
      <c r="AT72" s="35"/>
      <c r="AU72" s="81"/>
    </row>
    <row r="73" spans="1:47" s="3" customFormat="1">
      <c r="A73" s="83" t="s">
        <v>214</v>
      </c>
      <c r="B73" s="70"/>
      <c r="C73" s="88"/>
      <c r="D73" s="88"/>
      <c r="E73" s="88"/>
      <c r="F73" s="60"/>
      <c r="G73" s="70"/>
      <c r="H73" s="60">
        <v>0</v>
      </c>
      <c r="I73" s="60">
        <v>0</v>
      </c>
      <c r="J73" s="60">
        <v>0</v>
      </c>
      <c r="K73" s="35">
        <v>-1456</v>
      </c>
      <c r="L73" s="70">
        <v>-1456</v>
      </c>
      <c r="M73" s="60">
        <v>-86</v>
      </c>
      <c r="N73" s="60">
        <v>7</v>
      </c>
      <c r="O73" s="60">
        <v>-810</v>
      </c>
      <c r="P73" s="35">
        <v>-1129</v>
      </c>
      <c r="Q73" s="68">
        <v>-2018</v>
      </c>
      <c r="R73" s="60">
        <v>-1773</v>
      </c>
      <c r="S73" s="60">
        <v>-1030</v>
      </c>
      <c r="T73" s="60">
        <v>-1315</v>
      </c>
      <c r="U73" s="60">
        <v>-1681</v>
      </c>
      <c r="V73" s="68">
        <v>-5799</v>
      </c>
      <c r="W73" s="60">
        <v>-8231</v>
      </c>
      <c r="X73" s="60">
        <v>-5136</v>
      </c>
      <c r="Y73" s="60">
        <v>364</v>
      </c>
      <c r="Z73" s="60">
        <v>-1070</v>
      </c>
      <c r="AA73" s="68">
        <v>-14073</v>
      </c>
      <c r="AB73" s="60">
        <v>-4283</v>
      </c>
      <c r="AC73" s="60">
        <v>-2872</v>
      </c>
      <c r="AD73" s="60">
        <v>-4671</v>
      </c>
      <c r="AE73" s="60">
        <v>1293</v>
      </c>
      <c r="AF73" s="81">
        <v>-10533</v>
      </c>
      <c r="AG73" s="60">
        <v>-4495</v>
      </c>
      <c r="AH73" s="60">
        <v>-7796</v>
      </c>
      <c r="AI73" s="60">
        <v>-7057</v>
      </c>
      <c r="AJ73" s="60">
        <v>3489</v>
      </c>
      <c r="AK73" s="81">
        <v>-15859</v>
      </c>
      <c r="AL73" s="22">
        <v>-6431</v>
      </c>
      <c r="AM73" s="60">
        <v>-13035</v>
      </c>
      <c r="AN73" s="60">
        <v>-10248</v>
      </c>
      <c r="AO73" s="60">
        <v>-3013</v>
      </c>
      <c r="AP73" s="70">
        <f t="shared" ref="AP73:AP74" si="7">SUM(AL73:AO73)</f>
        <v>-32727</v>
      </c>
      <c r="AQ73" s="22">
        <v>-10426</v>
      </c>
      <c r="AR73" s="60"/>
      <c r="AS73" s="60"/>
      <c r="AT73" s="60"/>
      <c r="AU73" s="70"/>
    </row>
    <row r="74" spans="1:47" s="3" customFormat="1">
      <c r="A74" s="83" t="s">
        <v>215</v>
      </c>
      <c r="B74" s="70"/>
      <c r="C74" s="88"/>
      <c r="D74" s="88"/>
      <c r="E74" s="88"/>
      <c r="F74" s="27"/>
      <c r="G74" s="70"/>
      <c r="H74" s="27">
        <v>201</v>
      </c>
      <c r="I74" s="27">
        <v>202</v>
      </c>
      <c r="J74" s="27">
        <v>201</v>
      </c>
      <c r="K74" s="35">
        <v>17637</v>
      </c>
      <c r="L74" s="70">
        <v>18241</v>
      </c>
      <c r="M74" s="27">
        <v>-6511</v>
      </c>
      <c r="N74" s="27">
        <v>1416</v>
      </c>
      <c r="O74" s="27">
        <v>543</v>
      </c>
      <c r="P74" s="35">
        <v>-34</v>
      </c>
      <c r="Q74" s="68">
        <v>-4586</v>
      </c>
      <c r="R74" s="27">
        <v>-3620</v>
      </c>
      <c r="S74" s="27">
        <v>-1406</v>
      </c>
      <c r="T74" s="27">
        <v>-4112</v>
      </c>
      <c r="U74" s="27">
        <v>-5956</v>
      </c>
      <c r="V74" s="68">
        <v>-15094</v>
      </c>
      <c r="W74" s="27">
        <v>3006</v>
      </c>
      <c r="X74" s="27">
        <v>1956</v>
      </c>
      <c r="Y74" s="27">
        <v>-1263</v>
      </c>
      <c r="Z74" s="27">
        <v>3268</v>
      </c>
      <c r="AA74" s="68">
        <v>6967</v>
      </c>
      <c r="AB74" s="27">
        <v>-48</v>
      </c>
      <c r="AC74" s="27">
        <v>1834</v>
      </c>
      <c r="AD74" s="27">
        <v>947</v>
      </c>
      <c r="AE74" s="27">
        <v>-2967</v>
      </c>
      <c r="AF74" s="81">
        <v>-234</v>
      </c>
      <c r="AG74" s="27">
        <v>79</v>
      </c>
      <c r="AH74" s="27">
        <v>982</v>
      </c>
      <c r="AI74" s="27">
        <v>-113</v>
      </c>
      <c r="AJ74" s="27">
        <v>-16028</v>
      </c>
      <c r="AK74" s="81">
        <v>-15080</v>
      </c>
      <c r="AL74" s="27">
        <v>-952</v>
      </c>
      <c r="AM74" s="27">
        <v>503</v>
      </c>
      <c r="AN74" s="27">
        <v>2160</v>
      </c>
      <c r="AO74" s="27">
        <v>-10655</v>
      </c>
      <c r="AP74" s="70">
        <f t="shared" si="7"/>
        <v>-8944</v>
      </c>
      <c r="AQ74" s="27">
        <v>1194</v>
      </c>
      <c r="AR74" s="27"/>
      <c r="AS74" s="27"/>
      <c r="AT74" s="27"/>
      <c r="AU74" s="70"/>
    </row>
    <row r="75" spans="1:47" s="3" customFormat="1">
      <c r="A75" s="83"/>
      <c r="B75" s="70"/>
      <c r="C75" s="88"/>
      <c r="D75" s="88"/>
      <c r="E75" s="88"/>
      <c r="F75" s="27"/>
      <c r="G75" s="70"/>
      <c r="H75" s="27"/>
      <c r="I75" s="27"/>
      <c r="J75" s="27"/>
      <c r="K75" s="67"/>
      <c r="L75" s="68">
        <v>0</v>
      </c>
      <c r="M75" s="27"/>
      <c r="N75" s="27"/>
      <c r="O75" s="27"/>
      <c r="P75" s="27"/>
      <c r="Q75" s="68">
        <v>0</v>
      </c>
      <c r="R75" s="27"/>
      <c r="S75" s="27"/>
      <c r="T75" s="27"/>
      <c r="U75" s="27"/>
      <c r="V75" s="68">
        <v>0</v>
      </c>
      <c r="W75" s="27"/>
      <c r="X75" s="27"/>
      <c r="Y75" s="27"/>
      <c r="Z75" s="27"/>
      <c r="AA75" s="68">
        <v>0</v>
      </c>
      <c r="AB75" s="27"/>
      <c r="AC75" s="27"/>
      <c r="AD75" s="27"/>
      <c r="AE75" s="27"/>
      <c r="AF75" s="81"/>
      <c r="AG75" s="27"/>
      <c r="AH75" s="27"/>
      <c r="AI75" s="27"/>
      <c r="AJ75" s="27"/>
      <c r="AK75" s="81"/>
      <c r="AL75" s="27"/>
      <c r="AM75" s="27"/>
      <c r="AN75" s="27"/>
      <c r="AO75" s="27"/>
      <c r="AP75" s="81"/>
      <c r="AQ75" s="27"/>
      <c r="AR75" s="27"/>
      <c r="AS75" s="27"/>
      <c r="AT75" s="27"/>
      <c r="AU75" s="81"/>
    </row>
    <row r="76" spans="1:47" s="89" customFormat="1">
      <c r="A76" s="80" t="s">
        <v>70</v>
      </c>
      <c r="B76" s="68"/>
      <c r="C76" s="82"/>
      <c r="D76" s="82"/>
      <c r="E76" s="82"/>
      <c r="F76" s="67"/>
      <c r="G76" s="68"/>
      <c r="H76" s="67">
        <v>-3224</v>
      </c>
      <c r="I76" s="67">
        <v>625</v>
      </c>
      <c r="J76" s="67">
        <v>3465</v>
      </c>
      <c r="K76" s="67">
        <v>24019</v>
      </c>
      <c r="L76" s="68">
        <v>24885</v>
      </c>
      <c r="M76" s="67">
        <v>-4303</v>
      </c>
      <c r="N76" s="67">
        <v>-365</v>
      </c>
      <c r="O76" s="67">
        <v>7267</v>
      </c>
      <c r="P76" s="67">
        <v>7182</v>
      </c>
      <c r="Q76" s="68">
        <v>9780</v>
      </c>
      <c r="R76" s="67">
        <v>8250</v>
      </c>
      <c r="S76" s="67">
        <v>7701</v>
      </c>
      <c r="T76" s="67">
        <v>6043</v>
      </c>
      <c r="U76" s="67">
        <v>13780</v>
      </c>
      <c r="V76" s="68">
        <v>35774</v>
      </c>
      <c r="W76" s="67">
        <v>21695</v>
      </c>
      <c r="X76" s="67">
        <v>12032</v>
      </c>
      <c r="Y76" s="67">
        <v>-769</v>
      </c>
      <c r="Z76" s="67">
        <v>11651</v>
      </c>
      <c r="AA76" s="68">
        <v>44609</v>
      </c>
      <c r="AB76" s="67">
        <v>12446</v>
      </c>
      <c r="AC76" s="67">
        <v>10009</v>
      </c>
      <c r="AD76" s="67">
        <v>7094</v>
      </c>
      <c r="AE76" s="67">
        <v>13527</v>
      </c>
      <c r="AF76" s="81">
        <v>43076</v>
      </c>
      <c r="AG76" s="67">
        <v>7617</v>
      </c>
      <c r="AH76" s="67">
        <v>9740</v>
      </c>
      <c r="AI76" s="67">
        <v>8581</v>
      </c>
      <c r="AJ76" s="67">
        <v>2601</v>
      </c>
      <c r="AK76" s="81">
        <v>28539</v>
      </c>
      <c r="AL76" s="20">
        <v>9508</v>
      </c>
      <c r="AM76" s="67">
        <v>12353</v>
      </c>
      <c r="AN76" s="67">
        <v>24475</v>
      </c>
      <c r="AO76" s="67">
        <v>16394</v>
      </c>
      <c r="AP76" s="81">
        <f t="shared" ref="AP76" si="8">SUM(AL76:AO76)</f>
        <v>62730</v>
      </c>
      <c r="AQ76" s="20">
        <f>SUM(AQ71:AQ75)</f>
        <v>23676</v>
      </c>
      <c r="AR76" s="67"/>
      <c r="AS76" s="67"/>
      <c r="AT76" s="67"/>
      <c r="AU76" s="81"/>
    </row>
    <row r="77" spans="1:47" s="3" customFormat="1">
      <c r="A77" s="83"/>
      <c r="B77" s="70"/>
      <c r="C77" s="88"/>
      <c r="D77" s="88"/>
      <c r="E77" s="88"/>
      <c r="F77" s="27"/>
      <c r="G77" s="70"/>
      <c r="H77" s="27"/>
      <c r="I77" s="27"/>
      <c r="J77" s="27"/>
      <c r="K77" s="67"/>
      <c r="L77" s="68">
        <v>0</v>
      </c>
      <c r="M77" s="27"/>
      <c r="N77" s="27"/>
      <c r="O77" s="27"/>
      <c r="P77" s="27"/>
      <c r="Q77" s="68">
        <v>0</v>
      </c>
      <c r="R77" s="27"/>
      <c r="S77" s="27"/>
      <c r="T77" s="27"/>
      <c r="U77" s="27"/>
      <c r="V77" s="68">
        <v>0</v>
      </c>
      <c r="W77" s="27"/>
      <c r="X77" s="27"/>
      <c r="Y77" s="27"/>
      <c r="Z77" s="27"/>
      <c r="AA77" s="68">
        <v>0</v>
      </c>
      <c r="AB77" s="27"/>
      <c r="AC77" s="27"/>
      <c r="AD77" s="27"/>
      <c r="AE77" s="27"/>
      <c r="AF77" s="81"/>
      <c r="AG77" s="27"/>
      <c r="AH77" s="27"/>
      <c r="AI77" s="27"/>
      <c r="AJ77" s="27"/>
      <c r="AK77" s="81"/>
      <c r="AL77" s="27"/>
      <c r="AM77" s="27"/>
      <c r="AN77" s="27"/>
      <c r="AO77" s="27"/>
      <c r="AP77" s="81"/>
      <c r="AQ77" s="27"/>
      <c r="AR77" s="27"/>
      <c r="AS77" s="263"/>
      <c r="AT77" s="27"/>
      <c r="AU77" s="81"/>
    </row>
    <row r="78" spans="1:47" s="89" customFormat="1">
      <c r="A78" s="80" t="s">
        <v>216</v>
      </c>
      <c r="B78" s="68"/>
      <c r="C78" s="82"/>
      <c r="D78" s="82"/>
      <c r="E78" s="82"/>
      <c r="F78" s="67">
        <v>-17296</v>
      </c>
      <c r="G78" s="81">
        <f>SUM(C78:F78)</f>
        <v>-17296</v>
      </c>
      <c r="H78" s="67">
        <v>-5715</v>
      </c>
      <c r="I78" s="67">
        <v>-5715</v>
      </c>
      <c r="J78" s="67">
        <v>-3740</v>
      </c>
      <c r="K78" s="67">
        <v>-1756</v>
      </c>
      <c r="L78" s="81">
        <f>SUM(H78:K78)</f>
        <v>-16926</v>
      </c>
      <c r="M78" s="67">
        <v>-2973</v>
      </c>
      <c r="N78" s="67">
        <v>-3698</v>
      </c>
      <c r="O78" s="67">
        <v>-4854</v>
      </c>
      <c r="P78" s="67">
        <v>-5101</v>
      </c>
      <c r="Q78" s="81">
        <f>SUM(M78:P78)</f>
        <v>-16626</v>
      </c>
      <c r="R78" s="67">
        <v>-6550</v>
      </c>
      <c r="S78" s="67">
        <v>-7276</v>
      </c>
      <c r="T78" s="67">
        <v>-7407</v>
      </c>
      <c r="U78" s="67">
        <v>-8818</v>
      </c>
      <c r="V78" s="81">
        <f>SUM(R78:U78)</f>
        <v>-30051</v>
      </c>
      <c r="W78" s="67">
        <v>-6667</v>
      </c>
      <c r="X78" s="67">
        <v>-8100</v>
      </c>
      <c r="Y78" s="67">
        <v>-6127</v>
      </c>
      <c r="Z78" s="67">
        <v>-4546</v>
      </c>
      <c r="AA78" s="81">
        <f>SUM(W78:Z78)</f>
        <v>-25440</v>
      </c>
      <c r="AB78" s="67">
        <v>-5511</v>
      </c>
      <c r="AC78" s="67">
        <v>-7311</v>
      </c>
      <c r="AD78" s="67">
        <v>-6502.0000000000009</v>
      </c>
      <c r="AE78" s="67">
        <v>-5177.9999999999973</v>
      </c>
      <c r="AF78" s="81">
        <f>SUM(AB78:AE78)</f>
        <v>-24501.999999999996</v>
      </c>
      <c r="AG78" s="101">
        <v>-7501</v>
      </c>
      <c r="AH78" s="101">
        <v>-5546</v>
      </c>
      <c r="AI78" s="101">
        <v>-7724</v>
      </c>
      <c r="AJ78" s="101">
        <v>-8579</v>
      </c>
      <c r="AK78" s="81">
        <f>SUM(AG78:AJ78)</f>
        <v>-29350</v>
      </c>
      <c r="AL78" s="67">
        <f>-(SUM(AL79:AL81))*-1</f>
        <v>-6489</v>
      </c>
      <c r="AM78" s="67">
        <v>-7926</v>
      </c>
      <c r="AN78" s="67">
        <v>-6714</v>
      </c>
      <c r="AO78" s="67">
        <v>-8079</v>
      </c>
      <c r="AP78" s="241">
        <f>SUM(AL78:AO78)</f>
        <v>-29208</v>
      </c>
      <c r="AQ78" s="67">
        <f>SUM(AQ79:AQ81)</f>
        <v>-6792</v>
      </c>
      <c r="AR78" s="67"/>
      <c r="AS78" s="67"/>
      <c r="AT78" s="67"/>
      <c r="AU78" s="241"/>
    </row>
    <row r="79" spans="1:47" s="89" customFormat="1">
      <c r="A79" s="83" t="s">
        <v>217</v>
      </c>
      <c r="B79" s="68"/>
      <c r="C79" s="82"/>
      <c r="D79" s="82"/>
      <c r="E79" s="115"/>
      <c r="F79" s="35">
        <v>0</v>
      </c>
      <c r="G79" s="86"/>
      <c r="H79" s="35"/>
      <c r="I79" s="35"/>
      <c r="J79" s="35"/>
      <c r="K79" s="35"/>
      <c r="L79" s="86"/>
      <c r="M79" s="35"/>
      <c r="N79" s="35"/>
      <c r="O79" s="35"/>
      <c r="P79" s="35"/>
      <c r="Q79" s="86"/>
      <c r="R79" s="35">
        <v>-4151.4073490595683</v>
      </c>
      <c r="S79" s="35">
        <v>-4748.6916158088243</v>
      </c>
      <c r="T79" s="35">
        <v>-5437.4629156435367</v>
      </c>
      <c r="U79" s="35">
        <v>-6233</v>
      </c>
      <c r="V79" s="86">
        <f>SUM(R79:U79)</f>
        <v>-20570.56188051193</v>
      </c>
      <c r="W79" s="35">
        <v>-6060.2987199999998</v>
      </c>
      <c r="X79" s="35">
        <v>-7856.2208000000001</v>
      </c>
      <c r="Y79" s="35">
        <v>-5899.4991899999995</v>
      </c>
      <c r="Z79" s="35">
        <v>-4252.9189999999999</v>
      </c>
      <c r="AA79" s="86">
        <f>SUM(W79:Z79)</f>
        <v>-24068.937709999998</v>
      </c>
      <c r="AB79" s="35">
        <v>-4641.2394299999996</v>
      </c>
      <c r="AC79" s="35">
        <v>-6320</v>
      </c>
      <c r="AD79" s="35">
        <v>-5718.4678600000007</v>
      </c>
      <c r="AE79" s="35">
        <v>-4117.2897099999973</v>
      </c>
      <c r="AF79" s="86">
        <f>SUM(AB79:AE79)</f>
        <v>-20796.996999999996</v>
      </c>
      <c r="AG79" s="60">
        <v>-7177.0169747088103</v>
      </c>
      <c r="AH79" s="27">
        <v>-5137</v>
      </c>
      <c r="AI79" s="35">
        <v>-7291</v>
      </c>
      <c r="AJ79" s="35">
        <v>-6337</v>
      </c>
      <c r="AK79" s="86">
        <f>SUM(AG79:AJ79)</f>
        <v>-25942.016974708811</v>
      </c>
      <c r="AL79" s="27">
        <v>-5519</v>
      </c>
      <c r="AM79" s="35">
        <v>-6809</v>
      </c>
      <c r="AN79" s="35">
        <v>-5759</v>
      </c>
      <c r="AO79" s="35">
        <v>-6590</v>
      </c>
      <c r="AP79" s="241">
        <f>SUM(AL79:AO79)</f>
        <v>-24677</v>
      </c>
      <c r="AQ79" s="27">
        <v>-6247</v>
      </c>
      <c r="AR79" s="35"/>
      <c r="AS79" s="35"/>
      <c r="AT79" s="35"/>
      <c r="AU79" s="241"/>
    </row>
    <row r="80" spans="1:47" s="89" customFormat="1">
      <c r="A80" s="83" t="s">
        <v>218</v>
      </c>
      <c r="B80" s="68"/>
      <c r="C80" s="82"/>
      <c r="D80" s="82"/>
      <c r="E80" s="115"/>
      <c r="F80" s="35">
        <v>0</v>
      </c>
      <c r="G80" s="86"/>
      <c r="H80" s="35"/>
      <c r="I80" s="35"/>
      <c r="J80" s="35"/>
      <c r="K80" s="35"/>
      <c r="L80" s="86"/>
      <c r="M80" s="35"/>
      <c r="N80" s="35"/>
      <c r="O80" s="35"/>
      <c r="P80" s="35"/>
      <c r="Q80" s="86"/>
      <c r="R80" s="35">
        <v>-749.59265094043155</v>
      </c>
      <c r="S80" s="35">
        <v>-877.30838419117549</v>
      </c>
      <c r="T80" s="35">
        <v>-696.87849435646501</v>
      </c>
      <c r="U80" s="35">
        <v>-1030</v>
      </c>
      <c r="V80" s="86">
        <f t="shared" ref="V80:V81" si="9">SUM(R80:U80)</f>
        <v>-3353.7795294880721</v>
      </c>
      <c r="W80" s="35">
        <v>-607.70127999999988</v>
      </c>
      <c r="X80" s="35">
        <v>-242.7792</v>
      </c>
      <c r="Y80" s="35">
        <v>-227.50081000000011</v>
      </c>
      <c r="Z80" s="35">
        <v>-293.08100000000002</v>
      </c>
      <c r="AA80" s="86">
        <f t="shared" ref="AA80:AA81" si="10">SUM(W80:Z80)</f>
        <v>-1371.0622900000003</v>
      </c>
      <c r="AB80" s="35">
        <v>-869.76057000000014</v>
      </c>
      <c r="AC80" s="35">
        <v>-991</v>
      </c>
      <c r="AD80" s="35">
        <v>-783.53214000000003</v>
      </c>
      <c r="AE80" s="35">
        <v>-1060.7102900000002</v>
      </c>
      <c r="AF80" s="86">
        <f t="shared" ref="AF80:AF81" si="11">SUM(AB80:AE80)</f>
        <v>-3705.0030000000006</v>
      </c>
      <c r="AG80" s="60">
        <v>-323.983025291194</v>
      </c>
      <c r="AH80" s="27">
        <v>-409</v>
      </c>
      <c r="AI80" s="35">
        <v>-433</v>
      </c>
      <c r="AJ80" s="35">
        <v>-314</v>
      </c>
      <c r="AK80" s="86">
        <f t="shared" ref="AK80:AK81" si="12">SUM(AG80:AJ80)</f>
        <v>-1479.9830252911941</v>
      </c>
      <c r="AL80" s="27">
        <v>-888</v>
      </c>
      <c r="AM80" s="35">
        <v>-1037</v>
      </c>
      <c r="AN80" s="35">
        <v>-948.56114000000002</v>
      </c>
      <c r="AO80" s="35">
        <v>-738</v>
      </c>
      <c r="AP80" s="241">
        <f>SUM(AL80:AO80)</f>
        <v>-3611.5611399999998</v>
      </c>
      <c r="AQ80" s="27">
        <v>-285</v>
      </c>
      <c r="AR80" s="35"/>
      <c r="AS80" s="35"/>
      <c r="AT80" s="35"/>
      <c r="AU80" s="241"/>
    </row>
    <row r="81" spans="1:47" s="89" customFormat="1">
      <c r="A81" s="83" t="s">
        <v>219</v>
      </c>
      <c r="B81" s="68"/>
      <c r="C81" s="82"/>
      <c r="D81" s="82"/>
      <c r="E81" s="115"/>
      <c r="F81" s="35">
        <v>0</v>
      </c>
      <c r="G81" s="86"/>
      <c r="H81" s="35"/>
      <c r="I81" s="35"/>
      <c r="J81" s="35"/>
      <c r="K81" s="35"/>
      <c r="L81" s="86"/>
      <c r="M81" s="35"/>
      <c r="N81" s="35"/>
      <c r="O81" s="35"/>
      <c r="P81" s="35"/>
      <c r="Q81" s="86"/>
      <c r="R81" s="35">
        <v>-1650</v>
      </c>
      <c r="S81" s="35">
        <v>-1650</v>
      </c>
      <c r="T81" s="35">
        <v>-1273.65859</v>
      </c>
      <c r="U81" s="35">
        <v>-1554</v>
      </c>
      <c r="V81" s="86">
        <f t="shared" si="9"/>
        <v>-6127.65859</v>
      </c>
      <c r="W81" s="35">
        <v>0</v>
      </c>
      <c r="X81" s="35">
        <v>0</v>
      </c>
      <c r="Y81" s="35">
        <v>0</v>
      </c>
      <c r="Z81" s="35">
        <v>0</v>
      </c>
      <c r="AA81" s="86">
        <f t="shared" si="10"/>
        <v>0</v>
      </c>
      <c r="AB81" s="35">
        <v>0</v>
      </c>
      <c r="AC81" s="35">
        <v>0</v>
      </c>
      <c r="AD81" s="35">
        <v>0</v>
      </c>
      <c r="AE81" s="35">
        <v>0</v>
      </c>
      <c r="AF81" s="86">
        <f t="shared" si="11"/>
        <v>0</v>
      </c>
      <c r="AG81" s="60"/>
      <c r="AH81" s="27"/>
      <c r="AI81" s="35"/>
      <c r="AJ81" s="35">
        <v>-1928</v>
      </c>
      <c r="AK81" s="86">
        <f t="shared" si="12"/>
        <v>-1928</v>
      </c>
      <c r="AL81" s="27">
        <v>-82</v>
      </c>
      <c r="AM81" s="35">
        <v>-80</v>
      </c>
      <c r="AN81" s="35">
        <v>-6.4388600000001999</v>
      </c>
      <c r="AO81" s="35">
        <v>-750</v>
      </c>
      <c r="AP81" s="241">
        <f>SUM(AL81:AO81)</f>
        <v>-918.4388600000002</v>
      </c>
      <c r="AQ81" s="27">
        <v>-260</v>
      </c>
      <c r="AR81" s="35"/>
      <c r="AS81" s="35"/>
      <c r="AT81" s="35"/>
      <c r="AU81" s="241"/>
    </row>
    <row r="82" spans="1:47" s="3" customFormat="1">
      <c r="A82" s="83"/>
      <c r="B82" s="70"/>
      <c r="C82" s="88"/>
      <c r="D82" s="88"/>
      <c r="E82" s="88"/>
      <c r="G82" s="70"/>
      <c r="K82" s="67"/>
      <c r="L82" s="68"/>
      <c r="Q82" s="68"/>
      <c r="V82" s="68">
        <v>0</v>
      </c>
      <c r="AA82" s="68">
        <v>0</v>
      </c>
      <c r="AF82" s="81">
        <v>0</v>
      </c>
      <c r="AK82" s="81"/>
      <c r="AP82" s="81"/>
      <c r="AU82" s="81"/>
    </row>
    <row r="83" spans="1:47" s="89" customFormat="1">
      <c r="A83" s="80" t="s">
        <v>72</v>
      </c>
      <c r="B83" s="68"/>
      <c r="C83" s="82"/>
      <c r="D83" s="82"/>
      <c r="E83" s="82"/>
      <c r="F83" s="101">
        <v>0</v>
      </c>
      <c r="G83" s="68">
        <v>0</v>
      </c>
      <c r="H83" s="101">
        <v>-1333</v>
      </c>
      <c r="I83" s="101">
        <v>3213</v>
      </c>
      <c r="J83" s="101">
        <v>5266</v>
      </c>
      <c r="K83" s="101">
        <v>11844</v>
      </c>
      <c r="L83" s="68">
        <v>18990</v>
      </c>
      <c r="M83" s="101">
        <v>3213</v>
      </c>
      <c r="N83" s="101">
        <v>3593</v>
      </c>
      <c r="O83" s="101">
        <v>12129</v>
      </c>
      <c r="P83" s="101">
        <v>11750</v>
      </c>
      <c r="Q83" s="68">
        <v>30685</v>
      </c>
      <c r="R83" s="101">
        <v>18534</v>
      </c>
      <c r="S83" s="101">
        <v>15126</v>
      </c>
      <c r="T83" s="101">
        <v>16299</v>
      </c>
      <c r="U83" s="101">
        <v>25678</v>
      </c>
      <c r="V83" s="68">
        <v>75637</v>
      </c>
      <c r="W83" s="101">
        <v>33787</v>
      </c>
      <c r="X83" s="101">
        <v>20151</v>
      </c>
      <c r="Y83" s="101">
        <v>6738</v>
      </c>
      <c r="Z83" s="101">
        <v>17034</v>
      </c>
      <c r="AA83" s="68">
        <v>77710</v>
      </c>
      <c r="AB83" s="101">
        <v>23624</v>
      </c>
      <c r="AC83" s="101">
        <v>17946</v>
      </c>
      <c r="AD83" s="101">
        <v>18867</v>
      </c>
      <c r="AE83" s="101">
        <v>18433</v>
      </c>
      <c r="AF83" s="81">
        <v>78870</v>
      </c>
      <c r="AG83" s="101">
        <v>18490</v>
      </c>
      <c r="AH83" s="101">
        <v>23012</v>
      </c>
      <c r="AI83" s="101">
        <v>24361</v>
      </c>
      <c r="AJ83" s="101">
        <v>24910</v>
      </c>
      <c r="AK83" s="81">
        <v>90773</v>
      </c>
      <c r="AL83" s="20">
        <v>24387</v>
      </c>
      <c r="AM83" s="101">
        <v>35867</v>
      </c>
      <c r="AN83" s="101">
        <v>39646</v>
      </c>
      <c r="AO83" s="101">
        <v>40986</v>
      </c>
      <c r="AP83" s="81">
        <f t="shared" ref="AP83" si="13">SUM(AL83:AO83)</f>
        <v>140886</v>
      </c>
      <c r="AQ83" s="20">
        <v>41390</v>
      </c>
      <c r="AR83" s="101"/>
      <c r="AS83" s="101"/>
      <c r="AT83" s="101"/>
      <c r="AU83" s="81"/>
    </row>
    <row r="84" spans="1:47" s="3" customFormat="1">
      <c r="A84" s="116" t="s">
        <v>220</v>
      </c>
      <c r="B84" s="70"/>
      <c r="C84" s="117"/>
      <c r="D84" s="117"/>
      <c r="E84" s="117"/>
      <c r="F84" s="27">
        <v>0</v>
      </c>
      <c r="G84" s="70">
        <v>0</v>
      </c>
      <c r="H84" s="96">
        <v>-0.12498827941865917</v>
      </c>
      <c r="I84" s="96">
        <v>0.19093178036605657</v>
      </c>
      <c r="J84" s="96">
        <v>0.26410552184161695</v>
      </c>
      <c r="K84" s="96">
        <v>0.50891591114166634</v>
      </c>
      <c r="L84" s="118">
        <v>0.2685807227211654</v>
      </c>
      <c r="M84" s="96">
        <v>0.18515530455828963</v>
      </c>
      <c r="N84" s="96">
        <v>0.20358093942999603</v>
      </c>
      <c r="O84" s="96">
        <v>0.48153882801333969</v>
      </c>
      <c r="P84" s="96">
        <v>0.42138860995553007</v>
      </c>
      <c r="Q84" s="118">
        <v>0.34840020891523038</v>
      </c>
      <c r="R84" s="96">
        <v>0.51278220451527223</v>
      </c>
      <c r="S84" s="96">
        <v>0.43248034310221589</v>
      </c>
      <c r="T84" s="96">
        <v>0.43541794673149359</v>
      </c>
      <c r="U84" s="96">
        <v>0.60549896245991319</v>
      </c>
      <c r="V84" s="118">
        <v>0.50104001059883407</v>
      </c>
      <c r="W84" s="96">
        <v>0.60908205941736371</v>
      </c>
      <c r="X84" s="96">
        <v>0.49887356720223802</v>
      </c>
      <c r="Y84" s="96">
        <v>0.24182607759394179</v>
      </c>
      <c r="Z84" s="96">
        <v>0.42499999999999999</v>
      </c>
      <c r="AA84" s="119">
        <v>0.47439685485446376</v>
      </c>
      <c r="AB84" s="96">
        <v>0.50534782236673226</v>
      </c>
      <c r="AC84" s="96">
        <v>0.43205893682588598</v>
      </c>
      <c r="AD84" s="96">
        <v>0.42745480085187365</v>
      </c>
      <c r="AE84" s="96">
        <v>0.41523247431969723</v>
      </c>
      <c r="AF84" s="119">
        <v>0.44606196341918625</v>
      </c>
      <c r="AG84" s="96">
        <v>0.41868574792808294</v>
      </c>
      <c r="AH84" s="96">
        <v>0.46734362307067423</v>
      </c>
      <c r="AI84" s="96">
        <v>0.48029415823820509</v>
      </c>
      <c r="AJ84" s="96">
        <v>0.4729986328421692</v>
      </c>
      <c r="AK84" s="119">
        <v>0.46127538912631422</v>
      </c>
      <c r="AL84" s="96">
        <v>0.48519756476065418</v>
      </c>
      <c r="AM84" s="156">
        <f>AM83/AM53</f>
        <v>0.57379855378511546</v>
      </c>
      <c r="AN84" s="156">
        <f>AN83/AN53</f>
        <v>0.59090231615345634</v>
      </c>
      <c r="AO84" s="156">
        <f>AO83/AO53</f>
        <v>0.61595106776273278</v>
      </c>
      <c r="AP84" s="119">
        <f>AO84</f>
        <v>0.61595106776273278</v>
      </c>
      <c r="AQ84" s="156">
        <f>AQ83/AQ53</f>
        <v>0.5983116019543786</v>
      </c>
      <c r="AR84" s="156"/>
      <c r="AS84" s="156"/>
      <c r="AT84" s="156"/>
      <c r="AU84" s="119"/>
    </row>
    <row r="85" spans="1:47" s="3" customFormat="1">
      <c r="A85" s="120"/>
      <c r="B85" s="122"/>
      <c r="C85" s="121"/>
      <c r="D85" s="121"/>
      <c r="E85" s="121"/>
      <c r="F85" s="121"/>
      <c r="G85" s="122"/>
      <c r="H85" s="123"/>
      <c r="I85" s="123"/>
      <c r="J85" s="123"/>
      <c r="K85" s="123"/>
      <c r="L85" s="124"/>
      <c r="M85" s="121"/>
      <c r="N85" s="121"/>
      <c r="O85" s="121"/>
      <c r="P85" s="121"/>
      <c r="Q85" s="124"/>
      <c r="R85" s="121"/>
      <c r="S85" s="121"/>
      <c r="T85" s="121"/>
      <c r="U85" s="121"/>
      <c r="V85" s="125"/>
      <c r="W85" s="121"/>
      <c r="X85" s="121"/>
      <c r="Y85" s="121"/>
      <c r="Z85" s="121"/>
      <c r="AA85" s="125"/>
      <c r="AB85" s="121"/>
      <c r="AC85" s="121"/>
      <c r="AD85" s="121"/>
      <c r="AE85" s="121"/>
      <c r="AF85" s="124"/>
      <c r="AG85" s="121"/>
      <c r="AH85" s="121"/>
      <c r="AI85" s="121"/>
      <c r="AJ85" s="121"/>
      <c r="AK85" s="124"/>
      <c r="AL85" s="121"/>
      <c r="AM85" s="121"/>
      <c r="AN85" s="121"/>
      <c r="AO85" s="121"/>
      <c r="AP85" s="124"/>
      <c r="AQ85" s="121"/>
      <c r="AR85" s="121"/>
      <c r="AS85" s="121"/>
      <c r="AT85" s="121"/>
      <c r="AU85" s="124"/>
    </row>
    <row r="87" spans="1:47" ht="86.4">
      <c r="A87" s="265" t="s">
        <v>310</v>
      </c>
    </row>
  </sheetData>
  <phoneticPr fontId="2" type="noConversion"/>
  <pageMargins left="0.7" right="0.7" top="0.75" bottom="0.75" header="0.3" footer="0.3"/>
  <ignoredErrors>
    <ignoredError sqref="AK22:AK23 AP52:AP56 AP44:AP47 AP82:AP83 AP70 AP58:AP61 AP63 AP65:AP66 AP72:AP77"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17869-E453-4089-9E69-7742C96B0AD5}">
  <sheetPr>
    <tabColor rgb="FF2D3D70"/>
  </sheetPr>
  <dimension ref="A3:AY64"/>
  <sheetViews>
    <sheetView showGridLines="0" zoomScaleNormal="100" workbookViewId="0">
      <pane xSplit="1" ySplit="5" topLeftCell="B6" activePane="bottomRight" state="frozen"/>
      <selection pane="topRight" activeCell="B1" sqref="B1"/>
      <selection pane="bottomLeft" activeCell="A7" sqref="A7"/>
      <selection pane="bottomRight" activeCell="A5" sqref="A5"/>
    </sheetView>
  </sheetViews>
  <sheetFormatPr defaultColWidth="8.88671875" defaultRowHeight="14.4"/>
  <cols>
    <col min="1" max="1" width="38.5546875" style="1" bestFit="1" customWidth="1"/>
    <col min="2" max="5" width="11" style="1" bestFit="1" customWidth="1"/>
    <col min="6" max="6" width="11.33203125" style="1" bestFit="1" customWidth="1"/>
    <col min="7" max="10" width="11" style="1" bestFit="1" customWidth="1"/>
    <col min="11" max="11" width="11.33203125" style="1" bestFit="1" customWidth="1"/>
    <col min="12" max="15" width="11" style="1" bestFit="1" customWidth="1"/>
    <col min="16" max="16" width="12.33203125" style="1" bestFit="1" customWidth="1"/>
    <col min="17" max="20" width="11" style="1" bestFit="1" customWidth="1"/>
    <col min="21" max="21" width="12.33203125" style="1" bestFit="1" customWidth="1"/>
    <col min="22" max="25" width="11" style="1" bestFit="1" customWidth="1"/>
    <col min="26" max="26" width="12.33203125" style="1" bestFit="1" customWidth="1"/>
    <col min="27" max="30" width="11" style="1" bestFit="1" customWidth="1"/>
    <col min="31" max="31" width="12.33203125" style="1" bestFit="1" customWidth="1"/>
    <col min="32" max="35" width="12.109375" style="1" bestFit="1" customWidth="1"/>
    <col min="36" max="36" width="12.33203125" style="1" bestFit="1" customWidth="1"/>
    <col min="37" max="40" width="12.109375" style="1" bestFit="1" customWidth="1"/>
    <col min="41" max="41" width="12.33203125" style="1" bestFit="1" customWidth="1"/>
    <col min="42" max="44" width="11.6640625" style="1" bestFit="1" customWidth="1"/>
    <col min="45" max="45" width="12.109375" style="1" bestFit="1" customWidth="1"/>
    <col min="46" max="46" width="12.33203125" style="1" bestFit="1" customWidth="1"/>
    <col min="47" max="49" width="11.6640625" style="1" bestFit="1" customWidth="1"/>
    <col min="50" max="50" width="12.109375" style="1" bestFit="1" customWidth="1"/>
    <col min="51" max="51" width="12.33203125" style="1" bestFit="1" customWidth="1"/>
    <col min="52" max="16384" width="8.88671875" style="1"/>
  </cols>
  <sheetData>
    <row r="3" spans="1:51">
      <c r="B3"/>
      <c r="C3"/>
      <c r="H3" s="138"/>
    </row>
    <row r="4" spans="1:51">
      <c r="H4" s="138"/>
      <c r="I4" s="138"/>
      <c r="J4" s="138"/>
    </row>
    <row r="5" spans="1:51">
      <c r="A5" s="45"/>
      <c r="B5" s="10" t="s">
        <v>15</v>
      </c>
      <c r="C5" s="10" t="s">
        <v>16</v>
      </c>
      <c r="D5" s="10" t="s">
        <v>17</v>
      </c>
      <c r="E5" s="10" t="s">
        <v>18</v>
      </c>
      <c r="F5" s="11">
        <v>2017</v>
      </c>
      <c r="G5" s="10" t="s">
        <v>19</v>
      </c>
      <c r="H5" s="10" t="s">
        <v>20</v>
      </c>
      <c r="I5" s="10" t="s">
        <v>21</v>
      </c>
      <c r="J5" s="10" t="s">
        <v>22</v>
      </c>
      <c r="K5" s="11">
        <v>2018</v>
      </c>
      <c r="L5" s="10" t="s">
        <v>23</v>
      </c>
      <c r="M5" s="10" t="s">
        <v>24</v>
      </c>
      <c r="N5" s="10" t="s">
        <v>25</v>
      </c>
      <c r="O5" s="10" t="s">
        <v>26</v>
      </c>
      <c r="P5" s="11">
        <v>2019</v>
      </c>
      <c r="Q5" s="10" t="s">
        <v>27</v>
      </c>
      <c r="R5" s="10" t="s">
        <v>28</v>
      </c>
      <c r="S5" s="10" t="s">
        <v>29</v>
      </c>
      <c r="T5" s="10" t="s">
        <v>30</v>
      </c>
      <c r="U5" s="11">
        <v>2020</v>
      </c>
      <c r="V5" s="10" t="s">
        <v>31</v>
      </c>
      <c r="W5" s="10" t="s">
        <v>32</v>
      </c>
      <c r="X5" s="10" t="s">
        <v>33</v>
      </c>
      <c r="Y5" s="10" t="s">
        <v>34</v>
      </c>
      <c r="Z5" s="11">
        <v>2021</v>
      </c>
      <c r="AA5" s="10" t="s">
        <v>35</v>
      </c>
      <c r="AB5" s="10" t="s">
        <v>36</v>
      </c>
      <c r="AC5" s="10" t="s">
        <v>37</v>
      </c>
      <c r="AD5" s="10" t="s">
        <v>38</v>
      </c>
      <c r="AE5" s="11">
        <v>2022</v>
      </c>
      <c r="AF5" s="10" t="s">
        <v>39</v>
      </c>
      <c r="AG5" s="10" t="s">
        <v>40</v>
      </c>
      <c r="AH5" s="10" t="s">
        <v>41</v>
      </c>
      <c r="AI5" s="10" t="s">
        <v>42</v>
      </c>
      <c r="AJ5" s="12">
        <v>2023</v>
      </c>
      <c r="AK5" s="10" t="s">
        <v>43</v>
      </c>
      <c r="AL5" s="10" t="s">
        <v>44</v>
      </c>
      <c r="AM5" s="10" t="s">
        <v>45</v>
      </c>
      <c r="AN5" s="10" t="s">
        <v>46</v>
      </c>
      <c r="AO5" s="12">
        <v>2024</v>
      </c>
      <c r="AP5" s="10" t="s">
        <v>47</v>
      </c>
      <c r="AQ5" s="10" t="s">
        <v>48</v>
      </c>
      <c r="AR5" s="10" t="s">
        <v>49</v>
      </c>
      <c r="AS5" s="10" t="s">
        <v>50</v>
      </c>
      <c r="AT5" s="12">
        <v>2025</v>
      </c>
      <c r="AU5" s="10" t="s">
        <v>51</v>
      </c>
      <c r="AV5" s="10" t="s">
        <v>52</v>
      </c>
      <c r="AW5" s="10" t="s">
        <v>53</v>
      </c>
      <c r="AX5" s="10" t="s">
        <v>54</v>
      </c>
      <c r="AY5" s="12">
        <v>2026</v>
      </c>
    </row>
    <row r="6" spans="1:51">
      <c r="A6" s="13" t="s">
        <v>221</v>
      </c>
      <c r="B6" s="46"/>
      <c r="C6" s="46"/>
      <c r="D6" s="46"/>
      <c r="E6" s="46"/>
      <c r="F6" s="47"/>
      <c r="G6" s="46"/>
      <c r="H6" s="46"/>
      <c r="I6" s="46"/>
      <c r="J6" s="46"/>
      <c r="K6" s="47"/>
      <c r="L6" s="46"/>
      <c r="M6" s="46"/>
      <c r="N6" s="46"/>
      <c r="O6" s="46"/>
      <c r="P6" s="47"/>
      <c r="Q6" s="46"/>
      <c r="R6" s="46"/>
      <c r="S6" s="46"/>
      <c r="T6" s="46"/>
      <c r="U6" s="47"/>
      <c r="V6" s="46"/>
      <c r="W6" s="46"/>
      <c r="X6" s="46"/>
      <c r="Y6" s="46"/>
      <c r="Z6" s="47"/>
      <c r="AA6" s="46"/>
      <c r="AB6" s="46"/>
      <c r="AC6" s="46"/>
      <c r="AD6" s="46"/>
      <c r="AE6" s="47"/>
      <c r="AF6" s="46"/>
      <c r="AG6" s="46"/>
      <c r="AH6" s="46"/>
      <c r="AI6" s="46"/>
      <c r="AJ6" s="48"/>
      <c r="AK6" s="46"/>
      <c r="AL6" s="46"/>
      <c r="AM6" s="46"/>
      <c r="AN6" s="46"/>
      <c r="AO6" s="48"/>
      <c r="AP6" s="46"/>
      <c r="AQ6" s="46"/>
      <c r="AR6" s="46"/>
      <c r="AS6" s="46"/>
      <c r="AT6" s="48"/>
      <c r="AU6" s="46"/>
      <c r="AV6" s="46"/>
      <c r="AW6" s="46"/>
      <c r="AX6" s="46"/>
      <c r="AY6" s="48"/>
    </row>
    <row r="7" spans="1:51">
      <c r="A7" s="17"/>
      <c r="F7" s="66"/>
      <c r="K7" s="139"/>
      <c r="P7" s="66"/>
      <c r="U7" s="139"/>
      <c r="Z7" s="139"/>
      <c r="AE7" s="139"/>
      <c r="AJ7" s="139"/>
      <c r="AO7" s="139"/>
      <c r="AT7" s="139"/>
      <c r="AY7" s="139"/>
    </row>
    <row r="8" spans="1:51" s="3" customFormat="1">
      <c r="A8" s="31" t="s">
        <v>222</v>
      </c>
      <c r="F8" s="69"/>
      <c r="K8" s="81"/>
      <c r="L8" s="35"/>
      <c r="M8" s="35"/>
      <c r="N8" s="35"/>
      <c r="O8" s="60"/>
      <c r="P8" s="69"/>
      <c r="U8" s="81"/>
      <c r="Z8" s="81"/>
      <c r="AE8" s="81"/>
      <c r="AJ8" s="81"/>
      <c r="AO8" s="81"/>
      <c r="AT8" s="81"/>
      <c r="AY8" s="81"/>
    </row>
    <row r="9" spans="1:51" s="3" customFormat="1">
      <c r="A9" s="33" t="s">
        <v>177</v>
      </c>
      <c r="F9" s="72">
        <v>233600</v>
      </c>
      <c r="G9" s="27">
        <v>233600</v>
      </c>
      <c r="H9" s="27">
        <v>233600</v>
      </c>
      <c r="I9" s="27">
        <v>233600</v>
      </c>
      <c r="J9" s="27">
        <v>233600</v>
      </c>
      <c r="K9" s="72">
        <v>207509</v>
      </c>
      <c r="L9" s="27">
        <v>207509</v>
      </c>
      <c r="M9" s="27">
        <v>207509</v>
      </c>
      <c r="N9" s="27">
        <v>207509</v>
      </c>
      <c r="O9" s="27">
        <v>207509</v>
      </c>
      <c r="P9" s="72">
        <v>277444</v>
      </c>
      <c r="Q9" s="27">
        <v>277444</v>
      </c>
      <c r="R9" s="27">
        <v>277444</v>
      </c>
      <c r="S9" s="27">
        <v>277444</v>
      </c>
      <c r="T9" s="27">
        <v>277444</v>
      </c>
      <c r="U9" s="72">
        <v>296000</v>
      </c>
      <c r="V9" s="27">
        <v>296000</v>
      </c>
      <c r="W9" s="27">
        <v>296000</v>
      </c>
      <c r="X9" s="27">
        <v>296000</v>
      </c>
      <c r="Y9" s="27">
        <v>296000</v>
      </c>
      <c r="Z9" s="72">
        <v>251025</v>
      </c>
      <c r="AA9" s="27">
        <v>251025</v>
      </c>
      <c r="AB9" s="27">
        <v>251025</v>
      </c>
      <c r="AC9" s="27">
        <v>251025</v>
      </c>
      <c r="AD9" s="27">
        <v>251025</v>
      </c>
      <c r="AE9" s="72">
        <v>212880</v>
      </c>
      <c r="AF9" s="27">
        <v>212880</v>
      </c>
      <c r="AG9" s="27">
        <v>212880</v>
      </c>
      <c r="AH9" s="27">
        <v>212880</v>
      </c>
      <c r="AI9" s="27">
        <v>212880</v>
      </c>
      <c r="AJ9" s="72">
        <v>276000</v>
      </c>
      <c r="AK9" s="27">
        <v>276000</v>
      </c>
      <c r="AL9" s="27">
        <v>276000</v>
      </c>
      <c r="AM9" s="27">
        <v>276000</v>
      </c>
      <c r="AN9" s="27">
        <v>276000</v>
      </c>
      <c r="AO9" s="72">
        <v>345614</v>
      </c>
      <c r="AP9" s="27">
        <v>345614</v>
      </c>
      <c r="AQ9" s="27">
        <v>345614</v>
      </c>
      <c r="AR9" s="27">
        <v>345614</v>
      </c>
      <c r="AS9" s="27">
        <v>345614</v>
      </c>
      <c r="AT9" s="72">
        <f>AS9</f>
        <v>345614</v>
      </c>
      <c r="AU9" s="27">
        <v>324303.04399999999</v>
      </c>
      <c r="AV9" s="27"/>
      <c r="AW9" s="27"/>
      <c r="AX9" s="27"/>
      <c r="AY9" s="72"/>
    </row>
    <row r="10" spans="1:51" s="3" customFormat="1">
      <c r="A10" s="33" t="s">
        <v>178</v>
      </c>
      <c r="F10" s="72">
        <v>320000</v>
      </c>
      <c r="G10" s="27">
        <v>320000</v>
      </c>
      <c r="H10" s="27">
        <v>320000</v>
      </c>
      <c r="I10" s="27">
        <v>320000</v>
      </c>
      <c r="J10" s="27">
        <v>320000</v>
      </c>
      <c r="K10" s="72">
        <v>301560</v>
      </c>
      <c r="L10" s="27">
        <v>301560</v>
      </c>
      <c r="M10" s="27">
        <v>301560</v>
      </c>
      <c r="N10" s="27">
        <v>301560</v>
      </c>
      <c r="O10" s="27">
        <v>301560</v>
      </c>
      <c r="P10" s="72">
        <v>357300</v>
      </c>
      <c r="Q10" s="27">
        <v>357300</v>
      </c>
      <c r="R10" s="27">
        <v>357300</v>
      </c>
      <c r="S10" s="27">
        <v>357300</v>
      </c>
      <c r="T10" s="27">
        <v>357300</v>
      </c>
      <c r="U10" s="72">
        <v>397775</v>
      </c>
      <c r="V10" s="27">
        <v>397775</v>
      </c>
      <c r="W10" s="27">
        <v>397775</v>
      </c>
      <c r="X10" s="27">
        <v>397775</v>
      </c>
      <c r="Y10" s="27">
        <v>397775</v>
      </c>
      <c r="Z10" s="72">
        <v>389000</v>
      </c>
      <c r="AA10" s="27">
        <v>389000</v>
      </c>
      <c r="AB10" s="27">
        <v>389000</v>
      </c>
      <c r="AC10" s="27">
        <v>389000</v>
      </c>
      <c r="AD10" s="27">
        <v>389000</v>
      </c>
      <c r="AE10" s="72">
        <v>471240</v>
      </c>
      <c r="AF10" s="27">
        <v>471240</v>
      </c>
      <c r="AG10" s="27">
        <v>471240</v>
      </c>
      <c r="AH10" s="27">
        <v>471240</v>
      </c>
      <c r="AI10" s="27">
        <v>471240</v>
      </c>
      <c r="AJ10" s="72">
        <v>478000</v>
      </c>
      <c r="AK10" s="27">
        <v>478000</v>
      </c>
      <c r="AL10" s="27">
        <v>478000</v>
      </c>
      <c r="AM10" s="27">
        <v>478000</v>
      </c>
      <c r="AN10" s="27">
        <v>478000</v>
      </c>
      <c r="AO10" s="72">
        <v>535143</v>
      </c>
      <c r="AP10" s="27">
        <v>535143</v>
      </c>
      <c r="AQ10" s="27">
        <v>535143</v>
      </c>
      <c r="AR10" s="27">
        <v>535143</v>
      </c>
      <c r="AS10" s="27">
        <v>535143</v>
      </c>
      <c r="AT10" s="72">
        <f t="shared" ref="AT10:AT17" si="0">AS10</f>
        <v>535143</v>
      </c>
      <c r="AU10" s="27">
        <v>514135.554</v>
      </c>
      <c r="AV10" s="27"/>
      <c r="AW10" s="27"/>
      <c r="AX10" s="27"/>
      <c r="AY10" s="72"/>
    </row>
    <row r="11" spans="1:51" s="3" customFormat="1">
      <c r="A11" s="33" t="s">
        <v>179</v>
      </c>
      <c r="F11" s="72">
        <v>101900</v>
      </c>
      <c r="G11" s="35">
        <v>101900</v>
      </c>
      <c r="H11" s="35">
        <v>101900</v>
      </c>
      <c r="I11" s="35">
        <v>101900</v>
      </c>
      <c r="J11" s="35">
        <v>101900</v>
      </c>
      <c r="K11" s="72">
        <v>73377</v>
      </c>
      <c r="L11" s="35">
        <v>73377</v>
      </c>
      <c r="M11" s="35">
        <v>73377</v>
      </c>
      <c r="N11" s="35">
        <v>73377</v>
      </c>
      <c r="O11" s="35">
        <v>73377</v>
      </c>
      <c r="P11" s="72">
        <v>125730</v>
      </c>
      <c r="Q11" s="35">
        <v>125730</v>
      </c>
      <c r="R11" s="35">
        <v>125730</v>
      </c>
      <c r="S11" s="35">
        <v>125730</v>
      </c>
      <c r="T11" s="35">
        <v>125730</v>
      </c>
      <c r="U11" s="72">
        <v>89440</v>
      </c>
      <c r="V11" s="35">
        <v>89440</v>
      </c>
      <c r="W11" s="35">
        <v>89440</v>
      </c>
      <c r="X11" s="35">
        <v>89440</v>
      </c>
      <c r="Y11" s="35">
        <v>89440</v>
      </c>
      <c r="Z11" s="72">
        <v>134925</v>
      </c>
      <c r="AA11" s="35">
        <v>134925</v>
      </c>
      <c r="AB11" s="35">
        <v>134925</v>
      </c>
      <c r="AC11" s="35">
        <v>134925</v>
      </c>
      <c r="AD11" s="35">
        <v>134925</v>
      </c>
      <c r="AE11" s="72">
        <v>141380</v>
      </c>
      <c r="AF11" s="35">
        <v>141380</v>
      </c>
      <c r="AG11" s="35">
        <v>141380</v>
      </c>
      <c r="AH11" s="35">
        <v>141380</v>
      </c>
      <c r="AI11" s="35">
        <v>141380</v>
      </c>
      <c r="AJ11" s="72">
        <v>60000</v>
      </c>
      <c r="AK11" s="35">
        <v>60000</v>
      </c>
      <c r="AL11" s="35">
        <v>60000</v>
      </c>
      <c r="AM11" s="35">
        <v>60000</v>
      </c>
      <c r="AN11" s="35">
        <v>60000</v>
      </c>
      <c r="AO11" s="72">
        <f>89809+35230+2770+5660+190</f>
        <v>133659</v>
      </c>
      <c r="AP11" s="22">
        <v>133659</v>
      </c>
      <c r="AQ11" s="35">
        <v>133659</v>
      </c>
      <c r="AR11" s="35">
        <v>133659</v>
      </c>
      <c r="AS11" s="35">
        <v>133659</v>
      </c>
      <c r="AT11" s="72">
        <f t="shared" si="0"/>
        <v>133659</v>
      </c>
      <c r="AU11" s="27">
        <v>148296.83137057611</v>
      </c>
      <c r="AV11" s="35"/>
      <c r="AW11" s="35"/>
      <c r="AX11" s="35"/>
      <c r="AY11" s="72"/>
    </row>
    <row r="12" spans="1:51" s="3" customFormat="1">
      <c r="A12" s="33"/>
      <c r="F12" s="69"/>
      <c r="K12" s="69"/>
      <c r="P12" s="69"/>
      <c r="U12" s="69"/>
      <c r="Z12" s="69"/>
      <c r="AE12" s="69"/>
      <c r="AJ12" s="69"/>
      <c r="AO12" s="69"/>
      <c r="AT12" s="69"/>
      <c r="AY12" s="69"/>
    </row>
    <row r="13" spans="1:51" s="3" customFormat="1">
      <c r="A13" s="31" t="s">
        <v>183</v>
      </c>
      <c r="B13" s="67">
        <v>248437</v>
      </c>
      <c r="C13" s="67">
        <v>382525</v>
      </c>
      <c r="D13" s="67">
        <v>437404</v>
      </c>
      <c r="E13" s="67">
        <v>297434</v>
      </c>
      <c r="F13" s="72">
        <v>1365801</v>
      </c>
      <c r="G13" s="67">
        <v>347436</v>
      </c>
      <c r="H13" s="67">
        <v>375319</v>
      </c>
      <c r="I13" s="67">
        <v>375366</v>
      </c>
      <c r="J13" s="67">
        <v>354148</v>
      </c>
      <c r="K13" s="72">
        <v>1452268</v>
      </c>
      <c r="L13" s="67">
        <v>317610</v>
      </c>
      <c r="M13" s="67">
        <v>361340</v>
      </c>
      <c r="N13" s="67">
        <v>399114</v>
      </c>
      <c r="O13" s="67">
        <v>322915</v>
      </c>
      <c r="P13" s="72">
        <v>1400979</v>
      </c>
      <c r="Q13" s="67">
        <v>371107</v>
      </c>
      <c r="R13" s="67">
        <v>585750</v>
      </c>
      <c r="S13" s="67">
        <v>670184</v>
      </c>
      <c r="T13" s="67">
        <v>586727</v>
      </c>
      <c r="U13" s="72">
        <v>2213768</v>
      </c>
      <c r="V13" s="67">
        <v>312837</v>
      </c>
      <c r="W13" s="67">
        <v>502021</v>
      </c>
      <c r="X13" s="67">
        <v>646454</v>
      </c>
      <c r="Y13" s="67">
        <v>667490</v>
      </c>
      <c r="Z13" s="72">
        <v>2128803</v>
      </c>
      <c r="AA13" s="67">
        <v>440970</v>
      </c>
      <c r="AB13" s="67">
        <v>168165</v>
      </c>
      <c r="AC13" s="67">
        <v>309471</v>
      </c>
      <c r="AD13" s="67">
        <v>225818</v>
      </c>
      <c r="AE13" s="72">
        <v>1144423.9962013799</v>
      </c>
      <c r="AF13" s="67">
        <v>237285.476543753</v>
      </c>
      <c r="AG13" s="67">
        <v>94084.818935462274</v>
      </c>
      <c r="AH13" s="67">
        <v>165065.76279616001</v>
      </c>
      <c r="AI13" s="67">
        <v>469215</v>
      </c>
      <c r="AJ13" s="72">
        <v>965651.05827537552</v>
      </c>
      <c r="AK13" s="67">
        <v>581590</v>
      </c>
      <c r="AL13" s="67">
        <v>421137.1082749099</v>
      </c>
      <c r="AM13" s="67">
        <v>525772</v>
      </c>
      <c r="AN13" s="67">
        <v>633376</v>
      </c>
      <c r="AO13" s="72">
        <v>2134094.7265403289</v>
      </c>
      <c r="AP13" s="20">
        <v>449007.81813358585</v>
      </c>
      <c r="AQ13" s="67">
        <v>334622</v>
      </c>
      <c r="AR13" s="67">
        <v>311317</v>
      </c>
      <c r="AS13" s="67">
        <v>450953</v>
      </c>
      <c r="AT13" s="72">
        <f>SUM(AP13:AS13)</f>
        <v>1545899.8181335859</v>
      </c>
      <c r="AU13" s="20">
        <v>480264</v>
      </c>
      <c r="AV13" s="67"/>
      <c r="AW13" s="67"/>
      <c r="AX13" s="67"/>
      <c r="AY13" s="72"/>
    </row>
    <row r="14" spans="1:51" s="3" customFormat="1">
      <c r="A14" s="31" t="s">
        <v>223</v>
      </c>
      <c r="B14" s="67">
        <v>1459911</v>
      </c>
      <c r="C14" s="67">
        <v>1556742</v>
      </c>
      <c r="D14" s="67">
        <v>1644379</v>
      </c>
      <c r="E14" s="67">
        <v>2102788</v>
      </c>
      <c r="F14" s="72">
        <v>6763820</v>
      </c>
      <c r="G14" s="67">
        <v>2307839</v>
      </c>
      <c r="H14" s="67">
        <v>2348374</v>
      </c>
      <c r="I14" s="67">
        <v>2581749</v>
      </c>
      <c r="J14" s="67">
        <v>1970561</v>
      </c>
      <c r="K14" s="72">
        <v>9208523</v>
      </c>
      <c r="L14" s="67">
        <v>2783716</v>
      </c>
      <c r="M14" s="67">
        <v>3094382</v>
      </c>
      <c r="N14" s="67">
        <v>3066450</v>
      </c>
      <c r="O14" s="67">
        <v>3195472</v>
      </c>
      <c r="P14" s="72">
        <v>12140020</v>
      </c>
      <c r="Q14" s="67">
        <v>3273193</v>
      </c>
      <c r="R14" s="67">
        <v>6410733</v>
      </c>
      <c r="S14" s="67">
        <v>2593919</v>
      </c>
      <c r="T14" s="67">
        <v>5100147</v>
      </c>
      <c r="U14" s="72">
        <v>17377991</v>
      </c>
      <c r="V14" s="67">
        <v>3901975</v>
      </c>
      <c r="W14" s="67">
        <v>7679494</v>
      </c>
      <c r="X14" s="67">
        <v>7543364</v>
      </c>
      <c r="Y14" s="67">
        <v>6258914</v>
      </c>
      <c r="Z14" s="72">
        <v>25383748</v>
      </c>
      <c r="AA14" s="67">
        <v>5835404</v>
      </c>
      <c r="AB14" s="67">
        <v>2512532</v>
      </c>
      <c r="AC14" s="67">
        <v>3023661</v>
      </c>
      <c r="AD14" s="67">
        <v>2352068</v>
      </c>
      <c r="AE14" s="72">
        <v>13723665.262099</v>
      </c>
      <c r="AF14" s="67">
        <v>2654751.5234562499</v>
      </c>
      <c r="AG14" s="67">
        <v>3506672</v>
      </c>
      <c r="AH14" s="67">
        <v>2761705</v>
      </c>
      <c r="AI14" s="67">
        <v>2636931</v>
      </c>
      <c r="AJ14" s="72">
        <v>11560059.523456246</v>
      </c>
      <c r="AK14" s="67">
        <v>3628419</v>
      </c>
      <c r="AL14" s="67">
        <v>3558684.3917250903</v>
      </c>
      <c r="AM14" s="67">
        <v>3447615</v>
      </c>
      <c r="AN14" s="67">
        <v>3457366</v>
      </c>
      <c r="AO14" s="72">
        <v>14119864.773459671</v>
      </c>
      <c r="AP14" s="20">
        <v>3548734.7618664145</v>
      </c>
      <c r="AQ14" s="67">
        <v>5638516</v>
      </c>
      <c r="AR14" s="67">
        <v>5927132</v>
      </c>
      <c r="AS14" s="67">
        <v>5639821</v>
      </c>
      <c r="AT14" s="72">
        <f>SUM(AP14:AS14)</f>
        <v>20754203.761866413</v>
      </c>
      <c r="AU14" s="20">
        <v>5859713</v>
      </c>
      <c r="AV14" s="67"/>
      <c r="AW14" s="67"/>
      <c r="AX14" s="67"/>
      <c r="AY14" s="72"/>
    </row>
    <row r="15" spans="1:51" s="3" customFormat="1">
      <c r="A15" s="39"/>
      <c r="B15" s="35"/>
      <c r="C15" s="35"/>
      <c r="D15" s="35"/>
      <c r="E15" s="35"/>
      <c r="F15" s="69"/>
      <c r="G15" s="35"/>
      <c r="H15" s="35"/>
      <c r="I15" s="35"/>
      <c r="J15" s="35"/>
      <c r="K15" s="69"/>
      <c r="L15" s="35"/>
      <c r="M15" s="35"/>
      <c r="N15" s="35"/>
      <c r="O15" s="35"/>
      <c r="P15" s="69"/>
      <c r="Q15" s="35"/>
      <c r="R15" s="35"/>
      <c r="S15" s="35"/>
      <c r="T15" s="35"/>
      <c r="U15" s="69"/>
      <c r="V15" s="35"/>
      <c r="W15" s="35"/>
      <c r="X15" s="35"/>
      <c r="Y15" s="35"/>
      <c r="Z15" s="69"/>
      <c r="AA15" s="35"/>
      <c r="AB15" s="35"/>
      <c r="AC15" s="35"/>
      <c r="AD15" s="35"/>
      <c r="AE15" s="69"/>
      <c r="AF15" s="35"/>
      <c r="AG15" s="35"/>
      <c r="AH15" s="35"/>
      <c r="AI15" s="35"/>
      <c r="AJ15" s="69"/>
      <c r="AK15" s="35"/>
      <c r="AL15" s="35"/>
      <c r="AM15" s="35"/>
      <c r="AN15" s="35"/>
      <c r="AO15" s="69"/>
      <c r="AP15" s="22"/>
      <c r="AQ15" s="35"/>
      <c r="AR15" s="35"/>
      <c r="AS15" s="35"/>
      <c r="AT15" s="69"/>
      <c r="AU15" s="22"/>
      <c r="AV15" s="35"/>
      <c r="AW15" s="35"/>
      <c r="AX15" s="35"/>
      <c r="AY15" s="69"/>
    </row>
    <row r="16" spans="1:51" s="3" customFormat="1">
      <c r="A16" s="31" t="s">
        <v>224</v>
      </c>
      <c r="B16" s="85">
        <v>5.88</v>
      </c>
      <c r="C16" s="85">
        <v>4.07</v>
      </c>
      <c r="D16" s="85">
        <v>3.76</v>
      </c>
      <c r="E16" s="85">
        <v>7.07</v>
      </c>
      <c r="F16" s="127">
        <v>4.9522734278273335</v>
      </c>
      <c r="G16" s="85">
        <v>6.6424866738046715</v>
      </c>
      <c r="H16" s="85">
        <v>6.26</v>
      </c>
      <c r="I16" s="85">
        <v>6.88</v>
      </c>
      <c r="J16" s="85">
        <v>5.56</v>
      </c>
      <c r="K16" s="127">
        <v>6.3407876507641836</v>
      </c>
      <c r="L16" s="85">
        <v>8.76</v>
      </c>
      <c r="M16" s="85">
        <v>8.56</v>
      </c>
      <c r="N16" s="85">
        <v>7.68</v>
      </c>
      <c r="O16" s="85">
        <v>9.9</v>
      </c>
      <c r="P16" s="127">
        <v>8.67</v>
      </c>
      <c r="Q16" s="85">
        <v>8.82</v>
      </c>
      <c r="R16" s="85">
        <v>10.94</v>
      </c>
      <c r="S16" s="85">
        <v>3.87</v>
      </c>
      <c r="T16" s="85">
        <v>8.69</v>
      </c>
      <c r="U16" s="127">
        <v>7.85</v>
      </c>
      <c r="V16" s="85">
        <v>12.47</v>
      </c>
      <c r="W16" s="85">
        <v>15.3</v>
      </c>
      <c r="X16" s="85">
        <v>11.67</v>
      </c>
      <c r="Y16" s="85">
        <v>9.3800000000000008</v>
      </c>
      <c r="Z16" s="127">
        <v>11.92</v>
      </c>
      <c r="AA16" s="85">
        <v>13.23</v>
      </c>
      <c r="AB16" s="85">
        <v>14.94</v>
      </c>
      <c r="AC16" s="85">
        <v>9.77</v>
      </c>
      <c r="AD16" s="85">
        <v>10.415768450699201</v>
      </c>
      <c r="AE16" s="127">
        <v>11.991766432415901</v>
      </c>
      <c r="AF16" s="85">
        <v>11.1880067930189</v>
      </c>
      <c r="AG16" s="85">
        <v>37.271390216581175</v>
      </c>
      <c r="AH16" s="85">
        <v>16.73093773789077</v>
      </c>
      <c r="AI16" s="85">
        <v>5.6198778811419077</v>
      </c>
      <c r="AJ16" s="127">
        <v>11.9712596226034</v>
      </c>
      <c r="AK16" s="85">
        <v>6.2387919324610124</v>
      </c>
      <c r="AL16" s="85">
        <v>8.4501800525306638</v>
      </c>
      <c r="AM16" s="85">
        <v>6.5572434439262643</v>
      </c>
      <c r="AN16" s="85">
        <v>5.4586312080028296</v>
      </c>
      <c r="AO16" s="127">
        <v>6.6163252258019396</v>
      </c>
      <c r="AP16" s="169">
        <v>7.9035032766636997</v>
      </c>
      <c r="AQ16" s="85">
        <v>16.850404336833801</v>
      </c>
      <c r="AR16" s="85">
        <v>19.03889604486745</v>
      </c>
      <c r="AS16" s="85">
        <v>12.5</v>
      </c>
      <c r="AT16" s="95">
        <v>13.425322597504168</v>
      </c>
      <c r="AU16" s="169">
        <v>12.201024852997518</v>
      </c>
      <c r="AV16" s="85"/>
      <c r="AW16" s="85"/>
      <c r="AX16" s="85"/>
      <c r="AY16" s="95"/>
    </row>
    <row r="17" spans="1:51" s="3" customFormat="1">
      <c r="A17" s="39"/>
      <c r="B17" s="35"/>
      <c r="C17" s="35"/>
      <c r="D17" s="35"/>
      <c r="E17" s="35"/>
      <c r="F17" s="69"/>
      <c r="G17" s="35"/>
      <c r="H17" s="35"/>
      <c r="I17" s="35"/>
      <c r="J17" s="35"/>
      <c r="K17" s="69"/>
      <c r="L17" s="35"/>
      <c r="M17" s="35"/>
      <c r="N17" s="35"/>
      <c r="O17" s="35"/>
      <c r="P17" s="69"/>
      <c r="Q17" s="35"/>
      <c r="R17" s="35"/>
      <c r="S17" s="35"/>
      <c r="T17" s="35"/>
      <c r="U17" s="69"/>
      <c r="V17" s="35"/>
      <c r="W17" s="35"/>
      <c r="X17" s="35"/>
      <c r="Y17" s="35"/>
      <c r="Z17" s="69"/>
      <c r="AA17" s="35"/>
      <c r="AB17" s="35"/>
      <c r="AC17" s="35"/>
      <c r="AD17" s="35"/>
      <c r="AE17" s="69"/>
      <c r="AF17" s="35"/>
      <c r="AG17" s="35"/>
      <c r="AH17" s="35"/>
      <c r="AI17" s="35"/>
      <c r="AJ17" s="69"/>
      <c r="AK17" s="35"/>
      <c r="AL17" s="35"/>
      <c r="AM17" s="35"/>
      <c r="AN17" s="35"/>
      <c r="AO17" s="69"/>
      <c r="AP17" s="22"/>
      <c r="AQ17" s="35"/>
      <c r="AR17" s="35"/>
      <c r="AS17" s="35"/>
      <c r="AT17" s="71">
        <f t="shared" si="0"/>
        <v>0</v>
      </c>
      <c r="AU17" s="22"/>
      <c r="AV17" s="35"/>
      <c r="AW17" s="35"/>
      <c r="AX17" s="35"/>
      <c r="AY17" s="71"/>
    </row>
    <row r="18" spans="1:51" s="3" customFormat="1">
      <c r="A18" s="31" t="s">
        <v>225</v>
      </c>
      <c r="B18" s="35">
        <v>227549</v>
      </c>
      <c r="C18" s="35">
        <v>276308</v>
      </c>
      <c r="D18" s="35">
        <v>348359</v>
      </c>
      <c r="E18" s="35">
        <v>314775</v>
      </c>
      <c r="F18" s="71">
        <v>1145704</v>
      </c>
      <c r="G18" s="35">
        <v>308448</v>
      </c>
      <c r="H18" s="35">
        <v>346868</v>
      </c>
      <c r="I18" s="35">
        <v>376182</v>
      </c>
      <c r="J18" s="35">
        <v>347587</v>
      </c>
      <c r="K18" s="71">
        <v>1379083</v>
      </c>
      <c r="L18" s="35">
        <v>388670</v>
      </c>
      <c r="M18" s="35">
        <v>395119</v>
      </c>
      <c r="N18" s="35">
        <v>418492</v>
      </c>
      <c r="O18" s="35">
        <v>412383</v>
      </c>
      <c r="P18" s="71">
        <v>1614664</v>
      </c>
      <c r="Q18" s="35">
        <v>409195</v>
      </c>
      <c r="R18" s="35">
        <v>416685</v>
      </c>
      <c r="S18" s="35">
        <v>423894</v>
      </c>
      <c r="T18" s="35">
        <v>419859</v>
      </c>
      <c r="U18" s="71">
        <v>1669633</v>
      </c>
      <c r="V18" s="35">
        <v>347851</v>
      </c>
      <c r="W18" s="35">
        <v>411596</v>
      </c>
      <c r="X18" s="35">
        <v>388483</v>
      </c>
      <c r="Y18" s="35">
        <v>390327</v>
      </c>
      <c r="Z18" s="71">
        <v>1538256</v>
      </c>
      <c r="AA18" s="35">
        <v>359500</v>
      </c>
      <c r="AB18" s="35">
        <v>359990</v>
      </c>
      <c r="AC18" s="35">
        <v>428155</v>
      </c>
      <c r="AD18" s="35">
        <v>366068</v>
      </c>
      <c r="AE18" s="71">
        <v>1513713.1345893</v>
      </c>
      <c r="AF18" s="35">
        <v>347128.75284025399</v>
      </c>
      <c r="AG18" s="35">
        <v>356146</v>
      </c>
      <c r="AH18" s="35">
        <v>366094.38563070755</v>
      </c>
      <c r="AI18" s="35">
        <v>436261.03172445064</v>
      </c>
      <c r="AJ18" s="71">
        <v>1505630.1701954126</v>
      </c>
      <c r="AK18" s="35">
        <v>374363</v>
      </c>
      <c r="AL18" s="35">
        <v>348192.95735730004</v>
      </c>
      <c r="AM18" s="35">
        <v>346815</v>
      </c>
      <c r="AN18" s="35">
        <v>351755</v>
      </c>
      <c r="AO18" s="71">
        <v>1421126.0036227186</v>
      </c>
      <c r="AP18" s="22">
        <v>357419.51176056248</v>
      </c>
      <c r="AQ18" s="35">
        <v>401821</v>
      </c>
      <c r="AR18" s="35">
        <v>398673</v>
      </c>
      <c r="AS18" s="35">
        <v>339220</v>
      </c>
      <c r="AT18" s="71">
        <v>1497133.5117605624</v>
      </c>
      <c r="AU18" s="22">
        <v>326469</v>
      </c>
      <c r="AV18" s="35"/>
      <c r="AW18" s="35"/>
      <c r="AX18" s="35"/>
      <c r="AY18" s="71"/>
    </row>
    <row r="19" spans="1:51" s="3" customFormat="1">
      <c r="A19" s="31" t="s">
        <v>226</v>
      </c>
      <c r="B19" s="85">
        <v>1.1200000000000001</v>
      </c>
      <c r="C19" s="85">
        <v>1.3</v>
      </c>
      <c r="D19" s="85">
        <v>1.36</v>
      </c>
      <c r="E19" s="85">
        <v>1.39</v>
      </c>
      <c r="F19" s="152">
        <v>1.2925</v>
      </c>
      <c r="G19" s="85">
        <v>1.47</v>
      </c>
      <c r="H19" s="85">
        <v>1.26</v>
      </c>
      <c r="I19" s="85">
        <v>1.36</v>
      </c>
      <c r="J19" s="85">
        <v>1.46</v>
      </c>
      <c r="K19" s="152">
        <v>1.39</v>
      </c>
      <c r="L19" s="85">
        <v>1.1399999999999999</v>
      </c>
      <c r="M19" s="85">
        <v>1.0900000000000001</v>
      </c>
      <c r="N19" s="85">
        <v>1.1499999999999999</v>
      </c>
      <c r="O19" s="85">
        <v>1.1599999999999999</v>
      </c>
      <c r="P19" s="152">
        <v>1.1299999999999999</v>
      </c>
      <c r="Q19" s="85">
        <v>0.94</v>
      </c>
      <c r="R19" s="85">
        <v>1.0900000000000001</v>
      </c>
      <c r="S19" s="85">
        <v>1.34</v>
      </c>
      <c r="T19" s="85">
        <v>1.99</v>
      </c>
      <c r="U19" s="152">
        <v>1.34</v>
      </c>
      <c r="V19" s="85">
        <v>1.39</v>
      </c>
      <c r="W19" s="85">
        <v>1.1599999999999999</v>
      </c>
      <c r="X19" s="85">
        <v>1.28</v>
      </c>
      <c r="Y19" s="85">
        <v>1.47</v>
      </c>
      <c r="Z19" s="152">
        <v>1.32</v>
      </c>
      <c r="AA19" s="85">
        <v>1.1200000000000001</v>
      </c>
      <c r="AB19" s="85">
        <v>1.1599999999999999</v>
      </c>
      <c r="AC19" s="85">
        <v>1.43</v>
      </c>
      <c r="AD19" s="85">
        <v>2.4</v>
      </c>
      <c r="AE19" s="152">
        <v>1.5265618781561301</v>
      </c>
      <c r="AF19" s="85">
        <v>1.12233139315536</v>
      </c>
      <c r="AG19" s="85">
        <v>0.64457342865036904</v>
      </c>
      <c r="AH19" s="85">
        <v>1.1254039139265224</v>
      </c>
      <c r="AI19" s="85">
        <v>1.103953453919182</v>
      </c>
      <c r="AJ19" s="152">
        <v>1.01</v>
      </c>
      <c r="AK19" s="85">
        <v>1.1100000000000001</v>
      </c>
      <c r="AL19" s="85">
        <v>0.95227694890860137</v>
      </c>
      <c r="AM19" s="85">
        <v>0.83031130983724755</v>
      </c>
      <c r="AN19" s="85">
        <v>0.69619787139453004</v>
      </c>
      <c r="AO19" s="152">
        <v>0.89953702338606412</v>
      </c>
      <c r="AP19" s="169">
        <v>0.806855430273546</v>
      </c>
      <c r="AQ19" s="85">
        <v>0.73410043871624853</v>
      </c>
      <c r="AR19" s="85">
        <v>0.73640127624232776</v>
      </c>
      <c r="AS19" s="85">
        <v>0.79</v>
      </c>
      <c r="AT19" s="95">
        <v>0.76474806244374416</v>
      </c>
      <c r="AU19" s="169">
        <v>0.79569814158260121</v>
      </c>
      <c r="AV19" s="85"/>
      <c r="AW19" s="85"/>
      <c r="AX19" s="85"/>
      <c r="AY19" s="95"/>
    </row>
    <row r="20" spans="1:51" s="3" customFormat="1">
      <c r="A20" s="31" t="s">
        <v>227</v>
      </c>
      <c r="B20" s="87">
        <v>0.92700000000000005</v>
      </c>
      <c r="C20" s="87">
        <v>0.93600000000000005</v>
      </c>
      <c r="D20" s="87">
        <v>0.93900000000000006</v>
      </c>
      <c r="E20" s="87">
        <v>0.93200000000000005</v>
      </c>
      <c r="F20" s="118">
        <v>0.93300000000000005</v>
      </c>
      <c r="G20" s="87">
        <v>0.93200000000000005</v>
      </c>
      <c r="H20" s="87">
        <v>0.93600000000000005</v>
      </c>
      <c r="I20" s="87">
        <v>0.95700000000000007</v>
      </c>
      <c r="J20" s="87">
        <v>0.96099999999999997</v>
      </c>
      <c r="K20" s="118">
        <v>0.94700000000000006</v>
      </c>
      <c r="L20" s="87">
        <v>0.95499999999999996</v>
      </c>
      <c r="M20" s="87">
        <v>0.95299999999999996</v>
      </c>
      <c r="N20" s="87">
        <v>0.94</v>
      </c>
      <c r="O20" s="87">
        <v>0.95700000000000007</v>
      </c>
      <c r="P20" s="118">
        <v>0.95099999999999996</v>
      </c>
      <c r="Q20" s="87">
        <v>0.94</v>
      </c>
      <c r="R20" s="87">
        <v>1.022</v>
      </c>
      <c r="S20" s="87">
        <v>0.93799999999999994</v>
      </c>
      <c r="T20" s="87">
        <v>0.93600000000000005</v>
      </c>
      <c r="U20" s="118">
        <v>0.95899999999999996</v>
      </c>
      <c r="V20" s="87">
        <v>0.95099999999999996</v>
      </c>
      <c r="W20" s="87">
        <v>0.92</v>
      </c>
      <c r="X20" s="87">
        <v>0.95199999999999996</v>
      </c>
      <c r="Y20" s="87">
        <v>0.93500000000000005</v>
      </c>
      <c r="Z20" s="118">
        <v>0.93899999999999995</v>
      </c>
      <c r="AA20" s="87">
        <v>0.94599999999999995</v>
      </c>
      <c r="AB20" s="87">
        <v>0.93200000000000005</v>
      </c>
      <c r="AC20" s="87">
        <v>0.91</v>
      </c>
      <c r="AD20" s="87">
        <v>0.91599999999999993</v>
      </c>
      <c r="AE20" s="118">
        <v>0.92506506829399304</v>
      </c>
      <c r="AF20" s="87">
        <v>0.95096576153017698</v>
      </c>
      <c r="AG20" s="87">
        <v>0.9247055988911671</v>
      </c>
      <c r="AH20" s="87">
        <v>0.92091552399853494</v>
      </c>
      <c r="AI20" s="87">
        <v>0.89985065564716449</v>
      </c>
      <c r="AJ20" s="118">
        <v>0.92437726252072971</v>
      </c>
      <c r="AK20" s="87">
        <v>0.91200000000000003</v>
      </c>
      <c r="AL20" s="87">
        <v>0.91852798326259755</v>
      </c>
      <c r="AM20" s="87">
        <v>0.89703041914046333</v>
      </c>
      <c r="AN20" s="87">
        <v>0.90176480064967124</v>
      </c>
      <c r="AO20" s="118">
        <v>0.90950557869901949</v>
      </c>
      <c r="AP20" s="96">
        <v>0.95304233198588317</v>
      </c>
      <c r="AQ20" s="87">
        <v>0.92210506507570877</v>
      </c>
      <c r="AR20" s="87">
        <v>0.94849646167837898</v>
      </c>
      <c r="AS20" s="87">
        <v>0.94092754928972488</v>
      </c>
      <c r="AT20" s="118">
        <v>0.94114285200742387</v>
      </c>
      <c r="AU20" s="96">
        <v>0.92440811552089552</v>
      </c>
      <c r="AV20" s="87"/>
      <c r="AW20" s="87"/>
      <c r="AX20" s="87"/>
      <c r="AY20" s="118"/>
    </row>
    <row r="21" spans="1:51" s="3" customFormat="1">
      <c r="A21" s="129"/>
      <c r="B21" s="35"/>
      <c r="C21" s="35"/>
      <c r="D21" s="35"/>
      <c r="E21" s="35"/>
      <c r="F21" s="69"/>
      <c r="G21" s="35"/>
      <c r="H21" s="35"/>
      <c r="I21" s="35"/>
      <c r="J21" s="35"/>
      <c r="K21" s="69"/>
      <c r="L21" s="35"/>
      <c r="M21" s="35"/>
      <c r="N21" s="35"/>
      <c r="O21" s="35"/>
      <c r="P21" s="69"/>
      <c r="Q21" s="35"/>
      <c r="R21" s="35"/>
      <c r="S21" s="35"/>
      <c r="T21" s="35"/>
      <c r="U21" s="69"/>
      <c r="V21" s="35"/>
      <c r="W21" s="35"/>
      <c r="X21" s="35"/>
      <c r="Y21" s="35"/>
      <c r="Z21" s="69"/>
      <c r="AA21" s="35"/>
      <c r="AB21" s="35"/>
      <c r="AC21" s="35"/>
      <c r="AD21" s="35"/>
      <c r="AE21" s="69"/>
      <c r="AF21" s="35"/>
      <c r="AG21" s="35"/>
      <c r="AH21" s="35"/>
      <c r="AI21" s="35"/>
      <c r="AJ21" s="69"/>
      <c r="AK21" s="35"/>
      <c r="AL21" s="35"/>
      <c r="AM21" s="35"/>
      <c r="AN21" s="35"/>
      <c r="AO21" s="69"/>
      <c r="AP21" s="22"/>
      <c r="AQ21" s="35"/>
      <c r="AR21" s="35"/>
      <c r="AS21" s="35"/>
      <c r="AT21" s="69"/>
      <c r="AU21" s="22"/>
      <c r="AV21" s="35"/>
      <c r="AW21" s="35"/>
      <c r="AX21" s="35"/>
      <c r="AY21" s="69"/>
    </row>
    <row r="22" spans="1:51" s="3" customFormat="1">
      <c r="A22" s="31" t="s">
        <v>228</v>
      </c>
      <c r="B22" s="67">
        <v>6734</v>
      </c>
      <c r="C22" s="67">
        <v>10790</v>
      </c>
      <c r="D22" s="67">
        <v>14295</v>
      </c>
      <c r="E22" s="67">
        <v>13162</v>
      </c>
      <c r="F22" s="72">
        <v>45160</v>
      </c>
      <c r="G22" s="67">
        <v>13567</v>
      </c>
      <c r="H22" s="67">
        <v>14088</v>
      </c>
      <c r="I22" s="67">
        <v>15769</v>
      </c>
      <c r="J22" s="67">
        <v>15708</v>
      </c>
      <c r="K22" s="72">
        <v>58131</v>
      </c>
      <c r="L22" s="67">
        <v>13578</v>
      </c>
      <c r="M22" s="67">
        <v>13145</v>
      </c>
      <c r="N22" s="67">
        <v>14506</v>
      </c>
      <c r="O22" s="67">
        <v>14704</v>
      </c>
      <c r="P22" s="72">
        <v>55933</v>
      </c>
      <c r="Q22" s="67">
        <v>11604</v>
      </c>
      <c r="R22" s="67">
        <v>12954</v>
      </c>
      <c r="S22" s="67">
        <v>17161</v>
      </c>
      <c r="T22" s="67">
        <v>25128</v>
      </c>
      <c r="U22" s="72">
        <v>66847</v>
      </c>
      <c r="V22" s="67">
        <v>14775</v>
      </c>
      <c r="W22" s="67">
        <v>14119</v>
      </c>
      <c r="X22" s="67">
        <v>15191</v>
      </c>
      <c r="Y22" s="67">
        <v>17274</v>
      </c>
      <c r="Z22" s="72">
        <v>61360</v>
      </c>
      <c r="AA22" s="67">
        <v>11143</v>
      </c>
      <c r="AB22" s="67">
        <v>12492</v>
      </c>
      <c r="AC22" s="67">
        <v>17915</v>
      </c>
      <c r="AD22" s="67">
        <v>26901</v>
      </c>
      <c r="AE22" s="72">
        <v>68451.387709151299</v>
      </c>
      <c r="AF22" s="67">
        <v>12687.0084032839</v>
      </c>
      <c r="AG22" s="67">
        <v>6917</v>
      </c>
      <c r="AH22" s="67">
        <v>11185</v>
      </c>
      <c r="AI22" s="67">
        <v>15217.3</v>
      </c>
      <c r="AJ22" s="72">
        <v>46006.008403283915</v>
      </c>
      <c r="AK22" s="67">
        <v>12105</v>
      </c>
      <c r="AL22" s="67">
        <v>9912.188534967423</v>
      </c>
      <c r="AM22" s="67">
        <v>8034.5958360213199</v>
      </c>
      <c r="AN22" s="67">
        <v>7121</v>
      </c>
      <c r="AO22" s="72">
        <v>37172.697850113924</v>
      </c>
      <c r="AP22" s="20">
        <v>8875.5781900087295</v>
      </c>
      <c r="AQ22" s="67">
        <v>8219</v>
      </c>
      <c r="AR22" s="67">
        <v>9248</v>
      </c>
      <c r="AS22" s="67">
        <v>8961</v>
      </c>
      <c r="AT22" s="72">
        <f>SUM(AP22:AS22)</f>
        <v>35303.578190008731</v>
      </c>
      <c r="AU22" s="20">
        <v>7525</v>
      </c>
      <c r="AV22" s="67"/>
      <c r="AW22" s="67"/>
      <c r="AX22" s="67"/>
      <c r="AY22" s="72"/>
    </row>
    <row r="23" spans="1:51" s="3" customFormat="1">
      <c r="A23" s="31" t="s">
        <v>229</v>
      </c>
      <c r="B23" s="67">
        <v>8286</v>
      </c>
      <c r="C23" s="67">
        <v>11449</v>
      </c>
      <c r="D23" s="67">
        <v>16795</v>
      </c>
      <c r="E23" s="67">
        <v>12278</v>
      </c>
      <c r="F23" s="72">
        <v>41866</v>
      </c>
      <c r="G23" s="67">
        <v>15220</v>
      </c>
      <c r="H23" s="67">
        <v>14617</v>
      </c>
      <c r="I23" s="67">
        <v>14167</v>
      </c>
      <c r="J23" s="67">
        <v>15306</v>
      </c>
      <c r="K23" s="72">
        <v>59310</v>
      </c>
      <c r="L23" s="67">
        <v>14327</v>
      </c>
      <c r="M23" s="67">
        <v>13528</v>
      </c>
      <c r="N23" s="67">
        <v>15003</v>
      </c>
      <c r="O23" s="67">
        <v>15845</v>
      </c>
      <c r="P23" s="72">
        <v>58704</v>
      </c>
      <c r="Q23" s="67">
        <v>8196</v>
      </c>
      <c r="R23" s="67">
        <v>17242</v>
      </c>
      <c r="S23" s="67">
        <v>16825</v>
      </c>
      <c r="T23" s="67">
        <v>24389</v>
      </c>
      <c r="U23" s="72">
        <v>66652</v>
      </c>
      <c r="V23" s="67">
        <v>19487</v>
      </c>
      <c r="W23" s="67">
        <v>14935</v>
      </c>
      <c r="X23" s="67">
        <v>16521</v>
      </c>
      <c r="Y23" s="67">
        <v>16847</v>
      </c>
      <c r="Z23" s="72">
        <v>67790</v>
      </c>
      <c r="AA23" s="67">
        <v>11041</v>
      </c>
      <c r="AB23" s="67">
        <v>12835</v>
      </c>
      <c r="AC23" s="67">
        <v>17474</v>
      </c>
      <c r="AD23" s="67">
        <v>27044</v>
      </c>
      <c r="AE23" s="72">
        <v>68394</v>
      </c>
      <c r="AF23" s="67">
        <v>13276.55</v>
      </c>
      <c r="AG23" s="67">
        <v>6736</v>
      </c>
      <c r="AH23" s="67">
        <v>9584.32</v>
      </c>
      <c r="AI23" s="67">
        <v>14726.680000000004</v>
      </c>
      <c r="AJ23" s="72">
        <v>44323.55</v>
      </c>
      <c r="AK23" s="67">
        <v>12860</v>
      </c>
      <c r="AL23" s="67">
        <v>8257.6782705814639</v>
      </c>
      <c r="AM23" s="67">
        <v>7957</v>
      </c>
      <c r="AN23" s="67">
        <v>9944</v>
      </c>
      <c r="AO23" s="72">
        <v>39018.729266368304</v>
      </c>
      <c r="AP23" s="20">
        <v>9408</v>
      </c>
      <c r="AQ23" s="67">
        <v>8219</v>
      </c>
      <c r="AR23" s="67">
        <v>9249</v>
      </c>
      <c r="AS23" s="67">
        <v>8961</v>
      </c>
      <c r="AT23" s="72">
        <f>SUM(AP23:AS23)</f>
        <v>35837</v>
      </c>
      <c r="AU23" s="20">
        <v>7525</v>
      </c>
      <c r="AV23" s="67"/>
      <c r="AW23" s="67"/>
      <c r="AX23" s="67"/>
      <c r="AY23" s="72"/>
    </row>
    <row r="24" spans="1:51" s="3" customFormat="1">
      <c r="A24" s="129"/>
      <c r="B24" s="35" t="s">
        <v>230</v>
      </c>
      <c r="C24" s="35"/>
      <c r="D24" s="35"/>
      <c r="E24" s="35"/>
      <c r="F24" s="69"/>
      <c r="G24" s="35"/>
      <c r="H24" s="35"/>
      <c r="I24" s="35"/>
      <c r="J24" s="35"/>
      <c r="K24" s="69"/>
      <c r="L24" s="35"/>
      <c r="M24" s="35"/>
      <c r="N24" s="35"/>
      <c r="O24" s="35"/>
      <c r="P24" s="69"/>
      <c r="Q24" s="35"/>
      <c r="R24" s="35"/>
      <c r="S24" s="35"/>
      <c r="T24" s="35"/>
      <c r="U24" s="69"/>
      <c r="V24" s="35"/>
      <c r="W24" s="35"/>
      <c r="X24" s="35"/>
      <c r="Y24" s="35"/>
      <c r="Z24" s="69"/>
      <c r="AA24" s="35"/>
      <c r="AB24" s="35"/>
      <c r="AC24" s="35"/>
      <c r="AD24" s="35"/>
      <c r="AE24" s="69"/>
      <c r="AF24" s="35"/>
      <c r="AG24" s="35"/>
      <c r="AH24" s="35"/>
      <c r="AI24" s="35"/>
      <c r="AJ24" s="69"/>
      <c r="AK24" s="35"/>
      <c r="AL24" s="35"/>
      <c r="AM24" s="35"/>
      <c r="AN24" s="35"/>
      <c r="AO24" s="69"/>
      <c r="AP24" s="22"/>
      <c r="AQ24" s="35"/>
      <c r="AR24" s="35"/>
      <c r="AS24" s="35"/>
      <c r="AT24" s="69"/>
      <c r="AU24" s="22"/>
      <c r="AV24" s="35"/>
      <c r="AW24" s="35"/>
      <c r="AX24" s="35"/>
      <c r="AY24" s="69"/>
    </row>
    <row r="25" spans="1:51" s="3" customFormat="1">
      <c r="A25" s="31" t="s">
        <v>204</v>
      </c>
      <c r="B25" s="35">
        <v>1012</v>
      </c>
      <c r="C25" s="35">
        <v>840</v>
      </c>
      <c r="D25" s="35">
        <v>783</v>
      </c>
      <c r="E25" s="35">
        <v>939</v>
      </c>
      <c r="F25" s="72">
        <v>908</v>
      </c>
      <c r="G25" s="67">
        <v>907</v>
      </c>
      <c r="H25" s="67">
        <v>839</v>
      </c>
      <c r="I25" s="67">
        <v>750</v>
      </c>
      <c r="J25" s="67">
        <v>722</v>
      </c>
      <c r="K25" s="72">
        <v>815</v>
      </c>
      <c r="L25" s="67">
        <v>843</v>
      </c>
      <c r="M25" s="67">
        <v>1017</v>
      </c>
      <c r="N25" s="67">
        <v>953</v>
      </c>
      <c r="O25" s="67">
        <v>1147</v>
      </c>
      <c r="P25" s="72">
        <v>963</v>
      </c>
      <c r="Q25" s="67">
        <v>1221</v>
      </c>
      <c r="R25" s="67">
        <v>832</v>
      </c>
      <c r="S25" s="67">
        <v>689</v>
      </c>
      <c r="T25" s="67">
        <v>587</v>
      </c>
      <c r="U25" s="72">
        <v>743</v>
      </c>
      <c r="V25" s="67">
        <v>746</v>
      </c>
      <c r="W25" s="67">
        <v>997</v>
      </c>
      <c r="X25" s="67">
        <v>997</v>
      </c>
      <c r="Y25" s="67">
        <v>971</v>
      </c>
      <c r="Z25" s="72">
        <v>883</v>
      </c>
      <c r="AA25" s="67">
        <v>1171</v>
      </c>
      <c r="AB25" s="67">
        <v>1191</v>
      </c>
      <c r="AC25" s="67">
        <v>1096</v>
      </c>
      <c r="AD25" s="67">
        <v>678.55214596877397</v>
      </c>
      <c r="AE25" s="72">
        <v>961</v>
      </c>
      <c r="AF25" s="67">
        <v>811.50600118253601</v>
      </c>
      <c r="AG25" s="67">
        <v>1348.2847133106461</v>
      </c>
      <c r="AH25" s="67">
        <v>1610.3385529698508</v>
      </c>
      <c r="AI25" s="67">
        <v>1124.9650294567407</v>
      </c>
      <c r="AJ25" s="72">
        <v>1170</v>
      </c>
      <c r="AK25" s="67">
        <v>740.27993779160181</v>
      </c>
      <c r="AL25" s="67">
        <v>1251.8769677888108</v>
      </c>
      <c r="AM25" s="67">
        <v>1094.759331406309</v>
      </c>
      <c r="AN25" s="67">
        <v>1792.538213998391</v>
      </c>
      <c r="AO25" s="72">
        <v>1189.1129962326047</v>
      </c>
      <c r="AP25" s="20">
        <v>1228.1548439043356</v>
      </c>
      <c r="AQ25" s="67">
        <v>1168</v>
      </c>
      <c r="AR25" s="67">
        <v>1082</v>
      </c>
      <c r="AS25" s="67">
        <v>1450.1864311860888</v>
      </c>
      <c r="AT25" s="72">
        <v>1232.0879687569841</v>
      </c>
      <c r="AU25" s="20">
        <f>'5. Operational Data'!AU26</f>
        <v>1380</v>
      </c>
      <c r="AV25" s="67"/>
      <c r="AW25" s="67"/>
      <c r="AX25" s="67"/>
      <c r="AY25" s="72"/>
    </row>
    <row r="26" spans="1:51" s="3" customFormat="1">
      <c r="A26" s="31" t="s">
        <v>205</v>
      </c>
      <c r="B26" s="35"/>
      <c r="C26" s="35"/>
      <c r="D26" s="35"/>
      <c r="E26" s="35"/>
      <c r="F26" s="69"/>
      <c r="G26" s="67"/>
      <c r="H26" s="67"/>
      <c r="I26" s="67"/>
      <c r="J26" s="67"/>
      <c r="K26" s="130"/>
      <c r="L26" s="67"/>
      <c r="M26" s="67"/>
      <c r="N26" s="67"/>
      <c r="O26" s="67"/>
      <c r="P26" s="130"/>
      <c r="Q26" s="67"/>
      <c r="R26" s="67"/>
      <c r="S26" s="67"/>
      <c r="T26" s="67"/>
      <c r="U26" s="130"/>
      <c r="V26" s="67"/>
      <c r="W26" s="67"/>
      <c r="X26" s="67"/>
      <c r="Y26" s="67"/>
      <c r="Z26" s="68">
        <v>1151</v>
      </c>
      <c r="AA26" s="67">
        <v>1253</v>
      </c>
      <c r="AB26" s="67">
        <v>1523</v>
      </c>
      <c r="AC26" s="67">
        <v>1564</v>
      </c>
      <c r="AD26" s="67">
        <v>875</v>
      </c>
      <c r="AE26" s="68">
        <v>1254</v>
      </c>
      <c r="AF26" s="67">
        <v>1066.2328874464999</v>
      </c>
      <c r="AG26" s="67">
        <v>2655.6182880681936</v>
      </c>
      <c r="AH26" s="67">
        <v>2550.3730037301598</v>
      </c>
      <c r="AI26" s="67">
        <v>1646.0052883649805</v>
      </c>
      <c r="AJ26" s="68">
        <v>1822</v>
      </c>
      <c r="AK26" s="67">
        <v>1206.5584840078316</v>
      </c>
      <c r="AL26" s="67">
        <v>1958.0454551560144</v>
      </c>
      <c r="AM26" s="67">
        <v>1888.417198267407</v>
      </c>
      <c r="AN26" s="67">
        <v>2494.0554117339479</v>
      </c>
      <c r="AO26" s="68">
        <v>1832.7713199701482</v>
      </c>
      <c r="AP26" s="20">
        <v>2041.4336252035398</v>
      </c>
      <c r="AQ26" s="67">
        <v>1751.4641027562343</v>
      </c>
      <c r="AR26" s="67">
        <v>1791</v>
      </c>
      <c r="AS26" s="67">
        <v>2427.2261014732981</v>
      </c>
      <c r="AT26" s="72">
        <v>2006.7544923084645</v>
      </c>
      <c r="AU26" s="20">
        <f>'5. Operational Data'!AU35</f>
        <v>2129</v>
      </c>
      <c r="AV26" s="67"/>
      <c r="AW26" s="67"/>
      <c r="AX26" s="67"/>
      <c r="AY26" s="72"/>
    </row>
    <row r="27" spans="1:51" s="3" customFormat="1">
      <c r="A27" s="31"/>
      <c r="B27" s="35"/>
      <c r="C27" s="35"/>
      <c r="D27" s="35"/>
      <c r="E27" s="35"/>
      <c r="F27" s="69"/>
      <c r="G27" s="67"/>
      <c r="H27" s="67"/>
      <c r="I27" s="67"/>
      <c r="J27" s="67"/>
      <c r="K27" s="130"/>
      <c r="L27" s="67"/>
      <c r="M27" s="67"/>
      <c r="N27" s="67"/>
      <c r="O27" s="67"/>
      <c r="P27" s="130"/>
      <c r="Q27" s="67"/>
      <c r="R27" s="67"/>
      <c r="S27" s="67"/>
      <c r="T27" s="67"/>
      <c r="U27" s="130"/>
      <c r="V27" s="67"/>
      <c r="W27" s="67"/>
      <c r="X27" s="67"/>
      <c r="Y27" s="67"/>
      <c r="Z27" s="130"/>
      <c r="AA27" s="67"/>
      <c r="AB27" s="67"/>
      <c r="AC27" s="67"/>
      <c r="AD27" s="67"/>
      <c r="AE27" s="130"/>
      <c r="AF27" s="67"/>
      <c r="AG27" s="67"/>
      <c r="AH27" s="67"/>
      <c r="AI27" s="67"/>
      <c r="AJ27" s="130"/>
      <c r="AK27" s="67"/>
      <c r="AL27" s="67"/>
      <c r="AM27" s="67"/>
      <c r="AN27" s="67"/>
      <c r="AO27" s="130"/>
      <c r="AP27" s="20"/>
      <c r="AQ27" s="67"/>
      <c r="AR27" s="67"/>
      <c r="AS27" s="67"/>
      <c r="AT27" s="130"/>
      <c r="AU27" s="20"/>
      <c r="AV27" s="67"/>
      <c r="AW27" s="67"/>
      <c r="AX27" s="67"/>
      <c r="AY27" s="130"/>
    </row>
    <row r="28" spans="1:51" s="3" customFormat="1">
      <c r="A28" s="131"/>
      <c r="B28" s="132"/>
      <c r="C28" s="132"/>
      <c r="D28" s="132"/>
      <c r="E28" s="132"/>
      <c r="F28" s="133"/>
      <c r="G28" s="140"/>
      <c r="H28" s="132"/>
      <c r="I28" s="132"/>
      <c r="J28" s="141"/>
      <c r="K28" s="133"/>
      <c r="L28" s="140"/>
      <c r="M28" s="132"/>
      <c r="N28" s="132"/>
      <c r="O28" s="141"/>
      <c r="P28" s="133"/>
      <c r="Q28" s="140"/>
      <c r="R28" s="132"/>
      <c r="S28" s="132"/>
      <c r="T28" s="141"/>
      <c r="U28" s="133"/>
      <c r="V28" s="140"/>
      <c r="W28" s="132"/>
      <c r="X28" s="132"/>
      <c r="Y28" s="141"/>
      <c r="Z28" s="133"/>
      <c r="AA28" s="140"/>
      <c r="AB28" s="132"/>
      <c r="AC28" s="132"/>
      <c r="AD28" s="141"/>
      <c r="AE28" s="133"/>
      <c r="AF28" s="140"/>
      <c r="AG28" s="132"/>
      <c r="AH28" s="132"/>
      <c r="AI28" s="141"/>
      <c r="AJ28" s="133"/>
      <c r="AK28" s="140"/>
      <c r="AL28" s="132"/>
      <c r="AM28" s="132"/>
      <c r="AN28" s="141"/>
      <c r="AO28" s="133"/>
      <c r="AP28" s="229"/>
      <c r="AQ28" s="132"/>
      <c r="AR28" s="132"/>
      <c r="AS28" s="141"/>
      <c r="AT28" s="133"/>
      <c r="AU28" s="229"/>
      <c r="AV28" s="132"/>
      <c r="AW28" s="132"/>
      <c r="AX28" s="141"/>
      <c r="AY28" s="133"/>
    </row>
    <row r="29" spans="1:51">
      <c r="A29" s="108" t="s">
        <v>206</v>
      </c>
      <c r="B29" s="22"/>
      <c r="C29" s="22"/>
      <c r="D29" s="22"/>
      <c r="E29" s="22"/>
      <c r="F29" s="68"/>
      <c r="G29" s="109"/>
      <c r="H29" s="109"/>
      <c r="I29" s="109"/>
      <c r="J29" s="20"/>
      <c r="K29" s="68"/>
      <c r="L29" s="20"/>
      <c r="M29" s="20"/>
      <c r="N29" s="20"/>
      <c r="O29" s="20"/>
      <c r="P29" s="68"/>
      <c r="Q29" s="20"/>
      <c r="R29" s="20"/>
      <c r="S29" s="20"/>
      <c r="T29" s="20"/>
      <c r="U29" s="68"/>
      <c r="V29" s="20">
        <v>31853.248920000002</v>
      </c>
      <c r="W29" s="20">
        <v>25193.82141</v>
      </c>
      <c r="X29" s="20">
        <v>29626.661929999998</v>
      </c>
      <c r="Y29" s="20">
        <v>30491.32677</v>
      </c>
      <c r="Z29" s="68">
        <v>117165</v>
      </c>
      <c r="AA29" s="20">
        <v>22910.713909999999</v>
      </c>
      <c r="AB29" s="20">
        <v>24165.501700000001</v>
      </c>
      <c r="AC29" s="20"/>
      <c r="AD29" s="20"/>
      <c r="AE29" s="68"/>
      <c r="AF29" s="20">
        <v>25038.205000000002</v>
      </c>
      <c r="AG29" s="20">
        <v>13291.371999999999</v>
      </c>
      <c r="AH29" s="20">
        <v>18833.936000000002</v>
      </c>
      <c r="AI29" s="20">
        <v>28288.144</v>
      </c>
      <c r="AJ29" s="81">
        <v>85451.657000000007</v>
      </c>
      <c r="AK29" s="20">
        <v>26680.544999999998</v>
      </c>
      <c r="AL29" s="20">
        <v>19431.425999999999</v>
      </c>
      <c r="AM29" s="20">
        <v>19745.917000000001</v>
      </c>
      <c r="AN29" s="20">
        <v>26579.589</v>
      </c>
      <c r="AO29" s="81">
        <v>92437.476999999999</v>
      </c>
      <c r="AP29" s="20">
        <v>26902.182000000001</v>
      </c>
      <c r="AQ29" s="101">
        <v>27256</v>
      </c>
      <c r="AR29" s="101">
        <v>31859.817999999999</v>
      </c>
      <c r="AS29" s="67">
        <v>36812</v>
      </c>
      <c r="AT29" s="72">
        <f>SUM(AP29:AS29)</f>
        <v>122830</v>
      </c>
      <c r="AU29" s="20">
        <v>35813.99</v>
      </c>
      <c r="AV29" s="101"/>
      <c r="AW29" s="101"/>
      <c r="AX29" s="67"/>
      <c r="AY29" s="72"/>
    </row>
    <row r="30" spans="1:51" s="89" customFormat="1">
      <c r="A30" s="19" t="s">
        <v>207</v>
      </c>
      <c r="B30" s="67">
        <v>9920</v>
      </c>
      <c r="C30" s="67">
        <v>14250</v>
      </c>
      <c r="D30" s="67">
        <v>21342</v>
      </c>
      <c r="E30" s="67">
        <v>15310</v>
      </c>
      <c r="F30" s="68">
        <v>60822</v>
      </c>
      <c r="G30" s="101">
        <v>19901</v>
      </c>
      <c r="H30" s="101">
        <v>18760</v>
      </c>
      <c r="I30" s="101">
        <v>16780</v>
      </c>
      <c r="J30" s="101">
        <v>17689</v>
      </c>
      <c r="K30" s="73">
        <v>73130</v>
      </c>
      <c r="L30" s="101">
        <v>17750</v>
      </c>
      <c r="M30" s="101">
        <v>17241</v>
      </c>
      <c r="N30" s="101">
        <v>21615</v>
      </c>
      <c r="O30" s="101">
        <v>19305</v>
      </c>
      <c r="P30" s="73">
        <v>75911</v>
      </c>
      <c r="Q30" s="101">
        <v>12363</v>
      </c>
      <c r="R30" s="101">
        <v>28957</v>
      </c>
      <c r="S30" s="101">
        <v>30880</v>
      </c>
      <c r="T30" s="101">
        <v>42541</v>
      </c>
      <c r="U30" s="73">
        <v>114741</v>
      </c>
      <c r="V30" s="101">
        <v>32821</v>
      </c>
      <c r="W30" s="101">
        <v>26843</v>
      </c>
      <c r="X30" s="101">
        <v>29222</v>
      </c>
      <c r="Y30" s="101">
        <v>28951</v>
      </c>
      <c r="Z30" s="73">
        <v>117837</v>
      </c>
      <c r="AA30" s="101">
        <v>20271</v>
      </c>
      <c r="AB30" s="101">
        <v>24354</v>
      </c>
      <c r="AC30" s="101">
        <v>29673</v>
      </c>
      <c r="AD30" s="101">
        <v>45965</v>
      </c>
      <c r="AE30" s="68">
        <v>120263</v>
      </c>
      <c r="AF30" s="101">
        <v>24560</v>
      </c>
      <c r="AG30" s="101">
        <v>13069</v>
      </c>
      <c r="AH30" s="101">
        <v>18590</v>
      </c>
      <c r="AI30" s="101">
        <v>27565</v>
      </c>
      <c r="AJ30" s="68">
        <v>83784</v>
      </c>
      <c r="AK30" s="101">
        <v>26007</v>
      </c>
      <c r="AL30" s="101">
        <v>18992</v>
      </c>
      <c r="AM30" s="101">
        <v>19250</v>
      </c>
      <c r="AN30" s="101">
        <v>26024</v>
      </c>
      <c r="AO30" s="68">
        <v>90273</v>
      </c>
      <c r="AP30" s="20">
        <v>26353</v>
      </c>
      <c r="AQ30" s="101">
        <v>26711</v>
      </c>
      <c r="AR30" s="101">
        <v>31223</v>
      </c>
      <c r="AS30" s="101">
        <v>36102</v>
      </c>
      <c r="AT30" s="72">
        <f>SUM(AP30:AS30)</f>
        <v>120389</v>
      </c>
      <c r="AU30" s="20">
        <v>35814</v>
      </c>
      <c r="AV30" s="101"/>
      <c r="AW30" s="101"/>
      <c r="AX30" s="101"/>
      <c r="AY30" s="72"/>
    </row>
    <row r="31" spans="1:51" s="3" customFormat="1">
      <c r="A31" s="19" t="s">
        <v>57</v>
      </c>
      <c r="B31" s="35">
        <v>-9415</v>
      </c>
      <c r="C31" s="35">
        <v>-13951</v>
      </c>
      <c r="D31" s="35">
        <v>-17323</v>
      </c>
      <c r="E31" s="35">
        <v>-13043</v>
      </c>
      <c r="F31" s="70">
        <v>-53732</v>
      </c>
      <c r="G31" s="67">
        <v>-16473</v>
      </c>
      <c r="H31" s="67">
        <v>-15685</v>
      </c>
      <c r="I31" s="67">
        <v>-13768</v>
      </c>
      <c r="J31" s="67">
        <v>-14734</v>
      </c>
      <c r="K31" s="68">
        <v>-60660</v>
      </c>
      <c r="L31" s="67">
        <v>-13799</v>
      </c>
      <c r="M31" s="67">
        <v>-14865</v>
      </c>
      <c r="N31" s="67">
        <v>-17023</v>
      </c>
      <c r="O31" s="67">
        <v>-15665</v>
      </c>
      <c r="P31" s="68">
        <v>-61352</v>
      </c>
      <c r="Q31" s="67">
        <v>-10989</v>
      </c>
      <c r="R31" s="67">
        <v>-18134</v>
      </c>
      <c r="S31" s="67">
        <v>-11779</v>
      </c>
      <c r="T31" s="67">
        <v>-16920</v>
      </c>
      <c r="U31" s="68">
        <v>-57822</v>
      </c>
      <c r="V31" s="67">
        <v>-15636</v>
      </c>
      <c r="W31" s="67">
        <v>-16802</v>
      </c>
      <c r="X31" s="67">
        <v>-25064</v>
      </c>
      <c r="Y31" s="67">
        <v>-19415</v>
      </c>
      <c r="Z31" s="68">
        <v>-76917</v>
      </c>
      <c r="AA31" s="67">
        <v>-14908</v>
      </c>
      <c r="AB31" s="67">
        <v>-17403</v>
      </c>
      <c r="AC31" s="67">
        <v>-21946</v>
      </c>
      <c r="AD31" s="67">
        <v>-28617</v>
      </c>
      <c r="AE31" s="68">
        <v>-82874</v>
      </c>
      <c r="AF31" s="67">
        <v>-15620</v>
      </c>
      <c r="AG31" s="67">
        <v>-12358</v>
      </c>
      <c r="AH31" s="67">
        <v>-19107</v>
      </c>
      <c r="AI31" s="67">
        <v>-22334</v>
      </c>
      <c r="AJ31" s="68">
        <v>-69419</v>
      </c>
      <c r="AK31" s="67">
        <v>-15935</v>
      </c>
      <c r="AL31" s="67">
        <v>-15814</v>
      </c>
      <c r="AM31" s="67">
        <v>-14561</v>
      </c>
      <c r="AN31" s="67">
        <v>-16565</v>
      </c>
      <c r="AO31" s="68">
        <v>-62875</v>
      </c>
      <c r="AP31" s="20">
        <v>-15104</v>
      </c>
      <c r="AQ31" s="67">
        <v>-14270</v>
      </c>
      <c r="AR31" s="67">
        <v>-15307</v>
      </c>
      <c r="AS31" s="67">
        <v>-13961</v>
      </c>
      <c r="AT31" s="68">
        <f>SUM(AP31:AS31)</f>
        <v>-58642</v>
      </c>
      <c r="AU31" s="20">
        <v>-16230</v>
      </c>
      <c r="AV31" s="67"/>
      <c r="AW31" s="67"/>
      <c r="AX31" s="67"/>
      <c r="AY31" s="68"/>
    </row>
    <row r="32" spans="1:51" s="3" customFormat="1">
      <c r="A32" s="24" t="s">
        <v>71</v>
      </c>
      <c r="B32" s="35">
        <v>591</v>
      </c>
      <c r="C32" s="35">
        <v>844</v>
      </c>
      <c r="D32" s="35">
        <v>2392</v>
      </c>
      <c r="E32" s="35">
        <v>1758</v>
      </c>
      <c r="F32" s="70">
        <v>5585</v>
      </c>
      <c r="G32" s="35">
        <v>1932</v>
      </c>
      <c r="H32" s="35">
        <v>1847</v>
      </c>
      <c r="I32" s="35">
        <v>1889</v>
      </c>
      <c r="J32" s="35">
        <v>2034</v>
      </c>
      <c r="K32" s="70">
        <v>7702</v>
      </c>
      <c r="L32" s="35">
        <v>2804</v>
      </c>
      <c r="M32" s="35">
        <v>1387</v>
      </c>
      <c r="N32" s="35">
        <v>1755</v>
      </c>
      <c r="O32" s="35">
        <v>2717</v>
      </c>
      <c r="P32" s="70">
        <v>8663</v>
      </c>
      <c r="Q32" s="35">
        <v>1031</v>
      </c>
      <c r="R32" s="35">
        <v>1958</v>
      </c>
      <c r="S32" s="35">
        <v>1213</v>
      </c>
      <c r="T32" s="35">
        <v>3374</v>
      </c>
      <c r="U32" s="70">
        <v>7576</v>
      </c>
      <c r="V32" s="35">
        <v>3385</v>
      </c>
      <c r="W32" s="35">
        <v>2329</v>
      </c>
      <c r="X32" s="35">
        <v>8330</v>
      </c>
      <c r="Y32" s="35">
        <v>-2725</v>
      </c>
      <c r="Z32" s="70">
        <v>11319</v>
      </c>
      <c r="AA32" s="35">
        <v>1984</v>
      </c>
      <c r="AB32" s="35">
        <v>2114</v>
      </c>
      <c r="AC32" s="35">
        <v>2800</v>
      </c>
      <c r="AD32" s="35">
        <v>10310</v>
      </c>
      <c r="AE32" s="70">
        <v>11319</v>
      </c>
      <c r="AF32" s="35">
        <v>4979</v>
      </c>
      <c r="AG32" s="35">
        <v>3135</v>
      </c>
      <c r="AH32" s="35">
        <v>3806</v>
      </c>
      <c r="AI32" s="35">
        <v>5976</v>
      </c>
      <c r="AJ32" s="70">
        <v>17896</v>
      </c>
      <c r="AK32" s="35">
        <v>6454</v>
      </c>
      <c r="AL32" s="35">
        <v>5513</v>
      </c>
      <c r="AM32" s="35">
        <v>5893</v>
      </c>
      <c r="AN32" s="35">
        <v>1287</v>
      </c>
      <c r="AO32" s="70">
        <v>16573</v>
      </c>
      <c r="AP32" s="35">
        <v>3588</v>
      </c>
      <c r="AQ32" s="35">
        <v>4708</v>
      </c>
      <c r="AR32" s="35">
        <v>5327</v>
      </c>
      <c r="AS32" s="35">
        <v>1002</v>
      </c>
      <c r="AT32" s="72">
        <f>SUM(AP32:AS32)</f>
        <v>14625</v>
      </c>
      <c r="AU32" s="35"/>
      <c r="AV32" s="35"/>
      <c r="AW32" s="35"/>
      <c r="AX32" s="35"/>
      <c r="AY32" s="72"/>
    </row>
    <row r="33" spans="1:51" s="3" customFormat="1">
      <c r="A33" s="26"/>
      <c r="B33" s="35"/>
      <c r="C33" s="35"/>
      <c r="D33" s="35"/>
      <c r="E33" s="35"/>
      <c r="F33" s="70"/>
      <c r="G33" s="35"/>
      <c r="H33" s="35"/>
      <c r="I33" s="35"/>
      <c r="J33" s="35"/>
      <c r="K33" s="70"/>
      <c r="L33" s="35"/>
      <c r="M33" s="35"/>
      <c r="N33" s="35"/>
      <c r="O33" s="35"/>
      <c r="P33" s="70"/>
      <c r="Q33" s="35"/>
      <c r="R33" s="35"/>
      <c r="S33" s="35"/>
      <c r="T33" s="35"/>
      <c r="U33" s="70"/>
      <c r="V33" s="35"/>
      <c r="W33" s="35"/>
      <c r="X33" s="35"/>
      <c r="Y33" s="35"/>
      <c r="Z33" s="70">
        <v>0</v>
      </c>
      <c r="AA33" s="35"/>
      <c r="AB33" s="35"/>
      <c r="AC33" s="35"/>
      <c r="AD33" s="35"/>
      <c r="AE33" s="70">
        <v>0</v>
      </c>
      <c r="AF33" s="35"/>
      <c r="AG33" s="35"/>
      <c r="AH33" s="35"/>
      <c r="AI33" s="35"/>
      <c r="AJ33" s="70"/>
      <c r="AK33" s="35"/>
      <c r="AL33" s="35"/>
      <c r="AM33" s="35"/>
      <c r="AN33" s="35"/>
      <c r="AO33" s="70"/>
      <c r="AP33" s="22"/>
      <c r="AQ33" s="35"/>
      <c r="AR33" s="35"/>
      <c r="AS33" s="35"/>
      <c r="AT33" s="70"/>
      <c r="AU33" s="22"/>
      <c r="AV33" s="35"/>
      <c r="AW33" s="35"/>
      <c r="AX33" s="35"/>
      <c r="AY33" s="70"/>
    </row>
    <row r="34" spans="1:51" s="89" customFormat="1">
      <c r="A34" s="31" t="s">
        <v>208</v>
      </c>
      <c r="B34" s="67">
        <v>505</v>
      </c>
      <c r="C34" s="67">
        <v>299</v>
      </c>
      <c r="D34" s="67">
        <v>4019</v>
      </c>
      <c r="E34" s="67">
        <v>2267</v>
      </c>
      <c r="F34" s="68">
        <v>7090</v>
      </c>
      <c r="G34" s="67">
        <v>3428</v>
      </c>
      <c r="H34" s="67">
        <v>3075</v>
      </c>
      <c r="I34" s="67">
        <v>3012</v>
      </c>
      <c r="J34" s="67">
        <v>2955</v>
      </c>
      <c r="K34" s="68">
        <v>12470</v>
      </c>
      <c r="L34" s="67">
        <v>3951</v>
      </c>
      <c r="M34" s="67">
        <v>2376</v>
      </c>
      <c r="N34" s="67">
        <v>4592</v>
      </c>
      <c r="O34" s="67">
        <v>3640</v>
      </c>
      <c r="P34" s="68">
        <v>14559</v>
      </c>
      <c r="Q34" s="67">
        <v>1374</v>
      </c>
      <c r="R34" s="67">
        <v>10823</v>
      </c>
      <c r="S34" s="67">
        <v>19101</v>
      </c>
      <c r="T34" s="67">
        <v>25621</v>
      </c>
      <c r="U34" s="68">
        <v>56919</v>
      </c>
      <c r="V34" s="67">
        <v>17185</v>
      </c>
      <c r="W34" s="67">
        <v>10041</v>
      </c>
      <c r="X34" s="67">
        <v>9872</v>
      </c>
      <c r="Y34" s="67">
        <v>9536</v>
      </c>
      <c r="Z34" s="68">
        <v>46634</v>
      </c>
      <c r="AA34" s="67">
        <v>5363</v>
      </c>
      <c r="AB34" s="67">
        <v>6951</v>
      </c>
      <c r="AC34" s="67">
        <v>7727</v>
      </c>
      <c r="AD34" s="67">
        <v>17348</v>
      </c>
      <c r="AE34" s="68">
        <v>37389</v>
      </c>
      <c r="AF34" s="67">
        <v>8940</v>
      </c>
      <c r="AG34" s="67">
        <v>711</v>
      </c>
      <c r="AH34" s="67">
        <v>-517</v>
      </c>
      <c r="AI34" s="67">
        <v>5231</v>
      </c>
      <c r="AJ34" s="68">
        <v>14365</v>
      </c>
      <c r="AK34" s="67">
        <v>10072</v>
      </c>
      <c r="AL34" s="67">
        <v>3178</v>
      </c>
      <c r="AM34" s="67">
        <v>4689</v>
      </c>
      <c r="AN34" s="67">
        <v>9459</v>
      </c>
      <c r="AO34" s="68">
        <v>27398</v>
      </c>
      <c r="AP34" s="20">
        <v>11249</v>
      </c>
      <c r="AQ34" s="67">
        <v>12441</v>
      </c>
      <c r="AR34" s="67">
        <v>15916</v>
      </c>
      <c r="AS34" s="67">
        <v>22141</v>
      </c>
      <c r="AT34" s="72">
        <f>SUM(AP34:AS34)</f>
        <v>61747</v>
      </c>
      <c r="AU34" s="20">
        <v>19584</v>
      </c>
      <c r="AV34" s="67"/>
      <c r="AW34" s="67"/>
      <c r="AX34" s="67"/>
      <c r="AY34" s="72"/>
    </row>
    <row r="35" spans="1:51" s="3" customFormat="1">
      <c r="A35" s="49"/>
      <c r="B35" s="35"/>
      <c r="C35" s="35"/>
      <c r="D35" s="35"/>
      <c r="E35" s="35"/>
      <c r="F35" s="70"/>
      <c r="G35" s="67"/>
      <c r="H35" s="67"/>
      <c r="I35" s="67"/>
      <c r="J35" s="67"/>
      <c r="K35" s="68"/>
      <c r="L35" s="67"/>
      <c r="M35" s="67"/>
      <c r="N35" s="67"/>
      <c r="O35" s="67"/>
      <c r="P35" s="68"/>
      <c r="Q35" s="67"/>
      <c r="R35" s="67"/>
      <c r="S35" s="67"/>
      <c r="T35" s="67"/>
      <c r="U35" s="68"/>
      <c r="V35" s="67"/>
      <c r="W35" s="67"/>
      <c r="X35" s="67"/>
      <c r="Y35" s="67"/>
      <c r="Z35" s="68">
        <v>0</v>
      </c>
      <c r="AA35" s="67"/>
      <c r="AB35" s="67"/>
      <c r="AC35" s="67"/>
      <c r="AD35" s="67"/>
      <c r="AE35" s="68">
        <v>0</v>
      </c>
      <c r="AF35" s="67"/>
      <c r="AG35" s="67"/>
      <c r="AH35" s="67"/>
      <c r="AI35" s="67"/>
      <c r="AJ35" s="68"/>
      <c r="AK35" s="67"/>
      <c r="AL35" s="67"/>
      <c r="AM35" s="67"/>
      <c r="AN35" s="67"/>
      <c r="AO35" s="68"/>
      <c r="AP35" s="20"/>
      <c r="AQ35" s="67"/>
      <c r="AR35" s="67"/>
      <c r="AS35" s="67"/>
      <c r="AT35" s="68"/>
      <c r="AU35" s="20"/>
      <c r="AV35" s="67"/>
      <c r="AW35" s="67"/>
      <c r="AX35" s="67"/>
      <c r="AY35" s="68"/>
    </row>
    <row r="36" spans="1:51" s="3" customFormat="1">
      <c r="A36" s="33" t="s">
        <v>59</v>
      </c>
      <c r="B36" s="3">
        <v>-236</v>
      </c>
      <c r="C36" s="3">
        <v>-529</v>
      </c>
      <c r="D36" s="3">
        <v>-369</v>
      </c>
      <c r="E36" s="3">
        <v>-529</v>
      </c>
      <c r="F36" s="70">
        <v>-1663</v>
      </c>
      <c r="G36" s="35">
        <v>-120</v>
      </c>
      <c r="H36" s="35">
        <v>-470</v>
      </c>
      <c r="I36" s="35">
        <v>-1426</v>
      </c>
      <c r="J36" s="35">
        <v>-1072</v>
      </c>
      <c r="K36" s="70">
        <v>-3088</v>
      </c>
      <c r="L36" s="35">
        <v>-968</v>
      </c>
      <c r="M36" s="35">
        <v>-1110</v>
      </c>
      <c r="N36" s="35">
        <v>-661</v>
      </c>
      <c r="O36" s="35">
        <v>-400</v>
      </c>
      <c r="P36" s="70">
        <v>-3139</v>
      </c>
      <c r="Q36" s="35">
        <v>-1113</v>
      </c>
      <c r="R36" s="35">
        <v>-633</v>
      </c>
      <c r="S36" s="35">
        <v>-435</v>
      </c>
      <c r="T36" s="35">
        <v>-838</v>
      </c>
      <c r="U36" s="70">
        <v>-3019</v>
      </c>
      <c r="V36" s="35">
        <v>-1077</v>
      </c>
      <c r="W36" s="35">
        <v>-1027</v>
      </c>
      <c r="X36" s="35">
        <v>-1097</v>
      </c>
      <c r="Y36" s="35">
        <v>-1321</v>
      </c>
      <c r="Z36" s="70">
        <v>-4522</v>
      </c>
      <c r="AA36" s="35">
        <v>-690</v>
      </c>
      <c r="AB36" s="35">
        <v>-990</v>
      </c>
      <c r="AC36" s="35">
        <v>-974</v>
      </c>
      <c r="AD36" s="35">
        <v>-1145</v>
      </c>
      <c r="AE36" s="70">
        <v>-4522</v>
      </c>
      <c r="AF36" s="35">
        <v>-1150</v>
      </c>
      <c r="AG36" s="35">
        <v>-1236</v>
      </c>
      <c r="AH36" s="35">
        <v>-1150</v>
      </c>
      <c r="AI36" s="35">
        <v>-1299</v>
      </c>
      <c r="AJ36" s="70">
        <v>-4835</v>
      </c>
      <c r="AK36" s="35">
        <v>-977</v>
      </c>
      <c r="AL36" s="35">
        <v>-1028</v>
      </c>
      <c r="AM36" s="35">
        <v>-802</v>
      </c>
      <c r="AN36" s="35">
        <v>-1674</v>
      </c>
      <c r="AO36" s="70">
        <v>-4481</v>
      </c>
      <c r="AP36" s="22">
        <v>-1301</v>
      </c>
      <c r="AQ36" s="35">
        <v>-936</v>
      </c>
      <c r="AR36" s="35">
        <v>-292</v>
      </c>
      <c r="AS36" s="35">
        <v>-1293</v>
      </c>
      <c r="AT36" s="70">
        <f t="shared" ref="AT36:AT38" si="1">SUM(AP36:AS36)</f>
        <v>-3822</v>
      </c>
      <c r="AU36" s="22">
        <v>-1003</v>
      </c>
      <c r="AV36" s="35"/>
      <c r="AW36" s="35"/>
      <c r="AX36" s="35"/>
      <c r="AY36" s="70"/>
    </row>
    <row r="37" spans="1:51" s="3" customFormat="1">
      <c r="A37" s="33" t="s">
        <v>60</v>
      </c>
      <c r="F37" s="70"/>
      <c r="G37" s="27"/>
      <c r="H37" s="27"/>
      <c r="I37" s="27"/>
      <c r="J37" s="35"/>
      <c r="K37" s="70"/>
      <c r="L37" s="27">
        <v>-915</v>
      </c>
      <c r="M37" s="27">
        <v>-869</v>
      </c>
      <c r="N37" s="27">
        <v>-764</v>
      </c>
      <c r="O37" s="35">
        <v>-457</v>
      </c>
      <c r="P37" s="70">
        <v>-3005</v>
      </c>
      <c r="Q37" s="27">
        <v>-607</v>
      </c>
      <c r="R37" s="27">
        <v>-826</v>
      </c>
      <c r="S37" s="27">
        <v>-1086</v>
      </c>
      <c r="T37" s="35">
        <v>-1152</v>
      </c>
      <c r="U37" s="70">
        <v>-3671</v>
      </c>
      <c r="V37" s="27">
        <v>-1284</v>
      </c>
      <c r="W37" s="27">
        <v>-1875</v>
      </c>
      <c r="X37" s="27">
        <v>-1876</v>
      </c>
      <c r="Y37" s="35">
        <v>-733</v>
      </c>
      <c r="Z37" s="70">
        <v>-5768</v>
      </c>
      <c r="AA37" s="27">
        <v>-1669</v>
      </c>
      <c r="AB37" s="27">
        <v>1105</v>
      </c>
      <c r="AC37" s="27">
        <v>-543</v>
      </c>
      <c r="AD37" s="27">
        <v>-492</v>
      </c>
      <c r="AE37" s="70">
        <v>-5768</v>
      </c>
      <c r="AF37" s="27">
        <v>-175</v>
      </c>
      <c r="AG37" s="27">
        <v>134</v>
      </c>
      <c r="AH37" s="27">
        <v>-119</v>
      </c>
      <c r="AI37" s="27">
        <v>-78</v>
      </c>
      <c r="AJ37" s="70">
        <v>-238</v>
      </c>
      <c r="AK37" s="27">
        <v>-48</v>
      </c>
      <c r="AL37" s="27">
        <v>-122</v>
      </c>
      <c r="AM37" s="27">
        <v>-129</v>
      </c>
      <c r="AN37" s="27">
        <v>-69</v>
      </c>
      <c r="AO37" s="70">
        <v>-368</v>
      </c>
      <c r="AP37" s="27">
        <v>-124</v>
      </c>
      <c r="AQ37" s="27">
        <v>-62</v>
      </c>
      <c r="AR37" s="27">
        <v>-82</v>
      </c>
      <c r="AS37" s="27">
        <v>-145</v>
      </c>
      <c r="AT37" s="70">
        <f t="shared" si="1"/>
        <v>-413</v>
      </c>
      <c r="AU37" s="27">
        <v>-177</v>
      </c>
      <c r="AV37" s="27"/>
      <c r="AW37" s="27"/>
      <c r="AX37" s="27"/>
      <c r="AY37" s="70"/>
    </row>
    <row r="38" spans="1:51" s="3" customFormat="1">
      <c r="A38" s="33" t="s">
        <v>231</v>
      </c>
      <c r="B38" s="27">
        <v>-3723</v>
      </c>
      <c r="C38" s="27">
        <v>2970</v>
      </c>
      <c r="D38" s="27">
        <v>1481</v>
      </c>
      <c r="E38" s="27">
        <v>-4214</v>
      </c>
      <c r="F38" s="70">
        <v>-3486</v>
      </c>
      <c r="G38" s="27">
        <v>-1074</v>
      </c>
      <c r="H38" s="27">
        <v>-5590</v>
      </c>
      <c r="I38" s="27">
        <v>897</v>
      </c>
      <c r="J38" s="35">
        <v>141</v>
      </c>
      <c r="K38" s="70">
        <v>-5626</v>
      </c>
      <c r="L38" s="27">
        <v>0</v>
      </c>
      <c r="M38" s="27">
        <v>0</v>
      </c>
      <c r="N38" s="27">
        <v>0</v>
      </c>
      <c r="O38" s="35">
        <v>0</v>
      </c>
      <c r="P38" s="70"/>
      <c r="Q38" s="27"/>
      <c r="R38" s="27"/>
      <c r="S38" s="27"/>
      <c r="T38" s="35"/>
      <c r="U38" s="70">
        <v>0</v>
      </c>
      <c r="V38" s="27">
        <v>0</v>
      </c>
      <c r="W38" s="27">
        <v>0</v>
      </c>
      <c r="X38" s="27">
        <v>0</v>
      </c>
      <c r="Y38" s="35">
        <v>-3078</v>
      </c>
      <c r="Z38" s="70">
        <v>-3078</v>
      </c>
      <c r="AA38" s="27">
        <v>0</v>
      </c>
      <c r="AB38" s="27">
        <v>0</v>
      </c>
      <c r="AC38" s="27">
        <v>0</v>
      </c>
      <c r="AD38" s="35">
        <v>0</v>
      </c>
      <c r="AE38" s="70">
        <v>0</v>
      </c>
      <c r="AF38" s="27">
        <v>0</v>
      </c>
      <c r="AG38" s="27">
        <v>0</v>
      </c>
      <c r="AH38" s="27">
        <v>0</v>
      </c>
      <c r="AI38" s="35">
        <v>0</v>
      </c>
      <c r="AJ38" s="70">
        <v>0</v>
      </c>
      <c r="AK38" s="27">
        <v>0</v>
      </c>
      <c r="AL38" s="27">
        <v>0</v>
      </c>
      <c r="AM38" s="27"/>
      <c r="AN38" s="35">
        <v>1330</v>
      </c>
      <c r="AO38" s="70">
        <v>1330</v>
      </c>
      <c r="AP38" s="27">
        <v>0</v>
      </c>
      <c r="AQ38" s="27">
        <v>0</v>
      </c>
      <c r="AR38" s="27">
        <v>0</v>
      </c>
      <c r="AS38" s="35">
        <v>-239</v>
      </c>
      <c r="AT38" s="70">
        <f t="shared" si="1"/>
        <v>-239</v>
      </c>
      <c r="AU38" s="27">
        <v>0</v>
      </c>
      <c r="AV38" s="27"/>
      <c r="AW38" s="27"/>
      <c r="AX38" s="35"/>
      <c r="AY38" s="70"/>
    </row>
    <row r="39" spans="1:51" s="3" customFormat="1">
      <c r="A39" s="33" t="s">
        <v>210</v>
      </c>
      <c r="F39" s="70"/>
      <c r="G39" s="27"/>
      <c r="H39" s="27"/>
      <c r="I39" s="27"/>
      <c r="J39" s="35"/>
      <c r="K39" s="70"/>
      <c r="L39" s="27">
        <v>-778</v>
      </c>
      <c r="M39" s="27">
        <v>-182</v>
      </c>
      <c r="N39" s="27">
        <v>-1973</v>
      </c>
      <c r="O39" s="35">
        <v>-1191</v>
      </c>
      <c r="P39" s="70">
        <v>-4124</v>
      </c>
      <c r="Q39" s="27">
        <v>-4522</v>
      </c>
      <c r="R39" s="27">
        <v>-3823</v>
      </c>
      <c r="S39" s="27">
        <v>-854</v>
      </c>
      <c r="T39" s="35">
        <v>2843</v>
      </c>
      <c r="U39" s="70">
        <v>-6356</v>
      </c>
      <c r="V39" s="27">
        <v>2674</v>
      </c>
      <c r="W39" s="27">
        <v>-2884</v>
      </c>
      <c r="X39" s="27">
        <v>0</v>
      </c>
      <c r="Y39" s="35">
        <v>716</v>
      </c>
      <c r="Z39" s="70">
        <v>506</v>
      </c>
      <c r="AA39" s="27">
        <v>282</v>
      </c>
      <c r="AB39" s="27">
        <v>0</v>
      </c>
      <c r="AC39" s="27">
        <v>0</v>
      </c>
      <c r="AD39" s="35">
        <v>-372</v>
      </c>
      <c r="AE39" s="70">
        <v>506</v>
      </c>
      <c r="AF39" s="27">
        <v>0</v>
      </c>
      <c r="AG39" s="27">
        <v>16</v>
      </c>
      <c r="AH39" s="27">
        <v>6</v>
      </c>
      <c r="AI39" s="35">
        <v>-46</v>
      </c>
      <c r="AJ39" s="70">
        <v>-24</v>
      </c>
      <c r="AK39" s="27">
        <v>0</v>
      </c>
      <c r="AL39" s="27">
        <v>90</v>
      </c>
      <c r="AM39" s="27">
        <v>221</v>
      </c>
      <c r="AN39" s="35">
        <v>6</v>
      </c>
      <c r="AO39" s="70">
        <v>317</v>
      </c>
      <c r="AP39" s="27">
        <v>69</v>
      </c>
      <c r="AQ39" s="27">
        <v>44</v>
      </c>
      <c r="AR39" s="27">
        <v>-16</v>
      </c>
      <c r="AS39" s="35">
        <v>-1848</v>
      </c>
      <c r="AT39" s="70">
        <f>SUM(AP39:AS39)</f>
        <v>-1751</v>
      </c>
      <c r="AU39" s="27">
        <v>19</v>
      </c>
      <c r="AV39" s="27"/>
      <c r="AW39" s="27"/>
      <c r="AX39" s="35"/>
      <c r="AY39" s="70"/>
    </row>
    <row r="40" spans="1:51" s="3" customFormat="1">
      <c r="A40" s="33"/>
      <c r="F40" s="70"/>
      <c r="G40" s="27"/>
      <c r="H40" s="27"/>
      <c r="I40" s="27"/>
      <c r="J40" s="67"/>
      <c r="K40" s="68"/>
      <c r="L40" s="27"/>
      <c r="M40" s="27"/>
      <c r="N40" s="27"/>
      <c r="O40" s="67"/>
      <c r="P40" s="68"/>
      <c r="Q40" s="27"/>
      <c r="R40" s="27"/>
      <c r="S40" s="27"/>
      <c r="T40" s="67"/>
      <c r="U40" s="68"/>
      <c r="V40" s="27"/>
      <c r="W40" s="27"/>
      <c r="X40" s="27"/>
      <c r="Y40" s="67"/>
      <c r="Z40" s="68">
        <v>0</v>
      </c>
      <c r="AA40" s="27"/>
      <c r="AB40" s="27"/>
      <c r="AC40" s="27"/>
      <c r="AD40" s="67"/>
      <c r="AE40" s="68"/>
      <c r="AF40" s="27"/>
      <c r="AG40" s="27"/>
      <c r="AH40" s="27"/>
      <c r="AI40" s="67"/>
      <c r="AJ40" s="68"/>
      <c r="AK40" s="27"/>
      <c r="AL40" s="27"/>
      <c r="AM40" s="27"/>
      <c r="AN40" s="67"/>
      <c r="AO40" s="68"/>
      <c r="AP40" s="27"/>
      <c r="AQ40" s="27"/>
      <c r="AR40" s="27"/>
      <c r="AS40" s="67"/>
      <c r="AT40" s="68"/>
      <c r="AU40" s="27"/>
      <c r="AV40" s="27"/>
      <c r="AW40" s="27"/>
      <c r="AX40" s="67"/>
      <c r="AY40" s="68"/>
    </row>
    <row r="41" spans="1:51" s="89" customFormat="1">
      <c r="A41" s="31" t="s">
        <v>63</v>
      </c>
      <c r="B41" s="20">
        <v>-3454</v>
      </c>
      <c r="C41" s="20">
        <v>2740</v>
      </c>
      <c r="D41" s="20">
        <v>5131</v>
      </c>
      <c r="E41" s="20">
        <v>-2476</v>
      </c>
      <c r="F41" s="68">
        <v>1941</v>
      </c>
      <c r="G41" s="67">
        <v>2234</v>
      </c>
      <c r="H41" s="67">
        <v>-2985</v>
      </c>
      <c r="I41" s="67">
        <v>2483</v>
      </c>
      <c r="J41" s="67">
        <v>2024</v>
      </c>
      <c r="K41" s="68">
        <v>3756</v>
      </c>
      <c r="L41" s="67">
        <v>2068</v>
      </c>
      <c r="M41" s="67">
        <v>397</v>
      </c>
      <c r="N41" s="67">
        <v>3167</v>
      </c>
      <c r="O41" s="67">
        <v>2783</v>
      </c>
      <c r="P41" s="68">
        <v>8415</v>
      </c>
      <c r="Q41" s="67">
        <v>-346</v>
      </c>
      <c r="R41" s="67">
        <v>9364</v>
      </c>
      <c r="S41" s="67">
        <v>17580</v>
      </c>
      <c r="T41" s="67">
        <v>23631</v>
      </c>
      <c r="U41" s="68">
        <v>50229</v>
      </c>
      <c r="V41" s="67">
        <v>14824</v>
      </c>
      <c r="W41" s="67">
        <v>7139</v>
      </c>
      <c r="X41" s="67">
        <v>6899</v>
      </c>
      <c r="Y41" s="67">
        <v>4404</v>
      </c>
      <c r="Z41" s="68">
        <v>33266</v>
      </c>
      <c r="AA41" s="67">
        <v>3004</v>
      </c>
      <c r="AB41" s="67">
        <v>7066</v>
      </c>
      <c r="AC41" s="67">
        <v>6210</v>
      </c>
      <c r="AD41" s="67">
        <v>15711</v>
      </c>
      <c r="AE41" s="68">
        <v>31991</v>
      </c>
      <c r="AF41" s="67">
        <v>7615</v>
      </c>
      <c r="AG41" s="67">
        <v>-391</v>
      </c>
      <c r="AH41" s="67">
        <v>-1786</v>
      </c>
      <c r="AI41" s="67">
        <v>3854</v>
      </c>
      <c r="AJ41" s="68">
        <v>9292</v>
      </c>
      <c r="AK41" s="67">
        <v>9047</v>
      </c>
      <c r="AL41" s="67">
        <v>2028</v>
      </c>
      <c r="AM41" s="67">
        <v>3758</v>
      </c>
      <c r="AN41" s="67">
        <v>9046</v>
      </c>
      <c r="AO41" s="68">
        <v>23879</v>
      </c>
      <c r="AP41" s="67">
        <f t="shared" ref="AP41:AS41" si="2">SUM(AP34:AP40)</f>
        <v>9893</v>
      </c>
      <c r="AQ41" s="67">
        <f t="shared" si="2"/>
        <v>11487</v>
      </c>
      <c r="AR41" s="67">
        <f t="shared" si="2"/>
        <v>15526</v>
      </c>
      <c r="AS41" s="67">
        <f t="shared" si="2"/>
        <v>18616</v>
      </c>
      <c r="AT41" s="72">
        <f>SUM(AP41:AS41)</f>
        <v>55522</v>
      </c>
      <c r="AU41" s="67">
        <f>SUM(AU34:AU40)</f>
        <v>18423</v>
      </c>
      <c r="AV41" s="67"/>
      <c r="AW41" s="67"/>
      <c r="AX41" s="67"/>
      <c r="AY41" s="72"/>
    </row>
    <row r="42" spans="1:51" s="3" customFormat="1">
      <c r="A42" s="33"/>
      <c r="F42" s="70"/>
      <c r="G42" s="101"/>
      <c r="H42" s="101"/>
      <c r="I42" s="101"/>
      <c r="J42" s="67"/>
      <c r="K42" s="68"/>
      <c r="L42" s="101"/>
      <c r="M42" s="101"/>
      <c r="N42" s="101"/>
      <c r="O42" s="67"/>
      <c r="P42" s="68"/>
      <c r="Q42" s="101"/>
      <c r="R42" s="101"/>
      <c r="S42" s="101"/>
      <c r="T42" s="67"/>
      <c r="U42" s="68"/>
      <c r="V42" s="101"/>
      <c r="W42" s="101"/>
      <c r="X42" s="101"/>
      <c r="Y42" s="67"/>
      <c r="Z42" s="68"/>
      <c r="AA42" s="101"/>
      <c r="AB42" s="101"/>
      <c r="AC42" s="101"/>
      <c r="AD42" s="67"/>
      <c r="AE42" s="68"/>
      <c r="AF42" s="101"/>
      <c r="AG42" s="101"/>
      <c r="AH42" s="101"/>
      <c r="AI42" s="67"/>
      <c r="AJ42" s="68"/>
      <c r="AK42" s="101"/>
      <c r="AL42" s="101"/>
      <c r="AM42" s="101"/>
      <c r="AN42" s="67"/>
      <c r="AO42" s="68"/>
      <c r="AP42" s="20"/>
      <c r="AQ42" s="101"/>
      <c r="AR42" s="101"/>
      <c r="AS42" s="67"/>
      <c r="AT42" s="68"/>
      <c r="AU42" s="20"/>
      <c r="AV42" s="101"/>
      <c r="AW42" s="101"/>
      <c r="AX42" s="67"/>
      <c r="AY42" s="68"/>
    </row>
    <row r="43" spans="1:51" s="3" customFormat="1">
      <c r="A43" s="33" t="s">
        <v>210</v>
      </c>
      <c r="F43" s="70"/>
      <c r="G43" s="27"/>
      <c r="H43" s="27"/>
      <c r="I43" s="27"/>
      <c r="J43" s="35"/>
      <c r="K43" s="70"/>
      <c r="L43" s="27"/>
      <c r="M43" s="27"/>
      <c r="N43" s="27"/>
      <c r="O43" s="35"/>
      <c r="P43" s="70"/>
      <c r="Q43" s="27"/>
      <c r="R43" s="27"/>
      <c r="S43" s="27"/>
      <c r="T43" s="35"/>
      <c r="U43" s="70"/>
      <c r="V43" s="27"/>
      <c r="W43" s="27"/>
      <c r="X43" s="27"/>
      <c r="Y43" s="35"/>
      <c r="Z43" s="70"/>
      <c r="AA43" s="27"/>
      <c r="AB43" s="27"/>
      <c r="AC43" s="27"/>
      <c r="AD43" s="35"/>
      <c r="AE43" s="70"/>
      <c r="AF43" s="27"/>
      <c r="AG43" s="27"/>
      <c r="AH43" s="27"/>
      <c r="AI43" s="35"/>
      <c r="AJ43" s="70"/>
      <c r="AK43" s="27"/>
      <c r="AL43" s="27"/>
      <c r="AM43" s="27"/>
      <c r="AN43" s="35"/>
      <c r="AO43" s="70"/>
      <c r="AP43" s="20"/>
      <c r="AQ43" s="101"/>
      <c r="AR43" s="101"/>
      <c r="AS43" s="67"/>
      <c r="AT43" s="70">
        <f t="shared" ref="AT43:AT46" si="3">SUM(AP43:AS43)</f>
        <v>0</v>
      </c>
      <c r="AU43" s="20"/>
      <c r="AV43" s="101"/>
      <c r="AW43" s="101"/>
      <c r="AX43" s="67"/>
      <c r="AY43" s="68"/>
    </row>
    <row r="44" spans="1:51" s="3" customFormat="1">
      <c r="A44" s="33" t="s">
        <v>311</v>
      </c>
      <c r="F44" s="70"/>
      <c r="G44" s="51"/>
      <c r="H44" s="51"/>
      <c r="I44" s="51"/>
      <c r="J44" s="67"/>
      <c r="K44" s="68"/>
      <c r="L44" s="27">
        <v>-294</v>
      </c>
      <c r="M44" s="27">
        <v>-121</v>
      </c>
      <c r="N44" s="27">
        <v>-253</v>
      </c>
      <c r="O44" s="35">
        <v>-682</v>
      </c>
      <c r="P44" s="70">
        <v>-1350</v>
      </c>
      <c r="Q44" s="27">
        <v>-479</v>
      </c>
      <c r="R44" s="27">
        <v>-356</v>
      </c>
      <c r="S44" s="27">
        <v>-625</v>
      </c>
      <c r="T44" s="35">
        <v>-123</v>
      </c>
      <c r="U44" s="70">
        <v>-1583</v>
      </c>
      <c r="V44" s="27">
        <v>-682</v>
      </c>
      <c r="W44" s="27">
        <v>1601</v>
      </c>
      <c r="X44" s="27">
        <v>-707</v>
      </c>
      <c r="Y44" s="35">
        <v>-2711</v>
      </c>
      <c r="Z44" s="70">
        <v>-2499</v>
      </c>
      <c r="AA44" s="27">
        <v>1258</v>
      </c>
      <c r="AB44" s="27">
        <v>-3407</v>
      </c>
      <c r="AC44" s="27">
        <v>-3354</v>
      </c>
      <c r="AD44" s="35">
        <v>2633</v>
      </c>
      <c r="AE44" s="70">
        <v>-2499</v>
      </c>
      <c r="AF44" s="27">
        <v>-1445</v>
      </c>
      <c r="AG44" s="27">
        <v>-935</v>
      </c>
      <c r="AH44" s="27">
        <v>-421</v>
      </c>
      <c r="AI44" s="35">
        <v>-11190</v>
      </c>
      <c r="AJ44" s="70">
        <v>-13991</v>
      </c>
      <c r="AK44" s="27">
        <v>-3642</v>
      </c>
      <c r="AL44" s="27">
        <v>-2798</v>
      </c>
      <c r="AM44" s="27">
        <v>-5441</v>
      </c>
      <c r="AN44" s="35">
        <v>-3132</v>
      </c>
      <c r="AO44" s="70">
        <v>-15013</v>
      </c>
      <c r="AP44" s="27"/>
      <c r="AQ44" s="27"/>
      <c r="AR44" s="27"/>
      <c r="AS44" s="35"/>
      <c r="AT44" s="70">
        <f t="shared" si="3"/>
        <v>0</v>
      </c>
      <c r="AU44" s="27">
        <v>0</v>
      </c>
      <c r="AV44" s="27"/>
      <c r="AW44" s="27"/>
      <c r="AX44" s="35"/>
      <c r="AY44" s="70"/>
    </row>
    <row r="45" spans="1:51" s="3" customFormat="1">
      <c r="A45" s="83" t="s">
        <v>308</v>
      </c>
      <c r="F45" s="70"/>
      <c r="G45" s="51"/>
      <c r="H45" s="51"/>
      <c r="I45" s="51"/>
      <c r="J45" s="67"/>
      <c r="K45" s="68"/>
      <c r="L45" s="27"/>
      <c r="M45" s="27"/>
      <c r="N45" s="27"/>
      <c r="O45" s="35"/>
      <c r="P45" s="70"/>
      <c r="Q45" s="27"/>
      <c r="R45" s="27"/>
      <c r="S45" s="27"/>
      <c r="T45" s="35"/>
      <c r="U45" s="70"/>
      <c r="V45" s="27"/>
      <c r="W45" s="27"/>
      <c r="X45" s="27"/>
      <c r="Y45" s="35"/>
      <c r="Z45" s="70"/>
      <c r="AA45" s="27"/>
      <c r="AB45" s="27"/>
      <c r="AC45" s="27"/>
      <c r="AD45" s="35"/>
      <c r="AE45" s="70"/>
      <c r="AF45" s="27"/>
      <c r="AG45" s="27"/>
      <c r="AH45" s="27"/>
      <c r="AI45" s="35"/>
      <c r="AJ45" s="70"/>
      <c r="AK45" s="27"/>
      <c r="AL45" s="27"/>
      <c r="AM45" s="27"/>
      <c r="AN45" s="35"/>
      <c r="AO45" s="70"/>
      <c r="AP45" s="27">
        <v>-6641</v>
      </c>
      <c r="AQ45" s="27">
        <f>-8133-AP45</f>
        <v>-1492</v>
      </c>
      <c r="AR45" s="27">
        <f>-13912-AQ45-AP45</f>
        <v>-5779</v>
      </c>
      <c r="AS45" s="35">
        <f>-14752-AR45-AQ45-AP45</f>
        <v>-840</v>
      </c>
      <c r="AT45" s="70">
        <f t="shared" si="3"/>
        <v>-14752</v>
      </c>
      <c r="AU45" s="27">
        <v>-2218</v>
      </c>
      <c r="AV45" s="27"/>
      <c r="AW45" s="27"/>
      <c r="AX45" s="35"/>
      <c r="AY45" s="70"/>
    </row>
    <row r="46" spans="1:51" s="3" customFormat="1">
      <c r="A46" s="83" t="s">
        <v>309</v>
      </c>
      <c r="F46" s="70"/>
      <c r="G46" s="35"/>
      <c r="H46" s="35"/>
      <c r="I46" s="35"/>
      <c r="J46" s="35"/>
      <c r="K46" s="70"/>
      <c r="L46" s="35"/>
      <c r="M46" s="35"/>
      <c r="N46" s="35"/>
      <c r="O46" s="35"/>
      <c r="P46" s="70"/>
      <c r="Q46" s="35"/>
      <c r="R46" s="35"/>
      <c r="S46" s="35"/>
      <c r="T46" s="35"/>
      <c r="U46" s="70"/>
      <c r="V46" s="35"/>
      <c r="W46" s="35"/>
      <c r="X46" s="35"/>
      <c r="Y46" s="35"/>
      <c r="Z46" s="70">
        <v>0</v>
      </c>
      <c r="AA46" s="35"/>
      <c r="AB46" s="35"/>
      <c r="AC46" s="35"/>
      <c r="AD46" s="35"/>
      <c r="AE46" s="70">
        <v>0</v>
      </c>
      <c r="AF46" s="35"/>
      <c r="AG46" s="35"/>
      <c r="AH46" s="35"/>
      <c r="AI46" s="35"/>
      <c r="AJ46" s="70"/>
      <c r="AK46" s="35"/>
      <c r="AL46" s="35"/>
      <c r="AM46" s="35"/>
      <c r="AN46" s="35"/>
      <c r="AO46" s="70"/>
      <c r="AP46" s="22">
        <v>5</v>
      </c>
      <c r="AQ46" s="35">
        <f>159-AP46</f>
        <v>154</v>
      </c>
      <c r="AR46" s="35">
        <f>393-AQ46-AP46</f>
        <v>234</v>
      </c>
      <c r="AS46" s="35">
        <f>669-AR46-AQ46-AP46</f>
        <v>276</v>
      </c>
      <c r="AT46" s="70">
        <f t="shared" si="3"/>
        <v>669</v>
      </c>
      <c r="AU46" s="22">
        <v>205</v>
      </c>
      <c r="AV46" s="35"/>
      <c r="AW46" s="35"/>
      <c r="AX46" s="35"/>
      <c r="AY46" s="70"/>
    </row>
    <row r="47" spans="1:51" s="3" customFormat="1">
      <c r="A47" s="88"/>
      <c r="F47" s="70"/>
      <c r="G47" s="35"/>
      <c r="H47" s="35"/>
      <c r="I47" s="35"/>
      <c r="J47" s="35"/>
      <c r="K47" s="70"/>
      <c r="L47" s="35"/>
      <c r="M47" s="35"/>
      <c r="N47" s="35"/>
      <c r="O47" s="35"/>
      <c r="P47" s="70"/>
      <c r="Q47" s="35"/>
      <c r="R47" s="35"/>
      <c r="S47" s="35"/>
      <c r="T47" s="35"/>
      <c r="U47" s="70"/>
      <c r="V47" s="35"/>
      <c r="W47" s="35"/>
      <c r="X47" s="35"/>
      <c r="Y47" s="35"/>
      <c r="Z47" s="70"/>
      <c r="AA47" s="35"/>
      <c r="AB47" s="35"/>
      <c r="AC47" s="35"/>
      <c r="AD47" s="35"/>
      <c r="AE47" s="70"/>
      <c r="AF47" s="35"/>
      <c r="AG47" s="35"/>
      <c r="AH47" s="35"/>
      <c r="AI47" s="35"/>
      <c r="AJ47" s="70"/>
      <c r="AK47" s="35"/>
      <c r="AL47" s="35"/>
      <c r="AM47" s="35"/>
      <c r="AN47" s="35"/>
      <c r="AO47" s="70"/>
      <c r="AP47" s="22"/>
      <c r="AQ47" s="35"/>
      <c r="AR47" s="35"/>
      <c r="AS47" s="35"/>
      <c r="AT47" s="70"/>
      <c r="AU47" s="22"/>
      <c r="AV47" s="35"/>
      <c r="AW47" s="35"/>
      <c r="AX47" s="35"/>
      <c r="AY47" s="70"/>
    </row>
    <row r="48" spans="1:51" s="89" customFormat="1">
      <c r="A48" s="31" t="s">
        <v>213</v>
      </c>
      <c r="B48" s="67"/>
      <c r="C48" s="67"/>
      <c r="D48" s="67"/>
      <c r="E48" s="67"/>
      <c r="F48" s="68"/>
      <c r="G48" s="51"/>
      <c r="H48" s="51"/>
      <c r="I48" s="51"/>
      <c r="J48" s="67"/>
      <c r="K48" s="68"/>
      <c r="L48" s="51">
        <v>996</v>
      </c>
      <c r="M48" s="51">
        <v>94</v>
      </c>
      <c r="N48" s="51">
        <v>941</v>
      </c>
      <c r="O48" s="67">
        <v>910</v>
      </c>
      <c r="P48" s="68">
        <v>2941</v>
      </c>
      <c r="Q48" s="51">
        <v>-5347</v>
      </c>
      <c r="R48" s="51">
        <v>5185</v>
      </c>
      <c r="S48" s="51">
        <v>16101</v>
      </c>
      <c r="T48" s="67">
        <v>26351</v>
      </c>
      <c r="U48" s="68">
        <v>42290</v>
      </c>
      <c r="V48" s="51">
        <v>16816</v>
      </c>
      <c r="W48" s="51">
        <v>5856</v>
      </c>
      <c r="X48" s="51">
        <v>6192</v>
      </c>
      <c r="Y48" s="67">
        <v>2409</v>
      </c>
      <c r="Z48" s="68">
        <v>31273</v>
      </c>
      <c r="AA48" s="51">
        <v>4544</v>
      </c>
      <c r="AB48" s="51">
        <v>3659</v>
      </c>
      <c r="AC48" s="51">
        <v>2856</v>
      </c>
      <c r="AD48" s="67">
        <v>17972</v>
      </c>
      <c r="AE48" s="68">
        <v>29031</v>
      </c>
      <c r="AF48" s="51">
        <v>6170</v>
      </c>
      <c r="AG48" s="51">
        <v>-1310</v>
      </c>
      <c r="AH48" s="51">
        <v>-2201</v>
      </c>
      <c r="AI48" s="67">
        <v>-7382</v>
      </c>
      <c r="AJ48" s="68">
        <v>-4723</v>
      </c>
      <c r="AK48" s="51">
        <v>5405</v>
      </c>
      <c r="AL48" s="51">
        <v>-680</v>
      </c>
      <c r="AM48" s="51">
        <v>-1462</v>
      </c>
      <c r="AN48" s="67">
        <v>5920</v>
      </c>
      <c r="AO48" s="68">
        <v>9183</v>
      </c>
      <c r="AP48" s="67">
        <f t="shared" ref="AP48:AS48" si="4">SUM(AP41:AP47)</f>
        <v>3257</v>
      </c>
      <c r="AQ48" s="67">
        <f t="shared" si="4"/>
        <v>10149</v>
      </c>
      <c r="AR48" s="67">
        <f t="shared" si="4"/>
        <v>9981</v>
      </c>
      <c r="AS48" s="67">
        <f t="shared" si="4"/>
        <v>18052</v>
      </c>
      <c r="AT48" s="72">
        <f>SUM(AP48:AS48)</f>
        <v>41439</v>
      </c>
      <c r="AU48" s="67">
        <f>SUM(AU41:AU47)</f>
        <v>16410</v>
      </c>
      <c r="AV48" s="67"/>
      <c r="AW48" s="67"/>
      <c r="AX48" s="67"/>
      <c r="AY48" s="72"/>
    </row>
    <row r="49" spans="1:51" s="3" customFormat="1">
      <c r="A49" s="33"/>
      <c r="B49" s="35"/>
      <c r="C49" s="35"/>
      <c r="D49" s="35"/>
      <c r="E49" s="35"/>
      <c r="F49" s="70"/>
      <c r="G49" s="67"/>
      <c r="H49" s="67"/>
      <c r="I49" s="67"/>
      <c r="J49" s="67"/>
      <c r="K49" s="68"/>
      <c r="L49" s="67"/>
      <c r="M49" s="67"/>
      <c r="N49" s="67"/>
      <c r="O49" s="67"/>
      <c r="P49" s="68"/>
      <c r="Q49" s="67"/>
      <c r="R49" s="67"/>
      <c r="S49" s="67"/>
      <c r="T49" s="67"/>
      <c r="U49" s="68"/>
      <c r="V49" s="67"/>
      <c r="W49" s="67"/>
      <c r="X49" s="67"/>
      <c r="Y49" s="67"/>
      <c r="Z49" s="68">
        <v>0</v>
      </c>
      <c r="AA49" s="67"/>
      <c r="AB49" s="67"/>
      <c r="AC49" s="67"/>
      <c r="AD49" s="67"/>
      <c r="AE49" s="68">
        <v>0</v>
      </c>
      <c r="AF49" s="67"/>
      <c r="AG49" s="67"/>
      <c r="AH49" s="67"/>
      <c r="AI49" s="67"/>
      <c r="AJ49" s="68"/>
      <c r="AK49" s="67"/>
      <c r="AL49" s="67"/>
      <c r="AM49" s="67"/>
      <c r="AN49" s="67"/>
      <c r="AO49" s="68"/>
      <c r="AP49" s="20"/>
      <c r="AQ49" s="67"/>
      <c r="AR49" s="67"/>
      <c r="AS49" s="67"/>
      <c r="AT49" s="68"/>
      <c r="AU49" s="20"/>
      <c r="AV49" s="67"/>
      <c r="AW49" s="67"/>
      <c r="AX49" s="67"/>
      <c r="AY49" s="68"/>
    </row>
    <row r="50" spans="1:51" s="3" customFormat="1">
      <c r="A50" s="33" t="s">
        <v>233</v>
      </c>
      <c r="B50" s="35"/>
      <c r="C50" s="35"/>
      <c r="D50" s="35"/>
      <c r="E50" s="35"/>
      <c r="F50" s="70"/>
      <c r="G50" s="35"/>
      <c r="H50" s="35"/>
      <c r="I50" s="35"/>
      <c r="J50" s="35"/>
      <c r="K50" s="70"/>
      <c r="L50" s="35">
        <v>-356</v>
      </c>
      <c r="M50" s="35">
        <v>-343</v>
      </c>
      <c r="N50" s="35">
        <v>-886</v>
      </c>
      <c r="O50" s="35">
        <v>-1209</v>
      </c>
      <c r="P50" s="70">
        <v>-2794</v>
      </c>
      <c r="Q50" s="35">
        <v>0</v>
      </c>
      <c r="R50" s="35">
        <v>-315</v>
      </c>
      <c r="S50" s="35">
        <v>-3817</v>
      </c>
      <c r="T50" s="35">
        <v>-7641</v>
      </c>
      <c r="U50" s="70">
        <v>-11773</v>
      </c>
      <c r="V50" s="35">
        <v>-2689</v>
      </c>
      <c r="W50" s="35">
        <v>-1705</v>
      </c>
      <c r="X50" s="35">
        <v>-1896</v>
      </c>
      <c r="Y50" s="35">
        <v>1662</v>
      </c>
      <c r="Z50" s="70">
        <v>-4628</v>
      </c>
      <c r="AA50" s="35">
        <v>-155</v>
      </c>
      <c r="AB50" s="35">
        <v>-744</v>
      </c>
      <c r="AC50" s="35">
        <v>-88</v>
      </c>
      <c r="AD50" s="35">
        <v>-2023</v>
      </c>
      <c r="AE50" s="70">
        <v>-3010</v>
      </c>
      <c r="AF50" s="35">
        <v>-743</v>
      </c>
      <c r="AG50" s="35">
        <v>0</v>
      </c>
      <c r="AH50" s="35">
        <v>-34</v>
      </c>
      <c r="AI50" s="35">
        <v>72</v>
      </c>
      <c r="AJ50" s="70">
        <v>-705</v>
      </c>
      <c r="AK50" s="35">
        <v>-896</v>
      </c>
      <c r="AL50" s="35">
        <v>-986</v>
      </c>
      <c r="AM50" s="35">
        <v>-83</v>
      </c>
      <c r="AN50" s="35">
        <v>-19</v>
      </c>
      <c r="AO50" s="70">
        <v>-1984</v>
      </c>
      <c r="AP50" s="22">
        <v>-663</v>
      </c>
      <c r="AQ50" s="35">
        <v>-862</v>
      </c>
      <c r="AR50" s="35">
        <v>-893</v>
      </c>
      <c r="AS50" s="35">
        <v>-1648</v>
      </c>
      <c r="AT50" s="70">
        <f t="shared" ref="AT50:AT51" si="5">SUM(AP50:AS50)</f>
        <v>-4066</v>
      </c>
      <c r="AU50" s="22">
        <v>-2804</v>
      </c>
      <c r="AV50" s="35"/>
      <c r="AW50" s="35"/>
      <c r="AX50" s="35"/>
      <c r="AY50" s="70"/>
    </row>
    <row r="51" spans="1:51" s="3" customFormat="1">
      <c r="A51" s="33" t="s">
        <v>234</v>
      </c>
      <c r="B51" s="35"/>
      <c r="C51" s="35"/>
      <c r="D51" s="35"/>
      <c r="E51" s="35"/>
      <c r="F51" s="70"/>
      <c r="G51" s="60"/>
      <c r="H51" s="60"/>
      <c r="I51" s="60"/>
      <c r="J51" s="35"/>
      <c r="K51" s="70"/>
      <c r="L51" s="60">
        <v>0</v>
      </c>
      <c r="M51" s="60">
        <v>0</v>
      </c>
      <c r="N51" s="60">
        <v>0</v>
      </c>
      <c r="O51" s="35">
        <v>0</v>
      </c>
      <c r="P51" s="70"/>
      <c r="Q51" s="60">
        <v>0</v>
      </c>
      <c r="R51" s="60">
        <v>0</v>
      </c>
      <c r="S51" s="60">
        <v>0</v>
      </c>
      <c r="T51" s="35">
        <v>24956</v>
      </c>
      <c r="U51" s="70">
        <v>24956</v>
      </c>
      <c r="V51" s="60">
        <v>-2298</v>
      </c>
      <c r="W51" s="60">
        <v>-1761</v>
      </c>
      <c r="X51" s="60">
        <v>-345</v>
      </c>
      <c r="Y51" s="35">
        <v>304</v>
      </c>
      <c r="Z51" s="70">
        <v>-4100</v>
      </c>
      <c r="AA51" s="60">
        <v>210</v>
      </c>
      <c r="AB51" s="60">
        <v>-1737</v>
      </c>
      <c r="AC51" s="60">
        <v>0</v>
      </c>
      <c r="AD51" s="35">
        <v>-4699</v>
      </c>
      <c r="AE51" s="70">
        <v>-6226</v>
      </c>
      <c r="AF51" s="60">
        <v>-60</v>
      </c>
      <c r="AG51" s="60">
        <v>596</v>
      </c>
      <c r="AH51" s="60">
        <v>89</v>
      </c>
      <c r="AI51" s="35">
        <v>415</v>
      </c>
      <c r="AJ51" s="70">
        <v>1040</v>
      </c>
      <c r="AK51" s="60">
        <v>177</v>
      </c>
      <c r="AL51" s="60">
        <v>-1802</v>
      </c>
      <c r="AM51" s="60">
        <v>1569</v>
      </c>
      <c r="AN51" s="35">
        <v>-2230</v>
      </c>
      <c r="AO51" s="70">
        <v>-2286</v>
      </c>
      <c r="AP51" s="22">
        <v>2005</v>
      </c>
      <c r="AQ51" s="60">
        <v>-349</v>
      </c>
      <c r="AR51" s="60">
        <v>176</v>
      </c>
      <c r="AS51" s="35">
        <v>-1852</v>
      </c>
      <c r="AT51" s="70">
        <f t="shared" si="5"/>
        <v>-20</v>
      </c>
      <c r="AU51" s="22">
        <v>-703</v>
      </c>
      <c r="AV51" s="60"/>
      <c r="AW51" s="60"/>
      <c r="AX51" s="35"/>
      <c r="AY51" s="70"/>
    </row>
    <row r="52" spans="1:51" s="3" customFormat="1">
      <c r="A52" s="33"/>
      <c r="B52" s="35"/>
      <c r="C52" s="35"/>
      <c r="D52" s="35"/>
      <c r="E52" s="35"/>
      <c r="F52" s="70"/>
      <c r="G52" s="27"/>
      <c r="H52" s="27"/>
      <c r="I52" s="27"/>
      <c r="J52" s="35"/>
      <c r="K52" s="70"/>
      <c r="L52" s="27"/>
      <c r="M52" s="27"/>
      <c r="N52" s="27"/>
      <c r="O52" s="35"/>
      <c r="P52" s="70"/>
      <c r="Q52" s="27"/>
      <c r="R52" s="27"/>
      <c r="S52" s="27"/>
      <c r="T52" s="35"/>
      <c r="U52" s="70"/>
      <c r="V52" s="27"/>
      <c r="W52" s="27"/>
      <c r="X52" s="27"/>
      <c r="Y52" s="35"/>
      <c r="Z52" s="70">
        <v>0</v>
      </c>
      <c r="AA52" s="27"/>
      <c r="AB52" s="27"/>
      <c r="AC52" s="27"/>
      <c r="AD52" s="35"/>
      <c r="AE52" s="70">
        <v>0</v>
      </c>
      <c r="AF52" s="27"/>
      <c r="AG52" s="27"/>
      <c r="AH52" s="27"/>
      <c r="AI52" s="35"/>
      <c r="AJ52" s="70"/>
      <c r="AK52" s="27"/>
      <c r="AL52" s="27"/>
      <c r="AM52" s="27"/>
      <c r="AN52" s="35"/>
      <c r="AO52" s="70"/>
      <c r="AP52" s="27"/>
      <c r="AQ52" s="27"/>
      <c r="AR52" s="27"/>
      <c r="AS52" s="35"/>
      <c r="AT52" s="70"/>
      <c r="AU52" s="27"/>
      <c r="AV52" s="27"/>
      <c r="AW52" s="27"/>
      <c r="AX52" s="35"/>
      <c r="AY52" s="70"/>
    </row>
    <row r="53" spans="1:51" s="89" customFormat="1">
      <c r="A53" s="31" t="s">
        <v>70</v>
      </c>
      <c r="B53" s="67"/>
      <c r="C53" s="67"/>
      <c r="D53" s="67"/>
      <c r="E53" s="67"/>
      <c r="F53" s="68"/>
      <c r="G53" s="51"/>
      <c r="H53" s="51"/>
      <c r="I53" s="51"/>
      <c r="J53" s="67"/>
      <c r="K53" s="68"/>
      <c r="L53" s="51">
        <v>640</v>
      </c>
      <c r="M53" s="51">
        <v>-249</v>
      </c>
      <c r="N53" s="51">
        <v>55</v>
      </c>
      <c r="O53" s="67">
        <v>-299</v>
      </c>
      <c r="P53" s="68">
        <v>147</v>
      </c>
      <c r="Q53" s="51">
        <v>-5347</v>
      </c>
      <c r="R53" s="51">
        <v>4870</v>
      </c>
      <c r="S53" s="51">
        <v>12284</v>
      </c>
      <c r="T53" s="67">
        <v>43666</v>
      </c>
      <c r="U53" s="68">
        <v>55473</v>
      </c>
      <c r="V53" s="51">
        <v>11829</v>
      </c>
      <c r="W53" s="51">
        <v>2390</v>
      </c>
      <c r="X53" s="51">
        <v>3951</v>
      </c>
      <c r="Y53" s="67">
        <v>4375</v>
      </c>
      <c r="Z53" s="68">
        <v>22545</v>
      </c>
      <c r="AA53" s="51">
        <v>4599</v>
      </c>
      <c r="AB53" s="51">
        <v>1178</v>
      </c>
      <c r="AC53" s="51">
        <v>2768</v>
      </c>
      <c r="AD53" s="67">
        <v>11250</v>
      </c>
      <c r="AE53" s="68">
        <v>19795</v>
      </c>
      <c r="AF53" s="51">
        <v>5367</v>
      </c>
      <c r="AG53" s="51">
        <v>-714</v>
      </c>
      <c r="AH53" s="51">
        <v>-2146</v>
      </c>
      <c r="AI53" s="67">
        <v>-6895</v>
      </c>
      <c r="AJ53" s="68">
        <v>-4388</v>
      </c>
      <c r="AK53" s="51">
        <v>4686</v>
      </c>
      <c r="AL53" s="51">
        <v>-3468</v>
      </c>
      <c r="AM53" s="51">
        <v>24</v>
      </c>
      <c r="AN53" s="67">
        <v>3671</v>
      </c>
      <c r="AO53" s="68">
        <v>4913</v>
      </c>
      <c r="AP53" s="67">
        <f t="shared" ref="AP53:AR53" si="6">SUM(AP48:AP51)</f>
        <v>4599</v>
      </c>
      <c r="AQ53" s="67">
        <f t="shared" si="6"/>
        <v>8938</v>
      </c>
      <c r="AR53" s="67">
        <f t="shared" si="6"/>
        <v>9264</v>
      </c>
      <c r="AS53" s="67">
        <f>SUM(AS48:AS51)</f>
        <v>14552</v>
      </c>
      <c r="AT53" s="72">
        <f>SUM(AP53:AS53)</f>
        <v>37353</v>
      </c>
      <c r="AU53" s="67">
        <v>13606</v>
      </c>
      <c r="AV53" s="67"/>
      <c r="AW53" s="67"/>
      <c r="AX53" s="67"/>
      <c r="AY53" s="72"/>
    </row>
    <row r="54" spans="1:51" s="3" customFormat="1">
      <c r="A54" s="31"/>
      <c r="B54" s="35"/>
      <c r="D54" s="35"/>
      <c r="F54" s="70"/>
      <c r="G54" s="67"/>
      <c r="H54" s="67"/>
      <c r="I54" s="67"/>
      <c r="J54" s="67"/>
      <c r="K54" s="68"/>
      <c r="L54" s="67"/>
      <c r="M54" s="67"/>
      <c r="N54" s="67"/>
      <c r="O54" s="67"/>
      <c r="P54" s="68"/>
      <c r="Q54" s="67"/>
      <c r="R54" s="67"/>
      <c r="S54" s="67"/>
      <c r="T54" s="67"/>
      <c r="U54" s="68"/>
      <c r="V54" s="67"/>
      <c r="W54" s="67"/>
      <c r="X54" s="67"/>
      <c r="Y54" s="67"/>
      <c r="Z54" s="68"/>
      <c r="AA54" s="67"/>
      <c r="AB54" s="67"/>
      <c r="AC54" s="67"/>
      <c r="AD54" s="67"/>
      <c r="AE54" s="68"/>
      <c r="AF54" s="67"/>
      <c r="AG54" s="67"/>
      <c r="AH54" s="67"/>
      <c r="AI54" s="67"/>
      <c r="AJ54" s="68"/>
      <c r="AK54" s="67"/>
      <c r="AL54" s="67"/>
      <c r="AM54" s="67"/>
      <c r="AN54" s="67"/>
      <c r="AO54" s="68"/>
      <c r="AP54" s="20"/>
      <c r="AQ54" s="67"/>
      <c r="AR54" s="67"/>
      <c r="AS54" s="67"/>
      <c r="AT54" s="68"/>
      <c r="AU54" s="20"/>
      <c r="AV54" s="67"/>
      <c r="AW54" s="67"/>
      <c r="AX54" s="67"/>
      <c r="AY54" s="68"/>
    </row>
    <row r="55" spans="1:51" s="89" customFormat="1">
      <c r="A55" s="31" t="s">
        <v>216</v>
      </c>
      <c r="B55" s="67">
        <v>-174</v>
      </c>
      <c r="C55" s="67">
        <v>-64</v>
      </c>
      <c r="D55" s="67">
        <v>-4541</v>
      </c>
      <c r="E55" s="67">
        <v>-2054</v>
      </c>
      <c r="F55" s="81">
        <f>SUM(B55:E55)</f>
        <v>-6833</v>
      </c>
      <c r="G55" s="51">
        <v>-2602</v>
      </c>
      <c r="H55" s="51">
        <v>-530</v>
      </c>
      <c r="I55" s="51">
        <v>-1481</v>
      </c>
      <c r="J55" s="67">
        <v>-1320</v>
      </c>
      <c r="K55" s="81">
        <f>SUM(G55:J55)</f>
        <v>-5933</v>
      </c>
      <c r="L55" s="51">
        <v>-2165</v>
      </c>
      <c r="M55" s="51">
        <v>-2165</v>
      </c>
      <c r="N55" s="51">
        <v>-579</v>
      </c>
      <c r="O55" s="67">
        <v>-384</v>
      </c>
      <c r="P55" s="81">
        <f>SUM(L55:O55)</f>
        <v>-5293</v>
      </c>
      <c r="Q55" s="51">
        <v>-3580</v>
      </c>
      <c r="R55" s="51">
        <v>-3636</v>
      </c>
      <c r="S55" s="51">
        <v>-4501</v>
      </c>
      <c r="T55" s="67">
        <v>-2611</v>
      </c>
      <c r="U55" s="81">
        <f>SUM(Q55:T55)</f>
        <v>-14328</v>
      </c>
      <c r="V55" s="51">
        <v>-4785</v>
      </c>
      <c r="W55" s="51">
        <v>-3914</v>
      </c>
      <c r="X55" s="51">
        <v>-2609</v>
      </c>
      <c r="Y55" s="67">
        <v>-3479</v>
      </c>
      <c r="Z55" s="81">
        <f>SUM(V55:Y55)</f>
        <v>-14787</v>
      </c>
      <c r="AA55" s="51">
        <v>-1765</v>
      </c>
      <c r="AB55" s="51">
        <v>-3415</v>
      </c>
      <c r="AC55" s="51">
        <v>-7365</v>
      </c>
      <c r="AD55" s="67">
        <v>-1845</v>
      </c>
      <c r="AE55" s="81">
        <f>SUM(AA55:AD55)</f>
        <v>-14390</v>
      </c>
      <c r="AF55" s="51">
        <v>-5303</v>
      </c>
      <c r="AG55" s="51">
        <v>-3854</v>
      </c>
      <c r="AH55" s="51">
        <v>-4767.2</v>
      </c>
      <c r="AI55" s="67">
        <v>-3864.9999999999991</v>
      </c>
      <c r="AJ55" s="252">
        <f>SUM(AF55:AI55)</f>
        <v>-17789.2</v>
      </c>
      <c r="AK55" s="51">
        <v>-1459</v>
      </c>
      <c r="AL55" s="51">
        <v>-1265</v>
      </c>
      <c r="AM55" s="51">
        <v>-1396</v>
      </c>
      <c r="AN55" s="67">
        <v>-1464</v>
      </c>
      <c r="AO55" s="81">
        <f>SUM(AK55:AN55)</f>
        <v>-5584</v>
      </c>
      <c r="AP55" s="67">
        <v>-5001</v>
      </c>
      <c r="AQ55" s="51">
        <v>-9136</v>
      </c>
      <c r="AR55" s="51">
        <v>-8292</v>
      </c>
      <c r="AS55" s="51">
        <v>-12223</v>
      </c>
      <c r="AT55" s="244">
        <f>SUM(AP55:AS55)</f>
        <v>-34652</v>
      </c>
      <c r="AU55" s="67">
        <f>SUM(AU56:AU58)</f>
        <v>-13460</v>
      </c>
      <c r="AV55" s="51"/>
      <c r="AW55" s="51"/>
      <c r="AX55" s="51"/>
      <c r="AY55" s="244"/>
    </row>
    <row r="56" spans="1:51" s="89" customFormat="1">
      <c r="A56" s="83" t="s">
        <v>217</v>
      </c>
      <c r="B56" s="101">
        <v>0</v>
      </c>
      <c r="C56" s="101">
        <v>0</v>
      </c>
      <c r="D56" s="101">
        <v>0</v>
      </c>
      <c r="E56" s="101">
        <v>0</v>
      </c>
      <c r="F56" s="81">
        <f>SUM(B56:E56)</f>
        <v>0</v>
      </c>
      <c r="G56" s="101">
        <v>0</v>
      </c>
      <c r="H56" s="101">
        <v>0</v>
      </c>
      <c r="I56" s="101">
        <v>0</v>
      </c>
      <c r="J56" s="101">
        <v>0</v>
      </c>
      <c r="K56" s="81">
        <f>SUM(G56:J56)</f>
        <v>0</v>
      </c>
      <c r="L56" s="101">
        <v>0</v>
      </c>
      <c r="M56" s="101">
        <v>0</v>
      </c>
      <c r="N56" s="101">
        <v>0</v>
      </c>
      <c r="O56" s="101">
        <v>0</v>
      </c>
      <c r="P56" s="81">
        <f>SUM(L56:O56)</f>
        <v>0</v>
      </c>
      <c r="Q56" s="101">
        <v>0</v>
      </c>
      <c r="R56" s="101">
        <v>0</v>
      </c>
      <c r="S56" s="101">
        <v>0</v>
      </c>
      <c r="T56" s="101">
        <v>0</v>
      </c>
      <c r="U56" s="81">
        <f>(SUM(Q56:T56))*-1</f>
        <v>0</v>
      </c>
      <c r="V56" s="60">
        <v>-4149.4195431372545</v>
      </c>
      <c r="W56" s="60">
        <v>-3125.2606358490566</v>
      </c>
      <c r="X56" s="60">
        <v>-1691.7038727272729</v>
      </c>
      <c r="Y56" s="60">
        <v>-3295</v>
      </c>
      <c r="Z56" s="81">
        <f>-(SUM(V56:Y56))*-1</f>
        <v>-12261.384051713583</v>
      </c>
      <c r="AA56" s="60">
        <v>-460.88805242110107</v>
      </c>
      <c r="AB56" s="60">
        <v>-872.65372922839106</v>
      </c>
      <c r="AC56" s="60">
        <v>-1981.2475794799352</v>
      </c>
      <c r="AD56" s="60">
        <v>-252.25418592834058</v>
      </c>
      <c r="AE56" s="81">
        <f>SUM(AA56:AD56)</f>
        <v>-3567.0435470577681</v>
      </c>
      <c r="AF56" s="60">
        <v>-235.8</v>
      </c>
      <c r="AG56" s="60">
        <v>-1479.7939999999999</v>
      </c>
      <c r="AH56" s="60">
        <v>-2954.4059999999999</v>
      </c>
      <c r="AI56" s="60">
        <v>-2800</v>
      </c>
      <c r="AJ56" s="252">
        <f>SUM(AF56:AI56)</f>
        <v>-7470</v>
      </c>
      <c r="AK56" s="60">
        <v>-438.36996490895422</v>
      </c>
      <c r="AL56" s="60">
        <v>-338.01295364353996</v>
      </c>
      <c r="AM56" s="60">
        <v>-274.1892238427306</v>
      </c>
      <c r="AN56" s="60">
        <v>-1375.4248330984601</v>
      </c>
      <c r="AO56" s="81">
        <f>SUM(AK56:AN56)</f>
        <v>-2425.9969754936847</v>
      </c>
      <c r="AP56" s="27">
        <v>-3130</v>
      </c>
      <c r="AQ56" s="27">
        <v>-2173</v>
      </c>
      <c r="AR56" s="27">
        <v>-1809.3414681368699</v>
      </c>
      <c r="AS56" s="27">
        <v>-4099</v>
      </c>
      <c r="AT56" s="243">
        <f>SUM(AP56:AS56)</f>
        <v>-11211.34146813687</v>
      </c>
      <c r="AU56" s="27">
        <v>-2768</v>
      </c>
      <c r="AV56" s="27"/>
      <c r="AW56" s="27"/>
      <c r="AX56" s="27"/>
      <c r="AY56" s="243"/>
    </row>
    <row r="57" spans="1:51" s="89" customFormat="1">
      <c r="A57" s="83" t="s">
        <v>218</v>
      </c>
      <c r="B57" s="101">
        <v>0</v>
      </c>
      <c r="C57" s="101">
        <v>0</v>
      </c>
      <c r="D57" s="101">
        <v>0</v>
      </c>
      <c r="E57" s="101">
        <v>0</v>
      </c>
      <c r="F57" s="81">
        <f t="shared" ref="F57:F58" si="7">SUM(B57:E57)</f>
        <v>0</v>
      </c>
      <c r="G57" s="101">
        <v>0</v>
      </c>
      <c r="H57" s="101">
        <v>0</v>
      </c>
      <c r="I57" s="101">
        <v>0</v>
      </c>
      <c r="J57" s="101">
        <v>0</v>
      </c>
      <c r="K57" s="81">
        <f t="shared" ref="K57:K58" si="8">SUM(G57:J57)</f>
        <v>0</v>
      </c>
      <c r="L57" s="101">
        <v>0</v>
      </c>
      <c r="M57" s="101">
        <v>0</v>
      </c>
      <c r="N57" s="101">
        <v>0</v>
      </c>
      <c r="O57" s="101">
        <v>0</v>
      </c>
      <c r="P57" s="81">
        <f t="shared" ref="P57:P58" si="9">SUM(L57:O57)</f>
        <v>0</v>
      </c>
      <c r="Q57" s="101">
        <v>0</v>
      </c>
      <c r="R57" s="101">
        <v>0</v>
      </c>
      <c r="S57" s="101">
        <v>0</v>
      </c>
      <c r="T57" s="101">
        <v>0</v>
      </c>
      <c r="U57" s="81">
        <f>(SUM(Q57:T57))*-1</f>
        <v>0</v>
      </c>
      <c r="V57" s="60">
        <v>-636.58045686274511</v>
      </c>
      <c r="W57" s="60">
        <v>-788.7393641509434</v>
      </c>
      <c r="X57" s="60">
        <v>-917.29612727272718</v>
      </c>
      <c r="Y57" s="60">
        <v>-184</v>
      </c>
      <c r="Z57" s="81">
        <f>-(SUM(V57:Y57))*-1</f>
        <v>-2526.6159482864155</v>
      </c>
      <c r="AA57" s="60">
        <v>-1304.1119475788989</v>
      </c>
      <c r="AB57" s="60">
        <v>-2542.3462707716089</v>
      </c>
      <c r="AC57" s="60">
        <v>-2050.7519405200651</v>
      </c>
      <c r="AD57" s="60">
        <v>-1592.7462940716587</v>
      </c>
      <c r="AE57" s="81">
        <f t="shared" ref="AE57:AE58" si="10">SUM(AA57:AD57)</f>
        <v>-7489.9564529422323</v>
      </c>
      <c r="AF57" s="60">
        <v>-1734</v>
      </c>
      <c r="AG57" s="60">
        <v>-2374.2060000000001</v>
      </c>
      <c r="AH57" s="60">
        <v>-1812.7939999999999</v>
      </c>
      <c r="AI57" s="60">
        <v>-1064.9999999999991</v>
      </c>
      <c r="AJ57" s="252">
        <f t="shared" ref="AJ57:AJ58" si="11">SUM(AF57:AI57)</f>
        <v>-6985.9999999999991</v>
      </c>
      <c r="AK57" s="60">
        <v>-1016.6300350910458</v>
      </c>
      <c r="AL57" s="60">
        <v>-926.98704635646004</v>
      </c>
      <c r="AM57" s="60">
        <v>-1121.8107761572694</v>
      </c>
      <c r="AN57" s="60">
        <v>-88.575166901544904</v>
      </c>
      <c r="AO57" s="81">
        <f t="shared" ref="AO57:AO58" si="12">SUM(AK57:AN57)</f>
        <v>-3154.0030245063203</v>
      </c>
      <c r="AP57" s="27">
        <v>-798</v>
      </c>
      <c r="AQ57" s="27">
        <v>-919</v>
      </c>
      <c r="AR57" s="27">
        <v>-1390.37</v>
      </c>
      <c r="AS57" s="27">
        <v>-1389</v>
      </c>
      <c r="AT57" s="243">
        <f>SUM(AP57:AS57)</f>
        <v>-4496.37</v>
      </c>
      <c r="AU57" s="27">
        <v>-1313</v>
      </c>
      <c r="AV57" s="27"/>
      <c r="AW57" s="27"/>
      <c r="AX57" s="27"/>
      <c r="AY57" s="243"/>
    </row>
    <row r="58" spans="1:51" s="89" customFormat="1">
      <c r="A58" s="83" t="s">
        <v>219</v>
      </c>
      <c r="B58" s="101">
        <v>0</v>
      </c>
      <c r="C58" s="101">
        <v>0</v>
      </c>
      <c r="D58" s="101">
        <v>0</v>
      </c>
      <c r="E58" s="101">
        <v>0</v>
      </c>
      <c r="F58" s="81">
        <f t="shared" si="7"/>
        <v>0</v>
      </c>
      <c r="G58" s="101">
        <v>0</v>
      </c>
      <c r="H58" s="101">
        <v>0</v>
      </c>
      <c r="I58" s="101">
        <v>0</v>
      </c>
      <c r="J58" s="101">
        <v>0</v>
      </c>
      <c r="K58" s="81">
        <f t="shared" si="8"/>
        <v>0</v>
      </c>
      <c r="L58" s="101">
        <v>0</v>
      </c>
      <c r="M58" s="101">
        <v>0</v>
      </c>
      <c r="N58" s="101">
        <v>0</v>
      </c>
      <c r="O58" s="101">
        <v>0</v>
      </c>
      <c r="P58" s="81">
        <f t="shared" si="9"/>
        <v>0</v>
      </c>
      <c r="Q58" s="101">
        <v>0</v>
      </c>
      <c r="R58" s="101">
        <v>0</v>
      </c>
      <c r="S58" s="101">
        <v>0</v>
      </c>
      <c r="T58" s="101">
        <v>0</v>
      </c>
      <c r="U58" s="81">
        <f>(SUM(Q58:T58))*-1</f>
        <v>0</v>
      </c>
      <c r="V58" s="60">
        <v>0</v>
      </c>
      <c r="W58" s="60">
        <v>0</v>
      </c>
      <c r="X58" s="60">
        <v>0</v>
      </c>
      <c r="Y58" s="60">
        <v>0</v>
      </c>
      <c r="Z58" s="81">
        <f>(SUM(V58:Y58))*-1</f>
        <v>0</v>
      </c>
      <c r="AA58" s="60">
        <v>0</v>
      </c>
      <c r="AB58" s="60">
        <v>0</v>
      </c>
      <c r="AC58" s="60">
        <v>-3333</v>
      </c>
      <c r="AD58" s="60">
        <v>0</v>
      </c>
      <c r="AE58" s="81">
        <f t="shared" si="10"/>
        <v>-3333</v>
      </c>
      <c r="AF58" s="60">
        <v>-3333</v>
      </c>
      <c r="AG58" s="60">
        <v>0</v>
      </c>
      <c r="AH58" s="60">
        <v>0</v>
      </c>
      <c r="AI58" s="60">
        <v>0</v>
      </c>
      <c r="AJ58" s="252">
        <f t="shared" si="11"/>
        <v>-3333</v>
      </c>
      <c r="AK58" s="60">
        <v>0</v>
      </c>
      <c r="AL58" s="60">
        <v>0</v>
      </c>
      <c r="AM58" s="60">
        <v>0</v>
      </c>
      <c r="AN58" s="60">
        <v>0</v>
      </c>
      <c r="AO58" s="81">
        <f t="shared" si="12"/>
        <v>0</v>
      </c>
      <c r="AP58" s="27">
        <v>-1073</v>
      </c>
      <c r="AQ58" s="27">
        <v>-6044</v>
      </c>
      <c r="AR58" s="27">
        <v>-5092.2885318631306</v>
      </c>
      <c r="AS58" s="27">
        <v>-6735</v>
      </c>
      <c r="AT58" s="243">
        <f>SUM(AP58:AS58)</f>
        <v>-18944.288531863131</v>
      </c>
      <c r="AU58" s="27">
        <v>-9379</v>
      </c>
      <c r="AV58" s="27"/>
      <c r="AW58" s="27"/>
      <c r="AX58" s="27"/>
      <c r="AY58" s="243"/>
    </row>
    <row r="59" spans="1:51" s="3" customFormat="1">
      <c r="A59" s="33"/>
      <c r="F59" s="70"/>
      <c r="G59" s="35"/>
      <c r="H59" s="35"/>
      <c r="I59" s="35"/>
      <c r="J59" s="67"/>
      <c r="K59" s="68"/>
      <c r="L59" s="35"/>
      <c r="M59" s="35"/>
      <c r="N59" s="35"/>
      <c r="O59" s="67"/>
      <c r="P59" s="68"/>
      <c r="Q59" s="35"/>
      <c r="R59" s="35"/>
      <c r="S59" s="35"/>
      <c r="T59" s="67"/>
      <c r="U59" s="68"/>
      <c r="V59" s="35"/>
      <c r="W59" s="35"/>
      <c r="X59" s="35"/>
      <c r="Y59" s="67"/>
      <c r="Z59" s="68"/>
      <c r="AA59" s="35"/>
      <c r="AB59" s="35"/>
      <c r="AC59" s="35"/>
      <c r="AD59" s="67"/>
      <c r="AE59" s="68"/>
      <c r="AF59" s="35"/>
      <c r="AG59" s="35"/>
      <c r="AH59" s="35"/>
      <c r="AI59" s="67"/>
      <c r="AJ59" s="68"/>
      <c r="AK59" s="35"/>
      <c r="AL59" s="35"/>
      <c r="AM59" s="35"/>
      <c r="AN59" s="67"/>
      <c r="AO59" s="68"/>
      <c r="AP59" s="22"/>
      <c r="AQ59" s="35"/>
      <c r="AR59" s="35"/>
      <c r="AS59" s="67"/>
      <c r="AT59" s="68"/>
      <c r="AU59" s="22"/>
      <c r="AV59" s="35"/>
      <c r="AW59" s="35"/>
      <c r="AX59" s="67"/>
      <c r="AY59" s="68"/>
    </row>
    <row r="60" spans="1:51" s="89" customFormat="1">
      <c r="A60" s="31" t="s">
        <v>72</v>
      </c>
      <c r="B60" s="64">
        <v>-2863</v>
      </c>
      <c r="C60" s="64">
        <v>3584</v>
      </c>
      <c r="D60" s="64">
        <v>7523</v>
      </c>
      <c r="E60" s="64">
        <v>-718</v>
      </c>
      <c r="F60" s="68">
        <v>7526</v>
      </c>
      <c r="G60" s="89">
        <v>4166</v>
      </c>
      <c r="H60" s="89">
        <v>-1138</v>
      </c>
      <c r="I60" s="89">
        <v>4372</v>
      </c>
      <c r="J60" s="67">
        <v>4058</v>
      </c>
      <c r="K60" s="68">
        <v>11458</v>
      </c>
      <c r="L60" s="89">
        <v>4872</v>
      </c>
      <c r="M60" s="89">
        <v>1784</v>
      </c>
      <c r="N60" s="89">
        <v>4922</v>
      </c>
      <c r="O60" s="67">
        <v>5504</v>
      </c>
      <c r="P60" s="68">
        <v>17082</v>
      </c>
      <c r="Q60" s="89">
        <v>685</v>
      </c>
      <c r="R60" s="89">
        <v>11322</v>
      </c>
      <c r="S60" s="89">
        <v>18793</v>
      </c>
      <c r="T60" s="67">
        <v>27005</v>
      </c>
      <c r="U60" s="68">
        <v>57805</v>
      </c>
      <c r="V60" s="89">
        <v>18209</v>
      </c>
      <c r="W60" s="89">
        <v>9468</v>
      </c>
      <c r="X60" s="89">
        <v>15229</v>
      </c>
      <c r="Y60" s="67">
        <v>1679</v>
      </c>
      <c r="Z60" s="68">
        <v>44585</v>
      </c>
      <c r="AA60" s="89">
        <v>4988</v>
      </c>
      <c r="AB60" s="89">
        <v>9180</v>
      </c>
      <c r="AC60" s="89">
        <v>9010</v>
      </c>
      <c r="AD60" s="67">
        <v>26021</v>
      </c>
      <c r="AE60" s="68">
        <v>49199</v>
      </c>
      <c r="AF60" s="89">
        <v>12594</v>
      </c>
      <c r="AG60" s="89">
        <v>3011</v>
      </c>
      <c r="AH60" s="89">
        <v>2020</v>
      </c>
      <c r="AI60" s="67">
        <v>9830</v>
      </c>
      <c r="AJ60" s="68">
        <v>27455</v>
      </c>
      <c r="AK60" s="64">
        <v>15505</v>
      </c>
      <c r="AL60" s="64">
        <v>7541</v>
      </c>
      <c r="AM60" s="64">
        <v>9651</v>
      </c>
      <c r="AN60" s="67">
        <v>6429</v>
      </c>
      <c r="AO60" s="68">
        <v>39122</v>
      </c>
      <c r="AP60" s="64">
        <v>13516</v>
      </c>
      <c r="AQ60" s="64">
        <v>16181</v>
      </c>
      <c r="AR60" s="64">
        <v>20735</v>
      </c>
      <c r="AS60" s="67">
        <v>21705</v>
      </c>
      <c r="AT60" s="72">
        <f>SUM(AP60:AS60)</f>
        <v>72137</v>
      </c>
      <c r="AU60" s="64"/>
      <c r="AV60" s="64"/>
      <c r="AW60" s="64"/>
      <c r="AX60" s="67"/>
      <c r="AY60" s="72"/>
    </row>
    <row r="61" spans="1:51" s="157" customFormat="1">
      <c r="A61" s="134" t="s">
        <v>220</v>
      </c>
      <c r="B61" s="154">
        <v>-0.28860887096774196</v>
      </c>
      <c r="C61" s="154">
        <v>0.25150877192982457</v>
      </c>
      <c r="D61" s="154">
        <v>0.35249742292193798</v>
      </c>
      <c r="E61" s="154">
        <v>-4.6897452645329851E-2</v>
      </c>
      <c r="F61" s="155">
        <v>0.12373812107461116</v>
      </c>
      <c r="G61" s="156">
        <v>0.20933621426058993</v>
      </c>
      <c r="H61" s="156">
        <v>-6.0660980810234542E-2</v>
      </c>
      <c r="I61" s="156">
        <v>0.26054827175208584</v>
      </c>
      <c r="J61" s="156">
        <v>0.22940810673299791</v>
      </c>
      <c r="K61" s="155">
        <v>0.15667988513605907</v>
      </c>
      <c r="L61" s="156">
        <v>0.27447887323943659</v>
      </c>
      <c r="M61" s="156">
        <v>0.10347427643408155</v>
      </c>
      <c r="N61" s="156">
        <v>0.22771223687254222</v>
      </c>
      <c r="O61" s="156">
        <v>0.28510748510748513</v>
      </c>
      <c r="P61" s="155">
        <v>0.22502667597581377</v>
      </c>
      <c r="Q61" s="156">
        <v>5.5407263609156356E-2</v>
      </c>
      <c r="R61" s="156">
        <v>0.39099354214870324</v>
      </c>
      <c r="S61" s="156">
        <v>0.60858160621761659</v>
      </c>
      <c r="T61" s="156">
        <v>0.63479937001951059</v>
      </c>
      <c r="U61" s="155">
        <v>0.50378678937781618</v>
      </c>
      <c r="V61" s="156">
        <v>0.55479723347856558</v>
      </c>
      <c r="W61" s="156">
        <v>0.35271765450955556</v>
      </c>
      <c r="X61" s="156">
        <v>0.52114844979809727</v>
      </c>
      <c r="Y61" s="156">
        <v>5.799454250284964E-2</v>
      </c>
      <c r="Z61" s="155">
        <v>0.37836163514006638</v>
      </c>
      <c r="AA61" s="156">
        <v>0.24606580829756797</v>
      </c>
      <c r="AB61" s="156">
        <v>0.37694013303769403</v>
      </c>
      <c r="AC61" s="156">
        <v>0.30364304249654567</v>
      </c>
      <c r="AD61" s="156">
        <v>0.56610464483846401</v>
      </c>
      <c r="AE61" s="155">
        <v>0.40909506664560175</v>
      </c>
      <c r="AF61" s="156">
        <v>0.51278501628664497</v>
      </c>
      <c r="AG61" s="156">
        <v>0.23039253194582601</v>
      </c>
      <c r="AH61" s="156">
        <v>0.10866057019903173</v>
      </c>
      <c r="AI61" s="156">
        <v>0.35661164520224925</v>
      </c>
      <c r="AJ61" s="155">
        <v>0.32768786403131861</v>
      </c>
      <c r="AK61" s="156">
        <v>0.59618564232706583</v>
      </c>
      <c r="AL61" s="156">
        <v>0.39706192080876157</v>
      </c>
      <c r="AM61" s="156">
        <v>0.39706192080876157</v>
      </c>
      <c r="AN61" s="156">
        <v>0.24704119274515832</v>
      </c>
      <c r="AO61" s="155">
        <f>AN61</f>
        <v>0.24704119274515832</v>
      </c>
      <c r="AP61" s="154">
        <v>0.51288278374378626</v>
      </c>
      <c r="AQ61" s="156">
        <f>AQ60/AQ30</f>
        <v>0.60578039010145635</v>
      </c>
      <c r="AR61" s="156">
        <f>AR60/AR30</f>
        <v>0.66409377702334815</v>
      </c>
      <c r="AS61" s="156">
        <f>AS60/AS30</f>
        <v>0.60121322918397868</v>
      </c>
      <c r="AT61" s="155">
        <f>AS61</f>
        <v>0.60121322918397868</v>
      </c>
      <c r="AU61" s="154"/>
      <c r="AV61" s="156"/>
      <c r="AW61" s="156"/>
      <c r="AX61" s="156"/>
      <c r="AY61" s="155"/>
    </row>
    <row r="62" spans="1:51" s="3" customFormat="1">
      <c r="A62" s="121"/>
      <c r="B62" s="121"/>
      <c r="C62" s="121"/>
      <c r="D62" s="121"/>
      <c r="E62" s="121"/>
      <c r="F62" s="142"/>
      <c r="G62" s="76"/>
      <c r="H62" s="76"/>
      <c r="I62" s="76"/>
      <c r="J62" s="76"/>
      <c r="K62" s="125"/>
      <c r="L62" s="76"/>
      <c r="M62" s="76"/>
      <c r="N62" s="76"/>
      <c r="O62" s="76"/>
      <c r="P62" s="125"/>
      <c r="Q62" s="76"/>
      <c r="R62" s="76"/>
      <c r="S62" s="76"/>
      <c r="T62" s="76"/>
      <c r="U62" s="125"/>
      <c r="V62" s="76"/>
      <c r="W62" s="76"/>
      <c r="X62" s="76"/>
      <c r="Y62" s="76"/>
      <c r="Z62" s="125"/>
      <c r="AA62" s="76"/>
      <c r="AB62" s="76"/>
      <c r="AC62" s="76"/>
      <c r="AD62" s="76"/>
      <c r="AE62" s="125"/>
      <c r="AF62" s="76"/>
      <c r="AG62" s="76"/>
      <c r="AH62" s="76"/>
      <c r="AI62" s="76"/>
      <c r="AJ62" s="125"/>
      <c r="AK62" s="76"/>
      <c r="AL62" s="76"/>
      <c r="AM62" s="76"/>
      <c r="AN62" s="76"/>
      <c r="AO62" s="125"/>
      <c r="AP62" s="123"/>
      <c r="AQ62" s="76"/>
      <c r="AR62" s="76"/>
      <c r="AS62" s="76"/>
      <c r="AT62" s="125"/>
      <c r="AU62" s="123"/>
      <c r="AV62" s="76"/>
      <c r="AW62" s="76"/>
      <c r="AX62" s="76"/>
      <c r="AY62" s="125"/>
    </row>
    <row r="64" spans="1:51" ht="100.8">
      <c r="A64" s="265" t="s">
        <v>310</v>
      </c>
      <c r="AF64" s="28"/>
      <c r="AG64" s="28"/>
      <c r="AH64" s="28"/>
      <c r="AI64" s="28"/>
      <c r="AJ64" s="28"/>
      <c r="AK64" s="28"/>
      <c r="AL64" s="28"/>
      <c r="AM64" s="28"/>
      <c r="AN64" s="28"/>
      <c r="AO64" s="28"/>
      <c r="AP64" s="28"/>
      <c r="AQ64" s="242"/>
      <c r="AR64" s="242"/>
      <c r="AS64" s="28"/>
      <c r="AT64" s="28"/>
      <c r="AU64" s="28"/>
      <c r="AV64" s="242"/>
      <c r="AW64" s="242"/>
      <c r="AX64" s="28"/>
      <c r="AY64" s="28"/>
    </row>
  </sheetData>
  <pageMargins left="0.7" right="0.7" top="0.75" bottom="0.75" header="0.3" footer="0.3"/>
  <ignoredErrors>
    <ignoredError sqref="AT13:AT14 AT22:AT23 AT29:AT32 AT34 AT36:AT38 AT50:AT51 AT60" formulaRange="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0665D-45D9-4D0E-B893-C495A7D3EA9D}">
  <sheetPr>
    <tabColor rgb="FF2D3D70"/>
  </sheetPr>
  <dimension ref="A3:AY66"/>
  <sheetViews>
    <sheetView showGridLines="0" topLeftCell="A3" zoomScaleNormal="100" workbookViewId="0">
      <pane xSplit="1" ySplit="4" topLeftCell="B7" activePane="bottomRight" state="frozen"/>
      <selection activeCell="A3" sqref="A3"/>
      <selection pane="topRight" activeCell="B3" sqref="B3"/>
      <selection pane="bottomLeft" activeCell="A7" sqref="A7"/>
      <selection pane="bottomRight" activeCell="A6" sqref="A6"/>
    </sheetView>
  </sheetViews>
  <sheetFormatPr defaultColWidth="8.88671875" defaultRowHeight="14.4"/>
  <cols>
    <col min="1" max="1" width="38.5546875" style="1" bestFit="1" customWidth="1"/>
    <col min="2" max="5" width="11" style="1" bestFit="1" customWidth="1"/>
    <col min="6" max="6" width="11.33203125" style="1" bestFit="1" customWidth="1"/>
    <col min="7" max="10" width="11" style="1" bestFit="1" customWidth="1"/>
    <col min="11" max="11" width="11.33203125" style="1" bestFit="1" customWidth="1"/>
    <col min="12" max="15" width="11" style="1" bestFit="1" customWidth="1"/>
    <col min="16" max="16" width="11.33203125" style="1" bestFit="1" customWidth="1"/>
    <col min="17" max="20" width="11" style="1" bestFit="1" customWidth="1"/>
    <col min="21" max="21" width="11.33203125" style="1" bestFit="1" customWidth="1"/>
    <col min="22" max="25" width="11" style="1" bestFit="1" customWidth="1"/>
    <col min="26" max="26" width="11.33203125" style="1" bestFit="1" customWidth="1"/>
    <col min="27" max="30" width="11" style="1" bestFit="1" customWidth="1"/>
    <col min="31" max="31" width="11.33203125" style="1" bestFit="1" customWidth="1"/>
    <col min="32" max="35" width="12.109375" style="1" bestFit="1" customWidth="1"/>
    <col min="36" max="36" width="11.33203125" style="1" bestFit="1" customWidth="1"/>
    <col min="37" max="40" width="12.109375" style="1" bestFit="1" customWidth="1"/>
    <col min="41" max="41" width="13.33203125" style="1" bestFit="1" customWidth="1"/>
    <col min="42" max="44" width="11.109375" style="1" customWidth="1"/>
    <col min="45" max="45" width="12.109375" style="1" bestFit="1" customWidth="1"/>
    <col min="46" max="46" width="13.33203125" style="1" bestFit="1" customWidth="1"/>
    <col min="47" max="49" width="11.109375" style="1" customWidth="1"/>
    <col min="50" max="50" width="12.109375" style="1" bestFit="1" customWidth="1"/>
    <col min="51" max="51" width="13.33203125" style="1" bestFit="1" customWidth="1"/>
    <col min="52" max="16384" width="8.88671875" style="1"/>
  </cols>
  <sheetData>
    <row r="3" spans="1:51">
      <c r="B3"/>
      <c r="C3"/>
    </row>
    <row r="5" spans="1:51">
      <c r="A5" s="8"/>
    </row>
    <row r="6" spans="1:51">
      <c r="A6" s="45"/>
      <c r="B6" s="10" t="s">
        <v>15</v>
      </c>
      <c r="C6" s="10" t="s">
        <v>16</v>
      </c>
      <c r="D6" s="10" t="s">
        <v>17</v>
      </c>
      <c r="E6" s="10" t="s">
        <v>18</v>
      </c>
      <c r="F6" s="11">
        <v>2017</v>
      </c>
      <c r="G6" s="10" t="s">
        <v>19</v>
      </c>
      <c r="H6" s="10" t="s">
        <v>20</v>
      </c>
      <c r="I6" s="10" t="s">
        <v>21</v>
      </c>
      <c r="J6" s="10" t="s">
        <v>22</v>
      </c>
      <c r="K6" s="11">
        <v>2018</v>
      </c>
      <c r="L6" s="10" t="s">
        <v>23</v>
      </c>
      <c r="M6" s="10" t="s">
        <v>24</v>
      </c>
      <c r="N6" s="10" t="s">
        <v>25</v>
      </c>
      <c r="O6" s="10" t="s">
        <v>26</v>
      </c>
      <c r="P6" s="11">
        <v>2019</v>
      </c>
      <c r="Q6" s="10" t="s">
        <v>27</v>
      </c>
      <c r="R6" s="10" t="s">
        <v>28</v>
      </c>
      <c r="S6" s="10" t="s">
        <v>29</v>
      </c>
      <c r="T6" s="10" t="s">
        <v>30</v>
      </c>
      <c r="U6" s="11">
        <v>2020</v>
      </c>
      <c r="V6" s="10" t="s">
        <v>31</v>
      </c>
      <c r="W6" s="10" t="s">
        <v>32</v>
      </c>
      <c r="X6" s="10" t="s">
        <v>33</v>
      </c>
      <c r="Y6" s="10" t="s">
        <v>34</v>
      </c>
      <c r="Z6" s="11">
        <v>2021</v>
      </c>
      <c r="AA6" s="10" t="s">
        <v>35</v>
      </c>
      <c r="AB6" s="10" t="s">
        <v>36</v>
      </c>
      <c r="AC6" s="10" t="s">
        <v>37</v>
      </c>
      <c r="AD6" s="10" t="s">
        <v>38</v>
      </c>
      <c r="AE6" s="11">
        <v>2022</v>
      </c>
      <c r="AF6" s="10" t="s">
        <v>39</v>
      </c>
      <c r="AG6" s="10" t="s">
        <v>40</v>
      </c>
      <c r="AH6" s="10" t="s">
        <v>41</v>
      </c>
      <c r="AI6" s="10" t="s">
        <v>42</v>
      </c>
      <c r="AJ6" s="12">
        <v>2023</v>
      </c>
      <c r="AK6" s="10" t="s">
        <v>43</v>
      </c>
      <c r="AL6" s="10" t="s">
        <v>44</v>
      </c>
      <c r="AM6" s="10" t="s">
        <v>45</v>
      </c>
      <c r="AN6" s="10" t="s">
        <v>46</v>
      </c>
      <c r="AO6" s="12">
        <v>2024</v>
      </c>
      <c r="AP6" s="10" t="s">
        <v>47</v>
      </c>
      <c r="AQ6" s="10" t="s">
        <v>48</v>
      </c>
      <c r="AR6" s="10" t="s">
        <v>49</v>
      </c>
      <c r="AS6" s="10" t="s">
        <v>50</v>
      </c>
      <c r="AT6" s="12">
        <v>2025</v>
      </c>
      <c r="AU6" s="10" t="s">
        <v>51</v>
      </c>
      <c r="AV6" s="10" t="s">
        <v>52</v>
      </c>
      <c r="AW6" s="10" t="s">
        <v>53</v>
      </c>
      <c r="AX6" s="10" t="s">
        <v>54</v>
      </c>
      <c r="AY6" s="12">
        <v>2026</v>
      </c>
    </row>
    <row r="7" spans="1:51">
      <c r="A7" s="13" t="s">
        <v>235</v>
      </c>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8"/>
      <c r="AK7" s="46"/>
      <c r="AL7" s="46"/>
      <c r="AM7" s="46"/>
      <c r="AN7" s="46"/>
      <c r="AO7" s="48"/>
      <c r="AP7" s="46"/>
      <c r="AQ7" s="46"/>
      <c r="AR7" s="46"/>
      <c r="AS7" s="46"/>
      <c r="AT7" s="48"/>
      <c r="AU7" s="46"/>
      <c r="AV7" s="46"/>
      <c r="AW7" s="46"/>
      <c r="AX7" s="46"/>
      <c r="AY7" s="48"/>
    </row>
    <row r="8" spans="1:51" s="3" customFormat="1">
      <c r="A8" s="126"/>
      <c r="F8" s="69"/>
      <c r="K8" s="69"/>
      <c r="P8" s="69"/>
      <c r="U8" s="69"/>
      <c r="Z8" s="69"/>
      <c r="AE8" s="69"/>
      <c r="AJ8" s="69"/>
      <c r="AO8" s="69"/>
      <c r="AT8" s="69"/>
      <c r="AY8" s="69"/>
    </row>
    <row r="9" spans="1:51" s="3" customFormat="1">
      <c r="A9" s="31" t="s">
        <v>222</v>
      </c>
      <c r="B9" s="35"/>
      <c r="C9" s="35"/>
      <c r="D9" s="35"/>
      <c r="E9" s="60"/>
      <c r="F9" s="69"/>
      <c r="G9" s="35"/>
      <c r="H9" s="35"/>
      <c r="I9" s="35"/>
      <c r="J9" s="60"/>
      <c r="K9" s="69"/>
      <c r="L9" s="35"/>
      <c r="M9" s="35"/>
      <c r="N9" s="35"/>
      <c r="O9" s="60"/>
      <c r="P9" s="69"/>
      <c r="Q9" s="35"/>
      <c r="R9" s="35"/>
      <c r="S9" s="35"/>
      <c r="T9" s="60"/>
      <c r="U9" s="69"/>
      <c r="V9" s="35"/>
      <c r="W9" s="35"/>
      <c r="X9" s="35"/>
      <c r="Y9" s="60"/>
      <c r="Z9" s="69"/>
      <c r="AA9" s="35"/>
      <c r="AB9" s="35"/>
      <c r="AC9" s="35"/>
      <c r="AD9" s="60"/>
      <c r="AE9" s="69"/>
      <c r="AF9" s="35"/>
      <c r="AG9" s="35"/>
      <c r="AH9" s="35"/>
      <c r="AI9" s="60"/>
      <c r="AJ9" s="69"/>
      <c r="AK9" s="35"/>
      <c r="AL9" s="35"/>
      <c r="AM9" s="35"/>
      <c r="AN9" s="60"/>
      <c r="AO9" s="69"/>
      <c r="AP9" s="22"/>
      <c r="AQ9" s="35"/>
      <c r="AR9" s="35"/>
      <c r="AS9" s="60"/>
      <c r="AT9" s="69"/>
      <c r="AU9" s="22"/>
      <c r="AV9" s="35"/>
      <c r="AW9" s="35"/>
      <c r="AX9" s="60"/>
      <c r="AY9" s="69"/>
    </row>
    <row r="10" spans="1:51" s="3" customFormat="1">
      <c r="A10" s="33" t="s">
        <v>177</v>
      </c>
      <c r="B10" s="27"/>
      <c r="C10" s="27"/>
      <c r="D10" s="27"/>
      <c r="E10" s="27"/>
      <c r="F10" s="72">
        <v>1098000</v>
      </c>
      <c r="G10" s="27">
        <v>1098000</v>
      </c>
      <c r="H10" s="27">
        <v>1098000</v>
      </c>
      <c r="I10" s="27">
        <v>1098000</v>
      </c>
      <c r="J10" s="27">
        <v>1098000</v>
      </c>
      <c r="K10" s="72">
        <v>941000</v>
      </c>
      <c r="L10" s="27">
        <v>941000</v>
      </c>
      <c r="M10" s="27">
        <v>941000</v>
      </c>
      <c r="N10" s="27">
        <v>941000</v>
      </c>
      <c r="O10" s="27">
        <v>941000</v>
      </c>
      <c r="P10" s="72">
        <v>991000</v>
      </c>
      <c r="Q10" s="27">
        <v>991000</v>
      </c>
      <c r="R10" s="27">
        <v>991000</v>
      </c>
      <c r="S10" s="27">
        <v>991000</v>
      </c>
      <c r="T10" s="27">
        <v>991000</v>
      </c>
      <c r="U10" s="72">
        <v>836000</v>
      </c>
      <c r="V10" s="27">
        <v>836000</v>
      </c>
      <c r="W10" s="27">
        <v>836000</v>
      </c>
      <c r="X10" s="27">
        <v>836000</v>
      </c>
      <c r="Y10" s="27">
        <v>836000</v>
      </c>
      <c r="Z10" s="72">
        <v>751000</v>
      </c>
      <c r="AA10" s="27">
        <v>751000</v>
      </c>
      <c r="AB10" s="27">
        <v>751000</v>
      </c>
      <c r="AC10" s="27">
        <v>751000</v>
      </c>
      <c r="AD10" s="27">
        <v>751000</v>
      </c>
      <c r="AE10" s="72">
        <v>681000</v>
      </c>
      <c r="AF10" s="27">
        <v>681000</v>
      </c>
      <c r="AG10" s="27">
        <v>681000</v>
      </c>
      <c r="AH10" s="27">
        <v>681000</v>
      </c>
      <c r="AI10" s="27">
        <v>681000</v>
      </c>
      <c r="AJ10" s="72">
        <v>551000</v>
      </c>
      <c r="AK10" s="27">
        <v>551000</v>
      </c>
      <c r="AL10" s="27">
        <v>551000</v>
      </c>
      <c r="AM10" s="27">
        <v>551000</v>
      </c>
      <c r="AN10" s="27">
        <v>551000</v>
      </c>
      <c r="AO10" s="72">
        <v>429187</v>
      </c>
      <c r="AP10" s="27">
        <v>429187</v>
      </c>
      <c r="AQ10" s="27">
        <v>429187</v>
      </c>
      <c r="AR10" s="27">
        <v>429187</v>
      </c>
      <c r="AS10" s="27">
        <v>429187</v>
      </c>
      <c r="AT10" s="72">
        <f>AS10</f>
        <v>429187</v>
      </c>
      <c r="AU10" s="27">
        <v>396765.60200000001</v>
      </c>
      <c r="AV10" s="27"/>
      <c r="AW10" s="27"/>
      <c r="AX10" s="27"/>
      <c r="AY10" s="72"/>
    </row>
    <row r="11" spans="1:51" s="3" customFormat="1">
      <c r="A11" s="33" t="s">
        <v>178</v>
      </c>
      <c r="B11" s="27"/>
      <c r="C11" s="27"/>
      <c r="D11" s="27"/>
      <c r="E11" s="27"/>
      <c r="F11" s="72">
        <v>1442000</v>
      </c>
      <c r="G11" s="27">
        <v>1442000</v>
      </c>
      <c r="H11" s="27">
        <v>1442000</v>
      </c>
      <c r="I11" s="27">
        <v>1442000</v>
      </c>
      <c r="J11" s="27">
        <v>1442000</v>
      </c>
      <c r="K11" s="72">
        <v>1356000</v>
      </c>
      <c r="L11" s="27">
        <v>1356000</v>
      </c>
      <c r="M11" s="27">
        <v>1356000</v>
      </c>
      <c r="N11" s="27">
        <v>1356000</v>
      </c>
      <c r="O11" s="27">
        <v>1356000</v>
      </c>
      <c r="P11" s="72">
        <v>1338000</v>
      </c>
      <c r="Q11" s="27">
        <v>1338000</v>
      </c>
      <c r="R11" s="27">
        <v>1338000</v>
      </c>
      <c r="S11" s="27">
        <v>1338000</v>
      </c>
      <c r="T11" s="27">
        <v>1338000</v>
      </c>
      <c r="U11" s="72">
        <v>1172000</v>
      </c>
      <c r="V11" s="27">
        <v>1172000</v>
      </c>
      <c r="W11" s="27">
        <v>1172000</v>
      </c>
      <c r="X11" s="27">
        <v>1172000</v>
      </c>
      <c r="Y11" s="27">
        <v>1172000</v>
      </c>
      <c r="Z11" s="72">
        <v>1100000</v>
      </c>
      <c r="AA11" s="27">
        <v>1100000</v>
      </c>
      <c r="AB11" s="27">
        <v>1100000</v>
      </c>
      <c r="AC11" s="27">
        <v>1100000</v>
      </c>
      <c r="AD11" s="27">
        <v>1100000</v>
      </c>
      <c r="AE11" s="72">
        <v>1134000</v>
      </c>
      <c r="AF11" s="27">
        <v>1134000</v>
      </c>
      <c r="AG11" s="27">
        <v>1134000</v>
      </c>
      <c r="AH11" s="27">
        <v>1134000</v>
      </c>
      <c r="AI11" s="27">
        <v>1134000</v>
      </c>
      <c r="AJ11" s="72">
        <v>978000</v>
      </c>
      <c r="AK11" s="27">
        <v>978000</v>
      </c>
      <c r="AL11" s="27">
        <v>978000</v>
      </c>
      <c r="AM11" s="27">
        <v>978000</v>
      </c>
      <c r="AN11" s="27">
        <v>978000</v>
      </c>
      <c r="AO11" s="72">
        <v>821000</v>
      </c>
      <c r="AP11" s="27">
        <v>821000</v>
      </c>
      <c r="AQ11" s="27">
        <v>821000</v>
      </c>
      <c r="AR11" s="27">
        <v>821000</v>
      </c>
      <c r="AS11" s="27">
        <v>821000</v>
      </c>
      <c r="AT11" s="72">
        <f t="shared" ref="AT11:AT18" si="0">AS11</f>
        <v>821000</v>
      </c>
      <c r="AU11" s="27">
        <v>750682.11899999995</v>
      </c>
      <c r="AV11" s="27"/>
      <c r="AW11" s="27"/>
      <c r="AX11" s="27"/>
      <c r="AY11" s="72"/>
    </row>
    <row r="12" spans="1:51" s="3" customFormat="1">
      <c r="A12" s="33" t="s">
        <v>179</v>
      </c>
      <c r="B12" s="35"/>
      <c r="C12" s="35"/>
      <c r="D12" s="35"/>
      <c r="E12" s="35"/>
      <c r="F12" s="72">
        <v>210000</v>
      </c>
      <c r="G12" s="35">
        <v>210000</v>
      </c>
      <c r="H12" s="35">
        <v>210000</v>
      </c>
      <c r="I12" s="35">
        <v>210000</v>
      </c>
      <c r="J12" s="35">
        <v>210000</v>
      </c>
      <c r="K12" s="72">
        <v>214000</v>
      </c>
      <c r="L12" s="35">
        <v>214000</v>
      </c>
      <c r="M12" s="35">
        <v>214000</v>
      </c>
      <c r="N12" s="35">
        <v>214000</v>
      </c>
      <c r="O12" s="35">
        <v>214000</v>
      </c>
      <c r="P12" s="72">
        <v>196000</v>
      </c>
      <c r="Q12" s="35">
        <v>196000</v>
      </c>
      <c r="R12" s="35">
        <v>196000</v>
      </c>
      <c r="S12" s="35">
        <v>196000</v>
      </c>
      <c r="T12" s="35">
        <v>196000</v>
      </c>
      <c r="U12" s="72">
        <v>103000</v>
      </c>
      <c r="V12" s="35">
        <v>103000</v>
      </c>
      <c r="W12" s="35">
        <v>103000</v>
      </c>
      <c r="X12" s="35">
        <v>103000</v>
      </c>
      <c r="Y12" s="35">
        <v>103000</v>
      </c>
      <c r="Z12" s="72">
        <v>103000</v>
      </c>
      <c r="AA12" s="35">
        <v>103000</v>
      </c>
      <c r="AB12" s="35">
        <v>103000</v>
      </c>
      <c r="AC12" s="35">
        <v>103000</v>
      </c>
      <c r="AD12" s="35">
        <v>103000</v>
      </c>
      <c r="AE12" s="72">
        <v>138000</v>
      </c>
      <c r="AF12" s="35">
        <v>138000</v>
      </c>
      <c r="AG12" s="35">
        <v>138000</v>
      </c>
      <c r="AH12" s="35">
        <v>138000</v>
      </c>
      <c r="AI12" s="35">
        <v>138000</v>
      </c>
      <c r="AJ12" s="72">
        <v>136000</v>
      </c>
      <c r="AK12" s="35">
        <v>136000</v>
      </c>
      <c r="AL12" s="35">
        <v>136000</v>
      </c>
      <c r="AM12" s="35">
        <v>136000</v>
      </c>
      <c r="AN12" s="35">
        <v>136000</v>
      </c>
      <c r="AO12" s="72">
        <v>123000</v>
      </c>
      <c r="AP12" s="22">
        <v>123000</v>
      </c>
      <c r="AQ12" s="35">
        <v>123000</v>
      </c>
      <c r="AR12" s="35">
        <v>123000</v>
      </c>
      <c r="AS12" s="35">
        <v>123000</v>
      </c>
      <c r="AT12" s="72">
        <f t="shared" si="0"/>
        <v>123000</v>
      </c>
      <c r="AU12" s="22">
        <v>111641.909</v>
      </c>
      <c r="AV12" s="35"/>
      <c r="AW12" s="35"/>
      <c r="AX12" s="35"/>
      <c r="AY12" s="72"/>
    </row>
    <row r="13" spans="1:51" s="3" customFormat="1">
      <c r="A13" s="33"/>
      <c r="F13" s="69"/>
      <c r="K13" s="69"/>
      <c r="P13" s="69"/>
      <c r="U13" s="69"/>
      <c r="Z13" s="69"/>
      <c r="AE13" s="69"/>
      <c r="AJ13" s="69"/>
      <c r="AO13" s="69"/>
      <c r="AT13" s="69"/>
      <c r="AY13" s="69"/>
    </row>
    <row r="14" spans="1:51" s="89" customFormat="1">
      <c r="A14" s="31" t="s">
        <v>183</v>
      </c>
      <c r="B14" s="67">
        <v>1705028</v>
      </c>
      <c r="C14" s="67">
        <v>1655213</v>
      </c>
      <c r="D14" s="67">
        <v>1537568</v>
      </c>
      <c r="E14" s="67">
        <v>1795520</v>
      </c>
      <c r="F14" s="72">
        <v>6693329</v>
      </c>
      <c r="G14" s="67">
        <v>1788693</v>
      </c>
      <c r="H14" s="67">
        <v>1583416</v>
      </c>
      <c r="I14" s="67">
        <v>1568704</v>
      </c>
      <c r="J14" s="67">
        <v>1101262</v>
      </c>
      <c r="K14" s="72">
        <v>6042075</v>
      </c>
      <c r="L14" s="67">
        <v>835195</v>
      </c>
      <c r="M14" s="67">
        <v>1508248</v>
      </c>
      <c r="N14" s="67">
        <v>1656375</v>
      </c>
      <c r="O14" s="67">
        <v>1178232</v>
      </c>
      <c r="P14" s="72">
        <v>5178049</v>
      </c>
      <c r="Q14" s="67">
        <v>1109357</v>
      </c>
      <c r="R14" s="67">
        <v>413321</v>
      </c>
      <c r="S14" s="67">
        <v>1292365</v>
      </c>
      <c r="T14" s="67">
        <v>1299305</v>
      </c>
      <c r="U14" s="72">
        <v>4114347</v>
      </c>
      <c r="V14" s="67">
        <v>1439131</v>
      </c>
      <c r="W14" s="67">
        <v>1619889</v>
      </c>
      <c r="X14" s="67">
        <v>984671</v>
      </c>
      <c r="Y14" s="67">
        <v>1700235</v>
      </c>
      <c r="Z14" s="72">
        <v>5743927</v>
      </c>
      <c r="AA14" s="67">
        <v>1655554</v>
      </c>
      <c r="AB14" s="67">
        <v>1342644</v>
      </c>
      <c r="AC14" s="67">
        <v>1001420</v>
      </c>
      <c r="AD14" s="67">
        <v>1442443</v>
      </c>
      <c r="AE14" s="72">
        <v>5442060.7400000002</v>
      </c>
      <c r="AF14" s="67">
        <v>1608327</v>
      </c>
      <c r="AG14" s="67">
        <v>1628442</v>
      </c>
      <c r="AH14" s="67">
        <v>1745610</v>
      </c>
      <c r="AI14" s="67">
        <v>2114093</v>
      </c>
      <c r="AJ14" s="72">
        <v>7096471.8500000006</v>
      </c>
      <c r="AK14" s="67">
        <v>2208159</v>
      </c>
      <c r="AL14" s="67">
        <v>2233086.3000000003</v>
      </c>
      <c r="AM14" s="67">
        <v>2222596</v>
      </c>
      <c r="AN14" s="67">
        <v>1790504</v>
      </c>
      <c r="AO14" s="72">
        <v>8454345</v>
      </c>
      <c r="AP14" s="20">
        <v>2110055.4299999997</v>
      </c>
      <c r="AQ14" s="67">
        <v>2319904.6097500003</v>
      </c>
      <c r="AR14" s="67">
        <v>2661266.6518417145</v>
      </c>
      <c r="AS14" s="67">
        <v>2653942</v>
      </c>
      <c r="AT14" s="72">
        <f>SUM(AP14:AS14)</f>
        <v>9745168.6915917154</v>
      </c>
      <c r="AU14" s="20">
        <v>2698679</v>
      </c>
      <c r="AV14" s="67"/>
      <c r="AW14" s="67"/>
      <c r="AX14" s="67"/>
      <c r="AY14" s="72"/>
    </row>
    <row r="15" spans="1:51" s="89" customFormat="1">
      <c r="A15" s="31" t="s">
        <v>223</v>
      </c>
      <c r="B15" s="67">
        <v>1362030</v>
      </c>
      <c r="C15" s="67">
        <v>1119890</v>
      </c>
      <c r="D15" s="67">
        <v>1341972</v>
      </c>
      <c r="E15" s="67">
        <v>1159631</v>
      </c>
      <c r="F15" s="72">
        <v>4983524</v>
      </c>
      <c r="G15" s="67">
        <v>1162388</v>
      </c>
      <c r="H15" s="67">
        <v>1049132</v>
      </c>
      <c r="I15" s="67">
        <v>1141487</v>
      </c>
      <c r="J15" s="67">
        <v>756572</v>
      </c>
      <c r="K15" s="72">
        <v>4109579</v>
      </c>
      <c r="L15" s="67">
        <v>670525</v>
      </c>
      <c r="M15" s="67">
        <v>1201400</v>
      </c>
      <c r="N15" s="67">
        <v>1022641</v>
      </c>
      <c r="O15" s="67">
        <v>871840</v>
      </c>
      <c r="P15" s="72">
        <v>3766406</v>
      </c>
      <c r="Q15" s="67">
        <v>970044</v>
      </c>
      <c r="R15" s="67">
        <v>223875</v>
      </c>
      <c r="S15" s="67">
        <v>822637</v>
      </c>
      <c r="T15" s="67">
        <v>681612</v>
      </c>
      <c r="U15" s="72">
        <v>2698169</v>
      </c>
      <c r="V15" s="67">
        <v>1142712</v>
      </c>
      <c r="W15" s="67">
        <v>558428</v>
      </c>
      <c r="X15" s="67">
        <v>229126</v>
      </c>
      <c r="Y15" s="67">
        <v>383587</v>
      </c>
      <c r="Z15" s="72">
        <v>2313853</v>
      </c>
      <c r="AA15" s="67">
        <v>683341</v>
      </c>
      <c r="AB15" s="67">
        <v>1270680</v>
      </c>
      <c r="AC15" s="67">
        <v>695179</v>
      </c>
      <c r="AD15" s="67">
        <v>861136</v>
      </c>
      <c r="AE15" s="72">
        <v>3510335.93</v>
      </c>
      <c r="AF15" s="67">
        <v>1427116</v>
      </c>
      <c r="AG15" s="67">
        <v>1336329</v>
      </c>
      <c r="AH15" s="67">
        <v>1235044</v>
      </c>
      <c r="AI15" s="67">
        <v>731782</v>
      </c>
      <c r="AJ15" s="72">
        <v>4730270.57</v>
      </c>
      <c r="AK15" s="67">
        <v>1213718</v>
      </c>
      <c r="AL15" s="67">
        <v>1011341.92</v>
      </c>
      <c r="AM15" s="67">
        <v>1061149</v>
      </c>
      <c r="AN15" s="67">
        <v>866550</v>
      </c>
      <c r="AO15" s="72">
        <v>4152759</v>
      </c>
      <c r="AP15" s="20">
        <v>675424.24</v>
      </c>
      <c r="AQ15" s="67">
        <v>517080.89314578485</v>
      </c>
      <c r="AR15" s="67">
        <v>505496.06944000977</v>
      </c>
      <c r="AS15" s="67">
        <v>664445</v>
      </c>
      <c r="AT15" s="72">
        <f>SUM(AP15:AS15)</f>
        <v>2362446.202585795</v>
      </c>
      <c r="AU15" s="20">
        <v>759770</v>
      </c>
      <c r="AV15" s="67"/>
      <c r="AW15" s="67"/>
      <c r="AX15" s="67"/>
      <c r="AY15" s="72"/>
    </row>
    <row r="16" spans="1:51" s="3" customFormat="1">
      <c r="A16" s="39"/>
      <c r="B16" s="35"/>
      <c r="C16" s="35"/>
      <c r="D16" s="35"/>
      <c r="E16" s="35"/>
      <c r="F16" s="69"/>
      <c r="G16" s="35"/>
      <c r="H16" s="35"/>
      <c r="I16" s="35"/>
      <c r="J16" s="35"/>
      <c r="K16" s="69"/>
      <c r="L16" s="35"/>
      <c r="M16" s="35"/>
      <c r="N16" s="35"/>
      <c r="O16" s="35"/>
      <c r="P16" s="69"/>
      <c r="Q16" s="35"/>
      <c r="R16" s="35"/>
      <c r="S16" s="35"/>
      <c r="T16" s="35"/>
      <c r="U16" s="69"/>
      <c r="V16" s="35"/>
      <c r="W16" s="35"/>
      <c r="X16" s="35"/>
      <c r="Y16" s="35"/>
      <c r="Z16" s="69"/>
      <c r="AA16" s="35"/>
      <c r="AB16" s="35"/>
      <c r="AC16" s="35"/>
      <c r="AD16" s="35"/>
      <c r="AE16" s="69"/>
      <c r="AF16" s="35"/>
      <c r="AG16" s="35"/>
      <c r="AH16" s="35"/>
      <c r="AI16" s="35"/>
      <c r="AJ16" s="69"/>
      <c r="AK16" s="35"/>
      <c r="AL16" s="35"/>
      <c r="AM16" s="35"/>
      <c r="AN16" s="35"/>
      <c r="AO16" s="69"/>
      <c r="AP16" s="22"/>
      <c r="AQ16" s="35"/>
      <c r="AR16" s="35"/>
      <c r="AS16" s="35"/>
      <c r="AT16" s="69"/>
      <c r="AU16" s="22"/>
      <c r="AV16" s="35"/>
      <c r="AW16" s="35"/>
      <c r="AX16" s="35"/>
      <c r="AY16" s="69"/>
    </row>
    <row r="17" spans="1:51" s="3" customFormat="1">
      <c r="A17" s="49" t="s">
        <v>224</v>
      </c>
      <c r="B17" s="85">
        <v>0.8</v>
      </c>
      <c r="C17" s="85">
        <v>0.68</v>
      </c>
      <c r="D17" s="85">
        <v>0.87</v>
      </c>
      <c r="E17" s="85">
        <v>0.65</v>
      </c>
      <c r="F17" s="127">
        <v>0.74</v>
      </c>
      <c r="G17" s="85">
        <v>0.65</v>
      </c>
      <c r="H17" s="85">
        <v>0.66</v>
      </c>
      <c r="I17" s="85">
        <v>0.73</v>
      </c>
      <c r="J17" s="85">
        <v>0.69</v>
      </c>
      <c r="K17" s="127">
        <v>0.68</v>
      </c>
      <c r="L17" s="85">
        <v>0.8</v>
      </c>
      <c r="M17" s="85">
        <v>0.8</v>
      </c>
      <c r="N17" s="85">
        <v>0.62</v>
      </c>
      <c r="O17" s="85">
        <v>0.74</v>
      </c>
      <c r="P17" s="127">
        <v>0.73</v>
      </c>
      <c r="Q17" s="85">
        <v>0.87</v>
      </c>
      <c r="R17" s="85">
        <v>0.54</v>
      </c>
      <c r="S17" s="85">
        <v>0.64</v>
      </c>
      <c r="T17" s="85">
        <v>0.52</v>
      </c>
      <c r="U17" s="127">
        <v>0.66</v>
      </c>
      <c r="V17" s="85">
        <v>0.79</v>
      </c>
      <c r="W17" s="85">
        <v>0.34</v>
      </c>
      <c r="X17" s="85">
        <v>0.23</v>
      </c>
      <c r="Y17" s="85">
        <v>0.23</v>
      </c>
      <c r="Z17" s="127">
        <v>0.4</v>
      </c>
      <c r="AA17" s="85">
        <v>0.41</v>
      </c>
      <c r="AB17" s="85">
        <v>0.95</v>
      </c>
      <c r="AC17" s="85">
        <v>0.69</v>
      </c>
      <c r="AD17" s="85">
        <v>0.596998286934042</v>
      </c>
      <c r="AE17" s="127">
        <v>0.64503799161932895</v>
      </c>
      <c r="AF17" s="85">
        <v>0.88732950450996595</v>
      </c>
      <c r="AG17" s="85">
        <v>0.82061811228155501</v>
      </c>
      <c r="AH17" s="85">
        <v>0.70751427867622207</v>
      </c>
      <c r="AI17" s="85">
        <v>0.34614465872598793</v>
      </c>
      <c r="AJ17" s="127">
        <v>0.66656652347602841</v>
      </c>
      <c r="AK17" s="85">
        <v>0.54965154230288671</v>
      </c>
      <c r="AL17" s="85">
        <v>0.45288976068681264</v>
      </c>
      <c r="AM17" s="85">
        <v>0.47743674513946754</v>
      </c>
      <c r="AN17" s="85">
        <v>0.48396987663808627</v>
      </c>
      <c r="AO17" s="127">
        <v>0.49119819453783825</v>
      </c>
      <c r="AP17" s="169">
        <v>0.32009786586506883</v>
      </c>
      <c r="AQ17" s="85">
        <v>0.2228888597283778</v>
      </c>
      <c r="AR17" s="85">
        <v>0.19</v>
      </c>
      <c r="AS17" s="85">
        <v>0.25036153766736424</v>
      </c>
      <c r="AT17" s="95">
        <v>0.24515064771746625</v>
      </c>
      <c r="AU17" s="169">
        <v>0.28153403943188499</v>
      </c>
      <c r="AV17" s="85"/>
      <c r="AW17" s="85"/>
      <c r="AX17" s="85"/>
      <c r="AY17" s="95"/>
    </row>
    <row r="18" spans="1:51" s="3" customFormat="1">
      <c r="A18" s="39"/>
      <c r="B18" s="35"/>
      <c r="C18" s="35"/>
      <c r="D18" s="35"/>
      <c r="E18" s="35"/>
      <c r="F18" s="69"/>
      <c r="G18" s="35"/>
      <c r="H18" s="35"/>
      <c r="I18" s="35"/>
      <c r="J18" s="35"/>
      <c r="K18" s="69"/>
      <c r="L18" s="35"/>
      <c r="M18" s="35"/>
      <c r="N18" s="35"/>
      <c r="O18" s="35"/>
      <c r="P18" s="69"/>
      <c r="Q18" s="35"/>
      <c r="R18" s="35"/>
      <c r="S18" s="35"/>
      <c r="T18" s="35"/>
      <c r="U18" s="69"/>
      <c r="V18" s="35"/>
      <c r="W18" s="35"/>
      <c r="X18" s="35"/>
      <c r="Y18" s="35"/>
      <c r="Z18" s="69"/>
      <c r="AA18" s="35"/>
      <c r="AB18" s="35"/>
      <c r="AC18" s="35"/>
      <c r="AD18" s="35"/>
      <c r="AE18" s="69"/>
      <c r="AF18" s="35"/>
      <c r="AG18" s="35"/>
      <c r="AH18" s="35"/>
      <c r="AI18" s="35"/>
      <c r="AJ18" s="69"/>
      <c r="AK18" s="35"/>
      <c r="AL18" s="35"/>
      <c r="AM18" s="35"/>
      <c r="AN18" s="35"/>
      <c r="AO18" s="69"/>
      <c r="AP18" s="22"/>
      <c r="AQ18" s="35"/>
      <c r="AR18" s="35"/>
      <c r="AS18" s="35"/>
      <c r="AT18" s="71">
        <f t="shared" si="0"/>
        <v>0</v>
      </c>
      <c r="AU18" s="22"/>
      <c r="AV18" s="35"/>
      <c r="AW18" s="35"/>
      <c r="AX18" s="35"/>
      <c r="AY18" s="71"/>
    </row>
    <row r="19" spans="1:51" s="3" customFormat="1">
      <c r="A19" s="49" t="s">
        <v>225</v>
      </c>
      <c r="B19" s="35">
        <v>1724503</v>
      </c>
      <c r="C19" s="35">
        <v>1690838</v>
      </c>
      <c r="D19" s="35">
        <v>1529448</v>
      </c>
      <c r="E19" s="35">
        <v>1754560</v>
      </c>
      <c r="F19" s="71">
        <v>6699350</v>
      </c>
      <c r="G19" s="35">
        <v>1786620</v>
      </c>
      <c r="H19" s="35">
        <v>1594000</v>
      </c>
      <c r="I19" s="35">
        <v>1576625</v>
      </c>
      <c r="J19" s="35">
        <v>1107947</v>
      </c>
      <c r="K19" s="71">
        <v>6065192</v>
      </c>
      <c r="L19" s="35">
        <v>797248</v>
      </c>
      <c r="M19" s="35">
        <v>1554436</v>
      </c>
      <c r="N19" s="35">
        <v>1645101</v>
      </c>
      <c r="O19" s="35">
        <v>1175933</v>
      </c>
      <c r="P19" s="71">
        <v>5172718</v>
      </c>
      <c r="Q19" s="35">
        <v>1123816</v>
      </c>
      <c r="R19" s="35">
        <v>408293</v>
      </c>
      <c r="S19" s="35">
        <v>1216055</v>
      </c>
      <c r="T19" s="35">
        <v>1257133</v>
      </c>
      <c r="U19" s="71">
        <v>4005297</v>
      </c>
      <c r="V19" s="35">
        <v>1382164</v>
      </c>
      <c r="W19" s="35">
        <v>1636068</v>
      </c>
      <c r="X19" s="35">
        <v>971547</v>
      </c>
      <c r="Y19" s="35">
        <v>1621594</v>
      </c>
      <c r="Z19" s="71">
        <v>5611373</v>
      </c>
      <c r="AA19" s="35">
        <v>1572508</v>
      </c>
      <c r="AB19" s="35">
        <v>1556437</v>
      </c>
      <c r="AC19" s="35">
        <v>1102408</v>
      </c>
      <c r="AD19" s="35">
        <v>1254030</v>
      </c>
      <c r="AE19" s="71">
        <v>5485383.3571883403</v>
      </c>
      <c r="AF19" s="35">
        <v>1620244</v>
      </c>
      <c r="AG19" s="35">
        <v>1698527</v>
      </c>
      <c r="AH19" s="35">
        <v>1782764</v>
      </c>
      <c r="AI19" s="35">
        <v>1994420</v>
      </c>
      <c r="AJ19" s="71">
        <v>7095955.2700000005</v>
      </c>
      <c r="AK19" s="35">
        <v>2119727</v>
      </c>
      <c r="AL19" s="35">
        <v>2284891.39</v>
      </c>
      <c r="AM19" s="35">
        <v>2193843</v>
      </c>
      <c r="AN19" s="35">
        <v>1946535</v>
      </c>
      <c r="AO19" s="71">
        <v>8544997</v>
      </c>
      <c r="AP19" s="22">
        <v>2010575.15</v>
      </c>
      <c r="AQ19" s="35">
        <v>1935738.7430550461</v>
      </c>
      <c r="AR19" s="35">
        <v>1860886.9648722825</v>
      </c>
      <c r="AS19" s="35">
        <v>2019492</v>
      </c>
      <c r="AT19" s="71">
        <f>SUM(AP19:AS19)</f>
        <v>7826692.857927328</v>
      </c>
      <c r="AU19" s="22">
        <v>2093319</v>
      </c>
      <c r="AV19" s="35"/>
      <c r="AW19" s="35"/>
      <c r="AX19" s="35"/>
      <c r="AY19" s="71"/>
    </row>
    <row r="20" spans="1:51" s="3" customFormat="1">
      <c r="A20" s="49" t="s">
        <v>226</v>
      </c>
      <c r="B20" s="85">
        <v>0.41</v>
      </c>
      <c r="C20" s="85">
        <v>0.39</v>
      </c>
      <c r="D20" s="85">
        <v>0.37</v>
      </c>
      <c r="E20" s="85">
        <v>0.4</v>
      </c>
      <c r="F20" s="152">
        <v>0.39</v>
      </c>
      <c r="G20" s="85">
        <v>0.46</v>
      </c>
      <c r="H20" s="85">
        <v>0.42</v>
      </c>
      <c r="I20" s="85">
        <v>0.39</v>
      </c>
      <c r="J20" s="85">
        <v>0.41</v>
      </c>
      <c r="K20" s="152">
        <v>0.42</v>
      </c>
      <c r="L20" s="158">
        <v>0.45</v>
      </c>
      <c r="M20" s="158">
        <v>0.46</v>
      </c>
      <c r="N20" s="158">
        <v>0.53</v>
      </c>
      <c r="O20" s="158">
        <v>0.44</v>
      </c>
      <c r="P20" s="152">
        <v>0.48</v>
      </c>
      <c r="Q20" s="158">
        <v>0.42</v>
      </c>
      <c r="R20" s="158">
        <v>0.47</v>
      </c>
      <c r="S20" s="158">
        <v>0.62</v>
      </c>
      <c r="T20" s="158">
        <v>0.59</v>
      </c>
      <c r="U20" s="152">
        <v>0.54</v>
      </c>
      <c r="V20" s="158">
        <v>0.55000000000000004</v>
      </c>
      <c r="W20" s="158">
        <v>0.52</v>
      </c>
      <c r="X20" s="158">
        <v>0.59</v>
      </c>
      <c r="Y20" s="158">
        <v>0.59</v>
      </c>
      <c r="Z20" s="152">
        <v>0.56000000000000005</v>
      </c>
      <c r="AA20" s="158">
        <v>0.53</v>
      </c>
      <c r="AB20" s="158">
        <v>0.48</v>
      </c>
      <c r="AC20" s="158">
        <v>0.48</v>
      </c>
      <c r="AD20" s="158">
        <v>0.46</v>
      </c>
      <c r="AE20" s="152">
        <v>0.48915836726487999</v>
      </c>
      <c r="AF20" s="158">
        <v>0.43535875732423801</v>
      </c>
      <c r="AG20" s="158">
        <v>0.46700570656702772</v>
      </c>
      <c r="AH20" s="158">
        <v>0.47032096571017779</v>
      </c>
      <c r="AI20" s="158">
        <v>0.41499583960790132</v>
      </c>
      <c r="AJ20" s="152">
        <v>0.44515468242985379</v>
      </c>
      <c r="AK20" s="85">
        <v>0.42399999999999999</v>
      </c>
      <c r="AL20" s="85">
        <v>0.41695583461409075</v>
      </c>
      <c r="AM20" s="85">
        <v>0.45600773315995718</v>
      </c>
      <c r="AN20" s="158">
        <v>0.45047705887207729</v>
      </c>
      <c r="AO20" s="152">
        <v>0.43637866952336835</v>
      </c>
      <c r="AP20" s="169">
        <v>0.41399999999999998</v>
      </c>
      <c r="AQ20" s="85">
        <v>0.41923323123706102</v>
      </c>
      <c r="AR20" s="85">
        <v>0.46077895092269394</v>
      </c>
      <c r="AS20" s="158">
        <v>0.47534427410855695</v>
      </c>
      <c r="AT20" s="95">
        <v>0.4426311738217753</v>
      </c>
      <c r="AU20" s="169">
        <v>0.4420674110056762</v>
      </c>
      <c r="AV20" s="85"/>
      <c r="AW20" s="85"/>
      <c r="AX20" s="158"/>
      <c r="AY20" s="95"/>
    </row>
    <row r="21" spans="1:51" s="3" customFormat="1">
      <c r="A21" s="49" t="s">
        <v>227</v>
      </c>
      <c r="B21" s="87">
        <v>0.94</v>
      </c>
      <c r="C21" s="87">
        <v>1.0780000000000001</v>
      </c>
      <c r="D21" s="87">
        <v>1.0189999999999999</v>
      </c>
      <c r="E21" s="87">
        <v>0.86299999999999999</v>
      </c>
      <c r="F21" s="118">
        <v>0.96799999999999997</v>
      </c>
      <c r="G21" s="87">
        <v>0.76100000000000001</v>
      </c>
      <c r="H21" s="87">
        <v>0.94499999999999995</v>
      </c>
      <c r="I21" s="87">
        <v>0.69799999999999995</v>
      </c>
      <c r="J21" s="87">
        <v>0.73099999999999998</v>
      </c>
      <c r="K21" s="118">
        <v>0.76500000000000001</v>
      </c>
      <c r="L21" s="87">
        <v>0.55799999999999994</v>
      </c>
      <c r="M21" s="87">
        <v>0.54</v>
      </c>
      <c r="N21" s="87">
        <v>0.74</v>
      </c>
      <c r="O21" s="87">
        <v>1.1200000000000001</v>
      </c>
      <c r="P21" s="118">
        <v>0.74</v>
      </c>
      <c r="Q21" s="87">
        <v>0.94</v>
      </c>
      <c r="R21" s="87">
        <v>1.43</v>
      </c>
      <c r="S21" s="87">
        <v>0.77</v>
      </c>
      <c r="T21" s="87">
        <v>0.79</v>
      </c>
      <c r="U21" s="118">
        <v>0.89</v>
      </c>
      <c r="V21" s="87">
        <v>0.86</v>
      </c>
      <c r="W21" s="87">
        <v>0.84</v>
      </c>
      <c r="X21" s="87">
        <v>0.94</v>
      </c>
      <c r="Y21" s="87">
        <v>0.87</v>
      </c>
      <c r="Z21" s="118">
        <v>0.87</v>
      </c>
      <c r="AA21" s="87">
        <v>0.69</v>
      </c>
      <c r="AB21" s="87">
        <v>0.7</v>
      </c>
      <c r="AC21" s="87">
        <v>0.82</v>
      </c>
      <c r="AD21" s="87">
        <v>0.65700000000000003</v>
      </c>
      <c r="AE21" s="118">
        <v>0.71234064469712</v>
      </c>
      <c r="AF21" s="87">
        <v>0.62243788110307396</v>
      </c>
      <c r="AG21" s="87">
        <v>0.64359659548186232</v>
      </c>
      <c r="AH21" s="87">
        <v>0.6507730181327972</v>
      </c>
      <c r="AI21" s="87">
        <v>0.67094106678198451</v>
      </c>
      <c r="AJ21" s="118">
        <v>0.64916879230029045</v>
      </c>
      <c r="AK21" s="87">
        <v>0.66400000000000003</v>
      </c>
      <c r="AL21" s="87">
        <v>0.65200278584893956</v>
      </c>
      <c r="AM21" s="87">
        <v>0.6240163284869551</v>
      </c>
      <c r="AN21" s="87">
        <v>0.65180000000000005</v>
      </c>
      <c r="AO21" s="118">
        <v>0.65428760740087122</v>
      </c>
      <c r="AP21" s="96">
        <v>0.70679999999999998</v>
      </c>
      <c r="AQ21" s="87">
        <v>0.64500000000000002</v>
      </c>
      <c r="AR21" s="87">
        <v>0.68400000000000005</v>
      </c>
      <c r="AS21" s="87">
        <v>0.61499999999999999</v>
      </c>
      <c r="AT21" s="250">
        <v>0.65249999999999997</v>
      </c>
      <c r="AU21" s="96">
        <v>0.56000000000000005</v>
      </c>
      <c r="AV21" s="87"/>
      <c r="AW21" s="87"/>
      <c r="AX21" s="87"/>
      <c r="AY21" s="250"/>
    </row>
    <row r="22" spans="1:51" s="3" customFormat="1">
      <c r="A22" s="129"/>
      <c r="B22" s="35"/>
      <c r="C22" s="35"/>
      <c r="D22" s="35"/>
      <c r="E22" s="35"/>
      <c r="F22" s="69"/>
      <c r="G22" s="35"/>
      <c r="H22" s="35"/>
      <c r="I22" s="35"/>
      <c r="J22" s="35"/>
      <c r="K22" s="69"/>
      <c r="L22" s="35"/>
      <c r="M22" s="35"/>
      <c r="N22" s="35"/>
      <c r="O22" s="35"/>
      <c r="P22" s="69"/>
      <c r="Q22" s="35"/>
      <c r="R22" s="35"/>
      <c r="S22" s="35"/>
      <c r="T22" s="35"/>
      <c r="U22" s="69"/>
      <c r="V22" s="35"/>
      <c r="W22" s="35"/>
      <c r="X22" s="35"/>
      <c r="Y22" s="35"/>
      <c r="Z22" s="69"/>
      <c r="AA22" s="35"/>
      <c r="AB22" s="35"/>
      <c r="AC22" s="35"/>
      <c r="AD22" s="35"/>
      <c r="AE22" s="69"/>
      <c r="AF22" s="35"/>
      <c r="AG22" s="35"/>
      <c r="AH22" s="35"/>
      <c r="AI22" s="35"/>
      <c r="AJ22" s="69"/>
      <c r="AK22" s="35"/>
      <c r="AL22" s="35"/>
      <c r="AM22" s="35"/>
      <c r="AN22" s="35"/>
      <c r="AO22" s="69"/>
      <c r="AP22" s="22"/>
      <c r="AQ22" s="35"/>
      <c r="AR22" s="35"/>
      <c r="AS22" s="35"/>
      <c r="AT22" s="69"/>
      <c r="AU22" s="22"/>
      <c r="AV22" s="35"/>
      <c r="AW22" s="35"/>
      <c r="AX22" s="35"/>
      <c r="AY22" s="69"/>
    </row>
    <row r="23" spans="1:51" s="89" customFormat="1">
      <c r="A23" s="31" t="s">
        <v>228</v>
      </c>
      <c r="B23" s="67">
        <v>21481</v>
      </c>
      <c r="C23" s="67">
        <v>22856</v>
      </c>
      <c r="D23" s="67">
        <v>18479</v>
      </c>
      <c r="E23" s="67">
        <v>19454</v>
      </c>
      <c r="F23" s="72">
        <v>82269</v>
      </c>
      <c r="G23" s="67">
        <v>20348</v>
      </c>
      <c r="H23" s="67">
        <v>18395</v>
      </c>
      <c r="I23" s="67">
        <v>13844</v>
      </c>
      <c r="J23" s="67">
        <v>11017</v>
      </c>
      <c r="K23" s="72">
        <v>63604</v>
      </c>
      <c r="L23" s="67">
        <v>6486</v>
      </c>
      <c r="M23" s="67">
        <v>12413</v>
      </c>
      <c r="N23" s="67">
        <v>20746</v>
      </c>
      <c r="O23" s="67">
        <v>18729</v>
      </c>
      <c r="P23" s="72">
        <v>58374</v>
      </c>
      <c r="Q23" s="67">
        <v>14364</v>
      </c>
      <c r="R23" s="67">
        <v>8835</v>
      </c>
      <c r="S23" s="67">
        <v>18802</v>
      </c>
      <c r="T23" s="67">
        <v>18768</v>
      </c>
      <c r="U23" s="72">
        <v>60769</v>
      </c>
      <c r="V23" s="67">
        <v>21082</v>
      </c>
      <c r="W23" s="67">
        <v>23124</v>
      </c>
      <c r="X23" s="67">
        <v>17552</v>
      </c>
      <c r="Y23" s="67">
        <v>26652</v>
      </c>
      <c r="Z23" s="72">
        <v>88410</v>
      </c>
      <c r="AA23" s="67">
        <v>18402</v>
      </c>
      <c r="AB23" s="67">
        <v>16800</v>
      </c>
      <c r="AC23" s="67">
        <v>14065</v>
      </c>
      <c r="AD23" s="67">
        <v>12171</v>
      </c>
      <c r="AE23" s="72">
        <v>61438.129000000001</v>
      </c>
      <c r="AF23" s="67">
        <v>14116.1</v>
      </c>
      <c r="AG23" s="67">
        <v>16413.434999999998</v>
      </c>
      <c r="AH23" s="67">
        <v>17543.200057394199</v>
      </c>
      <c r="AI23" s="67">
        <v>17854.010963529989</v>
      </c>
      <c r="AJ23" s="72">
        <v>65926.746020924184</v>
      </c>
      <c r="AK23" s="67">
        <v>19186</v>
      </c>
      <c r="AL23" s="67">
        <v>19142.466641508141</v>
      </c>
      <c r="AM23" s="67">
        <v>20750.08761553713</v>
      </c>
      <c r="AN23" s="67">
        <v>19293.590188132534</v>
      </c>
      <c r="AO23" s="72">
        <v>78371.685745208379</v>
      </c>
      <c r="AP23" s="20">
        <v>17653.889648278218</v>
      </c>
      <c r="AQ23" s="67">
        <v>18039.013568578179</v>
      </c>
      <c r="AR23" s="67">
        <v>18138</v>
      </c>
      <c r="AS23" s="67">
        <v>17818.090706771436</v>
      </c>
      <c r="AT23" s="72">
        <f>SUM(AP23:AS23)</f>
        <v>71648.99392362783</v>
      </c>
      <c r="AU23" s="20">
        <v>17398.717641821524</v>
      </c>
      <c r="AV23" s="67"/>
      <c r="AW23" s="67"/>
      <c r="AX23" s="67"/>
      <c r="AY23" s="72"/>
    </row>
    <row r="24" spans="1:51" s="89" customFormat="1">
      <c r="A24" s="31" t="s">
        <v>229</v>
      </c>
      <c r="B24" s="67">
        <v>21796</v>
      </c>
      <c r="C24" s="67">
        <v>25308</v>
      </c>
      <c r="D24" s="67">
        <v>15311</v>
      </c>
      <c r="E24" s="67">
        <v>17926</v>
      </c>
      <c r="F24" s="72">
        <v>80341</v>
      </c>
      <c r="G24" s="67">
        <v>19625</v>
      </c>
      <c r="H24" s="67">
        <v>21121</v>
      </c>
      <c r="I24" s="67">
        <v>14281</v>
      </c>
      <c r="J24" s="67">
        <v>11118</v>
      </c>
      <c r="K24" s="72">
        <v>66145</v>
      </c>
      <c r="L24" s="67">
        <v>5688</v>
      </c>
      <c r="M24" s="67">
        <v>12728</v>
      </c>
      <c r="N24" s="67">
        <v>19558</v>
      </c>
      <c r="O24" s="67">
        <v>18748</v>
      </c>
      <c r="P24" s="72">
        <v>56722</v>
      </c>
      <c r="Q24" s="67">
        <v>12848</v>
      </c>
      <c r="R24" s="67">
        <v>8831</v>
      </c>
      <c r="S24" s="67">
        <v>19231</v>
      </c>
      <c r="T24" s="67">
        <v>15584</v>
      </c>
      <c r="U24" s="72">
        <v>56494</v>
      </c>
      <c r="V24" s="67">
        <v>22871</v>
      </c>
      <c r="W24" s="67">
        <v>24324</v>
      </c>
      <c r="X24" s="67">
        <v>18094</v>
      </c>
      <c r="Y24" s="67">
        <v>24890</v>
      </c>
      <c r="Z24" s="72">
        <v>90179</v>
      </c>
      <c r="AA24" s="67">
        <v>20522</v>
      </c>
      <c r="AB24" s="67">
        <v>16273</v>
      </c>
      <c r="AC24" s="67">
        <v>14616</v>
      </c>
      <c r="AD24" s="67">
        <v>12055</v>
      </c>
      <c r="AE24" s="72">
        <v>63465.938000000002</v>
      </c>
      <c r="AF24" s="67">
        <v>14322</v>
      </c>
      <c r="AG24" s="67">
        <v>16314.993999999999</v>
      </c>
      <c r="AH24" s="67">
        <v>17719.91</v>
      </c>
      <c r="AI24" s="67">
        <v>17744.204000000002</v>
      </c>
      <c r="AJ24" s="72">
        <v>66101.198000000004</v>
      </c>
      <c r="AK24" s="67">
        <v>19228</v>
      </c>
      <c r="AL24" s="67">
        <v>19737.754883941161</v>
      </c>
      <c r="AM24" s="67">
        <v>20756.697147645424</v>
      </c>
      <c r="AN24" s="67">
        <v>19338.343999999997</v>
      </c>
      <c r="AO24" s="72">
        <v>79036.468599999993</v>
      </c>
      <c r="AP24" s="20">
        <v>17509.509999999998</v>
      </c>
      <c r="AQ24" s="67">
        <v>17835.884584418374</v>
      </c>
      <c r="AR24" s="67">
        <v>17827</v>
      </c>
      <c r="AS24" s="67">
        <v>16971.593914823505</v>
      </c>
      <c r="AT24" s="72">
        <f>SUM(AP24:AS24)</f>
        <v>70143.988499241881</v>
      </c>
      <c r="AU24" s="20">
        <v>17456.558000000001</v>
      </c>
      <c r="AV24" s="67"/>
      <c r="AW24" s="67"/>
      <c r="AX24" s="67"/>
      <c r="AY24" s="72"/>
    </row>
    <row r="25" spans="1:51" s="3" customFormat="1">
      <c r="A25" s="129"/>
      <c r="B25" s="35"/>
      <c r="C25" s="35"/>
      <c r="D25" s="35"/>
      <c r="E25" s="35"/>
      <c r="F25" s="69"/>
      <c r="G25" s="35"/>
      <c r="H25" s="35"/>
      <c r="I25" s="35"/>
      <c r="J25" s="35"/>
      <c r="K25" s="69"/>
      <c r="L25" s="35"/>
      <c r="M25" s="35"/>
      <c r="N25" s="35"/>
      <c r="O25" s="35"/>
      <c r="P25" s="69"/>
      <c r="Q25" s="35"/>
      <c r="R25" s="35"/>
      <c r="S25" s="35"/>
      <c r="T25" s="35"/>
      <c r="U25" s="69"/>
      <c r="V25" s="35"/>
      <c r="W25" s="35"/>
      <c r="X25" s="35"/>
      <c r="Y25" s="35"/>
      <c r="Z25" s="69"/>
      <c r="AA25" s="35"/>
      <c r="AB25" s="35"/>
      <c r="AC25" s="35"/>
      <c r="AD25" s="35"/>
      <c r="AE25" s="69"/>
      <c r="AF25" s="35"/>
      <c r="AG25" s="35"/>
      <c r="AH25" s="35"/>
      <c r="AI25" s="35"/>
      <c r="AJ25" s="69"/>
      <c r="AK25" s="35"/>
      <c r="AL25" s="35"/>
      <c r="AM25" s="35"/>
      <c r="AN25" s="35"/>
      <c r="AO25" s="69"/>
      <c r="AP25" s="22"/>
      <c r="AQ25" s="35"/>
      <c r="AR25" s="35"/>
      <c r="AS25" s="35"/>
      <c r="AT25" s="69"/>
      <c r="AU25" s="22"/>
      <c r="AV25" s="35"/>
      <c r="AW25" s="35"/>
      <c r="AX25" s="35"/>
      <c r="AY25" s="69"/>
    </row>
    <row r="26" spans="1:51" s="89" customFormat="1">
      <c r="A26" s="31" t="s">
        <v>204</v>
      </c>
      <c r="B26" s="67">
        <v>783</v>
      </c>
      <c r="C26" s="67">
        <v>764</v>
      </c>
      <c r="D26" s="67">
        <v>1003</v>
      </c>
      <c r="E26" s="67">
        <v>874</v>
      </c>
      <c r="F26" s="72">
        <v>849</v>
      </c>
      <c r="G26" s="67">
        <v>837</v>
      </c>
      <c r="H26" s="67">
        <v>975</v>
      </c>
      <c r="I26" s="67">
        <v>1062</v>
      </c>
      <c r="J26" s="67">
        <v>1062</v>
      </c>
      <c r="K26" s="72">
        <v>959</v>
      </c>
      <c r="L26" s="67">
        <v>1192</v>
      </c>
      <c r="M26" s="67">
        <v>1165</v>
      </c>
      <c r="N26" s="67">
        <v>841</v>
      </c>
      <c r="O26" s="67">
        <v>846</v>
      </c>
      <c r="P26" s="72">
        <v>907</v>
      </c>
      <c r="Q26" s="67">
        <v>1060</v>
      </c>
      <c r="R26" s="67">
        <v>900</v>
      </c>
      <c r="S26" s="67">
        <v>776</v>
      </c>
      <c r="T26" s="67">
        <v>924</v>
      </c>
      <c r="U26" s="72">
        <v>846</v>
      </c>
      <c r="V26" s="67">
        <v>858.31054926190973</v>
      </c>
      <c r="W26" s="67">
        <v>850.34272297960365</v>
      </c>
      <c r="X26" s="67">
        <v>811.4133281575015</v>
      </c>
      <c r="Y26" s="67">
        <v>661.54484340740191</v>
      </c>
      <c r="Z26" s="72">
        <v>792</v>
      </c>
      <c r="AA26" s="67">
        <v>987</v>
      </c>
      <c r="AB26" s="67">
        <v>1319</v>
      </c>
      <c r="AC26" s="67">
        <v>1252</v>
      </c>
      <c r="AD26" s="67">
        <v>1453.92580706279</v>
      </c>
      <c r="AE26" s="72">
        <v>1222</v>
      </c>
      <c r="AF26" s="67">
        <v>1347.3676860773601</v>
      </c>
      <c r="AG26" s="67">
        <v>1111.2463648514185</v>
      </c>
      <c r="AH26" s="67">
        <v>1366.767664169852</v>
      </c>
      <c r="AI26" s="67">
        <v>1197.4614358581539</v>
      </c>
      <c r="AJ26" s="72">
        <v>1254</v>
      </c>
      <c r="AK26" s="67">
        <v>1186.8629082587893</v>
      </c>
      <c r="AL26" s="67">
        <v>1094</v>
      </c>
      <c r="AM26" s="67">
        <v>997.50937505723118</v>
      </c>
      <c r="AN26" s="67">
        <v>1234.4903989710806</v>
      </c>
      <c r="AO26" s="72">
        <v>1125.6729361919654</v>
      </c>
      <c r="AP26" s="20">
        <v>1148.8537245501866</v>
      </c>
      <c r="AQ26" s="67">
        <v>1178</v>
      </c>
      <c r="AR26" s="67">
        <v>1192</v>
      </c>
      <c r="AS26" s="67">
        <v>1086.8160110695071</v>
      </c>
      <c r="AT26" s="72">
        <v>1152.3101390968495</v>
      </c>
      <c r="AU26" s="20">
        <f>'5. Operational Data'!AU25</f>
        <v>1188</v>
      </c>
      <c r="AV26" s="67"/>
      <c r="AW26" s="67"/>
      <c r="AX26" s="67"/>
      <c r="AY26" s="72"/>
    </row>
    <row r="27" spans="1:51" s="89" customFormat="1">
      <c r="A27" s="31" t="s">
        <v>205</v>
      </c>
      <c r="B27" s="67"/>
      <c r="C27" s="67"/>
      <c r="D27" s="67"/>
      <c r="E27" s="67"/>
      <c r="F27" s="73"/>
      <c r="G27" s="67"/>
      <c r="H27" s="67"/>
      <c r="I27" s="67"/>
      <c r="J27" s="67"/>
      <c r="K27" s="73"/>
      <c r="L27" s="67"/>
      <c r="M27" s="67"/>
      <c r="N27" s="67"/>
      <c r="O27" s="67"/>
      <c r="P27" s="130"/>
      <c r="Q27" s="67"/>
      <c r="R27" s="67"/>
      <c r="S27" s="67"/>
      <c r="T27" s="67"/>
      <c r="U27" s="73"/>
      <c r="V27" s="67"/>
      <c r="W27" s="67"/>
      <c r="X27" s="67"/>
      <c r="Y27" s="67"/>
      <c r="Z27" s="73">
        <v>985</v>
      </c>
      <c r="AA27" s="67">
        <v>1085</v>
      </c>
      <c r="AB27" s="67">
        <v>1460</v>
      </c>
      <c r="AC27" s="67">
        <v>1358</v>
      </c>
      <c r="AD27" s="67">
        <v>1603</v>
      </c>
      <c r="AE27" s="72">
        <v>1342</v>
      </c>
      <c r="AF27" s="67">
        <v>1508.5336545175301</v>
      </c>
      <c r="AG27" s="67">
        <v>1196.9805235839822</v>
      </c>
      <c r="AH27" s="67">
        <v>1457.1977514951063</v>
      </c>
      <c r="AI27" s="67">
        <v>1283.5659468689412</v>
      </c>
      <c r="AJ27" s="73">
        <v>1357</v>
      </c>
      <c r="AK27" s="67">
        <v>1289.2656542542127</v>
      </c>
      <c r="AL27" s="67">
        <v>1159</v>
      </c>
      <c r="AM27" s="67">
        <v>1088.6606784915843</v>
      </c>
      <c r="AN27" s="67">
        <v>1295.1234748952652</v>
      </c>
      <c r="AO27" s="251">
        <v>1.21658310212833</v>
      </c>
      <c r="AP27" s="20">
        <v>1248.9233789521222</v>
      </c>
      <c r="AQ27" s="67">
        <v>1292</v>
      </c>
      <c r="AR27" s="67">
        <v>1378</v>
      </c>
      <c r="AS27" s="67">
        <v>1267.1299241503</v>
      </c>
      <c r="AT27" s="72">
        <v>1297.1842530147121</v>
      </c>
      <c r="AU27" s="20">
        <f>'5. Operational Data'!AU34</f>
        <v>1370</v>
      </c>
      <c r="AV27" s="67"/>
      <c r="AW27" s="67"/>
      <c r="AX27" s="67"/>
      <c r="AY27" s="72"/>
    </row>
    <row r="28" spans="1:51" s="3" customFormat="1">
      <c r="A28" s="31"/>
      <c r="B28" s="35"/>
      <c r="C28" s="35"/>
      <c r="D28" s="35"/>
      <c r="E28" s="35"/>
      <c r="F28" s="69"/>
      <c r="G28" s="35"/>
      <c r="H28" s="35"/>
      <c r="I28" s="35"/>
      <c r="J28" s="35"/>
      <c r="K28" s="69"/>
      <c r="L28" s="35"/>
      <c r="M28" s="35"/>
      <c r="N28" s="35"/>
      <c r="O28" s="35"/>
      <c r="P28" s="69"/>
      <c r="Q28" s="35"/>
      <c r="R28" s="35"/>
      <c r="S28" s="35"/>
      <c r="T28" s="35"/>
      <c r="U28" s="69"/>
      <c r="V28" s="35"/>
      <c r="W28" s="35"/>
      <c r="X28" s="35"/>
      <c r="Y28" s="35"/>
      <c r="Z28" s="69"/>
      <c r="AA28" s="35"/>
      <c r="AB28" s="35"/>
      <c r="AC28" s="35"/>
      <c r="AD28" s="35"/>
      <c r="AE28" s="72"/>
      <c r="AF28" s="35"/>
      <c r="AG28" s="35"/>
      <c r="AH28" s="35"/>
      <c r="AI28" s="35"/>
      <c r="AJ28" s="69"/>
      <c r="AK28" s="35"/>
      <c r="AL28" s="35"/>
      <c r="AM28" s="35"/>
      <c r="AN28" s="35"/>
      <c r="AO28" s="69"/>
      <c r="AP28" s="22"/>
      <c r="AQ28" s="35"/>
      <c r="AR28" s="35"/>
      <c r="AS28" s="35"/>
      <c r="AT28" s="69"/>
      <c r="AU28" s="22"/>
      <c r="AV28" s="35"/>
      <c r="AW28" s="35"/>
      <c r="AX28" s="35"/>
      <c r="AY28" s="69"/>
    </row>
    <row r="29" spans="1:51" s="3" customFormat="1">
      <c r="A29" s="131"/>
      <c r="B29" s="132"/>
      <c r="C29" s="132"/>
      <c r="D29" s="132"/>
      <c r="E29" s="132"/>
      <c r="F29" s="133"/>
      <c r="G29" s="132"/>
      <c r="H29" s="132"/>
      <c r="I29" s="132"/>
      <c r="J29" s="132"/>
      <c r="K29" s="133"/>
      <c r="L29" s="132"/>
      <c r="M29" s="132"/>
      <c r="N29" s="132"/>
      <c r="O29" s="132"/>
      <c r="P29" s="133"/>
      <c r="Q29" s="132"/>
      <c r="R29" s="132"/>
      <c r="S29" s="132"/>
      <c r="T29" s="132"/>
      <c r="U29" s="133"/>
      <c r="V29" s="132"/>
      <c r="W29" s="132"/>
      <c r="X29" s="132"/>
      <c r="Y29" s="132"/>
      <c r="Z29" s="133"/>
      <c r="AA29" s="132"/>
      <c r="AB29" s="132"/>
      <c r="AC29" s="132"/>
      <c r="AD29" s="132"/>
      <c r="AE29" s="133"/>
      <c r="AF29" s="132"/>
      <c r="AG29" s="132"/>
      <c r="AH29" s="132"/>
      <c r="AI29" s="132"/>
      <c r="AJ29" s="133"/>
      <c r="AK29" s="132"/>
      <c r="AL29" s="132"/>
      <c r="AM29" s="132"/>
      <c r="AN29" s="132"/>
      <c r="AO29" s="133"/>
      <c r="AP29" s="230"/>
      <c r="AQ29" s="132"/>
      <c r="AR29" s="132"/>
      <c r="AS29" s="132"/>
      <c r="AT29" s="133"/>
      <c r="AU29" s="230"/>
      <c r="AV29" s="132"/>
      <c r="AW29" s="132"/>
      <c r="AX29" s="132"/>
      <c r="AY29" s="133"/>
    </row>
    <row r="30" spans="1:51">
      <c r="A30" s="108" t="s">
        <v>206</v>
      </c>
      <c r="B30" s="22"/>
      <c r="C30" s="22"/>
      <c r="D30" s="22"/>
      <c r="E30" s="22"/>
      <c r="F30" s="68"/>
      <c r="G30" s="109"/>
      <c r="H30" s="109"/>
      <c r="I30" s="109"/>
      <c r="J30" s="20"/>
      <c r="K30" s="68"/>
      <c r="L30" s="20"/>
      <c r="M30" s="20"/>
      <c r="N30" s="20"/>
      <c r="O30" s="20"/>
      <c r="P30" s="68"/>
      <c r="Q30" s="20"/>
      <c r="R30" s="20"/>
      <c r="S30" s="20"/>
      <c r="T30" s="20"/>
      <c r="U30" s="68"/>
      <c r="V30" s="20"/>
      <c r="W30" s="20"/>
      <c r="X30" s="20"/>
      <c r="Y30" s="20"/>
      <c r="Z30" s="68"/>
      <c r="AA30" s="20">
        <v>38511.078560000002</v>
      </c>
      <c r="AB30" s="20">
        <v>30270.864440000001</v>
      </c>
      <c r="AC30" s="20"/>
      <c r="AD30" s="20"/>
      <c r="AE30" s="68"/>
      <c r="AF30" s="20">
        <v>27051.742999999999</v>
      </c>
      <c r="AG30" s="20">
        <v>32019.458999999999</v>
      </c>
      <c r="AH30" s="20">
        <v>34190.785000000003</v>
      </c>
      <c r="AI30" s="20">
        <v>35330.364000000001</v>
      </c>
      <c r="AJ30" s="81">
        <v>128592.351</v>
      </c>
      <c r="AK30" s="20">
        <v>39233.906999999999</v>
      </c>
      <c r="AL30" s="20">
        <v>44838.220999999998</v>
      </c>
      <c r="AM30" s="20">
        <v>52285.038</v>
      </c>
      <c r="AN30" s="20">
        <v>51175.404000000002</v>
      </c>
      <c r="AO30" s="81">
        <v>187352.57</v>
      </c>
      <c r="AP30" s="20">
        <v>50615.938999999998</v>
      </c>
      <c r="AQ30" s="67">
        <v>58729</v>
      </c>
      <c r="AR30" s="67">
        <v>62297.061000000002</v>
      </c>
      <c r="AS30" s="67">
        <v>71120</v>
      </c>
      <c r="AT30" s="72">
        <f>SUM(AP30:AS30)</f>
        <v>242762</v>
      </c>
      <c r="AU30" s="20">
        <v>80020.308000000005</v>
      </c>
      <c r="AV30" s="67"/>
      <c r="AW30" s="67"/>
      <c r="AX30" s="67"/>
      <c r="AY30" s="72"/>
    </row>
    <row r="31" spans="1:51" s="3" customFormat="1">
      <c r="A31" s="19" t="s">
        <v>207</v>
      </c>
      <c r="B31" s="67">
        <v>24982</v>
      </c>
      <c r="C31" s="67">
        <v>29997</v>
      </c>
      <c r="D31" s="67">
        <v>18486</v>
      </c>
      <c r="E31" s="67">
        <v>23424</v>
      </c>
      <c r="F31" s="68">
        <v>96889</v>
      </c>
      <c r="G31" s="67">
        <v>25122</v>
      </c>
      <c r="H31" s="67">
        <v>26578</v>
      </c>
      <c r="I31" s="67">
        <v>16396</v>
      </c>
      <c r="J31" s="67">
        <v>14127</v>
      </c>
      <c r="K31" s="68">
        <v>82223</v>
      </c>
      <c r="L31" s="67">
        <v>7841</v>
      </c>
      <c r="M31" s="67">
        <v>16305</v>
      </c>
      <c r="N31" s="67">
        <v>28365</v>
      </c>
      <c r="O31" s="67">
        <v>27075</v>
      </c>
      <c r="P31" s="68">
        <v>79586</v>
      </c>
      <c r="Q31" s="67">
        <v>18910</v>
      </c>
      <c r="R31" s="67">
        <v>14228</v>
      </c>
      <c r="S31" s="67">
        <v>33740</v>
      </c>
      <c r="T31" s="67">
        <v>28182</v>
      </c>
      <c r="U31" s="68">
        <v>95060</v>
      </c>
      <c r="V31" s="67">
        <v>39035</v>
      </c>
      <c r="W31" s="67">
        <v>43280</v>
      </c>
      <c r="X31" s="67">
        <v>30405</v>
      </c>
      <c r="Y31" s="67">
        <v>42489</v>
      </c>
      <c r="Z31" s="68">
        <v>155209</v>
      </c>
      <c r="AA31" s="67">
        <v>36533</v>
      </c>
      <c r="AB31" s="67">
        <v>28637</v>
      </c>
      <c r="AC31" s="67">
        <v>23653</v>
      </c>
      <c r="AD31" s="67">
        <v>19805</v>
      </c>
      <c r="AE31" s="68">
        <v>108628</v>
      </c>
      <c r="AF31" s="67">
        <v>25679</v>
      </c>
      <c r="AG31" s="67">
        <v>30345</v>
      </c>
      <c r="AH31" s="67">
        <v>32463</v>
      </c>
      <c r="AI31" s="67">
        <v>33559</v>
      </c>
      <c r="AJ31" s="68">
        <v>122046</v>
      </c>
      <c r="AK31" s="67">
        <v>37647</v>
      </c>
      <c r="AL31" s="67">
        <v>41962</v>
      </c>
      <c r="AM31" s="67">
        <v>49184</v>
      </c>
      <c r="AN31" s="67">
        <v>48899</v>
      </c>
      <c r="AO31" s="68">
        <v>177692</v>
      </c>
      <c r="AP31" s="20">
        <v>48062</v>
      </c>
      <c r="AQ31" s="67">
        <v>55776</v>
      </c>
      <c r="AR31" s="67">
        <v>59204</v>
      </c>
      <c r="AS31" s="67">
        <v>67476</v>
      </c>
      <c r="AT31" s="72">
        <f>SUM(AP31:AS31)</f>
        <v>230518</v>
      </c>
      <c r="AU31" s="20">
        <v>80020</v>
      </c>
      <c r="AV31" s="67"/>
      <c r="AW31" s="67"/>
      <c r="AX31" s="67"/>
      <c r="AY31" s="72"/>
    </row>
    <row r="32" spans="1:51" s="3" customFormat="1">
      <c r="A32" s="19" t="s">
        <v>57</v>
      </c>
      <c r="B32" s="67">
        <v>20174</v>
      </c>
      <c r="C32" s="67">
        <v>21249</v>
      </c>
      <c r="D32" s="67">
        <v>14559</v>
      </c>
      <c r="E32" s="67">
        <v>21587</v>
      </c>
      <c r="F32" s="68">
        <v>77569</v>
      </c>
      <c r="G32" s="67">
        <v>20738</v>
      </c>
      <c r="H32" s="67">
        <v>22247</v>
      </c>
      <c r="I32" s="67">
        <v>17727</v>
      </c>
      <c r="J32" s="67">
        <v>17373</v>
      </c>
      <c r="K32" s="68">
        <v>78085</v>
      </c>
      <c r="L32" s="67">
        <v>-8438</v>
      </c>
      <c r="M32" s="67">
        <v>-16165</v>
      </c>
      <c r="N32" s="67">
        <v>-18440</v>
      </c>
      <c r="O32" s="67">
        <v>-17455</v>
      </c>
      <c r="P32" s="68">
        <v>-60498</v>
      </c>
      <c r="Q32" s="67">
        <v>-15367</v>
      </c>
      <c r="R32" s="67">
        <v>-9002</v>
      </c>
      <c r="S32" s="67">
        <v>-17081</v>
      </c>
      <c r="T32" s="67">
        <v>-13917</v>
      </c>
      <c r="U32" s="68">
        <v>-55367</v>
      </c>
      <c r="V32" s="67">
        <v>-21425</v>
      </c>
      <c r="W32" s="67">
        <v>-22687</v>
      </c>
      <c r="X32" s="67">
        <v>-16272</v>
      </c>
      <c r="Y32" s="67">
        <v>-18568</v>
      </c>
      <c r="Z32" s="68">
        <v>-78952</v>
      </c>
      <c r="AA32" s="67">
        <v>-21880</v>
      </c>
      <c r="AB32" s="67">
        <v>-22916</v>
      </c>
      <c r="AC32" s="67">
        <v>-18956</v>
      </c>
      <c r="AD32" s="67">
        <v>-19789</v>
      </c>
      <c r="AE32" s="68">
        <v>-83541</v>
      </c>
      <c r="AF32" s="67">
        <v>-20893</v>
      </c>
      <c r="AG32" s="67">
        <v>-19879</v>
      </c>
      <c r="AH32" s="67">
        <v>-26081</v>
      </c>
      <c r="AI32" s="67">
        <v>-21366</v>
      </c>
      <c r="AJ32" s="68">
        <v>-88219</v>
      </c>
      <c r="AK32" s="67">
        <v>-24042</v>
      </c>
      <c r="AL32" s="67">
        <v>-23171</v>
      </c>
      <c r="AM32" s="67">
        <v>-21809</v>
      </c>
      <c r="AN32" s="67">
        <v>-25850</v>
      </c>
      <c r="AO32" s="68">
        <v>-94872</v>
      </c>
      <c r="AP32" s="20">
        <v>-21476</v>
      </c>
      <c r="AQ32" s="67">
        <v>-22056</v>
      </c>
      <c r="AR32" s="67">
        <v>-22486</v>
      </c>
      <c r="AS32" s="67">
        <v>-19831</v>
      </c>
      <c r="AT32" s="68">
        <f>SUM(AP32:AS32)</f>
        <v>-85849</v>
      </c>
      <c r="AU32" s="20">
        <v>-22680</v>
      </c>
      <c r="AV32" s="67"/>
      <c r="AW32" s="67"/>
      <c r="AX32" s="67"/>
      <c r="AY32" s="68"/>
    </row>
    <row r="33" spans="1:51" s="3" customFormat="1">
      <c r="A33" s="24" t="s">
        <v>71</v>
      </c>
      <c r="B33" s="35">
        <v>2183</v>
      </c>
      <c r="C33" s="35">
        <v>1954</v>
      </c>
      <c r="D33" s="35">
        <v>137</v>
      </c>
      <c r="E33" s="35">
        <v>4112</v>
      </c>
      <c r="F33" s="70">
        <v>8386</v>
      </c>
      <c r="G33" s="35">
        <v>2130</v>
      </c>
      <c r="H33" s="35">
        <v>2217</v>
      </c>
      <c r="I33" s="35">
        <v>1937</v>
      </c>
      <c r="J33" s="35">
        <v>1451</v>
      </c>
      <c r="K33" s="70">
        <v>7735</v>
      </c>
      <c r="L33" s="35">
        <v>1361</v>
      </c>
      <c r="M33" s="35">
        <v>1721</v>
      </c>
      <c r="N33" s="35">
        <v>1945</v>
      </c>
      <c r="O33" s="35">
        <v>1705</v>
      </c>
      <c r="P33" s="70">
        <v>6732</v>
      </c>
      <c r="Q33" s="35">
        <v>1445</v>
      </c>
      <c r="R33" s="35">
        <v>898</v>
      </c>
      <c r="S33" s="35">
        <v>1423</v>
      </c>
      <c r="T33" s="35">
        <v>1928</v>
      </c>
      <c r="U33" s="70">
        <v>5694</v>
      </c>
      <c r="V33" s="35">
        <v>1795</v>
      </c>
      <c r="W33" s="35">
        <v>2003</v>
      </c>
      <c r="X33" s="35">
        <v>1590</v>
      </c>
      <c r="Y33" s="35">
        <v>2102</v>
      </c>
      <c r="Z33" s="70">
        <v>7490</v>
      </c>
      <c r="AA33" s="35">
        <v>1634</v>
      </c>
      <c r="AB33" s="35">
        <v>1449</v>
      </c>
      <c r="AC33" s="35">
        <v>655</v>
      </c>
      <c r="AD33" s="35">
        <v>2262</v>
      </c>
      <c r="AE33" s="70">
        <v>6000</v>
      </c>
      <c r="AF33" s="35">
        <v>1596</v>
      </c>
      <c r="AG33" s="35">
        <v>1749</v>
      </c>
      <c r="AH33" s="35">
        <v>1862</v>
      </c>
      <c r="AI33" s="35">
        <v>118</v>
      </c>
      <c r="AJ33" s="70">
        <v>5325</v>
      </c>
      <c r="AK33" s="35">
        <v>1221</v>
      </c>
      <c r="AL33" s="35">
        <v>1571</v>
      </c>
      <c r="AM33" s="35">
        <v>1104</v>
      </c>
      <c r="AN33" s="35">
        <v>1977</v>
      </c>
      <c r="AO33" s="70">
        <v>5873</v>
      </c>
      <c r="AP33" s="35">
        <v>1341</v>
      </c>
      <c r="AQ33" s="35">
        <v>1243</v>
      </c>
      <c r="AR33" s="35">
        <v>1348</v>
      </c>
      <c r="AS33" s="35">
        <v>1070</v>
      </c>
      <c r="AT33" s="72">
        <f>SUM(AP33:AS33)</f>
        <v>5002</v>
      </c>
      <c r="AU33" s="35"/>
      <c r="AV33" s="35"/>
      <c r="AW33" s="35"/>
      <c r="AX33" s="35"/>
      <c r="AY33" s="72"/>
    </row>
    <row r="34" spans="1:51" s="3" customFormat="1">
      <c r="A34" s="26"/>
      <c r="B34" s="35"/>
      <c r="C34" s="35"/>
      <c r="D34" s="35"/>
      <c r="E34" s="67"/>
      <c r="F34" s="68"/>
      <c r="G34" s="35"/>
      <c r="H34" s="35"/>
      <c r="I34" s="35"/>
      <c r="J34" s="67"/>
      <c r="K34" s="68"/>
      <c r="L34" s="35"/>
      <c r="M34" s="35"/>
      <c r="N34" s="35"/>
      <c r="O34" s="67"/>
      <c r="P34" s="68">
        <v>0</v>
      </c>
      <c r="Q34" s="35"/>
      <c r="R34" s="35"/>
      <c r="S34" s="35"/>
      <c r="T34" s="67"/>
      <c r="U34" s="68">
        <v>0</v>
      </c>
      <c r="V34" s="35"/>
      <c r="W34" s="35"/>
      <c r="X34" s="35"/>
      <c r="Y34" s="67"/>
      <c r="Z34" s="68">
        <v>0</v>
      </c>
      <c r="AA34" s="35"/>
      <c r="AB34" s="35"/>
      <c r="AC34" s="35"/>
      <c r="AD34" s="67"/>
      <c r="AE34" s="68">
        <v>0</v>
      </c>
      <c r="AF34" s="35"/>
      <c r="AG34" s="35"/>
      <c r="AH34" s="35"/>
      <c r="AI34" s="67"/>
      <c r="AJ34" s="68"/>
      <c r="AK34" s="35"/>
      <c r="AL34" s="35"/>
      <c r="AM34" s="35"/>
      <c r="AN34" s="67"/>
      <c r="AO34" s="68"/>
      <c r="AP34" s="22"/>
      <c r="AQ34" s="35"/>
      <c r="AR34" s="35"/>
      <c r="AS34" s="67"/>
      <c r="AT34" s="70"/>
      <c r="AU34" s="22"/>
      <c r="AV34" s="35"/>
      <c r="AW34" s="35"/>
      <c r="AX34" s="67"/>
      <c r="AY34" s="70"/>
    </row>
    <row r="35" spans="1:51" s="3" customFormat="1">
      <c r="A35" s="31" t="s">
        <v>208</v>
      </c>
      <c r="B35" s="67">
        <v>4808</v>
      </c>
      <c r="C35" s="67">
        <v>8748</v>
      </c>
      <c r="D35" s="67">
        <v>3927</v>
      </c>
      <c r="E35" s="67">
        <v>1837</v>
      </c>
      <c r="F35" s="68">
        <v>19320</v>
      </c>
      <c r="G35" s="67">
        <v>4384</v>
      </c>
      <c r="H35" s="67">
        <v>4331</v>
      </c>
      <c r="I35" s="67">
        <v>-1331</v>
      </c>
      <c r="J35" s="67">
        <v>-3246</v>
      </c>
      <c r="K35" s="68">
        <v>4138</v>
      </c>
      <c r="L35" s="67">
        <v>-597</v>
      </c>
      <c r="M35" s="67">
        <v>140</v>
      </c>
      <c r="N35" s="67">
        <v>9925</v>
      </c>
      <c r="O35" s="67">
        <v>9620</v>
      </c>
      <c r="P35" s="68">
        <v>19088</v>
      </c>
      <c r="Q35" s="67">
        <v>3543</v>
      </c>
      <c r="R35" s="67">
        <v>5226</v>
      </c>
      <c r="S35" s="67">
        <v>16659</v>
      </c>
      <c r="T35" s="67">
        <v>14265</v>
      </c>
      <c r="U35" s="68">
        <v>39693</v>
      </c>
      <c r="V35" s="67">
        <v>17610</v>
      </c>
      <c r="W35" s="67">
        <v>20593</v>
      </c>
      <c r="X35" s="67">
        <v>14133</v>
      </c>
      <c r="Y35" s="67">
        <v>23921</v>
      </c>
      <c r="Z35" s="68">
        <v>76257</v>
      </c>
      <c r="AA35" s="67">
        <v>14653</v>
      </c>
      <c r="AB35" s="67">
        <v>5721</v>
      </c>
      <c r="AC35" s="67">
        <v>4697</v>
      </c>
      <c r="AD35" s="67">
        <v>16</v>
      </c>
      <c r="AE35" s="68">
        <v>25087</v>
      </c>
      <c r="AF35" s="67">
        <v>4786</v>
      </c>
      <c r="AG35" s="67">
        <v>10466</v>
      </c>
      <c r="AH35" s="67">
        <v>6382</v>
      </c>
      <c r="AI35" s="67">
        <v>12193</v>
      </c>
      <c r="AJ35" s="68">
        <v>33827</v>
      </c>
      <c r="AK35" s="67">
        <v>13605</v>
      </c>
      <c r="AL35" s="67">
        <v>18791</v>
      </c>
      <c r="AM35" s="67">
        <v>27375</v>
      </c>
      <c r="AN35" s="67">
        <v>23049</v>
      </c>
      <c r="AO35" s="68">
        <v>82820</v>
      </c>
      <c r="AP35" s="20">
        <v>26586</v>
      </c>
      <c r="AQ35" s="67">
        <v>33720</v>
      </c>
      <c r="AR35" s="67">
        <v>36718</v>
      </c>
      <c r="AS35" s="67">
        <v>47645</v>
      </c>
      <c r="AT35" s="72">
        <f>SUM(AP35:AS35)</f>
        <v>144669</v>
      </c>
      <c r="AU35" s="20">
        <v>57340</v>
      </c>
      <c r="AV35" s="67"/>
      <c r="AW35" s="67"/>
      <c r="AX35" s="67"/>
      <c r="AY35" s="72"/>
    </row>
    <row r="36" spans="1:51" s="3" customFormat="1">
      <c r="A36" s="49"/>
      <c r="B36" s="35"/>
      <c r="C36" s="35"/>
      <c r="D36" s="35"/>
      <c r="E36" s="67"/>
      <c r="F36" s="68"/>
      <c r="G36" s="35"/>
      <c r="H36" s="35"/>
      <c r="I36" s="35"/>
      <c r="J36" s="67"/>
      <c r="K36" s="68"/>
      <c r="L36" s="35"/>
      <c r="M36" s="35"/>
      <c r="N36" s="35"/>
      <c r="O36" s="67"/>
      <c r="P36" s="68">
        <v>0</v>
      </c>
      <c r="Q36" s="35"/>
      <c r="R36" s="35"/>
      <c r="S36" s="35"/>
      <c r="T36" s="67"/>
      <c r="U36" s="68">
        <v>0</v>
      </c>
      <c r="V36" s="35"/>
      <c r="W36" s="35"/>
      <c r="X36" s="35"/>
      <c r="Y36" s="67"/>
      <c r="Z36" s="68">
        <v>0</v>
      </c>
      <c r="AA36" s="35"/>
      <c r="AB36" s="35"/>
      <c r="AC36" s="35"/>
      <c r="AD36" s="67"/>
      <c r="AE36" s="68">
        <v>0</v>
      </c>
      <c r="AF36" s="35"/>
      <c r="AG36" s="35"/>
      <c r="AH36" s="35"/>
      <c r="AI36" s="67"/>
      <c r="AJ36" s="68"/>
      <c r="AK36" s="35"/>
      <c r="AL36" s="35"/>
      <c r="AM36" s="35"/>
      <c r="AN36" s="67"/>
      <c r="AO36" s="68"/>
      <c r="AP36" s="22"/>
      <c r="AQ36" s="35"/>
      <c r="AR36" s="35"/>
      <c r="AS36" s="67"/>
      <c r="AT36" s="68"/>
      <c r="AU36" s="22"/>
      <c r="AV36" s="35"/>
      <c r="AW36" s="35"/>
      <c r="AX36" s="67"/>
      <c r="AY36" s="68"/>
    </row>
    <row r="37" spans="1:51" s="3" customFormat="1">
      <c r="A37" s="33" t="s">
        <v>59</v>
      </c>
      <c r="B37" s="60"/>
      <c r="C37" s="60"/>
      <c r="D37" s="60"/>
      <c r="E37" s="35"/>
      <c r="F37" s="70"/>
      <c r="G37" s="60"/>
      <c r="H37" s="60"/>
      <c r="I37" s="60"/>
      <c r="J37" s="35"/>
      <c r="K37" s="70"/>
      <c r="L37" s="60">
        <v>-124</v>
      </c>
      <c r="M37" s="60">
        <v>-295</v>
      </c>
      <c r="N37" s="60">
        <v>-86</v>
      </c>
      <c r="O37" s="35">
        <v>-126</v>
      </c>
      <c r="P37" s="70">
        <v>-631</v>
      </c>
      <c r="Q37" s="60">
        <v>-225</v>
      </c>
      <c r="R37" s="60">
        <v>-153</v>
      </c>
      <c r="S37" s="60">
        <v>-135</v>
      </c>
      <c r="T37" s="35">
        <v>-131</v>
      </c>
      <c r="U37" s="70">
        <v>-644</v>
      </c>
      <c r="V37" s="60">
        <v>-166</v>
      </c>
      <c r="W37" s="60">
        <v>-213</v>
      </c>
      <c r="X37" s="60">
        <v>-229</v>
      </c>
      <c r="Y37" s="35">
        <v>-958</v>
      </c>
      <c r="Z37" s="70">
        <v>-1566</v>
      </c>
      <c r="AA37" s="60">
        <v>-797</v>
      </c>
      <c r="AB37" s="60">
        <v>-1592</v>
      </c>
      <c r="AC37" s="60">
        <v>-1111</v>
      </c>
      <c r="AD37" s="35">
        <v>-1134</v>
      </c>
      <c r="AE37" s="70">
        <v>-4634</v>
      </c>
      <c r="AF37" s="60">
        <v>-952</v>
      </c>
      <c r="AG37" s="60">
        <v>-729</v>
      </c>
      <c r="AH37" s="60">
        <v>-1028</v>
      </c>
      <c r="AI37" s="35">
        <v>-1833</v>
      </c>
      <c r="AJ37" s="70">
        <v>-4542</v>
      </c>
      <c r="AK37" s="60">
        <v>-1149</v>
      </c>
      <c r="AL37" s="60">
        <v>-1242</v>
      </c>
      <c r="AM37" s="60">
        <v>-1059</v>
      </c>
      <c r="AN37" s="35">
        <v>-933</v>
      </c>
      <c r="AO37" s="70">
        <v>-4383</v>
      </c>
      <c r="AP37" s="22">
        <v>-1135</v>
      </c>
      <c r="AQ37" s="60">
        <v>-1166</v>
      </c>
      <c r="AR37" s="60">
        <v>-1271</v>
      </c>
      <c r="AS37" s="35">
        <v>-730</v>
      </c>
      <c r="AT37" s="70">
        <f>SUM(AP37:AS37)</f>
        <v>-4302</v>
      </c>
      <c r="AU37" s="22">
        <v>-1101</v>
      </c>
      <c r="AV37" s="60"/>
      <c r="AW37" s="60"/>
      <c r="AX37" s="35"/>
      <c r="AY37" s="70"/>
    </row>
    <row r="38" spans="1:51" s="3" customFormat="1">
      <c r="A38" s="33" t="s">
        <v>60</v>
      </c>
      <c r="B38" s="27"/>
      <c r="C38" s="27"/>
      <c r="D38" s="27"/>
      <c r="E38" s="35"/>
      <c r="F38" s="70"/>
      <c r="G38" s="27"/>
      <c r="H38" s="27"/>
      <c r="I38" s="27"/>
      <c r="J38" s="35"/>
      <c r="K38" s="70"/>
      <c r="L38" s="27">
        <v>-58</v>
      </c>
      <c r="M38" s="27">
        <v>-51</v>
      </c>
      <c r="N38" s="27">
        <v>-65</v>
      </c>
      <c r="O38" s="35">
        <v>-68</v>
      </c>
      <c r="P38" s="70">
        <v>-242</v>
      </c>
      <c r="Q38" s="27">
        <v>-195</v>
      </c>
      <c r="R38" s="27">
        <v>-42</v>
      </c>
      <c r="S38" s="27">
        <v>-493</v>
      </c>
      <c r="T38" s="35">
        <v>-335</v>
      </c>
      <c r="U38" s="70">
        <v>-1065</v>
      </c>
      <c r="V38" s="27">
        <v>-285</v>
      </c>
      <c r="W38" s="27">
        <v>-416</v>
      </c>
      <c r="X38" s="27">
        <v>-154</v>
      </c>
      <c r="Y38" s="35">
        <v>-300</v>
      </c>
      <c r="Z38" s="70">
        <v>-1155</v>
      </c>
      <c r="AA38" s="27">
        <v>-54</v>
      </c>
      <c r="AB38" s="27">
        <v>-39</v>
      </c>
      <c r="AC38" s="27">
        <v>-16</v>
      </c>
      <c r="AD38" s="35">
        <v>-71</v>
      </c>
      <c r="AE38" s="70">
        <v>-180</v>
      </c>
      <c r="AF38" s="27">
        <v>-155</v>
      </c>
      <c r="AG38" s="27">
        <v>-61</v>
      </c>
      <c r="AH38" s="27">
        <v>-74</v>
      </c>
      <c r="AI38" s="35">
        <v>1</v>
      </c>
      <c r="AJ38" s="70">
        <v>-289</v>
      </c>
      <c r="AK38" s="27">
        <v>-1</v>
      </c>
      <c r="AL38" s="27">
        <v>0</v>
      </c>
      <c r="AM38" s="27">
        <v>-589</v>
      </c>
      <c r="AN38" s="35">
        <v>-517</v>
      </c>
      <c r="AO38" s="70">
        <v>-1107</v>
      </c>
      <c r="AP38" s="27">
        <v>-236</v>
      </c>
      <c r="AQ38" s="27">
        <v>-264</v>
      </c>
      <c r="AR38" s="27">
        <v>-760</v>
      </c>
      <c r="AS38" s="35">
        <v>-85</v>
      </c>
      <c r="AT38" s="70">
        <f>SUM(AP38:AS38)</f>
        <v>-1345</v>
      </c>
      <c r="AU38" s="27">
        <v>-65</v>
      </c>
      <c r="AV38" s="27"/>
      <c r="AW38" s="27"/>
      <c r="AX38" s="35"/>
      <c r="AY38" s="70"/>
    </row>
    <row r="39" spans="1:51" s="3" customFormat="1">
      <c r="A39" s="33" t="s">
        <v>236</v>
      </c>
      <c r="B39" s="27">
        <v>-1511</v>
      </c>
      <c r="C39" s="27">
        <v>-535</v>
      </c>
      <c r="D39" s="27">
        <v>1145</v>
      </c>
      <c r="E39" s="35">
        <v>-1544</v>
      </c>
      <c r="F39" s="70">
        <v>-2445</v>
      </c>
      <c r="G39" s="27">
        <v>-155</v>
      </c>
      <c r="H39" s="27">
        <v>-1704</v>
      </c>
      <c r="I39" s="27">
        <v>-888</v>
      </c>
      <c r="J39" s="35">
        <v>-1624</v>
      </c>
      <c r="K39" s="70">
        <v>-4371</v>
      </c>
      <c r="L39" s="27">
        <v>0</v>
      </c>
      <c r="M39" s="27"/>
      <c r="N39" s="27"/>
      <c r="O39" s="35"/>
      <c r="P39" s="70">
        <v>0</v>
      </c>
      <c r="Q39" s="27"/>
      <c r="R39" s="27"/>
      <c r="S39" s="27"/>
      <c r="T39" s="35"/>
      <c r="U39" s="70">
        <v>0</v>
      </c>
      <c r="V39" s="27"/>
      <c r="W39" s="27"/>
      <c r="X39" s="27"/>
      <c r="Y39" s="35"/>
      <c r="Z39" s="70">
        <v>0</v>
      </c>
      <c r="AA39" s="27">
        <v>0</v>
      </c>
      <c r="AB39" s="27">
        <v>0</v>
      </c>
      <c r="AC39" s="27">
        <v>0</v>
      </c>
      <c r="AD39" s="35">
        <v>0</v>
      </c>
      <c r="AE39" s="70">
        <v>0</v>
      </c>
      <c r="AF39" s="27">
        <v>0</v>
      </c>
      <c r="AG39" s="27">
        <v>0</v>
      </c>
      <c r="AH39" s="27">
        <v>0</v>
      </c>
      <c r="AI39" s="35">
        <v>0</v>
      </c>
      <c r="AJ39" s="70">
        <v>0</v>
      </c>
      <c r="AK39" s="27">
        <v>0</v>
      </c>
      <c r="AL39" s="27">
        <v>0</v>
      </c>
      <c r="AM39" s="27">
        <v>0</v>
      </c>
      <c r="AN39" s="35">
        <v>0</v>
      </c>
      <c r="AO39" s="70">
        <v>0</v>
      </c>
      <c r="AP39" s="27">
        <v>0</v>
      </c>
      <c r="AQ39" s="27"/>
      <c r="AR39" s="27"/>
      <c r="AS39" s="35"/>
      <c r="AT39" s="70"/>
      <c r="AU39" s="27">
        <v>0</v>
      </c>
      <c r="AV39" s="27"/>
      <c r="AW39" s="27"/>
      <c r="AX39" s="35"/>
      <c r="AY39" s="70"/>
    </row>
    <row r="40" spans="1:51" s="3" customFormat="1">
      <c r="A40" s="33" t="s">
        <v>210</v>
      </c>
      <c r="B40" s="35"/>
      <c r="C40" s="35"/>
      <c r="D40" s="35"/>
      <c r="E40" s="35"/>
      <c r="F40" s="70"/>
      <c r="G40" s="35"/>
      <c r="H40" s="35"/>
      <c r="I40" s="35"/>
      <c r="J40" s="35"/>
      <c r="K40" s="70"/>
      <c r="L40" s="35">
        <v>-462</v>
      </c>
      <c r="M40" s="35">
        <v>88</v>
      </c>
      <c r="N40" s="35">
        <v>-983</v>
      </c>
      <c r="O40" s="35">
        <v>-252</v>
      </c>
      <c r="P40" s="70">
        <v>-1609</v>
      </c>
      <c r="Q40" s="35">
        <v>113</v>
      </c>
      <c r="R40" s="35">
        <v>-343</v>
      </c>
      <c r="S40" s="35">
        <v>465</v>
      </c>
      <c r="T40" s="35">
        <v>-1150</v>
      </c>
      <c r="U40" s="70">
        <v>-915</v>
      </c>
      <c r="V40" s="35">
        <v>-1</v>
      </c>
      <c r="W40" s="35">
        <v>0</v>
      </c>
      <c r="X40" s="35">
        <v>0</v>
      </c>
      <c r="Y40" s="35">
        <v>257</v>
      </c>
      <c r="Z40" s="70">
        <v>256</v>
      </c>
      <c r="AA40" s="35">
        <v>0</v>
      </c>
      <c r="AB40" s="35">
        <v>-133</v>
      </c>
      <c r="AC40" s="35">
        <v>56</v>
      </c>
      <c r="AD40" s="35">
        <v>-463</v>
      </c>
      <c r="AE40" s="70">
        <v>-540</v>
      </c>
      <c r="AF40" s="35">
        <v>-149</v>
      </c>
      <c r="AG40" s="35">
        <v>-44</v>
      </c>
      <c r="AH40" s="35">
        <v>-142</v>
      </c>
      <c r="AI40" s="35">
        <v>-708</v>
      </c>
      <c r="AJ40" s="70">
        <v>-1043</v>
      </c>
      <c r="AK40" s="35">
        <v>-187</v>
      </c>
      <c r="AL40" s="35">
        <v>-403</v>
      </c>
      <c r="AM40" s="35">
        <v>-139</v>
      </c>
      <c r="AN40" s="35">
        <v>-1170</v>
      </c>
      <c r="AO40" s="70">
        <v>-1899</v>
      </c>
      <c r="AP40" s="35">
        <v>-244</v>
      </c>
      <c r="AQ40" s="35">
        <v>253</v>
      </c>
      <c r="AR40" s="35">
        <v>-281</v>
      </c>
      <c r="AS40" s="35">
        <v>-8183</v>
      </c>
      <c r="AT40" s="70">
        <f>SUM(AP40:AS40)</f>
        <v>-8455</v>
      </c>
      <c r="AU40" s="35">
        <v>-79</v>
      </c>
      <c r="AV40" s="35"/>
      <c r="AW40" s="35"/>
      <c r="AX40" s="35"/>
      <c r="AY40" s="70"/>
    </row>
    <row r="41" spans="1:51" s="3" customFormat="1">
      <c r="A41" s="33"/>
      <c r="B41" s="35"/>
      <c r="C41" s="35"/>
      <c r="D41" s="35"/>
      <c r="E41" s="67"/>
      <c r="F41" s="68">
        <v>0</v>
      </c>
      <c r="G41" s="35"/>
      <c r="H41" s="35"/>
      <c r="I41" s="35"/>
      <c r="J41" s="67"/>
      <c r="K41" s="68">
        <v>0</v>
      </c>
      <c r="L41" s="35"/>
      <c r="M41" s="35"/>
      <c r="N41" s="35"/>
      <c r="O41" s="67"/>
      <c r="P41" s="68">
        <v>0</v>
      </c>
      <c r="Q41" s="35"/>
      <c r="R41" s="35"/>
      <c r="S41" s="35"/>
      <c r="T41" s="67"/>
      <c r="U41" s="68">
        <v>0</v>
      </c>
      <c r="V41" s="35"/>
      <c r="W41" s="35"/>
      <c r="X41" s="35"/>
      <c r="Y41" s="67"/>
      <c r="Z41" s="68">
        <v>0</v>
      </c>
      <c r="AA41" s="35"/>
      <c r="AB41" s="35"/>
      <c r="AC41" s="35"/>
      <c r="AD41" s="67"/>
      <c r="AE41" s="68">
        <v>0</v>
      </c>
      <c r="AF41" s="35"/>
      <c r="AG41" s="35"/>
      <c r="AH41" s="35"/>
      <c r="AI41" s="67"/>
      <c r="AJ41" s="68"/>
      <c r="AK41" s="35"/>
      <c r="AL41" s="35"/>
      <c r="AM41" s="35"/>
      <c r="AN41" s="67"/>
      <c r="AO41" s="68"/>
      <c r="AP41" s="22"/>
      <c r="AQ41" s="35"/>
      <c r="AR41" s="35"/>
      <c r="AS41" s="67"/>
      <c r="AT41" s="68"/>
      <c r="AU41" s="22"/>
      <c r="AV41" s="35"/>
      <c r="AW41" s="35"/>
      <c r="AX41" s="67"/>
      <c r="AY41" s="68"/>
    </row>
    <row r="42" spans="1:51" s="3" customFormat="1">
      <c r="A42" s="31" t="s">
        <v>63</v>
      </c>
      <c r="B42" s="101">
        <v>3297</v>
      </c>
      <c r="C42" s="101">
        <v>8213</v>
      </c>
      <c r="D42" s="101">
        <v>5072</v>
      </c>
      <c r="E42" s="67">
        <v>293</v>
      </c>
      <c r="F42" s="68">
        <v>16875</v>
      </c>
      <c r="G42" s="101">
        <v>4229</v>
      </c>
      <c r="H42" s="101">
        <v>2627</v>
      </c>
      <c r="I42" s="101">
        <v>-2219</v>
      </c>
      <c r="J42" s="67">
        <v>-4870</v>
      </c>
      <c r="K42" s="68">
        <v>-233</v>
      </c>
      <c r="L42" s="101">
        <v>-779</v>
      </c>
      <c r="M42" s="101">
        <v>-206</v>
      </c>
      <c r="N42" s="101">
        <v>9774</v>
      </c>
      <c r="O42" s="67">
        <v>9426</v>
      </c>
      <c r="P42" s="68">
        <v>18215</v>
      </c>
      <c r="Q42" s="101">
        <v>3123</v>
      </c>
      <c r="R42" s="101">
        <v>5031</v>
      </c>
      <c r="S42" s="101">
        <v>16031</v>
      </c>
      <c r="T42" s="67">
        <v>13799</v>
      </c>
      <c r="U42" s="68">
        <v>37984</v>
      </c>
      <c r="V42" s="101">
        <v>17159</v>
      </c>
      <c r="W42" s="101">
        <v>19964</v>
      </c>
      <c r="X42" s="101">
        <v>13750</v>
      </c>
      <c r="Y42" s="67">
        <v>22663</v>
      </c>
      <c r="Z42" s="68">
        <v>73536</v>
      </c>
      <c r="AA42" s="101">
        <v>13802</v>
      </c>
      <c r="AB42" s="101">
        <v>4090</v>
      </c>
      <c r="AC42" s="101">
        <v>3570</v>
      </c>
      <c r="AD42" s="67">
        <v>-1189</v>
      </c>
      <c r="AE42" s="68">
        <v>20273</v>
      </c>
      <c r="AF42" s="101">
        <v>3679</v>
      </c>
      <c r="AG42" s="101">
        <v>9676</v>
      </c>
      <c r="AH42" s="101">
        <v>5280</v>
      </c>
      <c r="AI42" s="67">
        <v>10360</v>
      </c>
      <c r="AJ42" s="68">
        <v>28995</v>
      </c>
      <c r="AK42" s="101">
        <v>12455</v>
      </c>
      <c r="AL42" s="101">
        <v>17549</v>
      </c>
      <c r="AM42" s="101">
        <v>25727</v>
      </c>
      <c r="AN42" s="67">
        <v>21599</v>
      </c>
      <c r="AO42" s="68">
        <v>77330</v>
      </c>
      <c r="AP42" s="20">
        <f t="shared" ref="AP42:AS42" si="1">SUM(AP35:AP41)</f>
        <v>24971</v>
      </c>
      <c r="AQ42" s="20">
        <f t="shared" si="1"/>
        <v>32543</v>
      </c>
      <c r="AR42" s="20">
        <f t="shared" si="1"/>
        <v>34406</v>
      </c>
      <c r="AS42" s="20">
        <f t="shared" si="1"/>
        <v>38647</v>
      </c>
      <c r="AT42" s="72">
        <f>SUM(AP42:AS42)</f>
        <v>130567</v>
      </c>
      <c r="AU42" s="20">
        <f>SUM(AU35:AU41)</f>
        <v>56095</v>
      </c>
      <c r="AV42" s="101"/>
      <c r="AW42" s="101"/>
      <c r="AX42" s="67"/>
      <c r="AY42" s="72"/>
    </row>
    <row r="43" spans="1:51" s="3" customFormat="1">
      <c r="A43" s="33"/>
      <c r="B43" s="51"/>
      <c r="C43" s="51"/>
      <c r="D43" s="51"/>
      <c r="E43" s="67"/>
      <c r="F43" s="68"/>
      <c r="G43" s="51"/>
      <c r="H43" s="51"/>
      <c r="I43" s="51"/>
      <c r="J43" s="67"/>
      <c r="K43" s="68"/>
      <c r="L43" s="51"/>
      <c r="M43" s="51"/>
      <c r="N43" s="51"/>
      <c r="O43" s="67"/>
      <c r="P43" s="68">
        <v>0</v>
      </c>
      <c r="Q43" s="51"/>
      <c r="R43" s="51"/>
      <c r="S43" s="51"/>
      <c r="T43" s="67"/>
      <c r="U43" s="68">
        <v>0</v>
      </c>
      <c r="V43" s="51"/>
      <c r="W43" s="51"/>
      <c r="X43" s="51"/>
      <c r="Y43" s="67"/>
      <c r="Z43" s="68">
        <v>0</v>
      </c>
      <c r="AA43" s="51"/>
      <c r="AB43" s="51"/>
      <c r="AC43" s="51"/>
      <c r="AD43" s="67"/>
      <c r="AE43" s="68">
        <v>0</v>
      </c>
      <c r="AF43" s="51"/>
      <c r="AG43" s="51"/>
      <c r="AH43" s="51"/>
      <c r="AI43" s="67"/>
      <c r="AJ43" s="68"/>
      <c r="AK43" s="51"/>
      <c r="AL43" s="51"/>
      <c r="AM43" s="51"/>
      <c r="AN43" s="67"/>
      <c r="AO43" s="68"/>
      <c r="AP43" s="51"/>
      <c r="AQ43" s="51"/>
      <c r="AR43" s="51"/>
      <c r="AS43" s="67"/>
      <c r="AT43" s="68"/>
      <c r="AU43" s="51"/>
      <c r="AV43" s="51"/>
      <c r="AW43" s="51"/>
      <c r="AX43" s="67"/>
      <c r="AY43" s="68"/>
    </row>
    <row r="44" spans="1:51" s="3" customFormat="1">
      <c r="A44" s="33" t="s">
        <v>210</v>
      </c>
      <c r="B44" s="35"/>
      <c r="C44" s="35"/>
      <c r="D44" s="35"/>
      <c r="E44" s="35"/>
      <c r="F44" s="70"/>
      <c r="G44" s="35"/>
      <c r="H44" s="35"/>
      <c r="I44" s="35"/>
      <c r="J44" s="35"/>
      <c r="K44" s="70"/>
      <c r="L44" s="35"/>
      <c r="M44" s="35"/>
      <c r="N44" s="35"/>
      <c r="O44" s="35"/>
      <c r="P44" s="70"/>
      <c r="Q44" s="35"/>
      <c r="R44" s="35"/>
      <c r="S44" s="35"/>
      <c r="T44" s="35"/>
      <c r="U44" s="70"/>
      <c r="V44" s="35"/>
      <c r="W44" s="35"/>
      <c r="X44" s="35"/>
      <c r="Y44" s="35"/>
      <c r="Z44" s="70"/>
      <c r="AA44" s="35"/>
      <c r="AB44" s="35"/>
      <c r="AC44" s="35"/>
      <c r="AD44" s="35"/>
      <c r="AE44" s="70"/>
      <c r="AF44" s="35"/>
      <c r="AG44" s="35"/>
      <c r="AH44" s="35"/>
      <c r="AI44" s="35"/>
      <c r="AJ44" s="70"/>
      <c r="AK44" s="35"/>
      <c r="AL44" s="35"/>
      <c r="AM44" s="35"/>
      <c r="AN44" s="35"/>
      <c r="AO44" s="70"/>
      <c r="AP44" s="35"/>
      <c r="AQ44" s="35"/>
      <c r="AR44" s="35"/>
      <c r="AS44" s="35"/>
      <c r="AT44" s="70">
        <f t="shared" ref="AT44:AT47" si="2">SUM(AP44:AS44)</f>
        <v>0</v>
      </c>
      <c r="AU44" s="35"/>
      <c r="AV44" s="35"/>
      <c r="AW44" s="35"/>
      <c r="AX44" s="35"/>
      <c r="AY44" s="70"/>
    </row>
    <row r="45" spans="1:51" s="3" customFormat="1">
      <c r="A45" s="33" t="s">
        <v>311</v>
      </c>
      <c r="B45" s="27"/>
      <c r="C45" s="27"/>
      <c r="D45" s="27"/>
      <c r="E45" s="35"/>
      <c r="F45" s="70"/>
      <c r="G45" s="27"/>
      <c r="H45" s="27"/>
      <c r="I45" s="27"/>
      <c r="J45" s="35"/>
      <c r="K45" s="70"/>
      <c r="L45" s="27">
        <v>-250</v>
      </c>
      <c r="M45" s="27">
        <v>-572</v>
      </c>
      <c r="N45" s="27">
        <v>-348</v>
      </c>
      <c r="O45" s="35">
        <v>-1504</v>
      </c>
      <c r="P45" s="70">
        <v>-2674</v>
      </c>
      <c r="Q45" s="27">
        <v>-653</v>
      </c>
      <c r="R45" s="27">
        <v>-647</v>
      </c>
      <c r="S45" s="27">
        <v>-699</v>
      </c>
      <c r="T45" s="35">
        <v>-556</v>
      </c>
      <c r="U45" s="70">
        <v>-2555</v>
      </c>
      <c r="V45" s="27">
        <v>-315</v>
      </c>
      <c r="W45" s="27">
        <v>-571</v>
      </c>
      <c r="X45" s="27">
        <v>-782</v>
      </c>
      <c r="Y45" s="35">
        <v>-848</v>
      </c>
      <c r="Z45" s="70">
        <v>-2516</v>
      </c>
      <c r="AA45" s="27">
        <v>-513</v>
      </c>
      <c r="AB45" s="27">
        <v>-1329</v>
      </c>
      <c r="AC45" s="27">
        <v>-1431</v>
      </c>
      <c r="AD45" s="35">
        <v>-1142</v>
      </c>
      <c r="AE45" s="70">
        <v>-4415</v>
      </c>
      <c r="AF45" s="27">
        <v>-1431</v>
      </c>
      <c r="AG45" s="27">
        <v>-1603</v>
      </c>
      <c r="AH45" s="27">
        <v>-1705</v>
      </c>
      <c r="AI45" s="35">
        <v>-1978</v>
      </c>
      <c r="AJ45" s="70">
        <v>-6717</v>
      </c>
      <c r="AK45" s="27">
        <v>-2175</v>
      </c>
      <c r="AL45" s="27">
        <v>-1661</v>
      </c>
      <c r="AM45" s="27">
        <v>-1417</v>
      </c>
      <c r="AN45" s="35">
        <v>-1877</v>
      </c>
      <c r="AO45" s="70">
        <v>-7130</v>
      </c>
      <c r="AP45" s="27"/>
      <c r="AQ45" s="27"/>
      <c r="AR45" s="27"/>
      <c r="AS45" s="35"/>
      <c r="AT45" s="70">
        <f t="shared" si="2"/>
        <v>0</v>
      </c>
      <c r="AU45" s="27">
        <v>0</v>
      </c>
      <c r="AV45" s="27"/>
      <c r="AW45" s="27"/>
      <c r="AX45" s="35"/>
      <c r="AY45" s="70"/>
    </row>
    <row r="46" spans="1:51" s="3" customFormat="1">
      <c r="A46" s="83" t="s">
        <v>308</v>
      </c>
      <c r="B46" s="27"/>
      <c r="C46" s="27"/>
      <c r="D46" s="27"/>
      <c r="E46" s="35"/>
      <c r="F46" s="70"/>
      <c r="G46" s="27"/>
      <c r="H46" s="27"/>
      <c r="I46" s="27"/>
      <c r="J46" s="35"/>
      <c r="K46" s="70"/>
      <c r="L46" s="27"/>
      <c r="M46" s="27"/>
      <c r="N46" s="27"/>
      <c r="O46" s="35"/>
      <c r="P46" s="70"/>
      <c r="Q46" s="27"/>
      <c r="R46" s="27"/>
      <c r="S46" s="27"/>
      <c r="T46" s="35"/>
      <c r="U46" s="70"/>
      <c r="V46" s="27"/>
      <c r="W46" s="27"/>
      <c r="X46" s="27"/>
      <c r="Y46" s="35"/>
      <c r="Z46" s="70"/>
      <c r="AA46" s="27"/>
      <c r="AB46" s="27"/>
      <c r="AC46" s="27"/>
      <c r="AD46" s="35"/>
      <c r="AE46" s="70"/>
      <c r="AF46" s="27"/>
      <c r="AG46" s="27"/>
      <c r="AH46" s="27"/>
      <c r="AI46" s="35"/>
      <c r="AJ46" s="70"/>
      <c r="AK46" s="27"/>
      <c r="AL46" s="27"/>
      <c r="AM46" s="27"/>
      <c r="AN46" s="35"/>
      <c r="AO46" s="70"/>
      <c r="AP46" s="27">
        <v>-1423</v>
      </c>
      <c r="AQ46" s="27">
        <f>-2754-AP46</f>
        <v>-1331</v>
      </c>
      <c r="AR46" s="27">
        <f>-4169-AQ46-AP46</f>
        <v>-1415</v>
      </c>
      <c r="AS46" s="35">
        <f>-5492-AR46-AQ46-AP46</f>
        <v>-1323</v>
      </c>
      <c r="AT46" s="70">
        <f t="shared" si="2"/>
        <v>-5492</v>
      </c>
      <c r="AU46" s="27">
        <v>-1311</v>
      </c>
      <c r="AV46" s="27"/>
      <c r="AW46" s="27"/>
      <c r="AX46" s="35"/>
      <c r="AY46" s="70"/>
    </row>
    <row r="47" spans="1:51" s="3" customFormat="1">
      <c r="A47" s="83" t="s">
        <v>309</v>
      </c>
      <c r="B47" s="27"/>
      <c r="C47" s="27"/>
      <c r="D47" s="27"/>
      <c r="E47" s="67"/>
      <c r="F47" s="68"/>
      <c r="G47" s="27"/>
      <c r="H47" s="27"/>
      <c r="I47" s="27"/>
      <c r="J47" s="67"/>
      <c r="K47" s="68"/>
      <c r="L47" s="27"/>
      <c r="M47" s="27"/>
      <c r="N47" s="27"/>
      <c r="O47" s="67"/>
      <c r="P47" s="68">
        <v>0</v>
      </c>
      <c r="Q47" s="27"/>
      <c r="R47" s="27"/>
      <c r="S47" s="27"/>
      <c r="T47" s="67"/>
      <c r="U47" s="68">
        <v>0</v>
      </c>
      <c r="V47" s="27"/>
      <c r="W47" s="27"/>
      <c r="X47" s="27"/>
      <c r="Y47" s="67"/>
      <c r="Z47" s="68">
        <v>0</v>
      </c>
      <c r="AA47" s="27"/>
      <c r="AB47" s="27"/>
      <c r="AC47" s="27"/>
      <c r="AD47" s="67"/>
      <c r="AE47" s="68">
        <v>0</v>
      </c>
      <c r="AF47" s="27"/>
      <c r="AG47" s="27"/>
      <c r="AH47" s="27"/>
      <c r="AI47" s="67"/>
      <c r="AJ47" s="68"/>
      <c r="AK47" s="27"/>
      <c r="AL47" s="27"/>
      <c r="AM47" s="27"/>
      <c r="AN47" s="67"/>
      <c r="AO47" s="68"/>
      <c r="AP47" s="27">
        <v>111</v>
      </c>
      <c r="AQ47" s="27">
        <f>182-AP47</f>
        <v>71</v>
      </c>
      <c r="AR47" s="27">
        <f>268-AQ47-AP47</f>
        <v>86</v>
      </c>
      <c r="AS47" s="35">
        <f>331-AR47-AQ47-AP47</f>
        <v>63</v>
      </c>
      <c r="AT47" s="70">
        <f t="shared" si="2"/>
        <v>331</v>
      </c>
      <c r="AU47" s="27">
        <v>65</v>
      </c>
      <c r="AV47" s="27"/>
      <c r="AW47" s="27"/>
      <c r="AX47" s="67"/>
      <c r="AY47" s="70"/>
    </row>
    <row r="48" spans="1:51" s="3" customFormat="1">
      <c r="A48" s="88"/>
      <c r="B48" s="27"/>
      <c r="C48" s="27"/>
      <c r="D48" s="27"/>
      <c r="E48" s="67"/>
      <c r="F48" s="68"/>
      <c r="G48" s="27"/>
      <c r="H48" s="27"/>
      <c r="I48" s="27"/>
      <c r="J48" s="67"/>
      <c r="K48" s="68"/>
      <c r="L48" s="27"/>
      <c r="M48" s="27"/>
      <c r="N48" s="27"/>
      <c r="O48" s="67"/>
      <c r="P48" s="68"/>
      <c r="Q48" s="27"/>
      <c r="R48" s="27"/>
      <c r="S48" s="27"/>
      <c r="T48" s="67"/>
      <c r="U48" s="68"/>
      <c r="V48" s="27"/>
      <c r="W48" s="27"/>
      <c r="X48" s="27"/>
      <c r="Y48" s="67"/>
      <c r="Z48" s="68"/>
      <c r="AA48" s="27"/>
      <c r="AB48" s="27"/>
      <c r="AC48" s="27"/>
      <c r="AD48" s="67"/>
      <c r="AE48" s="68"/>
      <c r="AF48" s="27"/>
      <c r="AG48" s="27"/>
      <c r="AH48" s="27"/>
      <c r="AI48" s="67"/>
      <c r="AJ48" s="68"/>
      <c r="AK48" s="27"/>
      <c r="AL48" s="27"/>
      <c r="AM48" s="27"/>
      <c r="AN48" s="67"/>
      <c r="AO48" s="68"/>
      <c r="AP48" s="27"/>
      <c r="AQ48" s="27"/>
      <c r="AR48" s="27"/>
      <c r="AS48" s="67"/>
      <c r="AT48" s="70"/>
      <c r="AU48" s="27"/>
      <c r="AV48" s="27"/>
      <c r="AW48" s="27"/>
      <c r="AX48" s="67"/>
      <c r="AY48" s="70"/>
    </row>
    <row r="49" spans="1:51" s="3" customFormat="1">
      <c r="A49" s="31" t="s">
        <v>213</v>
      </c>
      <c r="B49" s="67"/>
      <c r="C49" s="67"/>
      <c r="D49" s="67"/>
      <c r="E49" s="67"/>
      <c r="F49" s="68"/>
      <c r="G49" s="67"/>
      <c r="H49" s="67"/>
      <c r="I49" s="67"/>
      <c r="J49" s="67"/>
      <c r="K49" s="68"/>
      <c r="L49" s="67">
        <v>-1491</v>
      </c>
      <c r="M49" s="67">
        <v>-690</v>
      </c>
      <c r="N49" s="67">
        <v>8443</v>
      </c>
      <c r="O49" s="67">
        <v>7670</v>
      </c>
      <c r="P49" s="68">
        <v>13932</v>
      </c>
      <c r="Q49" s="67">
        <v>2583</v>
      </c>
      <c r="R49" s="67">
        <v>4041</v>
      </c>
      <c r="S49" s="67">
        <v>15797</v>
      </c>
      <c r="T49" s="67">
        <v>12093</v>
      </c>
      <c r="U49" s="68">
        <v>34514</v>
      </c>
      <c r="V49" s="67">
        <v>16843</v>
      </c>
      <c r="W49" s="67">
        <v>19393</v>
      </c>
      <c r="X49" s="67">
        <v>12968</v>
      </c>
      <c r="Y49" s="67">
        <v>22072</v>
      </c>
      <c r="Z49" s="68">
        <v>71276</v>
      </c>
      <c r="AA49" s="67">
        <v>13289</v>
      </c>
      <c r="AB49" s="67">
        <v>2628</v>
      </c>
      <c r="AC49" s="67">
        <v>2195</v>
      </c>
      <c r="AD49" s="67">
        <v>-2794</v>
      </c>
      <c r="AE49" s="68">
        <v>15318</v>
      </c>
      <c r="AF49" s="67">
        <v>2099</v>
      </c>
      <c r="AG49" s="67">
        <v>8029</v>
      </c>
      <c r="AH49" s="67">
        <v>3433</v>
      </c>
      <c r="AI49" s="67">
        <v>7674</v>
      </c>
      <c r="AJ49" s="68">
        <v>21235</v>
      </c>
      <c r="AK49" s="67">
        <v>10093</v>
      </c>
      <c r="AL49" s="67">
        <v>15485</v>
      </c>
      <c r="AM49" s="67">
        <v>24171</v>
      </c>
      <c r="AN49" s="67">
        <v>18552</v>
      </c>
      <c r="AO49" s="68">
        <v>68301</v>
      </c>
      <c r="AP49" s="20">
        <f t="shared" ref="AP49:AS49" si="3">SUM(AP42:AP48)</f>
        <v>23659</v>
      </c>
      <c r="AQ49" s="20">
        <f t="shared" si="3"/>
        <v>31283</v>
      </c>
      <c r="AR49" s="20">
        <f t="shared" si="3"/>
        <v>33077</v>
      </c>
      <c r="AS49" s="20">
        <f t="shared" si="3"/>
        <v>37387</v>
      </c>
      <c r="AT49" s="72">
        <f>SUM(AP49:AS49)</f>
        <v>125406</v>
      </c>
      <c r="AU49" s="20">
        <f>SUM(AU42:AU48)</f>
        <v>54849</v>
      </c>
      <c r="AV49" s="67"/>
      <c r="AW49" s="67"/>
      <c r="AX49" s="67"/>
      <c r="AY49" s="72"/>
    </row>
    <row r="50" spans="1:51" s="3" customFormat="1">
      <c r="A50" s="33"/>
      <c r="B50" s="35"/>
      <c r="C50" s="35"/>
      <c r="D50" s="35"/>
      <c r="E50" s="67"/>
      <c r="F50" s="68"/>
      <c r="G50" s="35"/>
      <c r="H50" s="35"/>
      <c r="I50" s="35"/>
      <c r="J50" s="67"/>
      <c r="K50" s="68"/>
      <c r="L50" s="35"/>
      <c r="M50" s="35"/>
      <c r="N50" s="35"/>
      <c r="O50" s="67"/>
      <c r="P50" s="68">
        <v>0</v>
      </c>
      <c r="Q50" s="35"/>
      <c r="R50" s="35"/>
      <c r="S50" s="35"/>
      <c r="T50" s="67"/>
      <c r="U50" s="68">
        <v>0</v>
      </c>
      <c r="V50" s="35"/>
      <c r="W50" s="35"/>
      <c r="X50" s="35"/>
      <c r="Y50" s="67"/>
      <c r="Z50" s="68">
        <v>0</v>
      </c>
      <c r="AA50" s="35"/>
      <c r="AB50" s="35"/>
      <c r="AC50" s="35"/>
      <c r="AD50" s="67"/>
      <c r="AE50" s="68">
        <v>0</v>
      </c>
      <c r="AF50" s="35"/>
      <c r="AG50" s="35"/>
      <c r="AH50" s="35"/>
      <c r="AI50" s="67"/>
      <c r="AJ50" s="68"/>
      <c r="AK50" s="35"/>
      <c r="AL50" s="35"/>
      <c r="AM50" s="35"/>
      <c r="AN50" s="67"/>
      <c r="AO50" s="68"/>
      <c r="AP50" s="22"/>
      <c r="AQ50" s="35"/>
      <c r="AR50" s="35"/>
      <c r="AS50" s="67"/>
      <c r="AT50" s="68"/>
      <c r="AU50" s="22"/>
      <c r="AV50" s="35"/>
      <c r="AW50" s="35"/>
      <c r="AX50" s="67"/>
      <c r="AY50" s="68"/>
    </row>
    <row r="51" spans="1:51" s="3" customFormat="1">
      <c r="A51" s="33" t="s">
        <v>233</v>
      </c>
      <c r="B51" s="60"/>
      <c r="C51" s="60"/>
      <c r="D51" s="60"/>
      <c r="E51" s="35"/>
      <c r="F51" s="70"/>
      <c r="G51" s="60"/>
      <c r="H51" s="60"/>
      <c r="I51" s="60"/>
      <c r="J51" s="35"/>
      <c r="K51" s="70"/>
      <c r="L51" s="60">
        <v>-681</v>
      </c>
      <c r="M51" s="60">
        <v>-79</v>
      </c>
      <c r="N51" s="60">
        <v>-2383</v>
      </c>
      <c r="O51" s="35">
        <v>-2740</v>
      </c>
      <c r="P51" s="70">
        <v>-5883</v>
      </c>
      <c r="Q51" s="60">
        <v>-1065</v>
      </c>
      <c r="R51" s="60">
        <v>-868</v>
      </c>
      <c r="S51" s="60">
        <v>-5714</v>
      </c>
      <c r="T51" s="35">
        <v>-2016</v>
      </c>
      <c r="U51" s="70">
        <v>-9663</v>
      </c>
      <c r="V51" s="60">
        <v>-4662</v>
      </c>
      <c r="W51" s="60">
        <v>-5270</v>
      </c>
      <c r="X51" s="60">
        <v>-5029</v>
      </c>
      <c r="Y51" s="35">
        <v>-6612</v>
      </c>
      <c r="Z51" s="70">
        <v>-21573</v>
      </c>
      <c r="AA51" s="60">
        <v>-3800</v>
      </c>
      <c r="AB51" s="60">
        <v>-889</v>
      </c>
      <c r="AC51" s="60">
        <v>-1365</v>
      </c>
      <c r="AD51" s="35">
        <v>185</v>
      </c>
      <c r="AE51" s="70">
        <v>-5869</v>
      </c>
      <c r="AF51" s="60">
        <v>-583</v>
      </c>
      <c r="AG51" s="60">
        <v>-1961</v>
      </c>
      <c r="AH51" s="60">
        <v>-2035</v>
      </c>
      <c r="AI51" s="35">
        <v>-2469</v>
      </c>
      <c r="AJ51" s="70">
        <v>-7048</v>
      </c>
      <c r="AK51" s="60">
        <v>-3572</v>
      </c>
      <c r="AL51" s="60">
        <v>-4936</v>
      </c>
      <c r="AM51" s="60">
        <v>-6352</v>
      </c>
      <c r="AN51" s="35">
        <v>-4314</v>
      </c>
      <c r="AO51" s="70">
        <v>-19174</v>
      </c>
      <c r="AP51" s="22">
        <v>-6611</v>
      </c>
      <c r="AQ51" s="60">
        <v>-7774</v>
      </c>
      <c r="AR51" s="60">
        <v>-8725</v>
      </c>
      <c r="AS51" s="35">
        <v>-11463</v>
      </c>
      <c r="AT51" s="70">
        <f>SUM(AP51:AS51)</f>
        <v>-34573</v>
      </c>
      <c r="AU51" s="22">
        <v>-14489</v>
      </c>
      <c r="AV51" s="60"/>
      <c r="AW51" s="60"/>
      <c r="AX51" s="35"/>
      <c r="AY51" s="70"/>
    </row>
    <row r="52" spans="1:51" s="3" customFormat="1">
      <c r="A52" s="33" t="s">
        <v>234</v>
      </c>
      <c r="B52" s="27"/>
      <c r="C52" s="27"/>
      <c r="D52" s="27"/>
      <c r="E52" s="35"/>
      <c r="F52" s="70"/>
      <c r="G52" s="27"/>
      <c r="H52" s="27"/>
      <c r="I52" s="27"/>
      <c r="J52" s="35"/>
      <c r="K52" s="70"/>
      <c r="L52" s="27">
        <v>372</v>
      </c>
      <c r="M52" s="27">
        <v>81</v>
      </c>
      <c r="N52" s="27">
        <v>-154</v>
      </c>
      <c r="O52" s="35">
        <v>314</v>
      </c>
      <c r="P52" s="70">
        <v>613</v>
      </c>
      <c r="Q52" s="27">
        <v>-271</v>
      </c>
      <c r="R52" s="27">
        <v>288</v>
      </c>
      <c r="S52" s="27">
        <v>-190</v>
      </c>
      <c r="T52" s="35">
        <v>-1108</v>
      </c>
      <c r="U52" s="70">
        <v>-1281</v>
      </c>
      <c r="V52" s="27">
        <v>-187</v>
      </c>
      <c r="W52" s="27">
        <v>-2655</v>
      </c>
      <c r="X52" s="27">
        <v>910</v>
      </c>
      <c r="Y52" s="35">
        <v>-1809</v>
      </c>
      <c r="Z52" s="70">
        <v>-3741</v>
      </c>
      <c r="AA52" s="27">
        <v>1276</v>
      </c>
      <c r="AB52" s="27">
        <v>-392</v>
      </c>
      <c r="AC52" s="27">
        <v>-795</v>
      </c>
      <c r="AD52" s="35">
        <v>8504</v>
      </c>
      <c r="AE52" s="70">
        <v>8593</v>
      </c>
      <c r="AF52" s="27">
        <v>2257</v>
      </c>
      <c r="AG52" s="27">
        <v>-1660</v>
      </c>
      <c r="AH52" s="27">
        <v>-275</v>
      </c>
      <c r="AI52" s="35">
        <v>538</v>
      </c>
      <c r="AJ52" s="70">
        <v>860</v>
      </c>
      <c r="AK52" s="27">
        <v>-223</v>
      </c>
      <c r="AL52" s="27">
        <v>-12</v>
      </c>
      <c r="AM52" s="27">
        <v>216</v>
      </c>
      <c r="AN52" s="35">
        <v>-745</v>
      </c>
      <c r="AO52" s="70">
        <v>-764</v>
      </c>
      <c r="AP52" s="27">
        <v>393</v>
      </c>
      <c r="AQ52" s="27">
        <v>349</v>
      </c>
      <c r="AR52" s="27">
        <v>375</v>
      </c>
      <c r="AS52" s="35">
        <v>3244</v>
      </c>
      <c r="AT52" s="70">
        <f>SUM(AP52:AS52)</f>
        <v>4361</v>
      </c>
      <c r="AU52" s="27">
        <v>-281</v>
      </c>
      <c r="AV52" s="27"/>
      <c r="AW52" s="27"/>
      <c r="AX52" s="35"/>
      <c r="AY52" s="70"/>
    </row>
    <row r="53" spans="1:51" s="3" customFormat="1">
      <c r="A53" s="33"/>
      <c r="B53" s="27"/>
      <c r="C53" s="27"/>
      <c r="D53" s="27"/>
      <c r="E53" s="67"/>
      <c r="F53" s="68"/>
      <c r="G53" s="27"/>
      <c r="H53" s="27"/>
      <c r="I53" s="27"/>
      <c r="J53" s="67"/>
      <c r="K53" s="68"/>
      <c r="L53" s="27"/>
      <c r="M53" s="27"/>
      <c r="N53" s="27"/>
      <c r="O53" s="67"/>
      <c r="P53" s="68">
        <v>0</v>
      </c>
      <c r="Q53" s="27"/>
      <c r="R53" s="27"/>
      <c r="S53" s="27"/>
      <c r="T53" s="67"/>
      <c r="U53" s="68">
        <v>0</v>
      </c>
      <c r="V53" s="27"/>
      <c r="W53" s="27"/>
      <c r="X53" s="27"/>
      <c r="Y53" s="67"/>
      <c r="Z53" s="68">
        <v>0</v>
      </c>
      <c r="AA53" s="27"/>
      <c r="AB53" s="27"/>
      <c r="AC53" s="27"/>
      <c r="AD53" s="67"/>
      <c r="AE53" s="68">
        <v>0</v>
      </c>
      <c r="AF53" s="27"/>
      <c r="AG53" s="27"/>
      <c r="AH53" s="27"/>
      <c r="AI53" s="67"/>
      <c r="AJ53" s="68"/>
      <c r="AK53" s="27"/>
      <c r="AL53" s="27"/>
      <c r="AM53" s="27"/>
      <c r="AN53" s="67"/>
      <c r="AO53" s="68"/>
      <c r="AP53" s="27"/>
      <c r="AQ53" s="27"/>
      <c r="AR53" s="27"/>
      <c r="AS53" s="67"/>
      <c r="AT53" s="70"/>
      <c r="AU53" s="27"/>
      <c r="AV53" s="27"/>
      <c r="AW53" s="27"/>
      <c r="AX53" s="67"/>
      <c r="AY53" s="70"/>
    </row>
    <row r="54" spans="1:51" s="3" customFormat="1">
      <c r="A54" s="31" t="s">
        <v>70</v>
      </c>
      <c r="B54" s="67"/>
      <c r="C54" s="67"/>
      <c r="D54" s="67"/>
      <c r="E54" s="67"/>
      <c r="F54" s="68"/>
      <c r="G54" s="67"/>
      <c r="H54" s="67"/>
      <c r="I54" s="67"/>
      <c r="J54" s="67"/>
      <c r="K54" s="68"/>
      <c r="L54" s="67">
        <v>-1800</v>
      </c>
      <c r="M54" s="67">
        <v>-688</v>
      </c>
      <c r="N54" s="67">
        <v>5906</v>
      </c>
      <c r="O54" s="67">
        <v>5244</v>
      </c>
      <c r="P54" s="68">
        <v>8662</v>
      </c>
      <c r="Q54" s="67">
        <v>1247</v>
      </c>
      <c r="R54" s="67">
        <v>3461</v>
      </c>
      <c r="S54" s="67">
        <v>9893</v>
      </c>
      <c r="T54" s="67">
        <v>8969</v>
      </c>
      <c r="U54" s="68">
        <v>23570</v>
      </c>
      <c r="V54" s="67">
        <v>11994</v>
      </c>
      <c r="W54" s="67">
        <v>11468</v>
      </c>
      <c r="X54" s="67">
        <v>8851</v>
      </c>
      <c r="Y54" s="67">
        <v>13649</v>
      </c>
      <c r="Z54" s="68">
        <v>45962</v>
      </c>
      <c r="AA54" s="67">
        <v>10765</v>
      </c>
      <c r="AB54" s="67">
        <v>1347</v>
      </c>
      <c r="AC54" s="67">
        <v>35</v>
      </c>
      <c r="AD54" s="67">
        <v>5895</v>
      </c>
      <c r="AE54" s="68">
        <v>18042</v>
      </c>
      <c r="AF54" s="67">
        <v>3773</v>
      </c>
      <c r="AG54" s="67">
        <v>4408</v>
      </c>
      <c r="AH54" s="67">
        <v>1123</v>
      </c>
      <c r="AI54" s="67">
        <v>5743</v>
      </c>
      <c r="AJ54" s="68">
        <v>15047</v>
      </c>
      <c r="AK54" s="67">
        <v>6298</v>
      </c>
      <c r="AL54" s="67">
        <v>10537</v>
      </c>
      <c r="AM54" s="67">
        <v>18035</v>
      </c>
      <c r="AN54" s="67">
        <v>13493</v>
      </c>
      <c r="AO54" s="68">
        <v>48363</v>
      </c>
      <c r="AP54" s="20">
        <f t="shared" ref="AP54:AS54" si="4">SUM(AP49:AP53)</f>
        <v>17441</v>
      </c>
      <c r="AQ54" s="20">
        <f t="shared" si="4"/>
        <v>23858</v>
      </c>
      <c r="AR54" s="20">
        <f t="shared" si="4"/>
        <v>24727</v>
      </c>
      <c r="AS54" s="20">
        <f t="shared" si="4"/>
        <v>29168</v>
      </c>
      <c r="AT54" s="72">
        <f>SUM(AP54:AS54)</f>
        <v>95194</v>
      </c>
      <c r="AU54" s="20">
        <f>SUM(AU49:AU53)</f>
        <v>40079</v>
      </c>
      <c r="AV54" s="67"/>
      <c r="AW54" s="67"/>
      <c r="AX54" s="67"/>
      <c r="AY54" s="72"/>
    </row>
    <row r="55" spans="1:51" s="3" customFormat="1">
      <c r="A55" s="31"/>
      <c r="B55" s="27"/>
      <c r="C55" s="27"/>
      <c r="D55" s="27"/>
      <c r="E55" s="67"/>
      <c r="F55" s="68"/>
      <c r="G55" s="27"/>
      <c r="H55" s="27"/>
      <c r="I55" s="27"/>
      <c r="J55" s="67"/>
      <c r="K55" s="68"/>
      <c r="L55" s="27"/>
      <c r="M55" s="27"/>
      <c r="N55" s="27"/>
      <c r="O55" s="67"/>
      <c r="P55" s="68">
        <v>0</v>
      </c>
      <c r="Q55" s="27"/>
      <c r="R55" s="27"/>
      <c r="S55" s="27"/>
      <c r="T55" s="67"/>
      <c r="U55" s="68">
        <v>0</v>
      </c>
      <c r="V55" s="27"/>
      <c r="W55" s="27"/>
      <c r="X55" s="27"/>
      <c r="Y55" s="67"/>
      <c r="Z55" s="68">
        <v>0</v>
      </c>
      <c r="AA55" s="27"/>
      <c r="AB55" s="27"/>
      <c r="AC55" s="27"/>
      <c r="AD55" s="67"/>
      <c r="AE55" s="68">
        <v>0</v>
      </c>
      <c r="AF55" s="27"/>
      <c r="AG55" s="27"/>
      <c r="AH55" s="27"/>
      <c r="AI55" s="67"/>
      <c r="AJ55" s="68"/>
      <c r="AK55" s="27"/>
      <c r="AL55" s="27"/>
      <c r="AM55" s="27"/>
      <c r="AN55" s="67"/>
      <c r="AO55" s="68"/>
      <c r="AP55" s="27"/>
      <c r="AQ55" s="27"/>
      <c r="AR55" s="27"/>
      <c r="AS55" s="67"/>
      <c r="AT55" s="68"/>
      <c r="AU55" s="27"/>
      <c r="AV55" s="27"/>
      <c r="AW55" s="27"/>
      <c r="AX55" s="67"/>
      <c r="AY55" s="68"/>
    </row>
    <row r="56" spans="1:51" s="89" customFormat="1">
      <c r="A56" s="31" t="s">
        <v>216</v>
      </c>
      <c r="B56" s="67">
        <v>-2741</v>
      </c>
      <c r="C56" s="67">
        <v>-259</v>
      </c>
      <c r="D56" s="67">
        <v>-619</v>
      </c>
      <c r="E56" s="67">
        <v>-2186</v>
      </c>
      <c r="F56" s="81">
        <f>SUM(B56:E56)</f>
        <v>-5805</v>
      </c>
      <c r="G56" s="67">
        <v>-3129</v>
      </c>
      <c r="H56" s="67">
        <v>-3232</v>
      </c>
      <c r="I56" s="67">
        <v>-189</v>
      </c>
      <c r="J56" s="67">
        <v>-585</v>
      </c>
      <c r="K56" s="81">
        <f>SUM(G56:J56)</f>
        <v>-7135</v>
      </c>
      <c r="L56" s="67">
        <v>-330</v>
      </c>
      <c r="M56" s="67">
        <v>-330</v>
      </c>
      <c r="N56" s="67">
        <v>-547</v>
      </c>
      <c r="O56" s="67">
        <v>-1390</v>
      </c>
      <c r="P56" s="81">
        <f>SUM(L56:O56)</f>
        <v>-2597</v>
      </c>
      <c r="Q56" s="67">
        <v>-3225</v>
      </c>
      <c r="R56" s="67">
        <v>-651</v>
      </c>
      <c r="S56" s="67">
        <v>-2150</v>
      </c>
      <c r="T56" s="67">
        <v>-2962</v>
      </c>
      <c r="U56" s="81">
        <f>SUM(Q56:T56)</f>
        <v>-8988</v>
      </c>
      <c r="V56" s="67">
        <v>-4345</v>
      </c>
      <c r="W56" s="67">
        <v>-5749</v>
      </c>
      <c r="X56" s="67">
        <v>-1859.0000000000002</v>
      </c>
      <c r="Y56" s="67">
        <v>-3543</v>
      </c>
      <c r="Z56" s="81">
        <f>SUM(V56:Y56)</f>
        <v>-15496</v>
      </c>
      <c r="AA56" s="67">
        <v>-5468</v>
      </c>
      <c r="AB56" s="67">
        <v>-2834</v>
      </c>
      <c r="AC56" s="67">
        <v>-1708</v>
      </c>
      <c r="AD56" s="67">
        <v>-1425</v>
      </c>
      <c r="AE56" s="81">
        <f>SUM(AA56:AD56)</f>
        <v>-11435</v>
      </c>
      <c r="AF56" s="67">
        <v>-1325</v>
      </c>
      <c r="AG56" s="67">
        <v>-2010</v>
      </c>
      <c r="AH56" s="67">
        <v>-2272</v>
      </c>
      <c r="AI56" s="67">
        <v>-814.99999999999966</v>
      </c>
      <c r="AJ56" s="81">
        <f>SUM(AF56:AI56)</f>
        <v>-6422</v>
      </c>
      <c r="AK56" s="67">
        <v>-870</v>
      </c>
      <c r="AL56" s="67">
        <v>-1244</v>
      </c>
      <c r="AM56" s="67">
        <v>-2564</v>
      </c>
      <c r="AN56" s="67">
        <v>-5305</v>
      </c>
      <c r="AO56" s="81">
        <f>SUM(AK56:AN56)</f>
        <v>-9983</v>
      </c>
      <c r="AP56" s="67">
        <v>-1251</v>
      </c>
      <c r="AQ56" s="67">
        <v>-1920</v>
      </c>
      <c r="AR56" s="67">
        <v>-2642</v>
      </c>
      <c r="AS56" s="67">
        <v>-5907</v>
      </c>
      <c r="AT56" s="244">
        <f>SUM(AP56:AS56)</f>
        <v>-11720</v>
      </c>
      <c r="AU56" s="67">
        <f>SUM(AU57:AU59)</f>
        <v>-3216</v>
      </c>
      <c r="AV56" s="67"/>
      <c r="AW56" s="67"/>
      <c r="AX56" s="67"/>
      <c r="AY56" s="244"/>
    </row>
    <row r="57" spans="1:51" s="89" customFormat="1">
      <c r="A57" s="83" t="s">
        <v>217</v>
      </c>
      <c r="B57" s="35">
        <v>0</v>
      </c>
      <c r="C57" s="35">
        <v>0</v>
      </c>
      <c r="D57" s="35">
        <v>0</v>
      </c>
      <c r="E57" s="35">
        <v>0</v>
      </c>
      <c r="F57" s="86">
        <f>SUM(B57:E57)</f>
        <v>0</v>
      </c>
      <c r="G57" s="35">
        <v>0</v>
      </c>
      <c r="H57" s="35">
        <v>0</v>
      </c>
      <c r="I57" s="35">
        <v>0</v>
      </c>
      <c r="J57" s="35">
        <v>0</v>
      </c>
      <c r="K57" s="86">
        <f>SUM(G57:J57)</f>
        <v>0</v>
      </c>
      <c r="L57" s="35">
        <v>0</v>
      </c>
      <c r="M57" s="35">
        <v>0</v>
      </c>
      <c r="N57" s="35">
        <v>0</v>
      </c>
      <c r="O57" s="35">
        <v>0</v>
      </c>
      <c r="P57" s="86">
        <f>SUM(L57:O57)</f>
        <v>0</v>
      </c>
      <c r="Q57" s="35">
        <v>0</v>
      </c>
      <c r="R57" s="35">
        <v>0</v>
      </c>
      <c r="S57" s="35">
        <v>0</v>
      </c>
      <c r="T57" s="35">
        <v>0</v>
      </c>
      <c r="U57" s="86">
        <f>SUM(Q57:T57)</f>
        <v>0</v>
      </c>
      <c r="V57" s="35">
        <v>-4206.1319999999996</v>
      </c>
      <c r="W57" s="35">
        <v>-5618.1476840280156</v>
      </c>
      <c r="X57" s="35">
        <v>-1699.4747020179602</v>
      </c>
      <c r="Y57" s="35">
        <v>-3501.7750000000001</v>
      </c>
      <c r="Z57" s="86">
        <f>SUM(V57:Y57)</f>
        <v>-15025.529386045975</v>
      </c>
      <c r="AA57" s="35">
        <v>-977.78696533691686</v>
      </c>
      <c r="AB57" s="35">
        <v>-409.08789421170275</v>
      </c>
      <c r="AC57" s="35">
        <v>-242.2443200000001</v>
      </c>
      <c r="AD57" s="35">
        <v>-411.73761999999994</v>
      </c>
      <c r="AE57" s="86">
        <f>SUM(AA57:AD57)</f>
        <v>-2040.8567995486194</v>
      </c>
      <c r="AF57" s="35">
        <v>-1078.203</v>
      </c>
      <c r="AG57" s="35">
        <v>-371.40299999999991</v>
      </c>
      <c r="AH57" s="35">
        <v>-300.67999999999984</v>
      </c>
      <c r="AI57" s="35">
        <v>-285.89999999999964</v>
      </c>
      <c r="AJ57" s="86">
        <f>SUM(AF57:AI57)</f>
        <v>-2036.1859999999992</v>
      </c>
      <c r="AK57" s="35">
        <v>-395.02726446638428</v>
      </c>
      <c r="AL57" s="35">
        <v>-70</v>
      </c>
      <c r="AM57" s="35">
        <v>-850.99699999999996</v>
      </c>
      <c r="AN57" s="35">
        <v>-832.03029000000004</v>
      </c>
      <c r="AO57" s="86">
        <f>SUM(AK57:AN57)</f>
        <v>-2148.0545544663842</v>
      </c>
      <c r="AP57" s="35">
        <v>-556</v>
      </c>
      <c r="AQ57" s="35">
        <v>-1297</v>
      </c>
      <c r="AR57" s="35">
        <v>-2033.6860799999999</v>
      </c>
      <c r="AS57" s="35">
        <v>-2384</v>
      </c>
      <c r="AT57" s="243">
        <f>SUM(AP57:AS57)</f>
        <v>-6270.6860799999995</v>
      </c>
      <c r="AU57" s="35">
        <v>-2039</v>
      </c>
      <c r="AV57" s="35"/>
      <c r="AW57" s="35"/>
      <c r="AX57" s="35"/>
      <c r="AY57" s="243"/>
    </row>
    <row r="58" spans="1:51" s="89" customFormat="1">
      <c r="A58" s="83" t="s">
        <v>218</v>
      </c>
      <c r="B58" s="35">
        <v>0</v>
      </c>
      <c r="C58" s="35">
        <v>0</v>
      </c>
      <c r="D58" s="35">
        <v>0</v>
      </c>
      <c r="E58" s="35">
        <v>0</v>
      </c>
      <c r="F58" s="86">
        <f t="shared" ref="F58:F59" si="5">SUM(B58:E58)</f>
        <v>0</v>
      </c>
      <c r="G58" s="35">
        <v>0</v>
      </c>
      <c r="H58" s="35">
        <v>0</v>
      </c>
      <c r="I58" s="35">
        <v>0</v>
      </c>
      <c r="J58" s="35">
        <v>0</v>
      </c>
      <c r="K58" s="86">
        <f t="shared" ref="K58:K59" si="6">SUM(G58:J58)</f>
        <v>0</v>
      </c>
      <c r="L58" s="35">
        <v>0</v>
      </c>
      <c r="M58" s="35">
        <v>0</v>
      </c>
      <c r="N58" s="35">
        <v>0</v>
      </c>
      <c r="O58" s="35">
        <v>0</v>
      </c>
      <c r="P58" s="86">
        <f t="shared" ref="P58:P59" si="7">SUM(L58:O58)</f>
        <v>0</v>
      </c>
      <c r="Q58" s="35">
        <v>0</v>
      </c>
      <c r="R58" s="35">
        <v>0</v>
      </c>
      <c r="S58" s="35">
        <v>0</v>
      </c>
      <c r="T58" s="35">
        <v>0</v>
      </c>
      <c r="U58" s="86">
        <f t="shared" ref="U58:U59" si="8">SUM(Q58:T58)</f>
        <v>0</v>
      </c>
      <c r="V58" s="35">
        <v>-138.86799999999999</v>
      </c>
      <c r="W58" s="35">
        <v>-130.8523159719843</v>
      </c>
      <c r="X58" s="35">
        <v>-159.52529798204006</v>
      </c>
      <c r="Y58" s="35">
        <v>-41.225000000000001</v>
      </c>
      <c r="Z58" s="86">
        <f t="shared" ref="Z58:Z59" si="9">SUM(V58:Y58)</f>
        <v>-470.47061395402437</v>
      </c>
      <c r="AA58" s="35">
        <v>-96.980963328173118</v>
      </c>
      <c r="AB58" s="35">
        <v>-157.12405246849275</v>
      </c>
      <c r="AC58" s="35">
        <v>-75.97475</v>
      </c>
      <c r="AD58" s="35">
        <v>-53.490039999999986</v>
      </c>
      <c r="AE58" s="86">
        <f t="shared" ref="AE58:AE59" si="10">SUM(AA58:AD58)</f>
        <v>-383.56980579666583</v>
      </c>
      <c r="AF58" s="35">
        <v>-121.797</v>
      </c>
      <c r="AG58" s="35">
        <v>-131.351</v>
      </c>
      <c r="AH58" s="35">
        <v>-113.744</v>
      </c>
      <c r="AI58" s="35">
        <v>-153.80000000000001</v>
      </c>
      <c r="AJ58" s="86">
        <f t="shared" ref="AJ58:AJ59" si="11">SUM(AF58:AI58)</f>
        <v>-520.69200000000001</v>
      </c>
      <c r="AK58" s="35">
        <v>0</v>
      </c>
      <c r="AL58" s="35">
        <v>-7</v>
      </c>
      <c r="AM58" s="35">
        <v>-1671</v>
      </c>
      <c r="AN58" s="35">
        <v>-166.96970999999999</v>
      </c>
      <c r="AO58" s="86">
        <f t="shared" ref="AO58:AO59" si="12">SUM(AK58:AN58)</f>
        <v>-1844.9697100000001</v>
      </c>
      <c r="AP58" s="35">
        <v>-189</v>
      </c>
      <c r="AQ58" s="35">
        <v>-142</v>
      </c>
      <c r="AR58" s="35">
        <v>-192.31392</v>
      </c>
      <c r="AS58" s="35">
        <v>130</v>
      </c>
      <c r="AT58" s="243">
        <f>SUM(AP58:AS58)</f>
        <v>-393.31392000000005</v>
      </c>
      <c r="AU58" s="35">
        <v>-117</v>
      </c>
      <c r="AV58" s="35"/>
      <c r="AW58" s="35"/>
      <c r="AX58" s="35"/>
      <c r="AY58" s="243"/>
    </row>
    <row r="59" spans="1:51" s="89" customFormat="1">
      <c r="A59" s="83" t="s">
        <v>219</v>
      </c>
      <c r="B59" s="35">
        <v>0</v>
      </c>
      <c r="C59" s="35">
        <v>0</v>
      </c>
      <c r="D59" s="35">
        <v>0</v>
      </c>
      <c r="E59" s="35">
        <v>0</v>
      </c>
      <c r="F59" s="86">
        <f t="shared" si="5"/>
        <v>0</v>
      </c>
      <c r="G59" s="35">
        <v>0</v>
      </c>
      <c r="H59" s="35">
        <v>0</v>
      </c>
      <c r="I59" s="35">
        <v>0</v>
      </c>
      <c r="J59" s="35">
        <v>0</v>
      </c>
      <c r="K59" s="86">
        <f t="shared" si="6"/>
        <v>0</v>
      </c>
      <c r="L59" s="35">
        <v>0</v>
      </c>
      <c r="M59" s="35">
        <v>0</v>
      </c>
      <c r="N59" s="35">
        <v>0</v>
      </c>
      <c r="O59" s="35">
        <v>0</v>
      </c>
      <c r="P59" s="86">
        <f t="shared" si="7"/>
        <v>0</v>
      </c>
      <c r="Q59" s="35">
        <v>0</v>
      </c>
      <c r="R59" s="35">
        <v>0</v>
      </c>
      <c r="S59" s="35">
        <v>0</v>
      </c>
      <c r="T59" s="35">
        <v>0</v>
      </c>
      <c r="U59" s="86">
        <f t="shared" si="8"/>
        <v>0</v>
      </c>
      <c r="V59" s="35">
        <v>0</v>
      </c>
      <c r="W59" s="35">
        <v>0</v>
      </c>
      <c r="X59" s="35">
        <v>0</v>
      </c>
      <c r="Y59" s="35">
        <v>0</v>
      </c>
      <c r="Z59" s="86">
        <f t="shared" si="9"/>
        <v>0</v>
      </c>
      <c r="AA59" s="35">
        <v>-4394.23207133491</v>
      </c>
      <c r="AB59" s="35">
        <v>-2266.7880533198045</v>
      </c>
      <c r="AC59" s="35">
        <v>-1389.7809299999999</v>
      </c>
      <c r="AD59" s="35">
        <v>-959.7723400000001</v>
      </c>
      <c r="AE59" s="86">
        <f t="shared" si="10"/>
        <v>-9010.5733946547152</v>
      </c>
      <c r="AF59" s="35">
        <v>-125</v>
      </c>
      <c r="AG59" s="35">
        <v>-1507.2460000000001</v>
      </c>
      <c r="AH59" s="35">
        <v>-1857.576</v>
      </c>
      <c r="AI59" s="35">
        <v>-375.3</v>
      </c>
      <c r="AJ59" s="86">
        <f t="shared" si="11"/>
        <v>-3865.1220000000003</v>
      </c>
      <c r="AK59" s="35">
        <v>-474.97273553361572</v>
      </c>
      <c r="AL59" s="35">
        <v>-1167</v>
      </c>
      <c r="AM59" s="35">
        <v>-42.003</v>
      </c>
      <c r="AN59" s="35">
        <v>-4306</v>
      </c>
      <c r="AO59" s="86">
        <f t="shared" si="12"/>
        <v>-5989.975735533616</v>
      </c>
      <c r="AP59" s="35">
        <v>-506</v>
      </c>
      <c r="AQ59" s="35">
        <v>-481</v>
      </c>
      <c r="AR59" s="35">
        <v>-416</v>
      </c>
      <c r="AS59" s="35">
        <v>-3653</v>
      </c>
      <c r="AT59" s="243">
        <f>SUM(AP59:AS59)</f>
        <v>-5056</v>
      </c>
      <c r="AU59" s="35">
        <v>-1060</v>
      </c>
      <c r="AV59" s="35"/>
      <c r="AW59" s="35"/>
      <c r="AX59" s="35"/>
      <c r="AY59" s="243"/>
    </row>
    <row r="60" spans="1:51" s="3" customFormat="1">
      <c r="A60" s="33"/>
      <c r="E60" s="67"/>
      <c r="F60" s="68"/>
      <c r="J60" s="67"/>
      <c r="K60" s="68"/>
      <c r="O60" s="67"/>
      <c r="P60" s="68">
        <v>0</v>
      </c>
      <c r="T60" s="67"/>
      <c r="U60" s="68">
        <v>0</v>
      </c>
      <c r="Y60" s="67"/>
      <c r="Z60" s="68">
        <v>0</v>
      </c>
      <c r="AD60" s="67"/>
      <c r="AE60" s="68">
        <v>0</v>
      </c>
      <c r="AI60" s="67"/>
      <c r="AJ60" s="68"/>
      <c r="AN60" s="67"/>
      <c r="AO60" s="68"/>
      <c r="AS60" s="67"/>
      <c r="AT60" s="68"/>
      <c r="AX60" s="67"/>
      <c r="AY60" s="68"/>
    </row>
    <row r="61" spans="1:51" s="3" customFormat="1">
      <c r="A61" s="31" t="s">
        <v>72</v>
      </c>
      <c r="B61" s="101"/>
      <c r="C61" s="101"/>
      <c r="D61" s="101"/>
      <c r="E61" s="101"/>
      <c r="F61" s="68"/>
      <c r="G61" s="101"/>
      <c r="H61" s="101"/>
      <c r="I61" s="101"/>
      <c r="J61" s="101"/>
      <c r="K61" s="68"/>
      <c r="L61" s="101">
        <v>582</v>
      </c>
      <c r="M61" s="101">
        <v>1515</v>
      </c>
      <c r="N61" s="101">
        <v>11719</v>
      </c>
      <c r="O61" s="101">
        <v>11131</v>
      </c>
      <c r="P61" s="68">
        <v>24947</v>
      </c>
      <c r="Q61" s="101">
        <v>4568</v>
      </c>
      <c r="R61" s="101">
        <v>5929</v>
      </c>
      <c r="S61" s="101">
        <v>17454</v>
      </c>
      <c r="T61" s="101">
        <v>15727</v>
      </c>
      <c r="U61" s="68">
        <v>43678</v>
      </c>
      <c r="V61" s="101">
        <v>18954</v>
      </c>
      <c r="W61" s="101">
        <v>21967</v>
      </c>
      <c r="X61" s="101">
        <v>15340</v>
      </c>
      <c r="Y61" s="101">
        <v>24765</v>
      </c>
      <c r="Z61" s="68">
        <v>81026</v>
      </c>
      <c r="AA61" s="101">
        <v>15436</v>
      </c>
      <c r="AB61" s="101">
        <v>5539</v>
      </c>
      <c r="AC61" s="101">
        <v>4225</v>
      </c>
      <c r="AD61" s="101">
        <v>1073</v>
      </c>
      <c r="AE61" s="68">
        <v>26273</v>
      </c>
      <c r="AF61" s="101">
        <v>5275</v>
      </c>
      <c r="AG61" s="101">
        <v>11425</v>
      </c>
      <c r="AH61" s="101">
        <v>7142</v>
      </c>
      <c r="AI61" s="101">
        <v>10478</v>
      </c>
      <c r="AJ61" s="68">
        <v>34320</v>
      </c>
      <c r="AK61" s="101">
        <v>13676</v>
      </c>
      <c r="AL61" s="101">
        <v>19120</v>
      </c>
      <c r="AM61" s="101">
        <v>26831</v>
      </c>
      <c r="AN61" s="101">
        <v>23576</v>
      </c>
      <c r="AO61" s="68">
        <v>83203</v>
      </c>
      <c r="AP61" s="20">
        <v>26856</v>
      </c>
      <c r="AQ61" s="101">
        <v>33790</v>
      </c>
      <c r="AR61" s="101">
        <v>35478</v>
      </c>
      <c r="AS61" s="101">
        <v>47900</v>
      </c>
      <c r="AT61" s="72">
        <f>SUM(AP61:AS61)</f>
        <v>144024</v>
      </c>
      <c r="AU61" s="20">
        <v>58105</v>
      </c>
      <c r="AV61" s="101"/>
      <c r="AW61" s="101"/>
      <c r="AX61" s="101"/>
      <c r="AY61" s="72"/>
    </row>
    <row r="62" spans="1:51" s="3" customFormat="1">
      <c r="A62" s="134" t="s">
        <v>220</v>
      </c>
      <c r="B62" s="96"/>
      <c r="C62" s="96"/>
      <c r="D62" s="96"/>
      <c r="E62" s="96"/>
      <c r="F62" s="118"/>
      <c r="G62" s="96"/>
      <c r="H62" s="96"/>
      <c r="I62" s="96"/>
      <c r="J62" s="96"/>
      <c r="K62" s="118"/>
      <c r="L62" s="96">
        <v>7.4225226374186964E-2</v>
      </c>
      <c r="M62" s="96">
        <v>9.2916283348666057E-2</v>
      </c>
      <c r="N62" s="96">
        <v>0.4131500088136788</v>
      </c>
      <c r="O62" s="96">
        <v>0.41111726685133887</v>
      </c>
      <c r="P62" s="118">
        <v>0.3134596537079386</v>
      </c>
      <c r="Q62" s="96">
        <v>0.24156530936012691</v>
      </c>
      <c r="R62" s="96">
        <v>0.41671352263143097</v>
      </c>
      <c r="S62" s="96">
        <v>0.51730883224659163</v>
      </c>
      <c r="T62" s="96">
        <v>0.5580512383791072</v>
      </c>
      <c r="U62" s="118">
        <v>0.45947822427940249</v>
      </c>
      <c r="V62" s="96">
        <v>0.48556423722300501</v>
      </c>
      <c r="W62" s="96">
        <v>0.50755545286506465</v>
      </c>
      <c r="X62" s="96">
        <v>0.50452228251932252</v>
      </c>
      <c r="Y62" s="96">
        <v>0.58285673939137184</v>
      </c>
      <c r="Z62" s="118">
        <v>0.52204446907073687</v>
      </c>
      <c r="AA62" s="96">
        <v>0.42252210330386225</v>
      </c>
      <c r="AB62" s="96">
        <v>0.19342109857876175</v>
      </c>
      <c r="AC62" s="96">
        <v>0.17862427599036063</v>
      </c>
      <c r="AD62" s="96">
        <v>5.4178237818732641E-2</v>
      </c>
      <c r="AE62" s="118">
        <v>0.24186213499281953</v>
      </c>
      <c r="AF62" s="96">
        <v>0.20542077183690954</v>
      </c>
      <c r="AG62" s="96">
        <v>0.37650354259350799</v>
      </c>
      <c r="AH62" s="96">
        <v>0.22000431260203923</v>
      </c>
      <c r="AI62" s="96">
        <v>0.31222622843350517</v>
      </c>
      <c r="AJ62" s="118">
        <v>0.28120544712649331</v>
      </c>
      <c r="AK62" s="96">
        <v>0.36326931760830877</v>
      </c>
      <c r="AL62" s="96">
        <v>0.45565035031695345</v>
      </c>
      <c r="AM62" s="96">
        <v>0.54552293428757315</v>
      </c>
      <c r="AN62" s="96">
        <v>0.48213664901122721</v>
      </c>
      <c r="AO62" s="118">
        <v>0.46824280215203834</v>
      </c>
      <c r="AP62" s="96">
        <v>0.55877824476717575</v>
      </c>
      <c r="AQ62" s="96">
        <f>AQ61/AQ31</f>
        <v>0.60581612162937459</v>
      </c>
      <c r="AR62" s="96">
        <f>AR61/AR31</f>
        <v>0.5992500506722519</v>
      </c>
      <c r="AS62" s="96">
        <f>AS61/AS31</f>
        <v>0.7098820321299425</v>
      </c>
      <c r="AT62" s="155">
        <f>AS62</f>
        <v>0.7098820321299425</v>
      </c>
      <c r="AU62" s="96">
        <f>AU61/AU31</f>
        <v>0.72613096725818549</v>
      </c>
      <c r="AV62" s="96"/>
      <c r="AW62" s="96"/>
      <c r="AX62" s="96"/>
      <c r="AY62" s="155"/>
    </row>
    <row r="63" spans="1:51">
      <c r="A63" s="135"/>
      <c r="B63" s="136"/>
      <c r="C63" s="136"/>
      <c r="D63" s="136"/>
      <c r="E63" s="136"/>
      <c r="F63" s="137"/>
      <c r="G63" s="136"/>
      <c r="H63" s="136"/>
      <c r="I63" s="136"/>
      <c r="J63" s="136"/>
      <c r="K63" s="137"/>
      <c r="L63" s="136"/>
      <c r="M63" s="136"/>
      <c r="N63" s="136"/>
      <c r="O63" s="136"/>
      <c r="P63" s="137"/>
      <c r="Q63" s="136"/>
      <c r="R63" s="136"/>
      <c r="S63" s="136"/>
      <c r="T63" s="136"/>
      <c r="U63" s="137"/>
      <c r="V63" s="136"/>
      <c r="W63" s="136"/>
      <c r="X63" s="136"/>
      <c r="Y63" s="136"/>
      <c r="Z63" s="137"/>
      <c r="AA63" s="136"/>
      <c r="AB63" s="136"/>
      <c r="AC63" s="136"/>
      <c r="AD63" s="136"/>
      <c r="AE63" s="137"/>
      <c r="AF63" s="136"/>
      <c r="AG63" s="136"/>
      <c r="AH63" s="136"/>
      <c r="AI63" s="136"/>
      <c r="AJ63" s="137"/>
      <c r="AK63" s="136"/>
      <c r="AL63" s="136"/>
      <c r="AM63" s="136"/>
      <c r="AN63" s="136"/>
      <c r="AO63" s="137"/>
      <c r="AP63" s="136"/>
      <c r="AQ63" s="136"/>
      <c r="AR63" s="136"/>
      <c r="AS63" s="136"/>
      <c r="AT63" s="125"/>
      <c r="AU63" s="136"/>
      <c r="AV63" s="136"/>
      <c r="AW63" s="136"/>
      <c r="AX63" s="136"/>
      <c r="AY63" s="125"/>
    </row>
    <row r="64" spans="1:51">
      <c r="AP64" s="246"/>
      <c r="AQ64" s="246"/>
      <c r="AR64" s="246"/>
      <c r="AS64" s="246"/>
      <c r="AT64" s="138"/>
      <c r="AU64" s="246"/>
      <c r="AV64" s="246"/>
      <c r="AW64" s="246"/>
      <c r="AX64" s="246"/>
      <c r="AY64" s="138"/>
    </row>
    <row r="65" spans="1:51">
      <c r="AF65" s="28"/>
      <c r="AG65" s="28"/>
      <c r="AH65" s="28"/>
      <c r="AI65" s="28"/>
      <c r="AJ65" s="28"/>
      <c r="AK65" s="28"/>
      <c r="AL65" s="28"/>
      <c r="AM65" s="28"/>
      <c r="AN65" s="28"/>
      <c r="AO65" s="28"/>
      <c r="AP65" s="28"/>
      <c r="AS65" s="28"/>
      <c r="AT65" s="28"/>
      <c r="AU65" s="28"/>
      <c r="AX65" s="28"/>
      <c r="AY65" s="28"/>
    </row>
    <row r="66" spans="1:51" ht="100.8">
      <c r="A66" s="265" t="s">
        <v>310</v>
      </c>
    </row>
  </sheetData>
  <phoneticPr fontId="2" type="noConversion"/>
  <pageMargins left="0.7" right="0.7" top="0.75" bottom="0.75" header="0.3" footer="0.3"/>
  <ignoredErrors>
    <ignoredError sqref="AT14:AT15 AT19 AT23:AT24 AT30:AT33 AT35:AT38 AT61 AT50:AT54 AT42:AT43"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7C248FC677BE4ABC042BA2DBEA891A" ma:contentTypeVersion="21" ma:contentTypeDescription="Create a new document." ma:contentTypeScope="" ma:versionID="a0282c863ec9c52a2f91f19609162a0c">
  <xsd:schema xmlns:xsd="http://www.w3.org/2001/XMLSchema" xmlns:xs="http://www.w3.org/2001/XMLSchema" xmlns:p="http://schemas.microsoft.com/office/2006/metadata/properties" xmlns:ns1="http://schemas.microsoft.com/sharepoint/v3" xmlns:ns2="2c9aa295-367d-4c72-8718-8798a73a5c16" xmlns:ns3="35165213-95d6-4dfa-96c0-61d5c79e045c" targetNamespace="http://schemas.microsoft.com/office/2006/metadata/properties" ma:root="true" ma:fieldsID="9025e4f9e18a8aec808a93015e3916a6" ns1:_="" ns2:_="" ns3:_="">
    <xsd:import namespace="http://schemas.microsoft.com/sharepoint/v3"/>
    <xsd:import namespace="2c9aa295-367d-4c72-8718-8798a73a5c16"/>
    <xsd:import namespace="35165213-95d6-4dfa-96c0-61d5c79e04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9aa295-367d-4c72-8718-8798a73a5c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7d53577-06e1-45c7-9147-bc24e59e74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165213-95d6-4dfa-96c0-61d5c79e045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0d8e814-d976-4b5c-b9f6-72fc2b0db718}" ma:internalName="TaxCatchAll" ma:showField="CatchAllData" ma:web="35165213-95d6-4dfa-96c0-61d5c79e04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c9aa295-367d-4c72-8718-8798a73a5c16">
      <Terms xmlns="http://schemas.microsoft.com/office/infopath/2007/PartnerControls"/>
    </lcf76f155ced4ddcb4097134ff3c332f>
    <TaxCatchAll xmlns="35165213-95d6-4dfa-96c0-61d5c79e045c"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0DC7D46-DC6F-4A9D-B637-3935D5038A2A}">
  <ds:schemaRefs>
    <ds:schemaRef ds:uri="http://schemas.microsoft.com/sharepoint/v3/contenttype/forms"/>
  </ds:schemaRefs>
</ds:datastoreItem>
</file>

<file path=customXml/itemProps2.xml><?xml version="1.0" encoding="utf-8"?>
<ds:datastoreItem xmlns:ds="http://schemas.openxmlformats.org/officeDocument/2006/customXml" ds:itemID="{52A3300D-D69A-4800-8701-1D82E056A3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c9aa295-367d-4c72-8718-8798a73a5c16"/>
    <ds:schemaRef ds:uri="35165213-95d6-4dfa-96c0-61d5c79e04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171C82-2EBC-48A9-94FE-FDC22E99F801}">
  <ds:schemaRefs>
    <ds:schemaRef ds:uri="http://purl.org/dc/terms/"/>
    <ds:schemaRef ds:uri="35165213-95d6-4dfa-96c0-61d5c79e045c"/>
    <ds:schemaRef ds:uri="http://schemas.openxmlformats.org/package/2006/metadata/core-properties"/>
    <ds:schemaRef ds:uri="http://purl.org/dc/dcmitype/"/>
    <ds:schemaRef ds:uri="http://purl.org/dc/elements/1.1/"/>
    <ds:schemaRef ds:uri="http://schemas.microsoft.com/sharepoint/v3"/>
    <ds:schemaRef ds:uri="2c9aa295-367d-4c72-8718-8798a73a5c16"/>
    <ds:schemaRef ds:uri="http://schemas.microsoft.com/office/2006/metadata/properties"/>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Index</vt:lpstr>
      <vt:lpstr>1. Production Processes</vt:lpstr>
      <vt:lpstr>2. Income Statement</vt:lpstr>
      <vt:lpstr>3. Balance Sheet</vt:lpstr>
      <vt:lpstr>4. Cash Flow</vt:lpstr>
      <vt:lpstr>5. Operational Data</vt:lpstr>
      <vt:lpstr>5.1. Aranzazu</vt:lpstr>
      <vt:lpstr>5.2. Apoena</vt:lpstr>
      <vt:lpstr>5.3. Minosa</vt:lpstr>
      <vt:lpstr>5.4. Almas</vt:lpstr>
      <vt:lpstr>5.5 Borborema</vt:lpstr>
      <vt:lpstr>5.6 MSG</vt:lpstr>
      <vt:lpstr>Debt Opening</vt:lpstr>
      <vt:lpstr>Tax and Royalties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Felipe Barone Calvente</dc:creator>
  <cp:keywords/>
  <dc:description/>
  <cp:lastModifiedBy>Larissa Siqueira e Silva</cp:lastModifiedBy>
  <cp:revision/>
  <dcterms:created xsi:type="dcterms:W3CDTF">2024-01-02T13:17:44Z</dcterms:created>
  <dcterms:modified xsi:type="dcterms:W3CDTF">2026-05-08T19:30:48Z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0x010100D97C248FC677BE4ABC042BA2DBEA891A</vt:lpwstr>
  </property>
</Properties>
</file>