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rradinhobiobr.sharepoint.com/sites/Financeiro_CBIO/Financeiro_Nuvem/Gerência Financeira/Relação com Investidores/Site RI/Atualizações/3T22/"/>
    </mc:Choice>
  </mc:AlternateContent>
  <xr:revisionPtr revIDLastSave="28" documentId="8_{A33E4CBB-679B-48AD-810D-B002E3409186}" xr6:coauthVersionLast="47" xr6:coauthVersionMax="47" xr10:uidLastSave="{1FC62BBE-FE05-4DA6-A5A1-5F7B53DD19DA}"/>
  <bookViews>
    <workbookView xWindow="-120" yWindow="-120" windowWidth="20730" windowHeight="11160" tabRatio="796" xr2:uid="{EB3E242B-43D3-4247-9FC2-A5CA2B607A63}"/>
  </bookViews>
  <sheets>
    <sheet name="CAPA" sheetId="16" r:id="rId1"/>
    <sheet name="OPERACIONAL" sheetId="1" r:id="rId2"/>
    <sheet name="COMERCIAL" sheetId="9" r:id="rId3"/>
    <sheet name="CUSTOS E DESPESAS" sheetId="15" r:id="rId4"/>
    <sheet name="CAPEX" sheetId="10" r:id="rId5"/>
    <sheet name="ENDIVIDAMENTO" sheetId="11" r:id="rId6"/>
    <sheet name="DEMONSTRAÇÃO DE RESULTADOS" sheetId="12" r:id="rId7"/>
    <sheet name="BALANÇO PATRIMONIAL" sheetId="13" r:id="rId8"/>
    <sheet name="FLUXO DE CAIXA" sheetId="14" r:id="rId9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N46" i="14" l="1"/>
  <c r="N45" i="14"/>
  <c r="N44" i="14"/>
  <c r="N43" i="14"/>
  <c r="N42" i="14"/>
  <c r="N41" i="14"/>
  <c r="N40" i="14"/>
  <c r="N37" i="14"/>
  <c r="N36" i="14"/>
  <c r="N195" i="14"/>
  <c r="N194" i="14"/>
  <c r="N193" i="14"/>
  <c r="N192" i="14"/>
  <c r="N191" i="14"/>
  <c r="N190" i="14"/>
  <c r="M119" i="14"/>
  <c r="N189" i="14"/>
  <c r="N76" i="14"/>
  <c r="N68" i="14"/>
  <c r="N65" i="14"/>
  <c r="N63" i="14"/>
  <c r="N58" i="14"/>
  <c r="N50" i="14"/>
  <c r="N49" i="14"/>
  <c r="M117" i="14"/>
  <c r="M115" i="14"/>
  <c r="M111" i="14"/>
  <c r="J54" i="11"/>
  <c r="J53" i="11"/>
  <c r="I46" i="11"/>
  <c r="J46" i="11"/>
  <c r="J80" i="11"/>
  <c r="J79" i="11"/>
  <c r="I54" i="11"/>
  <c r="I53" i="11"/>
  <c r="J29" i="11"/>
  <c r="J28" i="11"/>
  <c r="M144" i="14"/>
  <c r="L144" i="14"/>
  <c r="M142" i="14"/>
  <c r="M140" i="14"/>
  <c r="M138" i="14"/>
  <c r="M133" i="14"/>
  <c r="M129" i="14"/>
  <c r="M124" i="14"/>
  <c r="N185" i="14"/>
  <c r="N186" i="14"/>
  <c r="L109" i="14"/>
  <c r="N183" i="14"/>
  <c r="N182" i="14"/>
  <c r="N181" i="14"/>
  <c r="N179" i="14"/>
  <c r="N178" i="14"/>
  <c r="N173" i="14"/>
  <c r="M97" i="14"/>
  <c r="N171" i="14"/>
  <c r="M95" i="14"/>
  <c r="N168" i="14"/>
  <c r="N167" i="14"/>
  <c r="N166" i="14"/>
  <c r="L90" i="14"/>
  <c r="M89" i="14"/>
  <c r="N163" i="14"/>
  <c r="M87" i="14"/>
  <c r="N160" i="14"/>
  <c r="N159" i="14"/>
  <c r="N157" i="14"/>
  <c r="N69" i="14"/>
  <c r="N67" i="14"/>
  <c r="N51" i="14"/>
  <c r="N35" i="14"/>
  <c r="N34" i="14"/>
  <c r="N33" i="14"/>
  <c r="N30" i="14"/>
  <c r="N24" i="14"/>
  <c r="N23" i="14"/>
  <c r="N22" i="14"/>
  <c r="L95" i="14"/>
  <c r="N20" i="14"/>
  <c r="N19" i="14"/>
  <c r="M92" i="14"/>
  <c r="L91" i="14"/>
  <c r="N16" i="14"/>
  <c r="N15" i="14"/>
  <c r="N14" i="14"/>
  <c r="L87" i="14"/>
  <c r="N12" i="14"/>
  <c r="N11" i="14"/>
  <c r="N10" i="14"/>
  <c r="L82" i="14"/>
  <c r="N225" i="14"/>
  <c r="N220" i="14"/>
  <c r="N219" i="14"/>
  <c r="N218" i="14"/>
  <c r="N216" i="14"/>
  <c r="N214" i="14"/>
  <c r="N212" i="14"/>
  <c r="N207" i="14"/>
  <c r="N206" i="14"/>
  <c r="N205" i="14"/>
  <c r="N200" i="14"/>
  <c r="N198" i="14"/>
  <c r="N180" i="14"/>
  <c r="N174" i="14"/>
  <c r="N170" i="14"/>
  <c r="N162" i="14"/>
  <c r="N158" i="14"/>
  <c r="N71" i="14"/>
  <c r="N70" i="14"/>
  <c r="N66" i="14"/>
  <c r="N64" i="14"/>
  <c r="N59" i="14"/>
  <c r="N57" i="14"/>
  <c r="N56" i="14"/>
  <c r="N55" i="14"/>
  <c r="N32" i="14"/>
  <c r="N31" i="14"/>
  <c r="N29" i="14"/>
  <c r="N25" i="14"/>
  <c r="N21" i="14"/>
  <c r="N17" i="14"/>
  <c r="N13" i="14"/>
  <c r="D145" i="14"/>
  <c r="D142" i="14"/>
  <c r="D141" i="14"/>
  <c r="D131" i="14"/>
  <c r="D130" i="14"/>
  <c r="D124" i="14"/>
  <c r="D116" i="14"/>
  <c r="D108" i="14"/>
  <c r="D105" i="14"/>
  <c r="D104" i="14"/>
  <c r="D98" i="14"/>
  <c r="D97" i="14"/>
  <c r="D96" i="14"/>
  <c r="D93" i="14"/>
  <c r="D92" i="14"/>
  <c r="D87" i="14"/>
  <c r="D83" i="14"/>
  <c r="E145" i="14"/>
  <c r="E116" i="14"/>
  <c r="E108" i="14"/>
  <c r="E105" i="14"/>
  <c r="E97" i="14"/>
  <c r="E83" i="14"/>
  <c r="F145" i="14"/>
  <c r="F116" i="14"/>
  <c r="F108" i="14"/>
  <c r="F105" i="14"/>
  <c r="F97" i="14"/>
  <c r="F83" i="14"/>
  <c r="H145" i="14"/>
  <c r="H131" i="14"/>
  <c r="H130" i="14"/>
  <c r="H116" i="14"/>
  <c r="H108" i="14"/>
  <c r="H105" i="14"/>
  <c r="H104" i="14"/>
  <c r="H99" i="14"/>
  <c r="H83" i="14"/>
  <c r="I145" i="14"/>
  <c r="I131" i="14"/>
  <c r="I130" i="14"/>
  <c r="I116" i="14"/>
  <c r="I108" i="14"/>
  <c r="I105" i="14"/>
  <c r="I104" i="14"/>
  <c r="I99" i="14"/>
  <c r="I83" i="14"/>
  <c r="J145" i="14"/>
  <c r="J131" i="14"/>
  <c r="J130" i="14"/>
  <c r="J118" i="14"/>
  <c r="J105" i="14"/>
  <c r="J99" i="14"/>
  <c r="J83" i="14"/>
  <c r="K145" i="14"/>
  <c r="K131" i="14"/>
  <c r="K130" i="14"/>
  <c r="K118" i="14"/>
  <c r="K105" i="14"/>
  <c r="K99" i="14"/>
  <c r="K83" i="14"/>
  <c r="L145" i="14"/>
  <c r="L141" i="14"/>
  <c r="L133" i="14"/>
  <c r="L131" i="14"/>
  <c r="L130" i="14"/>
  <c r="L124" i="14"/>
  <c r="L118" i="14"/>
  <c r="L110" i="14"/>
  <c r="L107" i="14"/>
  <c r="L106" i="14"/>
  <c r="L105" i="14"/>
  <c r="L103" i="14"/>
  <c r="L99" i="14"/>
  <c r="L97" i="14"/>
  <c r="L96" i="14"/>
  <c r="L93" i="14"/>
  <c r="L89" i="14"/>
  <c r="L88" i="14"/>
  <c r="L85" i="14"/>
  <c r="L83" i="14"/>
  <c r="M150" i="14"/>
  <c r="M145" i="14"/>
  <c r="M143" i="14"/>
  <c r="M141" i="14"/>
  <c r="M139" i="14"/>
  <c r="M137" i="14"/>
  <c r="M132" i="14"/>
  <c r="M131" i="14"/>
  <c r="M130" i="14"/>
  <c r="M125" i="14"/>
  <c r="M123" i="14"/>
  <c r="M120" i="14"/>
  <c r="M118" i="14"/>
  <c r="M116" i="14"/>
  <c r="M106" i="14"/>
  <c r="M105" i="14"/>
  <c r="M99" i="14"/>
  <c r="M91" i="14"/>
  <c r="M83" i="14"/>
  <c r="M85" i="14" l="1"/>
  <c r="M93" i="14"/>
  <c r="M103" i="14"/>
  <c r="M108" i="14"/>
  <c r="N164" i="14"/>
  <c r="N172" i="14"/>
  <c r="M104" i="14"/>
  <c r="N83" i="14"/>
  <c r="M114" i="14"/>
  <c r="L117" i="14"/>
  <c r="N117" i="14" s="1"/>
  <c r="N199" i="14"/>
  <c r="N204" i="14"/>
  <c r="N208" i="14"/>
  <c r="N213" i="14"/>
  <c r="N215" i="14"/>
  <c r="N217" i="14"/>
  <c r="M110" i="14"/>
  <c r="N144" i="14"/>
  <c r="N133" i="14"/>
  <c r="N124" i="14"/>
  <c r="L94" i="14"/>
  <c r="N169" i="14"/>
  <c r="M90" i="14"/>
  <c r="L142" i="14"/>
  <c r="N142" i="14" s="1"/>
  <c r="N18" i="14"/>
  <c r="N184" i="14"/>
  <c r="N90" i="14"/>
  <c r="M98" i="14"/>
  <c r="M109" i="14"/>
  <c r="N109" i="14" s="1"/>
  <c r="N97" i="14"/>
  <c r="L137" i="14"/>
  <c r="L84" i="14"/>
  <c r="L92" i="14"/>
  <c r="N92" i="14" s="1"/>
  <c r="L98" i="14"/>
  <c r="L111" i="14"/>
  <c r="L120" i="14"/>
  <c r="N120" i="14" s="1"/>
  <c r="N130" i="14"/>
  <c r="L138" i="14"/>
  <c r="N138" i="14" s="1"/>
  <c r="L86" i="14"/>
  <c r="N161" i="14"/>
  <c r="L115" i="14"/>
  <c r="N115" i="14" s="1"/>
  <c r="M86" i="14"/>
  <c r="M94" i="14"/>
  <c r="N89" i="14"/>
  <c r="L104" i="14"/>
  <c r="L129" i="14"/>
  <c r="N129" i="14" s="1"/>
  <c r="M84" i="14"/>
  <c r="M88" i="14"/>
  <c r="N88" i="14" s="1"/>
  <c r="M96" i="14"/>
  <c r="N96" i="14" s="1"/>
  <c r="M107" i="14"/>
  <c r="N107" i="14" s="1"/>
  <c r="N137" i="14"/>
  <c r="N141" i="14"/>
  <c r="N85" i="14"/>
  <c r="N93" i="14"/>
  <c r="N99" i="14"/>
  <c r="L116" i="14"/>
  <c r="N116" i="14" s="1"/>
  <c r="L123" i="14"/>
  <c r="N123" i="14" s="1"/>
  <c r="N131" i="14"/>
  <c r="L140" i="14"/>
  <c r="N140" i="14" s="1"/>
  <c r="N145" i="14"/>
  <c r="N165" i="14"/>
  <c r="N87" i="14"/>
  <c r="N91" i="14"/>
  <c r="N95" i="14"/>
  <c r="N110" i="14"/>
  <c r="N105" i="14"/>
  <c r="N103" i="14"/>
  <c r="N106" i="14"/>
  <c r="N111" i="14"/>
  <c r="L108" i="14"/>
  <c r="L114" i="14"/>
  <c r="N114" i="14" s="1"/>
  <c r="L150" i="14"/>
  <c r="N150" i="14" s="1"/>
  <c r="L119" i="14"/>
  <c r="N119" i="14" s="1"/>
  <c r="L125" i="14"/>
  <c r="N125" i="14" s="1"/>
  <c r="L132" i="14"/>
  <c r="N132" i="14" s="1"/>
  <c r="L139" i="14"/>
  <c r="N139" i="14" s="1"/>
  <c r="L143" i="14"/>
  <c r="N143" i="14" s="1"/>
  <c r="N118" i="14"/>
  <c r="N108" i="14" l="1"/>
  <c r="N104" i="14"/>
  <c r="N98" i="14"/>
  <c r="N86" i="14"/>
  <c r="N84" i="14"/>
  <c r="N94" i="14"/>
  <c r="M209" i="14"/>
  <c r="M175" i="14"/>
  <c r="M196" i="14" s="1"/>
  <c r="M60" i="14"/>
  <c r="M221" i="14"/>
  <c r="N8" i="14"/>
  <c r="M5" i="14"/>
  <c r="L5" i="14"/>
  <c r="K209" i="13"/>
  <c r="K202" i="13"/>
  <c r="K199" i="13"/>
  <c r="K198" i="13"/>
  <c r="K188" i="13"/>
  <c r="K184" i="13"/>
  <c r="K180" i="13"/>
  <c r="K172" i="13"/>
  <c r="K168" i="13"/>
  <c r="K164" i="13"/>
  <c r="K158" i="13"/>
  <c r="K154" i="13"/>
  <c r="K150" i="13"/>
  <c r="K140" i="13"/>
  <c r="K129" i="13"/>
  <c r="K125" i="13"/>
  <c r="K119" i="13"/>
  <c r="K115" i="13"/>
  <c r="K111" i="13"/>
  <c r="K89" i="13"/>
  <c r="K85" i="13"/>
  <c r="K81" i="13"/>
  <c r="K69" i="13"/>
  <c r="K60" i="13"/>
  <c r="K59" i="13"/>
  <c r="K56" i="13"/>
  <c r="K49" i="13"/>
  <c r="K45" i="13"/>
  <c r="K41" i="13"/>
  <c r="K31" i="13"/>
  <c r="K27" i="13"/>
  <c r="K23" i="13"/>
  <c r="K16" i="13"/>
  <c r="K12" i="13"/>
  <c r="K210" i="13"/>
  <c r="K208" i="13"/>
  <c r="K201" i="13"/>
  <c r="K200" i="13"/>
  <c r="K196" i="13"/>
  <c r="K195" i="13"/>
  <c r="K191" i="13"/>
  <c r="K190" i="13"/>
  <c r="K189" i="13"/>
  <c r="K187" i="13"/>
  <c r="K186" i="13"/>
  <c r="K185" i="13"/>
  <c r="K183" i="13"/>
  <c r="K181" i="13"/>
  <c r="K173" i="13"/>
  <c r="K171" i="13"/>
  <c r="K170" i="13"/>
  <c r="K169" i="13"/>
  <c r="K167" i="13"/>
  <c r="K166" i="13"/>
  <c r="K165" i="13"/>
  <c r="J174" i="13"/>
  <c r="K174" i="13" s="1"/>
  <c r="K159" i="13"/>
  <c r="K157" i="13"/>
  <c r="K156" i="13"/>
  <c r="K155" i="13"/>
  <c r="K153" i="13"/>
  <c r="K152" i="13"/>
  <c r="K151" i="13"/>
  <c r="K149" i="13"/>
  <c r="J211" i="13"/>
  <c r="K211" i="13" s="1"/>
  <c r="K139" i="13"/>
  <c r="K138" i="13"/>
  <c r="K132" i="13"/>
  <c r="K131" i="13"/>
  <c r="K130" i="13"/>
  <c r="K128" i="13"/>
  <c r="K127" i="13"/>
  <c r="K126" i="13"/>
  <c r="K121" i="13"/>
  <c r="K120" i="13"/>
  <c r="K118" i="13"/>
  <c r="K117" i="13"/>
  <c r="K116" i="13"/>
  <c r="K114" i="13"/>
  <c r="K113" i="13"/>
  <c r="K112" i="13"/>
  <c r="K110" i="13"/>
  <c r="K103" i="13"/>
  <c r="K102" i="13"/>
  <c r="K101" i="13"/>
  <c r="K100" i="13"/>
  <c r="K99" i="13"/>
  <c r="K98" i="13"/>
  <c r="K97" i="13"/>
  <c r="K96" i="13"/>
  <c r="K95" i="13"/>
  <c r="K94" i="13"/>
  <c r="K93" i="13"/>
  <c r="K88" i="13"/>
  <c r="K87" i="13"/>
  <c r="K86" i="13"/>
  <c r="K84" i="13"/>
  <c r="K83" i="13"/>
  <c r="K82" i="13"/>
  <c r="K80" i="13"/>
  <c r="K79" i="13"/>
  <c r="K70" i="13"/>
  <c r="K68" i="13"/>
  <c r="K62" i="13"/>
  <c r="K61" i="13"/>
  <c r="K58" i="13"/>
  <c r="K57" i="13"/>
  <c r="K55" i="13"/>
  <c r="K51" i="13"/>
  <c r="K50" i="13"/>
  <c r="K48" i="13"/>
  <c r="K47" i="13"/>
  <c r="K46" i="13"/>
  <c r="K44" i="13"/>
  <c r="K43" i="13"/>
  <c r="K42" i="13"/>
  <c r="K40" i="13"/>
  <c r="K33" i="13"/>
  <c r="K32" i="13"/>
  <c r="K30" i="13"/>
  <c r="K29" i="13"/>
  <c r="K28" i="13"/>
  <c r="K26" i="13"/>
  <c r="K25" i="13"/>
  <c r="K24" i="13"/>
  <c r="K19" i="13"/>
  <c r="K18" i="13"/>
  <c r="K17" i="13"/>
  <c r="K15" i="13"/>
  <c r="K14" i="13"/>
  <c r="K13" i="13"/>
  <c r="K11" i="13"/>
  <c r="K10" i="13"/>
  <c r="K9" i="13"/>
  <c r="N113" i="12"/>
  <c r="N109" i="12"/>
  <c r="N106" i="12"/>
  <c r="N100" i="12"/>
  <c r="N75" i="12"/>
  <c r="N71" i="12"/>
  <c r="N68" i="12"/>
  <c r="N62" i="12"/>
  <c r="N37" i="12"/>
  <c r="N33" i="12"/>
  <c r="N30" i="12"/>
  <c r="N24" i="12"/>
  <c r="N23" i="12"/>
  <c r="N29" i="12"/>
  <c r="N32" i="12"/>
  <c r="N36" i="12"/>
  <c r="N42" i="12"/>
  <c r="N61" i="12"/>
  <c r="N67" i="12"/>
  <c r="N70" i="12"/>
  <c r="N73" i="12"/>
  <c r="N74" i="12"/>
  <c r="N80" i="12"/>
  <c r="N99" i="12"/>
  <c r="N105" i="12"/>
  <c r="N108" i="12"/>
  <c r="N112" i="12"/>
  <c r="N118" i="12"/>
  <c r="N117" i="12"/>
  <c r="N116" i="12"/>
  <c r="N115" i="12"/>
  <c r="N114" i="12"/>
  <c r="N111" i="12"/>
  <c r="N110" i="12"/>
  <c r="N104" i="12"/>
  <c r="N103" i="12"/>
  <c r="N102" i="12"/>
  <c r="N101" i="12"/>
  <c r="N90" i="12"/>
  <c r="N79" i="12"/>
  <c r="N78" i="12"/>
  <c r="N77" i="12"/>
  <c r="N76" i="12"/>
  <c r="N72" i="12"/>
  <c r="N66" i="12"/>
  <c r="N65" i="12"/>
  <c r="N64" i="12"/>
  <c r="N63" i="12"/>
  <c r="N41" i="12"/>
  <c r="N40" i="12"/>
  <c r="N39" i="12"/>
  <c r="N38" i="12"/>
  <c r="N35" i="12"/>
  <c r="N34" i="12"/>
  <c r="N28" i="12"/>
  <c r="N27" i="12"/>
  <c r="N26" i="12"/>
  <c r="N25" i="12"/>
  <c r="M112" i="12"/>
  <c r="M118" i="12" s="1"/>
  <c r="M105" i="12"/>
  <c r="M58" i="12"/>
  <c r="M57" i="12"/>
  <c r="M51" i="12"/>
  <c r="M86" i="12"/>
  <c r="M91" i="12" s="1"/>
  <c r="M94" i="12" s="1"/>
  <c r="M97" i="12" s="1"/>
  <c r="M74" i="12"/>
  <c r="M80" i="12" s="1"/>
  <c r="M67" i="12"/>
  <c r="M46" i="12"/>
  <c r="M36" i="12"/>
  <c r="M42" i="12" s="1"/>
  <c r="M29" i="12"/>
  <c r="M10" i="12"/>
  <c r="M134" i="14" l="1"/>
  <c r="L209" i="14"/>
  <c r="N209" i="14" s="1"/>
  <c r="J192" i="13"/>
  <c r="J203" i="13"/>
  <c r="K203" i="13" s="1"/>
  <c r="M47" i="12"/>
  <c r="K182" i="13"/>
  <c r="M15" i="12"/>
  <c r="M18" i="12" s="1"/>
  <c r="M21" i="12" s="1"/>
  <c r="J160" i="13"/>
  <c r="K160" i="13" s="1"/>
  <c r="K163" i="13"/>
  <c r="K197" i="13"/>
  <c r="L175" i="14"/>
  <c r="L196" i="14" s="1"/>
  <c r="L221" i="14"/>
  <c r="M72" i="14"/>
  <c r="M146" i="14" s="1"/>
  <c r="M26" i="14"/>
  <c r="M47" i="14" s="1"/>
  <c r="M82" i="14"/>
  <c r="N82" i="14" s="1"/>
  <c r="L72" i="14"/>
  <c r="L60" i="14"/>
  <c r="L26" i="14"/>
  <c r="J141" i="13"/>
  <c r="J133" i="13"/>
  <c r="K133" i="13" s="1"/>
  <c r="J122" i="13"/>
  <c r="K122" i="13" s="1"/>
  <c r="J104" i="13"/>
  <c r="K104" i="13" s="1"/>
  <c r="J90" i="13"/>
  <c r="K90" i="13" s="1"/>
  <c r="J71" i="13"/>
  <c r="K71" i="13" s="1"/>
  <c r="J63" i="13"/>
  <c r="K63" i="13" s="1"/>
  <c r="J52" i="13"/>
  <c r="K52" i="13" s="1"/>
  <c r="J34" i="13"/>
  <c r="K34" i="13" s="1"/>
  <c r="J20" i="13"/>
  <c r="M49" i="12"/>
  <c r="M54" i="12"/>
  <c r="M55" i="12"/>
  <c r="M50" i="12"/>
  <c r="M45" i="12"/>
  <c r="M48" i="12" s="1"/>
  <c r="N95" i="12"/>
  <c r="N92" i="12"/>
  <c r="N88" i="12"/>
  <c r="N87" i="12"/>
  <c r="N85" i="12"/>
  <c r="N84" i="12"/>
  <c r="N83" i="12"/>
  <c r="L74" i="12"/>
  <c r="L80" i="12" s="1"/>
  <c r="L67" i="12"/>
  <c r="L46" i="12"/>
  <c r="N46" i="12" s="1"/>
  <c r="N20" i="12"/>
  <c r="N19" i="12"/>
  <c r="N17" i="12"/>
  <c r="N16" i="12"/>
  <c r="N14" i="12"/>
  <c r="N13" i="12"/>
  <c r="N12" i="12"/>
  <c r="N11" i="12"/>
  <c r="N9" i="12"/>
  <c r="N8" i="12"/>
  <c r="N7" i="12"/>
  <c r="M5" i="12"/>
  <c r="L5" i="12"/>
  <c r="K28" i="11"/>
  <c r="K77" i="11"/>
  <c r="K66" i="11"/>
  <c r="K65" i="11"/>
  <c r="K60" i="11"/>
  <c r="K59" i="11"/>
  <c r="K58" i="11"/>
  <c r="K40" i="11"/>
  <c r="K39" i="11"/>
  <c r="K34" i="11"/>
  <c r="K33" i="11"/>
  <c r="K26" i="11"/>
  <c r="K15" i="11"/>
  <c r="K14" i="11"/>
  <c r="K11" i="11"/>
  <c r="K9" i="11"/>
  <c r="K8" i="11"/>
  <c r="K7" i="11"/>
  <c r="J52" i="11"/>
  <c r="K67" i="11"/>
  <c r="K71" i="11"/>
  <c r="K68" i="11"/>
  <c r="K63" i="11"/>
  <c r="K62" i="11"/>
  <c r="K61" i="11"/>
  <c r="K79" i="11"/>
  <c r="J51" i="11"/>
  <c r="K27" i="11"/>
  <c r="K20" i="11"/>
  <c r="K13" i="11"/>
  <c r="K12" i="11"/>
  <c r="K10" i="11"/>
  <c r="K16" i="11"/>
  <c r="J45" i="11"/>
  <c r="J40" i="11"/>
  <c r="J34" i="11"/>
  <c r="J33" i="11"/>
  <c r="K29" i="11"/>
  <c r="N11" i="10"/>
  <c r="N31" i="10"/>
  <c r="N51" i="10"/>
  <c r="N59" i="10"/>
  <c r="N50" i="10"/>
  <c r="N49" i="10"/>
  <c r="N48" i="10"/>
  <c r="N40" i="10"/>
  <c r="N39" i="10"/>
  <c r="N35" i="10"/>
  <c r="N30" i="10"/>
  <c r="N29" i="10"/>
  <c r="N28" i="10"/>
  <c r="N19" i="10"/>
  <c r="N10" i="10"/>
  <c r="N9" i="10"/>
  <c r="N8" i="10"/>
  <c r="M50" i="10"/>
  <c r="M11" i="10"/>
  <c r="M31" i="10"/>
  <c r="M59" i="10"/>
  <c r="M49" i="10"/>
  <c r="M5" i="10"/>
  <c r="L50" i="10"/>
  <c r="L42" i="10"/>
  <c r="L36" i="10"/>
  <c r="L31" i="10"/>
  <c r="L61" i="10"/>
  <c r="L22" i="10"/>
  <c r="L59" i="10"/>
  <c r="L55" i="10"/>
  <c r="L16" i="10"/>
  <c r="L49" i="10"/>
  <c r="L5" i="10"/>
  <c r="N78" i="15"/>
  <c r="N75" i="15"/>
  <c r="N71" i="15"/>
  <c r="N68" i="15"/>
  <c r="N67" i="15"/>
  <c r="N64" i="15"/>
  <c r="N63" i="15"/>
  <c r="N60" i="15"/>
  <c r="N59" i="15"/>
  <c r="N27" i="15"/>
  <c r="N26" i="15"/>
  <c r="N20" i="15"/>
  <c r="N19" i="15"/>
  <c r="N16" i="15"/>
  <c r="N15" i="15"/>
  <c r="N12" i="15"/>
  <c r="N11" i="15"/>
  <c r="N8" i="15"/>
  <c r="N7" i="15"/>
  <c r="M79" i="15"/>
  <c r="M44" i="15"/>
  <c r="M40" i="15"/>
  <c r="M32" i="15"/>
  <c r="M42" i="15"/>
  <c r="M38" i="15"/>
  <c r="M22" i="15"/>
  <c r="M51" i="15"/>
  <c r="M41" i="15"/>
  <c r="M33" i="15"/>
  <c r="M52" i="15"/>
  <c r="M46" i="15"/>
  <c r="M34" i="15"/>
  <c r="M53" i="15"/>
  <c r="N53" i="15" s="1"/>
  <c r="M36" i="15"/>
  <c r="N77" i="15"/>
  <c r="L51" i="15"/>
  <c r="N51" i="15" s="1"/>
  <c r="N70" i="15"/>
  <c r="N69" i="15"/>
  <c r="N65" i="15"/>
  <c r="L36" i="15"/>
  <c r="N36" i="15" s="1"/>
  <c r="N58" i="15"/>
  <c r="N57" i="15"/>
  <c r="N28" i="15"/>
  <c r="L52" i="15"/>
  <c r="N25" i="15"/>
  <c r="L46" i="15"/>
  <c r="N46" i="15" s="1"/>
  <c r="N18" i="15"/>
  <c r="L42" i="15"/>
  <c r="N42" i="15" s="1"/>
  <c r="N14" i="15"/>
  <c r="N13" i="15"/>
  <c r="L35" i="15"/>
  <c r="L34" i="15"/>
  <c r="L45" i="15"/>
  <c r="L33" i="15"/>
  <c r="L38" i="15"/>
  <c r="L53" i="15"/>
  <c r="M5" i="15"/>
  <c r="L5" i="15"/>
  <c r="N26" i="9"/>
  <c r="N25" i="9"/>
  <c r="N22" i="9"/>
  <c r="N18" i="9"/>
  <c r="N17" i="9"/>
  <c r="N14" i="9"/>
  <c r="N11" i="9"/>
  <c r="N10" i="9"/>
  <c r="N9" i="9"/>
  <c r="N8" i="9"/>
  <c r="N7" i="9"/>
  <c r="M5" i="9"/>
  <c r="L5" i="9"/>
  <c r="L26" i="9"/>
  <c r="N17" i="1"/>
  <c r="N16" i="1"/>
  <c r="N15" i="1"/>
  <c r="N14" i="1"/>
  <c r="N13" i="1"/>
  <c r="N12" i="1"/>
  <c r="N11" i="1"/>
  <c r="N10" i="1"/>
  <c r="N9" i="1"/>
  <c r="N8" i="1"/>
  <c r="N7" i="1"/>
  <c r="N6" i="1"/>
  <c r="J135" i="13" l="1"/>
  <c r="K135" i="13" s="1"/>
  <c r="L100" i="14"/>
  <c r="N175" i="14"/>
  <c r="L47" i="14"/>
  <c r="N26" i="14"/>
  <c r="N38" i="15"/>
  <c r="N34" i="15"/>
  <c r="N33" i="15"/>
  <c r="N52" i="15"/>
  <c r="J176" i="13"/>
  <c r="K176" i="13" s="1"/>
  <c r="N196" i="14"/>
  <c r="M100" i="14"/>
  <c r="N72" i="14"/>
  <c r="L146" i="14"/>
  <c r="N146" i="14" s="1"/>
  <c r="N221" i="14"/>
  <c r="N60" i="14"/>
  <c r="L134" i="14"/>
  <c r="N134" i="14" s="1"/>
  <c r="M52" i="14"/>
  <c r="M121" i="14"/>
  <c r="L32" i="15"/>
  <c r="N32" i="15" s="1"/>
  <c r="L40" i="15"/>
  <c r="N40" i="15" s="1"/>
  <c r="L44" i="15"/>
  <c r="N44" i="15" s="1"/>
  <c r="L37" i="15"/>
  <c r="L41" i="15"/>
  <c r="N41" i="15" s="1"/>
  <c r="M72" i="15"/>
  <c r="M37" i="15"/>
  <c r="M45" i="15"/>
  <c r="N45" i="15" s="1"/>
  <c r="N9" i="15"/>
  <c r="N17" i="15"/>
  <c r="N21" i="15"/>
  <c r="N61" i="15"/>
  <c r="N76" i="15"/>
  <c r="K80" i="11"/>
  <c r="K78" i="11"/>
  <c r="L50" i="12"/>
  <c r="N50" i="12" s="1"/>
  <c r="L51" i="12"/>
  <c r="N51" i="12" s="1"/>
  <c r="N89" i="12"/>
  <c r="L58" i="12"/>
  <c r="N58" i="12" s="1"/>
  <c r="N96" i="12"/>
  <c r="J143" i="13"/>
  <c r="K143" i="13" s="1"/>
  <c r="K141" i="13"/>
  <c r="N10" i="15"/>
  <c r="N62" i="15"/>
  <c r="N66" i="15"/>
  <c r="J42" i="11"/>
  <c r="J32" i="11"/>
  <c r="J38" i="11"/>
  <c r="K17" i="11"/>
  <c r="K64" i="11"/>
  <c r="J36" i="13"/>
  <c r="K36" i="13" s="1"/>
  <c r="K20" i="13"/>
  <c r="J35" i="11"/>
  <c r="L10" i="12"/>
  <c r="L45" i="12"/>
  <c r="N45" i="12" s="1"/>
  <c r="L55" i="12"/>
  <c r="N55" i="12" s="1"/>
  <c r="N93" i="12"/>
  <c r="J205" i="13"/>
  <c r="K192" i="13"/>
  <c r="M201" i="14"/>
  <c r="J106" i="13"/>
  <c r="K106" i="13" s="1"/>
  <c r="J65" i="13"/>
  <c r="M53" i="12"/>
  <c r="M56" i="12" s="1"/>
  <c r="M59" i="12" s="1"/>
  <c r="L86" i="12"/>
  <c r="L47" i="12"/>
  <c r="L49" i="12"/>
  <c r="N49" i="12" s="1"/>
  <c r="J69" i="11"/>
  <c r="J41" i="11"/>
  <c r="J39" i="11"/>
  <c r="J36" i="11"/>
  <c r="J37" i="11"/>
  <c r="J18" i="11"/>
  <c r="M51" i="10"/>
  <c r="M48" i="10"/>
  <c r="L62" i="10"/>
  <c r="L56" i="10"/>
  <c r="L44" i="10"/>
  <c r="L11" i="10"/>
  <c r="L51" i="10"/>
  <c r="L24" i="10"/>
  <c r="L48" i="10"/>
  <c r="L54" i="10"/>
  <c r="L60" i="10"/>
  <c r="M50" i="15"/>
  <c r="M39" i="15"/>
  <c r="M43" i="15"/>
  <c r="M47" i="15"/>
  <c r="M29" i="15"/>
  <c r="M54" i="15" s="1"/>
  <c r="M35" i="15"/>
  <c r="N35" i="15" s="1"/>
  <c r="L79" i="15"/>
  <c r="N79" i="15" s="1"/>
  <c r="L43" i="15"/>
  <c r="N43" i="15" s="1"/>
  <c r="L39" i="15"/>
  <c r="N39" i="15" s="1"/>
  <c r="L29" i="15"/>
  <c r="L50" i="15"/>
  <c r="L72" i="15"/>
  <c r="N72" i="15" s="1"/>
  <c r="L22" i="15"/>
  <c r="N22" i="15" s="1"/>
  <c r="M26" i="9"/>
  <c r="M25" i="9"/>
  <c r="M22" i="9"/>
  <c r="L25" i="9"/>
  <c r="L22" i="9"/>
  <c r="M12" i="1"/>
  <c r="L12" i="1"/>
  <c r="L121" i="14" l="1"/>
  <c r="L201" i="14"/>
  <c r="N201" i="14" s="1"/>
  <c r="L52" i="14"/>
  <c r="L74" i="14" s="1"/>
  <c r="L78" i="14" s="1"/>
  <c r="N37" i="15"/>
  <c r="N47" i="14"/>
  <c r="N100" i="14"/>
  <c r="N121" i="14"/>
  <c r="M74" i="14"/>
  <c r="M126" i="14"/>
  <c r="J72" i="11"/>
  <c r="K72" i="11" s="1"/>
  <c r="K69" i="11"/>
  <c r="N50" i="15"/>
  <c r="J73" i="13"/>
  <c r="K73" i="13" s="1"/>
  <c r="K65" i="13"/>
  <c r="L54" i="15"/>
  <c r="N54" i="15" s="1"/>
  <c r="N29" i="15"/>
  <c r="L48" i="12"/>
  <c r="N48" i="12" s="1"/>
  <c r="N47" i="12"/>
  <c r="J21" i="11"/>
  <c r="K21" i="11" s="1"/>
  <c r="K18" i="11"/>
  <c r="L91" i="12"/>
  <c r="N86" i="12"/>
  <c r="K205" i="13"/>
  <c r="J213" i="13"/>
  <c r="K213" i="13" s="1"/>
  <c r="L15" i="12"/>
  <c r="N10" i="12"/>
  <c r="M223" i="14"/>
  <c r="M227" i="14" s="1"/>
  <c r="L54" i="12"/>
  <c r="J43" i="11"/>
  <c r="L64" i="10"/>
  <c r="L47" i="15"/>
  <c r="N47" i="15" s="1"/>
  <c r="N52" i="14" l="1"/>
  <c r="L223" i="14"/>
  <c r="L148" i="14" s="1"/>
  <c r="L126" i="14"/>
  <c r="N126" i="14"/>
  <c r="N74" i="14"/>
  <c r="K43" i="11"/>
  <c r="M78" i="14"/>
  <c r="M152" i="14" s="1"/>
  <c r="M148" i="14"/>
  <c r="N54" i="12"/>
  <c r="L18" i="12"/>
  <c r="N15" i="12"/>
  <c r="L94" i="12"/>
  <c r="N91" i="12"/>
  <c r="L53" i="12"/>
  <c r="N53" i="12" s="1"/>
  <c r="L57" i="12"/>
  <c r="K46" i="11"/>
  <c r="N223" i="14" l="1"/>
  <c r="L227" i="14"/>
  <c r="N227" i="14" s="1"/>
  <c r="N78" i="14"/>
  <c r="N148" i="14"/>
  <c r="N57" i="12"/>
  <c r="L21" i="12"/>
  <c r="N21" i="12" s="1"/>
  <c r="N18" i="12"/>
  <c r="L97" i="12"/>
  <c r="N97" i="12" s="1"/>
  <c r="N94" i="12"/>
  <c r="L56" i="12"/>
  <c r="N56" i="12" s="1"/>
  <c r="L152" i="14" l="1"/>
  <c r="N152" i="14" s="1"/>
  <c r="L59" i="12"/>
  <c r="N59" i="12" s="1"/>
  <c r="L29" i="12" l="1"/>
  <c r="L36" i="12" l="1"/>
  <c r="L42" i="12" s="1"/>
  <c r="N20" i="10" l="1"/>
  <c r="M60" i="10"/>
  <c r="N60" i="10" s="1"/>
  <c r="M22" i="10"/>
  <c r="N21" i="10"/>
  <c r="M55" i="10" l="1"/>
  <c r="N55" i="10" s="1"/>
  <c r="N15" i="10"/>
  <c r="N22" i="10"/>
  <c r="N14" i="10" l="1"/>
  <c r="M16" i="10"/>
  <c r="N16" i="10" l="1"/>
  <c r="M24" i="10"/>
  <c r="N24" i="10" l="1"/>
  <c r="K23" i="11" l="1"/>
  <c r="L105" i="12" l="1"/>
  <c r="L112" i="12" l="1"/>
  <c r="L118" i="12" s="1"/>
  <c r="M36" i="10" l="1"/>
  <c r="N34" i="10"/>
  <c r="M54" i="10"/>
  <c r="N54" i="10" s="1"/>
  <c r="N36" i="10" l="1"/>
  <c r="M56" i="10"/>
  <c r="N56" i="10" s="1"/>
  <c r="N41" i="10" l="1"/>
  <c r="M42" i="10"/>
  <c r="M61" i="10"/>
  <c r="N61" i="10" s="1"/>
  <c r="N42" i="10" l="1"/>
  <c r="M62" i="10"/>
  <c r="N62" i="10" s="1"/>
  <c r="M44" i="10"/>
  <c r="N44" i="10" l="1"/>
  <c r="M64" i="10"/>
  <c r="N64" i="10" s="1"/>
  <c r="K74" i="11" l="1"/>
  <c r="K209" i="14" l="1"/>
  <c r="J209" i="14"/>
  <c r="J221" i="14"/>
  <c r="K221" i="14"/>
  <c r="K150" i="14" l="1"/>
  <c r="J150" i="14"/>
  <c r="K144" i="14"/>
  <c r="K143" i="14"/>
  <c r="K142" i="14"/>
  <c r="K141" i="14"/>
  <c r="K140" i="14"/>
  <c r="K139" i="14"/>
  <c r="K138" i="14"/>
  <c r="K137" i="14"/>
  <c r="J144" i="14"/>
  <c r="J143" i="14"/>
  <c r="J142" i="14"/>
  <c r="J141" i="14"/>
  <c r="J140" i="14"/>
  <c r="J139" i="14"/>
  <c r="J138" i="14"/>
  <c r="J137" i="14"/>
  <c r="K133" i="14"/>
  <c r="K132" i="14"/>
  <c r="K129" i="14"/>
  <c r="J133" i="14"/>
  <c r="J132" i="14"/>
  <c r="J129" i="14"/>
  <c r="K125" i="14"/>
  <c r="K124" i="14"/>
  <c r="K123" i="14"/>
  <c r="J125" i="14"/>
  <c r="J124" i="14"/>
  <c r="J123" i="14"/>
  <c r="K111" i="14"/>
  <c r="K110" i="14"/>
  <c r="K109" i="14"/>
  <c r="K108" i="14"/>
  <c r="K107" i="14"/>
  <c r="K106" i="14"/>
  <c r="K104" i="14"/>
  <c r="K103" i="14"/>
  <c r="K120" i="14"/>
  <c r="K119" i="14"/>
  <c r="K117" i="14"/>
  <c r="K116" i="14"/>
  <c r="K115" i="14"/>
  <c r="K114" i="14"/>
  <c r="J120" i="14"/>
  <c r="J119" i="14"/>
  <c r="J117" i="14"/>
  <c r="J116" i="14"/>
  <c r="J115" i="14"/>
  <c r="J114" i="14"/>
  <c r="K84" i="14" l="1"/>
  <c r="K88" i="14"/>
  <c r="K92" i="14"/>
  <c r="K96" i="14"/>
  <c r="K85" i="14"/>
  <c r="K89" i="14"/>
  <c r="K93" i="14"/>
  <c r="K97" i="14"/>
  <c r="K86" i="14"/>
  <c r="K90" i="14"/>
  <c r="K94" i="14"/>
  <c r="K98" i="14"/>
  <c r="K87" i="14"/>
  <c r="K91" i="14"/>
  <c r="K95" i="14"/>
  <c r="K82" i="14"/>
  <c r="J175" i="14"/>
  <c r="J72" i="14"/>
  <c r="J146" i="14" s="1"/>
  <c r="K72" i="14"/>
  <c r="K146" i="14" s="1"/>
  <c r="K175" i="14"/>
  <c r="K60" i="14"/>
  <c r="K134" i="14" s="1"/>
  <c r="J60" i="14"/>
  <c r="J134" i="14" s="1"/>
  <c r="K26" i="14"/>
  <c r="K47" i="14" s="1"/>
  <c r="K100" i="14" l="1"/>
  <c r="K52" i="14"/>
  <c r="K74" i="14" s="1"/>
  <c r="J196" i="14"/>
  <c r="K196" i="14"/>
  <c r="K121" i="14" s="1"/>
  <c r="K78" i="14" l="1"/>
  <c r="J201" i="14"/>
  <c r="K201" i="14"/>
  <c r="K126" i="14" s="1"/>
  <c r="J111" i="14"/>
  <c r="J110" i="14"/>
  <c r="J109" i="14"/>
  <c r="J108" i="14"/>
  <c r="J107" i="14"/>
  <c r="J106" i="14"/>
  <c r="J104" i="14"/>
  <c r="J103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2" i="14"/>
  <c r="K223" i="14" l="1"/>
  <c r="K148" i="14" s="1"/>
  <c r="J223" i="14"/>
  <c r="H133" i="13"/>
  <c r="F141" i="13"/>
  <c r="F122" i="13"/>
  <c r="F104" i="13"/>
  <c r="F133" i="13"/>
  <c r="F135" i="13" s="1"/>
  <c r="I90" i="13"/>
  <c r="I141" i="13"/>
  <c r="J26" i="14"/>
  <c r="J100" i="14" s="1"/>
  <c r="I122" i="13"/>
  <c r="I104" i="13"/>
  <c r="I133" i="13"/>
  <c r="J227" i="14" l="1"/>
  <c r="J47" i="14"/>
  <c r="J121" i="14" s="1"/>
  <c r="K227" i="14"/>
  <c r="K152" i="14" s="1"/>
  <c r="E133" i="13"/>
  <c r="F143" i="13"/>
  <c r="E141" i="13"/>
  <c r="I106" i="13"/>
  <c r="I135" i="13"/>
  <c r="E86" i="13"/>
  <c r="H141" i="13"/>
  <c r="E122" i="13"/>
  <c r="E135" i="13" s="1"/>
  <c r="E143" i="13" s="1"/>
  <c r="H122" i="13"/>
  <c r="H104" i="13"/>
  <c r="J52" i="14" l="1"/>
  <c r="J126" i="14" s="1"/>
  <c r="H90" i="13"/>
  <c r="I143" i="13"/>
  <c r="H135" i="13"/>
  <c r="H143" i="13" s="1"/>
  <c r="J74" i="14" l="1"/>
  <c r="H106" i="13"/>
  <c r="F90" i="13"/>
  <c r="J78" i="14" l="1"/>
  <c r="J152" i="14" s="1"/>
  <c r="J148" i="14"/>
  <c r="F106" i="13"/>
  <c r="J74" i="12" l="1"/>
  <c r="J80" i="12" s="1"/>
  <c r="K29" i="12"/>
  <c r="K46" i="12"/>
  <c r="I40" i="11"/>
  <c r="I39" i="11"/>
  <c r="I34" i="11"/>
  <c r="I33" i="11"/>
  <c r="K42" i="10"/>
  <c r="K36" i="10"/>
  <c r="K61" i="10"/>
  <c r="K60" i="10"/>
  <c r="J61" i="10"/>
  <c r="J60" i="10"/>
  <c r="K59" i="10"/>
  <c r="K55" i="10"/>
  <c r="J55" i="10"/>
  <c r="K16" i="10"/>
  <c r="K50" i="10"/>
  <c r="J50" i="10"/>
  <c r="K11" i="10"/>
  <c r="F211" i="13" l="1"/>
  <c r="J51" i="12"/>
  <c r="K105" i="12"/>
  <c r="K112" i="12"/>
  <c r="K118" i="12" s="1"/>
  <c r="K36" i="12"/>
  <c r="K42" i="12" s="1"/>
  <c r="J105" i="12"/>
  <c r="J67" i="12"/>
  <c r="K47" i="12"/>
  <c r="K55" i="12"/>
  <c r="J49" i="10"/>
  <c r="K22" i="10"/>
  <c r="K31" i="10"/>
  <c r="J11" i="10"/>
  <c r="J16" i="10"/>
  <c r="J31" i="10"/>
  <c r="J48" i="10"/>
  <c r="K49" i="10"/>
  <c r="K56" i="10"/>
  <c r="J36" i="10"/>
  <c r="I51" i="11"/>
  <c r="K51" i="11" s="1"/>
  <c r="I36" i="11"/>
  <c r="K36" i="11" s="1"/>
  <c r="I41" i="11"/>
  <c r="K41" i="11" s="1"/>
  <c r="I32" i="11"/>
  <c r="K32" i="11" s="1"/>
  <c r="K50" i="12"/>
  <c r="K58" i="12"/>
  <c r="K49" i="12"/>
  <c r="K51" i="12"/>
  <c r="K57" i="12"/>
  <c r="I35" i="11"/>
  <c r="K35" i="11" s="1"/>
  <c r="J51" i="10"/>
  <c r="K51" i="10"/>
  <c r="K24" i="10"/>
  <c r="J56" i="10"/>
  <c r="K62" i="10"/>
  <c r="K44" i="10"/>
  <c r="J54" i="10"/>
  <c r="I18" i="11"/>
  <c r="K48" i="10"/>
  <c r="K54" i="10"/>
  <c r="J86" i="12"/>
  <c r="I38" i="11"/>
  <c r="K38" i="11" s="1"/>
  <c r="I42" i="11"/>
  <c r="K42" i="11" s="1"/>
  <c r="J47" i="12"/>
  <c r="J57" i="12"/>
  <c r="J59" i="10"/>
  <c r="I52" i="11"/>
  <c r="K52" i="11" s="1"/>
  <c r="J10" i="12"/>
  <c r="J29" i="12"/>
  <c r="K86" i="12"/>
  <c r="K91" i="12" s="1"/>
  <c r="K94" i="12" s="1"/>
  <c r="K97" i="12" s="1"/>
  <c r="K45" i="12"/>
  <c r="K48" i="12" s="1"/>
  <c r="K53" i="12" s="1"/>
  <c r="K54" i="12"/>
  <c r="J22" i="10"/>
  <c r="J24" i="10" s="1"/>
  <c r="J42" i="10"/>
  <c r="I37" i="11"/>
  <c r="K37" i="11" s="1"/>
  <c r="I45" i="11"/>
  <c r="K45" i="11" s="1"/>
  <c r="K10" i="12"/>
  <c r="K15" i="12" s="1"/>
  <c r="K18" i="12" s="1"/>
  <c r="K21" i="12" s="1"/>
  <c r="J49" i="12"/>
  <c r="J55" i="12"/>
  <c r="J45" i="12"/>
  <c r="J36" i="12"/>
  <c r="J50" i="12"/>
  <c r="J54" i="12"/>
  <c r="J112" i="12"/>
  <c r="F192" i="13"/>
  <c r="F203" i="13"/>
  <c r="J46" i="12"/>
  <c r="J58" i="12"/>
  <c r="K67" i="12"/>
  <c r="K74" i="12"/>
  <c r="K80" i="12" s="1"/>
  <c r="I192" i="13"/>
  <c r="I203" i="13"/>
  <c r="I211" i="13"/>
  <c r="I174" i="13"/>
  <c r="I160" i="13"/>
  <c r="F160" i="13"/>
  <c r="F174" i="13"/>
  <c r="I71" i="13"/>
  <c r="F20" i="13"/>
  <c r="I63" i="13"/>
  <c r="F71" i="13"/>
  <c r="F34" i="13"/>
  <c r="I34" i="13"/>
  <c r="I20" i="13"/>
  <c r="F52" i="13"/>
  <c r="F63" i="13"/>
  <c r="I52" i="13"/>
  <c r="I69" i="11"/>
  <c r="I29" i="11" l="1"/>
  <c r="I80" i="11"/>
  <c r="K56" i="12"/>
  <c r="K59" i="12" s="1"/>
  <c r="I205" i="13"/>
  <c r="I176" i="13"/>
  <c r="F205" i="13"/>
  <c r="J48" i="12"/>
  <c r="J44" i="10"/>
  <c r="K64" i="10"/>
  <c r="J62" i="10"/>
  <c r="J91" i="12"/>
  <c r="J118" i="12"/>
  <c r="I72" i="11"/>
  <c r="I79" i="11"/>
  <c r="I43" i="11"/>
  <c r="I213" i="13"/>
  <c r="J42" i="12"/>
  <c r="J15" i="12"/>
  <c r="I28" i="11"/>
  <c r="I21" i="11"/>
  <c r="F176" i="13"/>
  <c r="I65" i="13"/>
  <c r="F36" i="13"/>
  <c r="F65" i="13"/>
  <c r="I36" i="13"/>
  <c r="I73" i="13" l="1"/>
  <c r="J53" i="12"/>
  <c r="J94" i="12"/>
  <c r="J18" i="12"/>
  <c r="J64" i="10"/>
  <c r="F213" i="13"/>
  <c r="F73" i="13"/>
  <c r="J97" i="12" l="1"/>
  <c r="J56" i="12"/>
  <c r="J21" i="12"/>
  <c r="K48" i="11"/>
  <c r="J59" i="12" l="1"/>
  <c r="K53" i="15"/>
  <c r="K51" i="15"/>
  <c r="K50" i="15" l="1"/>
  <c r="K52" i="15"/>
  <c r="K25" i="9"/>
  <c r="J51" i="15"/>
  <c r="J53" i="15"/>
  <c r="J29" i="15"/>
  <c r="K33" i="15"/>
  <c r="K35" i="15"/>
  <c r="K37" i="15"/>
  <c r="K39" i="15"/>
  <c r="K43" i="15"/>
  <c r="K29" i="15"/>
  <c r="K34" i="15"/>
  <c r="K36" i="15"/>
  <c r="K38" i="15"/>
  <c r="K40" i="15"/>
  <c r="K42" i="15"/>
  <c r="K44" i="15"/>
  <c r="K46" i="15"/>
  <c r="K23" i="9"/>
  <c r="J33" i="15"/>
  <c r="J35" i="15"/>
  <c r="J37" i="15"/>
  <c r="J39" i="15"/>
  <c r="J41" i="15"/>
  <c r="J43" i="15"/>
  <c r="J45" i="15"/>
  <c r="J79" i="15"/>
  <c r="J54" i="15" s="1"/>
  <c r="K32" i="15"/>
  <c r="K79" i="15"/>
  <c r="K54" i="15" s="1"/>
  <c r="J24" i="9"/>
  <c r="J72" i="15"/>
  <c r="J32" i="15"/>
  <c r="J34" i="15"/>
  <c r="J36" i="15"/>
  <c r="J38" i="15"/>
  <c r="J40" i="15"/>
  <c r="J42" i="15"/>
  <c r="J44" i="15"/>
  <c r="J46" i="15"/>
  <c r="J50" i="15"/>
  <c r="J52" i="15"/>
  <c r="K41" i="15"/>
  <c r="K45" i="15"/>
  <c r="K24" i="9"/>
  <c r="K22" i="15"/>
  <c r="K72" i="15"/>
  <c r="J23" i="9"/>
  <c r="J25" i="9"/>
  <c r="J22" i="15"/>
  <c r="K47" i="15" l="1"/>
  <c r="J47" i="15"/>
  <c r="K26" i="9" l="1"/>
  <c r="K22" i="9" l="1"/>
  <c r="K13" i="9"/>
  <c r="J26" i="9"/>
  <c r="J22" i="9"/>
  <c r="K12" i="1"/>
  <c r="J12" i="1" l="1"/>
  <c r="K6" i="1" l="1"/>
  <c r="J6" i="1"/>
  <c r="H48" i="12" l="1"/>
  <c r="F48" i="12"/>
  <c r="E48" i="12"/>
  <c r="E10" i="12"/>
  <c r="E15" i="12" s="1"/>
  <c r="E18" i="12" s="1"/>
  <c r="E21" i="12" s="1"/>
  <c r="F53" i="12" l="1"/>
  <c r="F56" i="12" s="1"/>
  <c r="E53" i="12"/>
  <c r="E56" i="12" s="1"/>
  <c r="E59" i="12" s="1"/>
  <c r="I10" i="12"/>
  <c r="C10" i="12"/>
  <c r="C15" i="12" s="1"/>
  <c r="C18" i="12" s="1"/>
  <c r="C21" i="12" s="1"/>
  <c r="D48" i="12"/>
  <c r="D53" i="12" s="1"/>
  <c r="D56" i="12" s="1"/>
  <c r="D59" i="12" s="1"/>
  <c r="D10" i="12"/>
  <c r="D15" i="12" s="1"/>
  <c r="D18" i="12" s="1"/>
  <c r="D21" i="12" s="1"/>
  <c r="I15" i="12"/>
  <c r="I18" i="12" s="1"/>
  <c r="I21" i="12" s="1"/>
  <c r="F10" i="12"/>
  <c r="F15" i="12" s="1"/>
  <c r="F18" i="12" s="1"/>
  <c r="F21" i="12" s="1"/>
  <c r="F59" i="12"/>
  <c r="H53" i="12"/>
  <c r="H10" i="12"/>
  <c r="H56" i="12" l="1"/>
  <c r="H15" i="12"/>
  <c r="H59" i="12" l="1"/>
  <c r="H18" i="12"/>
  <c r="F26" i="9"/>
  <c r="E26" i="9"/>
  <c r="C26" i="9"/>
  <c r="F22" i="9"/>
  <c r="E22" i="9"/>
  <c r="E25" i="9"/>
  <c r="F24" i="9"/>
  <c r="E24" i="9"/>
  <c r="F23" i="9"/>
  <c r="E23" i="9"/>
  <c r="D26" i="9" l="1"/>
  <c r="H21" i="12"/>
  <c r="C22" i="9"/>
  <c r="C13" i="9"/>
  <c r="D22" i="9"/>
  <c r="D13" i="9"/>
  <c r="C6" i="1"/>
  <c r="D6" i="1"/>
  <c r="F17" i="9"/>
  <c r="E19" i="9"/>
  <c r="F13" i="9" l="1"/>
  <c r="F25" i="9"/>
  <c r="E13" i="9"/>
  <c r="C217" i="14" l="1"/>
  <c r="C212" i="14"/>
  <c r="C208" i="14"/>
  <c r="C200" i="14"/>
  <c r="C195" i="14"/>
  <c r="C194" i="14"/>
  <c r="C186" i="14"/>
  <c r="D36" i="14"/>
  <c r="C36" i="14"/>
  <c r="C185" i="14" s="1"/>
  <c r="D45" i="15" l="1"/>
  <c r="D43" i="15"/>
  <c r="D40" i="15"/>
  <c r="C66" i="11"/>
  <c r="I67" i="12" l="1"/>
  <c r="H67" i="12"/>
  <c r="H74" i="12" l="1"/>
  <c r="H80" i="12" s="1"/>
  <c r="I74" i="12"/>
  <c r="I80" i="12" s="1"/>
  <c r="H29" i="12" l="1"/>
  <c r="I36" i="12" l="1"/>
  <c r="I42" i="12" s="1"/>
  <c r="H36" i="12"/>
  <c r="H42" i="12" l="1"/>
  <c r="I29" i="12" l="1"/>
  <c r="F67" i="12" l="1"/>
  <c r="F36" i="12" l="1"/>
  <c r="F42" i="12" s="1"/>
  <c r="F74" i="12"/>
  <c r="F80" i="12" s="1"/>
  <c r="F112" i="12" l="1"/>
  <c r="F118" i="12" s="1"/>
  <c r="F29" i="12" l="1"/>
  <c r="F105" i="12" l="1"/>
  <c r="D29" i="12" l="1"/>
  <c r="E67" i="12" l="1"/>
  <c r="C105" i="12" l="1"/>
  <c r="C29" i="12" l="1"/>
  <c r="E74" i="12" l="1"/>
  <c r="E80" i="12" s="1"/>
  <c r="C112" i="12" l="1"/>
  <c r="C118" i="12" s="1"/>
  <c r="C36" i="12"/>
  <c r="C42" i="12" s="1"/>
  <c r="D105" i="12" l="1"/>
  <c r="D36" i="12" l="1"/>
  <c r="D42" i="12" s="1"/>
  <c r="D112" i="12" l="1"/>
  <c r="D118" i="12" s="1"/>
  <c r="H112" i="12" l="1"/>
  <c r="I112" i="12"/>
  <c r="I118" i="12" s="1"/>
  <c r="E105" i="12"/>
  <c r="I105" i="12"/>
  <c r="H118" i="12" l="1"/>
  <c r="H105" i="12"/>
  <c r="E29" i="12" l="1"/>
  <c r="E36" i="12" l="1"/>
  <c r="E42" i="12" s="1"/>
  <c r="E112" i="12" l="1"/>
  <c r="E118" i="12" s="1"/>
  <c r="I43" i="15" l="1"/>
  <c r="D104" i="13"/>
  <c r="D141" i="13"/>
  <c r="D133" i="13"/>
  <c r="D122" i="13"/>
  <c r="H29" i="15"/>
  <c r="D90" i="13"/>
  <c r="D106" i="13" s="1"/>
  <c r="I36" i="15"/>
  <c r="I44" i="15"/>
  <c r="I39" i="15"/>
  <c r="I32" i="15"/>
  <c r="I40" i="15"/>
  <c r="I51" i="15"/>
  <c r="H22" i="15"/>
  <c r="H34" i="15"/>
  <c r="H42" i="15"/>
  <c r="H53" i="15"/>
  <c r="I79" i="15"/>
  <c r="I50" i="15"/>
  <c r="H39" i="15"/>
  <c r="I22" i="15"/>
  <c r="I29" i="15"/>
  <c r="H32" i="15"/>
  <c r="H36" i="15"/>
  <c r="H40" i="15"/>
  <c r="H44" i="15"/>
  <c r="H51" i="15"/>
  <c r="I33" i="15"/>
  <c r="I37" i="15"/>
  <c r="I41" i="15"/>
  <c r="I45" i="15"/>
  <c r="I52" i="15"/>
  <c r="H38" i="15"/>
  <c r="H46" i="15"/>
  <c r="I72" i="15"/>
  <c r="I47" i="15" s="1"/>
  <c r="I35" i="15"/>
  <c r="H72" i="15"/>
  <c r="H35" i="15"/>
  <c r="H43" i="15"/>
  <c r="H79" i="15"/>
  <c r="H54" i="15" s="1"/>
  <c r="H50" i="15"/>
  <c r="H33" i="15"/>
  <c r="H37" i="15"/>
  <c r="H41" i="15"/>
  <c r="H45" i="15"/>
  <c r="H52" i="15"/>
  <c r="I34" i="15"/>
  <c r="I38" i="15"/>
  <c r="I42" i="15"/>
  <c r="I46" i="15"/>
  <c r="I53" i="15"/>
  <c r="D135" i="13" l="1"/>
  <c r="D143" i="13" s="1"/>
  <c r="H47" i="15"/>
  <c r="D144" i="13"/>
  <c r="I54" i="15"/>
  <c r="D79" i="15"/>
  <c r="D46" i="15" l="1"/>
  <c r="D34" i="15"/>
  <c r="D50" i="15"/>
  <c r="D33" i="15"/>
  <c r="D29" i="15"/>
  <c r="D39" i="15"/>
  <c r="D53" i="15"/>
  <c r="D41" i="15"/>
  <c r="D54" i="15"/>
  <c r="D35" i="15"/>
  <c r="D42" i="15"/>
  <c r="D51" i="15"/>
  <c r="C29" i="15"/>
  <c r="D32" i="15"/>
  <c r="D38" i="15"/>
  <c r="D44" i="15"/>
  <c r="D52" i="15"/>
  <c r="C79" i="15"/>
  <c r="D37" i="15" l="1"/>
  <c r="D22" i="15"/>
  <c r="C72" i="15"/>
  <c r="C22" i="15"/>
  <c r="D36" i="15"/>
  <c r="D72" i="15"/>
  <c r="D47" i="15" s="1"/>
  <c r="F29" i="15" l="1"/>
  <c r="F22" i="15"/>
  <c r="E22" i="15"/>
  <c r="F53" i="15"/>
  <c r="E35" i="15"/>
  <c r="E39" i="15"/>
  <c r="E43" i="15"/>
  <c r="E50" i="15"/>
  <c r="E32" i="15"/>
  <c r="E36" i="15"/>
  <c r="E40" i="15"/>
  <c r="E44" i="15"/>
  <c r="F34" i="15"/>
  <c r="F42" i="15"/>
  <c r="F39" i="15"/>
  <c r="F50" i="15"/>
  <c r="E72" i="15"/>
  <c r="E29" i="15"/>
  <c r="F72" i="15"/>
  <c r="F47" i="15" s="1"/>
  <c r="F32" i="15"/>
  <c r="F36" i="15"/>
  <c r="F40" i="15"/>
  <c r="F44" i="15"/>
  <c r="F79" i="15"/>
  <c r="F51" i="15"/>
  <c r="E33" i="15"/>
  <c r="E37" i="15"/>
  <c r="E41" i="15"/>
  <c r="E45" i="15"/>
  <c r="E52" i="15"/>
  <c r="F38" i="15"/>
  <c r="F46" i="15"/>
  <c r="F35" i="15"/>
  <c r="F43" i="15"/>
  <c r="E79" i="15"/>
  <c r="E54" i="15" s="1"/>
  <c r="E51" i="15"/>
  <c r="F33" i="15"/>
  <c r="F37" i="15"/>
  <c r="F41" i="15"/>
  <c r="F45" i="15"/>
  <c r="F52" i="15"/>
  <c r="E34" i="15"/>
  <c r="E38" i="15"/>
  <c r="E42" i="15"/>
  <c r="E46" i="15"/>
  <c r="E53" i="15"/>
  <c r="F54" i="15" l="1"/>
  <c r="E47" i="15"/>
  <c r="D185" i="14"/>
  <c r="D111" i="14" s="1"/>
  <c r="D174" i="14"/>
  <c r="D120" i="14"/>
  <c r="D125" i="14"/>
  <c r="D110" i="14"/>
  <c r="C225" i="14"/>
  <c r="C219" i="14"/>
  <c r="C218" i="14"/>
  <c r="C215" i="14"/>
  <c r="C213" i="14"/>
  <c r="C207" i="14"/>
  <c r="C204" i="14"/>
  <c r="C198" i="14"/>
  <c r="C193" i="14"/>
  <c r="C192" i="14"/>
  <c r="C190" i="14"/>
  <c r="C189" i="14"/>
  <c r="C184" i="14"/>
  <c r="C182" i="14"/>
  <c r="C181" i="14"/>
  <c r="C178" i="14"/>
  <c r="C174" i="14"/>
  <c r="C170" i="14"/>
  <c r="C169" i="14"/>
  <c r="C166" i="14"/>
  <c r="C165" i="14"/>
  <c r="C164" i="14"/>
  <c r="C163" i="14"/>
  <c r="C161" i="14"/>
  <c r="C160" i="14"/>
  <c r="C159" i="14"/>
  <c r="C157" i="14"/>
  <c r="H123" i="14"/>
  <c r="H117" i="14"/>
  <c r="H110" i="14"/>
  <c r="H103" i="14"/>
  <c r="H95" i="14"/>
  <c r="H91" i="14"/>
  <c r="H87" i="14"/>
  <c r="H82" i="14"/>
  <c r="H132" i="14" l="1"/>
  <c r="H139" i="14"/>
  <c r="H143" i="14"/>
  <c r="I84" i="14"/>
  <c r="I88" i="14"/>
  <c r="I92" i="14"/>
  <c r="I96" i="14"/>
  <c r="I106" i="14"/>
  <c r="I111" i="14"/>
  <c r="I118" i="14"/>
  <c r="I124" i="14"/>
  <c r="H84" i="14"/>
  <c r="H88" i="14"/>
  <c r="H92" i="14"/>
  <c r="H96" i="14"/>
  <c r="H106" i="14"/>
  <c r="H111" i="14"/>
  <c r="H118" i="14"/>
  <c r="H124" i="14"/>
  <c r="H133" i="14"/>
  <c r="H140" i="14"/>
  <c r="H144" i="14"/>
  <c r="I85" i="14"/>
  <c r="I89" i="14"/>
  <c r="H85" i="14"/>
  <c r="H89" i="14"/>
  <c r="H93" i="14"/>
  <c r="H97" i="14"/>
  <c r="H107" i="14"/>
  <c r="H114" i="14"/>
  <c r="H119" i="14"/>
  <c r="H125" i="14"/>
  <c r="H137" i="14"/>
  <c r="H141" i="14"/>
  <c r="H150" i="14"/>
  <c r="I86" i="14"/>
  <c r="I90" i="14"/>
  <c r="I94" i="14"/>
  <c r="I98" i="14"/>
  <c r="I109" i="14"/>
  <c r="I115" i="14"/>
  <c r="I120" i="14"/>
  <c r="I129" i="14"/>
  <c r="I138" i="14"/>
  <c r="I142" i="14"/>
  <c r="D86" i="14"/>
  <c r="D91" i="14"/>
  <c r="D106" i="14"/>
  <c r="D115" i="14"/>
  <c r="D133" i="14"/>
  <c r="D140" i="14"/>
  <c r="D99" i="14"/>
  <c r="E85" i="14"/>
  <c r="E89" i="14"/>
  <c r="E93" i="14"/>
  <c r="E98" i="14"/>
  <c r="E106" i="14"/>
  <c r="E111" i="14"/>
  <c r="E118" i="14"/>
  <c r="E124" i="14"/>
  <c r="E131" i="14"/>
  <c r="E138" i="14"/>
  <c r="E142" i="14"/>
  <c r="F82" i="14"/>
  <c r="F87" i="14"/>
  <c r="F91" i="14"/>
  <c r="F95" i="14"/>
  <c r="F103" i="14"/>
  <c r="F109" i="14"/>
  <c r="F115" i="14"/>
  <c r="F120" i="14"/>
  <c r="F129" i="14"/>
  <c r="F133" i="14"/>
  <c r="F140" i="14"/>
  <c r="F144" i="14"/>
  <c r="H86" i="14"/>
  <c r="H90" i="14"/>
  <c r="H94" i="14"/>
  <c r="H98" i="14"/>
  <c r="H109" i="14"/>
  <c r="H115" i="14"/>
  <c r="H120" i="14"/>
  <c r="H129" i="14"/>
  <c r="H138" i="14"/>
  <c r="H142" i="14"/>
  <c r="I82" i="14"/>
  <c r="I87" i="14"/>
  <c r="I91" i="14"/>
  <c r="I95" i="14"/>
  <c r="I103" i="14"/>
  <c r="I110" i="14"/>
  <c r="I117" i="14"/>
  <c r="I123" i="14"/>
  <c r="I132" i="14"/>
  <c r="I139" i="14"/>
  <c r="I143" i="14"/>
  <c r="D82" i="14"/>
  <c r="D88" i="14"/>
  <c r="D94" i="14"/>
  <c r="D107" i="14"/>
  <c r="D117" i="14"/>
  <c r="D123" i="14"/>
  <c r="D137" i="14"/>
  <c r="D143" i="14"/>
  <c r="E86" i="14"/>
  <c r="E90" i="14"/>
  <c r="E94" i="14"/>
  <c r="E99" i="14"/>
  <c r="E107" i="14"/>
  <c r="E114" i="14"/>
  <c r="E119" i="14"/>
  <c r="E125" i="14"/>
  <c r="E132" i="14"/>
  <c r="E139" i="14"/>
  <c r="E143" i="14"/>
  <c r="F84" i="14"/>
  <c r="F88" i="14"/>
  <c r="F92" i="14"/>
  <c r="F96" i="14"/>
  <c r="F104" i="14"/>
  <c r="F110" i="14"/>
  <c r="F117" i="14"/>
  <c r="F123" i="14"/>
  <c r="F130" i="14"/>
  <c r="F137" i="14"/>
  <c r="F141" i="14"/>
  <c r="F150" i="14"/>
  <c r="I133" i="14"/>
  <c r="I140" i="14"/>
  <c r="I144" i="14"/>
  <c r="D84" i="14"/>
  <c r="D89" i="14"/>
  <c r="D95" i="14"/>
  <c r="D109" i="14"/>
  <c r="D118" i="14"/>
  <c r="D129" i="14"/>
  <c r="D138" i="14"/>
  <c r="D144" i="14"/>
  <c r="E82" i="14"/>
  <c r="E87" i="14"/>
  <c r="E91" i="14"/>
  <c r="E95" i="14"/>
  <c r="E103" i="14"/>
  <c r="E109" i="14"/>
  <c r="E115" i="14"/>
  <c r="E120" i="14"/>
  <c r="E129" i="14"/>
  <c r="E133" i="14"/>
  <c r="E140" i="14"/>
  <c r="E144" i="14"/>
  <c r="F85" i="14"/>
  <c r="F89" i="14"/>
  <c r="F93" i="14"/>
  <c r="F98" i="14"/>
  <c r="F106" i="14"/>
  <c r="F111" i="14"/>
  <c r="F118" i="14"/>
  <c r="F124" i="14"/>
  <c r="F131" i="14"/>
  <c r="F138" i="14"/>
  <c r="F142" i="14"/>
  <c r="I93" i="14"/>
  <c r="I97" i="14"/>
  <c r="I107" i="14"/>
  <c r="I114" i="14"/>
  <c r="I119" i="14"/>
  <c r="I125" i="14"/>
  <c r="I137" i="14"/>
  <c r="I141" i="14"/>
  <c r="I150" i="14"/>
  <c r="D85" i="14"/>
  <c r="D90" i="14"/>
  <c r="D103" i="14"/>
  <c r="D114" i="14"/>
  <c r="D119" i="14"/>
  <c r="D132" i="14"/>
  <c r="D139" i="14"/>
  <c r="D150" i="14"/>
  <c r="E84" i="14"/>
  <c r="E88" i="14"/>
  <c r="E92" i="14"/>
  <c r="E96" i="14"/>
  <c r="E104" i="14"/>
  <c r="E110" i="14"/>
  <c r="E117" i="14"/>
  <c r="E123" i="14"/>
  <c r="E130" i="14"/>
  <c r="E137" i="14"/>
  <c r="E141" i="14"/>
  <c r="E150" i="14"/>
  <c r="F86" i="14"/>
  <c r="F90" i="14"/>
  <c r="F94" i="14"/>
  <c r="F99" i="14"/>
  <c r="F107" i="14"/>
  <c r="F114" i="14"/>
  <c r="F119" i="14"/>
  <c r="F125" i="14"/>
  <c r="F132" i="14"/>
  <c r="F139" i="14"/>
  <c r="F143" i="14"/>
  <c r="D175" i="14"/>
  <c r="D209" i="14"/>
  <c r="D221" i="14"/>
  <c r="F175" i="14"/>
  <c r="F26" i="14"/>
  <c r="F47" i="14" s="1"/>
  <c r="F60" i="14"/>
  <c r="F72" i="14"/>
  <c r="F209" i="14"/>
  <c r="E26" i="14"/>
  <c r="E47" i="14" s="1"/>
  <c r="F221" i="14"/>
  <c r="E175" i="14"/>
  <c r="E209" i="14"/>
  <c r="E221" i="14"/>
  <c r="I221" i="14"/>
  <c r="E60" i="14"/>
  <c r="H221" i="14"/>
  <c r="E72" i="14"/>
  <c r="E146" i="14" s="1"/>
  <c r="I175" i="14"/>
  <c r="H175" i="14"/>
  <c r="H100" i="14" s="1"/>
  <c r="I72" i="14"/>
  <c r="D60" i="14"/>
  <c r="H72" i="14"/>
  <c r="C72" i="14"/>
  <c r="C221" i="14" s="1"/>
  <c r="H26" i="14"/>
  <c r="I26" i="14"/>
  <c r="I47" i="14" s="1"/>
  <c r="D72" i="14"/>
  <c r="D146" i="14" s="1"/>
  <c r="C60" i="14"/>
  <c r="C209" i="14" s="1"/>
  <c r="C26" i="14"/>
  <c r="D26" i="14"/>
  <c r="I209" i="14"/>
  <c r="H60" i="14"/>
  <c r="I60" i="14"/>
  <c r="H209" i="14"/>
  <c r="E71" i="13"/>
  <c r="D86" i="12"/>
  <c r="I58" i="12"/>
  <c r="I57" i="12"/>
  <c r="I55" i="12"/>
  <c r="I54" i="12"/>
  <c r="I51" i="12"/>
  <c r="I50" i="12"/>
  <c r="I49" i="12"/>
  <c r="I47" i="12"/>
  <c r="I46" i="12"/>
  <c r="I45" i="12"/>
  <c r="E100" i="14" l="1"/>
  <c r="I100" i="14"/>
  <c r="F146" i="14"/>
  <c r="D100" i="14"/>
  <c r="I134" i="14"/>
  <c r="I146" i="14"/>
  <c r="E134" i="14"/>
  <c r="F134" i="14"/>
  <c r="F100" i="14"/>
  <c r="H146" i="14"/>
  <c r="H134" i="14"/>
  <c r="D134" i="14"/>
  <c r="I52" i="14"/>
  <c r="I74" i="14" s="1"/>
  <c r="F52" i="14"/>
  <c r="E52" i="14"/>
  <c r="D196" i="14"/>
  <c r="E81" i="13"/>
  <c r="E85" i="13"/>
  <c r="E93" i="13"/>
  <c r="E101" i="13"/>
  <c r="E94" i="13"/>
  <c r="E102" i="13"/>
  <c r="E79" i="13"/>
  <c r="E83" i="13"/>
  <c r="E95" i="13"/>
  <c r="E99" i="13"/>
  <c r="E103" i="13"/>
  <c r="E98" i="13"/>
  <c r="E80" i="13"/>
  <c r="E84" i="13"/>
  <c r="E89" i="13"/>
  <c r="E96" i="13"/>
  <c r="D211" i="13"/>
  <c r="D71" i="13"/>
  <c r="D34" i="13"/>
  <c r="D203" i="13"/>
  <c r="C160" i="13"/>
  <c r="C174" i="13"/>
  <c r="E211" i="13"/>
  <c r="D52" i="13"/>
  <c r="D63" i="13"/>
  <c r="D91" i="12"/>
  <c r="D94" i="12" s="1"/>
  <c r="D97" i="12" s="1"/>
  <c r="I48" i="12"/>
  <c r="H63" i="13"/>
  <c r="D20" i="13"/>
  <c r="C203" i="13"/>
  <c r="E192" i="13"/>
  <c r="H160" i="13"/>
  <c r="H203" i="13"/>
  <c r="C20" i="13"/>
  <c r="C34" i="13"/>
  <c r="D160" i="13"/>
  <c r="D174" i="13"/>
  <c r="D192" i="13"/>
  <c r="E63" i="13"/>
  <c r="C47" i="14"/>
  <c r="C175" i="14"/>
  <c r="F86" i="12"/>
  <c r="F91" i="12" s="1"/>
  <c r="F94" i="12" s="1"/>
  <c r="F97" i="12" s="1"/>
  <c r="H34" i="13"/>
  <c r="C211" i="13"/>
  <c r="C86" i="12"/>
  <c r="C91" i="12" s="1"/>
  <c r="C94" i="12" s="1"/>
  <c r="C97" i="12" s="1"/>
  <c r="H211" i="13"/>
  <c r="C52" i="13"/>
  <c r="C63" i="13"/>
  <c r="C71" i="13"/>
  <c r="F74" i="14"/>
  <c r="H196" i="14"/>
  <c r="I196" i="14"/>
  <c r="I121" i="14" s="1"/>
  <c r="E203" i="13"/>
  <c r="E86" i="12"/>
  <c r="E91" i="12" s="1"/>
  <c r="E20" i="13"/>
  <c r="G51" i="13"/>
  <c r="G50" i="13"/>
  <c r="E196" i="14"/>
  <c r="E121" i="14" s="1"/>
  <c r="F196" i="14"/>
  <c r="F121" i="14" s="1"/>
  <c r="D47" i="14"/>
  <c r="I86" i="12"/>
  <c r="H20" i="13"/>
  <c r="H52" i="13"/>
  <c r="H192" i="13"/>
  <c r="H86" i="12"/>
  <c r="H71" i="13"/>
  <c r="H174" i="13"/>
  <c r="C192" i="13"/>
  <c r="E160" i="13"/>
  <c r="E174" i="13"/>
  <c r="H47" i="14"/>
  <c r="E52" i="13"/>
  <c r="E34" i="13"/>
  <c r="H121" i="14" l="1"/>
  <c r="D121" i="14"/>
  <c r="F78" i="14"/>
  <c r="I78" i="14"/>
  <c r="E74" i="14"/>
  <c r="D201" i="14"/>
  <c r="E104" i="13"/>
  <c r="C205" i="13"/>
  <c r="E90" i="13"/>
  <c r="E205" i="13"/>
  <c r="E213" i="13" s="1"/>
  <c r="F144" i="13"/>
  <c r="D205" i="13"/>
  <c r="D213" i="13" s="1"/>
  <c r="D36" i="13"/>
  <c r="C36" i="13"/>
  <c r="E65" i="13"/>
  <c r="E73" i="13" s="1"/>
  <c r="H176" i="13"/>
  <c r="E36" i="13"/>
  <c r="D176" i="13"/>
  <c r="C176" i="13"/>
  <c r="D65" i="13"/>
  <c r="D73" i="13" s="1"/>
  <c r="C213" i="13"/>
  <c r="I53" i="12"/>
  <c r="I91" i="12"/>
  <c r="C52" i="14"/>
  <c r="C196" i="14"/>
  <c r="C65" i="13"/>
  <c r="C73" i="13" s="1"/>
  <c r="H205" i="13"/>
  <c r="I201" i="14"/>
  <c r="I126" i="14" s="1"/>
  <c r="H201" i="14"/>
  <c r="E201" i="14"/>
  <c r="E126" i="14" s="1"/>
  <c r="E94" i="12"/>
  <c r="E176" i="13"/>
  <c r="F201" i="14"/>
  <c r="F126" i="14" s="1"/>
  <c r="D52" i="14"/>
  <c r="H36" i="13"/>
  <c r="H91" i="12"/>
  <c r="H65" i="13"/>
  <c r="H52" i="14"/>
  <c r="H126" i="14" l="1"/>
  <c r="D126" i="14"/>
  <c r="E78" i="14"/>
  <c r="D223" i="14"/>
  <c r="E106" i="13"/>
  <c r="D214" i="13"/>
  <c r="D74" i="13"/>
  <c r="E74" i="13"/>
  <c r="E214" i="13"/>
  <c r="F214" i="13"/>
  <c r="C214" i="13"/>
  <c r="C74" i="13"/>
  <c r="H213" i="13"/>
  <c r="F74" i="13"/>
  <c r="I56" i="12"/>
  <c r="I94" i="12"/>
  <c r="C201" i="14"/>
  <c r="C74" i="14"/>
  <c r="E144" i="13"/>
  <c r="H223" i="14"/>
  <c r="I223" i="14"/>
  <c r="I148" i="14" s="1"/>
  <c r="E223" i="14"/>
  <c r="E148" i="14" s="1"/>
  <c r="E97" i="12"/>
  <c r="F223" i="14"/>
  <c r="F148" i="14" s="1"/>
  <c r="D74" i="14"/>
  <c r="H73" i="13"/>
  <c r="H94" i="12"/>
  <c r="H74" i="14"/>
  <c r="H148" i="14" l="1"/>
  <c r="D148" i="14"/>
  <c r="D227" i="14"/>
  <c r="H214" i="13"/>
  <c r="I59" i="12"/>
  <c r="C78" i="14"/>
  <c r="C227" i="14" s="1"/>
  <c r="C223" i="14"/>
  <c r="I97" i="12"/>
  <c r="H227" i="14"/>
  <c r="I227" i="14"/>
  <c r="I152" i="14" s="1"/>
  <c r="E227" i="14"/>
  <c r="E152" i="14" s="1"/>
  <c r="F227" i="14"/>
  <c r="F152" i="14" s="1"/>
  <c r="D78" i="14"/>
  <c r="H97" i="12"/>
  <c r="H74" i="13"/>
  <c r="H78" i="14"/>
  <c r="D152" i="14" l="1"/>
  <c r="H152" i="14"/>
  <c r="H144" i="13"/>
  <c r="C71" i="11"/>
  <c r="C68" i="11"/>
  <c r="C67" i="11"/>
  <c r="C78" i="11"/>
  <c r="C65" i="11"/>
  <c r="C64" i="11"/>
  <c r="C63" i="11"/>
  <c r="C62" i="11"/>
  <c r="C61" i="11"/>
  <c r="C60" i="11"/>
  <c r="C59" i="11"/>
  <c r="C58" i="11"/>
  <c r="C77" i="11" l="1"/>
  <c r="H45" i="11" l="1"/>
  <c r="H40" i="11"/>
  <c r="H39" i="11"/>
  <c r="H34" i="11"/>
  <c r="H33" i="11"/>
  <c r="F34" i="11"/>
  <c r="E34" i="11"/>
  <c r="F33" i="11"/>
  <c r="E33" i="11"/>
  <c r="D40" i="11"/>
  <c r="H52" i="11"/>
  <c r="H51" i="11"/>
  <c r="H42" i="11"/>
  <c r="H41" i="11"/>
  <c r="H38" i="11"/>
  <c r="H37" i="11"/>
  <c r="H36" i="11"/>
  <c r="H35" i="11"/>
  <c r="H32" i="11"/>
  <c r="H18" i="11" l="1"/>
  <c r="H69" i="11"/>
  <c r="H29" i="11" l="1"/>
  <c r="H80" i="11"/>
  <c r="H43" i="11"/>
  <c r="H21" i="11"/>
  <c r="H79" i="11"/>
  <c r="H72" i="11"/>
  <c r="H28" i="11"/>
  <c r="K53" i="11" l="1"/>
  <c r="K54" i="11"/>
  <c r="H54" i="11"/>
  <c r="H53" i="11"/>
  <c r="H46" i="11"/>
  <c r="F45" i="11" l="1"/>
  <c r="E45" i="11"/>
  <c r="E32" i="11"/>
  <c r="E38" i="11" l="1"/>
  <c r="F35" i="11"/>
  <c r="F39" i="11"/>
  <c r="E51" i="11"/>
  <c r="F51" i="11"/>
  <c r="E35" i="11"/>
  <c r="E39" i="11"/>
  <c r="F36" i="11"/>
  <c r="F40" i="11"/>
  <c r="E52" i="11"/>
  <c r="F52" i="11"/>
  <c r="E36" i="11"/>
  <c r="E40" i="11"/>
  <c r="F37" i="11"/>
  <c r="E42" i="11"/>
  <c r="F41" i="11"/>
  <c r="E37" i="11"/>
  <c r="F32" i="11"/>
  <c r="F38" i="11"/>
  <c r="E41" i="11"/>
  <c r="F42" i="11"/>
  <c r="E18" i="11"/>
  <c r="E29" i="11" s="1"/>
  <c r="F18" i="11"/>
  <c r="F69" i="11"/>
  <c r="E69" i="11"/>
  <c r="E28" i="11" l="1"/>
  <c r="E43" i="11"/>
  <c r="E54" i="11" s="1"/>
  <c r="F43" i="11"/>
  <c r="F79" i="11"/>
  <c r="F29" i="11"/>
  <c r="F72" i="11"/>
  <c r="F80" i="11"/>
  <c r="E72" i="11"/>
  <c r="E80" i="11"/>
  <c r="F21" i="11"/>
  <c r="E21" i="11"/>
  <c r="F28" i="11"/>
  <c r="E79" i="11"/>
  <c r="E53" i="11" l="1"/>
  <c r="E46" i="11"/>
  <c r="F53" i="11"/>
  <c r="F54" i="11"/>
  <c r="F46" i="11"/>
  <c r="D45" i="11" l="1"/>
  <c r="D52" i="11"/>
  <c r="D41" i="11"/>
  <c r="D42" i="11"/>
  <c r="D34" i="11" l="1"/>
  <c r="D38" i="11"/>
  <c r="D35" i="11"/>
  <c r="D39" i="11"/>
  <c r="D32" i="11"/>
  <c r="D36" i="11"/>
  <c r="D33" i="11"/>
  <c r="D37" i="11"/>
  <c r="D69" i="11"/>
  <c r="D51" i="11"/>
  <c r="D72" i="11" l="1"/>
  <c r="D80" i="11"/>
  <c r="D79" i="11"/>
  <c r="H25" i="9" l="1"/>
  <c r="I23" i="9"/>
  <c r="H23" i="9"/>
  <c r="I26" i="9"/>
  <c r="H26" i="9"/>
  <c r="I24" i="9" l="1"/>
  <c r="H22" i="9"/>
  <c r="I22" i="9"/>
  <c r="H24" i="9"/>
  <c r="I25" i="9"/>
  <c r="I13" i="9" l="1"/>
  <c r="H13" i="9"/>
  <c r="H6" i="1" l="1"/>
  <c r="I6" i="1"/>
  <c r="H61" i="10"/>
  <c r="H55" i="10"/>
  <c r="I49" i="10"/>
  <c r="I48" i="10"/>
  <c r="C36" i="10"/>
  <c r="I60" i="10" l="1"/>
  <c r="H36" i="10"/>
  <c r="I36" i="10"/>
  <c r="H48" i="10"/>
  <c r="I50" i="10"/>
  <c r="H54" i="10"/>
  <c r="E11" i="10"/>
  <c r="I42" i="10"/>
  <c r="E50" i="10"/>
  <c r="I59" i="10"/>
  <c r="C54" i="10"/>
  <c r="C61" i="10"/>
  <c r="C59" i="10"/>
  <c r="E60" i="10"/>
  <c r="D50" i="10"/>
  <c r="F48" i="10"/>
  <c r="E49" i="10"/>
  <c r="E36" i="10"/>
  <c r="E55" i="10"/>
  <c r="F50" i="10"/>
  <c r="F60" i="10"/>
  <c r="F36" i="10"/>
  <c r="C11" i="10"/>
  <c r="H59" i="10"/>
  <c r="H49" i="10"/>
  <c r="D61" i="10"/>
  <c r="E61" i="10"/>
  <c r="H42" i="10"/>
  <c r="E59" i="10"/>
  <c r="D36" i="10"/>
  <c r="D49" i="10"/>
  <c r="H60" i="10"/>
  <c r="C48" i="10"/>
  <c r="D11" i="10"/>
  <c r="F31" i="10"/>
  <c r="D42" i="10"/>
  <c r="F59" i="10"/>
  <c r="C60" i="10"/>
  <c r="D60" i="10"/>
  <c r="C50" i="10"/>
  <c r="D16" i="10"/>
  <c r="C42" i="10"/>
  <c r="D59" i="10"/>
  <c r="E16" i="10"/>
  <c r="C31" i="10"/>
  <c r="H31" i="10"/>
  <c r="D54" i="10"/>
  <c r="F49" i="10"/>
  <c r="C55" i="10"/>
  <c r="D31" i="10"/>
  <c r="E42" i="10"/>
  <c r="H50" i="10"/>
  <c r="I31" i="10"/>
  <c r="C16" i="10"/>
  <c r="D22" i="10"/>
  <c r="C49" i="10"/>
  <c r="F42" i="10"/>
  <c r="E22" i="10"/>
  <c r="E54" i="10"/>
  <c r="H11" i="10"/>
  <c r="D48" i="10"/>
  <c r="I11" i="10"/>
  <c r="D55" i="10"/>
  <c r="E48" i="10"/>
  <c r="H16" i="10"/>
  <c r="H56" i="10" s="1"/>
  <c r="C22" i="10"/>
  <c r="H22" i="10"/>
  <c r="F11" i="10"/>
  <c r="E31" i="10"/>
  <c r="E51" i="10" s="1"/>
  <c r="D18" i="11"/>
  <c r="D43" i="11" s="1"/>
  <c r="C18" i="11"/>
  <c r="H62" i="10" l="1"/>
  <c r="I44" i="10"/>
  <c r="C21" i="11"/>
  <c r="C69" i="11"/>
  <c r="F51" i="10"/>
  <c r="F44" i="10"/>
  <c r="C62" i="10"/>
  <c r="E56" i="10"/>
  <c r="C51" i="10"/>
  <c r="D56" i="10"/>
  <c r="D24" i="10"/>
  <c r="D51" i="10"/>
  <c r="H44" i="10"/>
  <c r="C44" i="10"/>
  <c r="E24" i="10"/>
  <c r="D44" i="10"/>
  <c r="I51" i="10"/>
  <c r="C24" i="10"/>
  <c r="C56" i="10"/>
  <c r="E62" i="10"/>
  <c r="D62" i="10"/>
  <c r="E44" i="10"/>
  <c r="H24" i="10"/>
  <c r="H51" i="10"/>
  <c r="D54" i="11"/>
  <c r="D53" i="11"/>
  <c r="D21" i="11"/>
  <c r="D29" i="11"/>
  <c r="C29" i="11"/>
  <c r="C80" i="11" s="1"/>
  <c r="D28" i="11"/>
  <c r="C28" i="11"/>
  <c r="C79" i="11" s="1"/>
  <c r="D46" i="11" l="1"/>
  <c r="C72" i="11"/>
  <c r="E64" i="10"/>
  <c r="D64" i="10"/>
  <c r="H64" i="10"/>
  <c r="C64" i="10"/>
  <c r="I55" i="10" l="1"/>
  <c r="I61" i="10"/>
  <c r="I22" i="10"/>
  <c r="I62" i="10" l="1"/>
  <c r="I54" i="10" l="1"/>
  <c r="I16" i="10"/>
  <c r="I56" i="10" l="1"/>
  <c r="I24" i="10"/>
  <c r="I64" i="10" l="1"/>
  <c r="F55" i="10" l="1"/>
  <c r="F61" i="10"/>
  <c r="F22" i="10"/>
  <c r="F62" i="10" s="1"/>
  <c r="F16" i="10" l="1"/>
  <c r="F54" i="10"/>
  <c r="F56" i="10" l="1"/>
  <c r="F24" i="10"/>
  <c r="F64" i="10" l="1"/>
  <c r="I12" i="1"/>
  <c r="H12" i="1"/>
  <c r="F12" i="1"/>
  <c r="E12" i="1"/>
  <c r="D12" i="1"/>
  <c r="C12" i="1"/>
  <c r="F6" i="1" l="1"/>
  <c r="E6" i="1"/>
  <c r="J13" i="9" l="1"/>
  <c r="M24" i="9" l="1"/>
  <c r="M23" i="9" l="1"/>
  <c r="M13" i="9"/>
  <c r="N16" i="9" l="1"/>
  <c r="L24" i="9"/>
  <c r="N24" i="9" s="1"/>
  <c r="N15" i="9" l="1"/>
  <c r="L23" i="9"/>
  <c r="N23" i="9" s="1"/>
  <c r="N19" i="9"/>
  <c r="L13" i="9" l="1"/>
  <c r="N13" i="9" s="1"/>
</calcChain>
</file>

<file path=xl/sharedStrings.xml><?xml version="1.0" encoding="utf-8"?>
<sst xmlns="http://schemas.openxmlformats.org/spreadsheetml/2006/main" count="1398" uniqueCount="241">
  <si>
    <t>Operacionais</t>
  </si>
  <si>
    <t>Safra 2020/21</t>
  </si>
  <si>
    <t>Safra 2019/20</t>
  </si>
  <si>
    <t>Var. %</t>
  </si>
  <si>
    <t>Moagem total - cana + milho equiv. cana (mil t)</t>
  </si>
  <si>
    <t xml:space="preserve">   Moagem de cana (mil t)</t>
  </si>
  <si>
    <t xml:space="preserve">       % cana própria*</t>
  </si>
  <si>
    <t xml:space="preserve">   Moagem de milho (mil t)</t>
  </si>
  <si>
    <t>Produtividade agrícola</t>
  </si>
  <si>
    <t>ATR (kg/t)</t>
  </si>
  <si>
    <t>Safra 2017/18</t>
  </si>
  <si>
    <t>Safra 2018/19</t>
  </si>
  <si>
    <t>Exportação de energia para rede</t>
  </si>
  <si>
    <t>Produção de etanol de cana</t>
  </si>
  <si>
    <t>Produção de etanol de milho</t>
  </si>
  <si>
    <t>Produção de DDGs</t>
  </si>
  <si>
    <t>Produção de óleo</t>
  </si>
  <si>
    <t>mil t</t>
  </si>
  <si>
    <t>kg/t</t>
  </si>
  <si>
    <t>%</t>
  </si>
  <si>
    <t>t/ha</t>
  </si>
  <si>
    <t>m³</t>
  </si>
  <si>
    <t>t</t>
  </si>
  <si>
    <t>MWh</t>
  </si>
  <si>
    <t>Produção de etanol total</t>
  </si>
  <si>
    <t>Comerciais</t>
  </si>
  <si>
    <t>Volumes Vendidos</t>
  </si>
  <si>
    <t>Energia elétrica</t>
  </si>
  <si>
    <t>Receita Bruta</t>
  </si>
  <si>
    <t>Etanol de cana</t>
  </si>
  <si>
    <t>Preço médio bruto</t>
  </si>
  <si>
    <t>Etanol de milho</t>
  </si>
  <si>
    <t>DDGs</t>
  </si>
  <si>
    <t>Óleo</t>
  </si>
  <si>
    <t>R$ mil</t>
  </si>
  <si>
    <t>R$/m³</t>
  </si>
  <si>
    <t>R$/t</t>
  </si>
  <si>
    <t>R$/MWh</t>
  </si>
  <si>
    <t>Manutenção</t>
  </si>
  <si>
    <t>Plantio de cana - Reforma</t>
  </si>
  <si>
    <t>Manutenção entressafra (Industriais/Agrícolas)</t>
  </si>
  <si>
    <t>Tratos Culturais</t>
  </si>
  <si>
    <t>Total</t>
  </si>
  <si>
    <t>Melhoria operacional</t>
  </si>
  <si>
    <t>Equipamentos/ Reposições</t>
  </si>
  <si>
    <t>Ambiental/Legal</t>
  </si>
  <si>
    <t>Modernização/Expansão</t>
  </si>
  <si>
    <t>Plantio de cana - Expansão / Ativo Biológicos</t>
  </si>
  <si>
    <t>Eucalipto</t>
  </si>
  <si>
    <t>Projetos (Industriais/Agrícolas)</t>
  </si>
  <si>
    <t>Total Geral CBio</t>
  </si>
  <si>
    <t>Cerradinho Bioenergia</t>
  </si>
  <si>
    <t>Neomille</t>
  </si>
  <si>
    <t>Total Geral Neo</t>
  </si>
  <si>
    <t>Consolidado</t>
  </si>
  <si>
    <t>Total Geral Consolidado</t>
  </si>
  <si>
    <t>Plantio - Reforma</t>
  </si>
  <si>
    <t>Plantio - Expansão / Ativo Biológicos</t>
  </si>
  <si>
    <t>FINEM</t>
  </si>
  <si>
    <t>FCO</t>
  </si>
  <si>
    <t>PRORENOVA</t>
  </si>
  <si>
    <t>FINAME</t>
  </si>
  <si>
    <t>FINEP</t>
  </si>
  <si>
    <t>CCB</t>
  </si>
  <si>
    <t>CPRF</t>
  </si>
  <si>
    <t>PESA</t>
  </si>
  <si>
    <t>Debêntures</t>
  </si>
  <si>
    <t>Perfil</t>
  </si>
  <si>
    <t>Curto Prazo</t>
  </si>
  <si>
    <t>Longo Prazo</t>
  </si>
  <si>
    <t>Dívida Bruta</t>
  </si>
  <si>
    <t>Disponibilidades</t>
  </si>
  <si>
    <t>Dívida Líquida</t>
  </si>
  <si>
    <t>Dívida Líquida/EBITDA Ajustado (12 meses)</t>
  </si>
  <si>
    <t>Instrumentos financeiros derivativos</t>
  </si>
  <si>
    <t>Empréstimo internacional</t>
  </si>
  <si>
    <t>Outras receitas</t>
  </si>
  <si>
    <t>31/03/2018</t>
  </si>
  <si>
    <t>31/03/2019</t>
  </si>
  <si>
    <t>31/03/2020</t>
  </si>
  <si>
    <t>31/03/2021</t>
  </si>
  <si>
    <t>30/06/2021</t>
  </si>
  <si>
    <t>x</t>
  </si>
  <si>
    <t>Endividamento</t>
  </si>
  <si>
    <t>Demonstração de Resultados</t>
  </si>
  <si>
    <t>Custo dos produtos vendidos e serviços prestados</t>
  </si>
  <si>
    <t>Variação no valor justo de ativo biológico</t>
  </si>
  <si>
    <t>Lucro bruto</t>
  </si>
  <si>
    <t>Despesas com vendas</t>
  </si>
  <si>
    <t>Despesas gerais e administrativas</t>
  </si>
  <si>
    <t>Outras receitas (despesas), líquidas</t>
  </si>
  <si>
    <t>Participação no lucro de controlada</t>
  </si>
  <si>
    <t>Lucro antes do resultado financeiro</t>
  </si>
  <si>
    <t>Despesas financeiras</t>
  </si>
  <si>
    <t>Receitas financeiras</t>
  </si>
  <si>
    <t>Lucro (prejuízo) antes do imposto de renda e da contribuição social</t>
  </si>
  <si>
    <t>Lucro líquido do período</t>
  </si>
  <si>
    <t>IR/CS Correntes</t>
  </si>
  <si>
    <t>IR/CS Diferidos</t>
  </si>
  <si>
    <t>EBIT Ajustado</t>
  </si>
  <si>
    <t>Margem EBIT Ajustado / RL</t>
  </si>
  <si>
    <t xml:space="preserve">   (+) Depreciação / Exaustão </t>
  </si>
  <si>
    <t xml:space="preserve">   (+) Amortização de tratos</t>
  </si>
  <si>
    <t xml:space="preserve">   (+) Amort. de gastos de entressafra </t>
  </si>
  <si>
    <t xml:space="preserve">   (-) Capex de Manutenção</t>
  </si>
  <si>
    <t>EBITDA Ajustado menos Capex de Manutenção</t>
  </si>
  <si>
    <t>Margem EBITDA Ajustado menos Capex de Manutenção</t>
  </si>
  <si>
    <t xml:space="preserve">EBITDA Ajustado </t>
  </si>
  <si>
    <t>Margem EBITDA ajustado</t>
  </si>
  <si>
    <t xml:space="preserve">   Efeito não Caixa do IFRS 16</t>
  </si>
  <si>
    <t xml:space="preserve">   Receitas (Despesas) - Não recorrente</t>
  </si>
  <si>
    <t>EBITDA Contábil</t>
  </si>
  <si>
    <t xml:space="preserve">Margem EBITDA </t>
  </si>
  <si>
    <t xml:space="preserve">   (-) Depreciação e Amortização</t>
  </si>
  <si>
    <t xml:space="preserve">   (-) Despesa financeira liquida </t>
  </si>
  <si>
    <t xml:space="preserve">   Ativos biológicos </t>
  </si>
  <si>
    <t xml:space="preserve">   Equivalência patrimonial </t>
  </si>
  <si>
    <t>(=) Lucro (Prejuízo) Operacional</t>
  </si>
  <si>
    <t>Balanço Patrimonial</t>
  </si>
  <si>
    <t>Ativo</t>
  </si>
  <si>
    <t>Circulante</t>
  </si>
  <si>
    <t>Caixa e equivalentes de caixa</t>
  </si>
  <si>
    <t>Aplicações financeiras</t>
  </si>
  <si>
    <t>Contas a receber</t>
  </si>
  <si>
    <t>Estoques</t>
  </si>
  <si>
    <t>Arrendamentos a receber</t>
  </si>
  <si>
    <t>Ativos biológicos</t>
  </si>
  <si>
    <t>Tributos a recuperar</t>
  </si>
  <si>
    <t>Outros ativos</t>
  </si>
  <si>
    <t>Ativo não circulante mantido para venda</t>
  </si>
  <si>
    <t>Total do ativo circulante</t>
  </si>
  <si>
    <t>Não circulante</t>
  </si>
  <si>
    <t>Depósitos judiciais</t>
  </si>
  <si>
    <t>Imposto de renda e contribuição social diferidos</t>
  </si>
  <si>
    <t>Investimento em controlada</t>
  </si>
  <si>
    <t>Imobilizado</t>
  </si>
  <si>
    <t>Direito de uso</t>
  </si>
  <si>
    <t>Intangível</t>
  </si>
  <si>
    <t>Total do ativo não circulante</t>
  </si>
  <si>
    <t>Total do ativo</t>
  </si>
  <si>
    <t>Passivo e Patrimônio Líquido</t>
  </si>
  <si>
    <t>Dividendos a pagar</t>
  </si>
  <si>
    <t>Fornecedores</t>
  </si>
  <si>
    <t>Arrendamentos a pagar</t>
  </si>
  <si>
    <t>Parcerias agrícolas a pagar</t>
  </si>
  <si>
    <t>Empréstimos e financiamentos</t>
  </si>
  <si>
    <t>Salários e encargos sociais</t>
  </si>
  <si>
    <t>Tributos a recolher</t>
  </si>
  <si>
    <t>Juros sobre o capital próprio a pagar</t>
  </si>
  <si>
    <t>Outros passivos</t>
  </si>
  <si>
    <t>Total do passivo circulante</t>
  </si>
  <si>
    <t>Provisão para contingências</t>
  </si>
  <si>
    <t>Total do passivo não circulante</t>
  </si>
  <si>
    <t>Total do Passivo</t>
  </si>
  <si>
    <t>Patrimônio Líquido</t>
  </si>
  <si>
    <t>Capital social</t>
  </si>
  <si>
    <t>Reservas de lucros</t>
  </si>
  <si>
    <t>Lucros acumulados</t>
  </si>
  <si>
    <t>Total do patrimônio líquido</t>
  </si>
  <si>
    <t>Total do passivo e do patrimônio líquido</t>
  </si>
  <si>
    <t>Check</t>
  </si>
  <si>
    <t>Fluxo de caixa</t>
  </si>
  <si>
    <t>Fluxo de caixa das atividades operacionais</t>
  </si>
  <si>
    <t>Lucro (Prejuízo) antes do imposto de renda e da contribuição social</t>
  </si>
  <si>
    <t>Ajustes de:</t>
  </si>
  <si>
    <t>Variação no valor justo do ativo biológico</t>
  </si>
  <si>
    <t>Variação do valor justo do produto agrícola</t>
  </si>
  <si>
    <t>Amortização de tratos (inclui ativo biológico colhido)</t>
  </si>
  <si>
    <t>Provisão para pagamento de aval</t>
  </si>
  <si>
    <t>Depreciação e amortização (inclui gastos de entressafra, canaviais e direito de uso)</t>
  </si>
  <si>
    <t>Resultado líquido de venda/alienação de ativo imobilizado</t>
  </si>
  <si>
    <t>Variações monetárias, líquidas</t>
  </si>
  <si>
    <t>AVP arrendamentos e parcerias agrícolas a pagar</t>
  </si>
  <si>
    <t>Atualização de depósitos judiciais e compulsórios</t>
  </si>
  <si>
    <t>Provisão de premiação aos colaboradores (ILP e PPAR)</t>
  </si>
  <si>
    <t>Provisão para contingência</t>
  </si>
  <si>
    <t>Provisão para obsolescência</t>
  </si>
  <si>
    <t>Reconhecimento crédito Pis/Cofins/Presumido IPI</t>
  </si>
  <si>
    <t>Resultado de controlada reconhecido por equivalência patrimonial</t>
  </si>
  <si>
    <t>Redução (aumento) dos ativos operacionais:</t>
  </si>
  <si>
    <t xml:space="preserve">Contas a receber </t>
  </si>
  <si>
    <t>Partes relacionadas</t>
  </si>
  <si>
    <t>Ativo biológico</t>
  </si>
  <si>
    <t>Aumento (redução) dos passivos operacionais:</t>
  </si>
  <si>
    <t>Caixa gerado pelas operações</t>
  </si>
  <si>
    <t>Adiantamentos de clientes</t>
  </si>
  <si>
    <t>Pagamentos de contingências</t>
  </si>
  <si>
    <t>Encargos financeiros pagos</t>
  </si>
  <si>
    <t>Encargos financeiros pagos - arrendamentos e parcerias agrícolas a pagar</t>
  </si>
  <si>
    <t>Imposto de renda e contribuição social pagos</t>
  </si>
  <si>
    <t>Caixa líquido gerado pelas atividades operacionais</t>
  </si>
  <si>
    <t>Fluxo de caixa das atividades de investimentos</t>
  </si>
  <si>
    <t>Resgate de aplicações financeiras</t>
  </si>
  <si>
    <t>Integralização de capital em controlada</t>
  </si>
  <si>
    <t>Juros sobre capital próprio recebidos</t>
  </si>
  <si>
    <t>Recebimento pela venda de ativo imobilizado</t>
  </si>
  <si>
    <t>Aquisição de imobilizado e intangível (inclui canaviais)</t>
  </si>
  <si>
    <t>Caixa gerado pelas (aplicado nas) atividades de investimentos</t>
  </si>
  <si>
    <t>Fluxo de caixa das atividades de financiamentos</t>
  </si>
  <si>
    <t>Empréstimos e financiamentos - captações</t>
  </si>
  <si>
    <t>Empréstimos e financiamentos - pagamentos</t>
  </si>
  <si>
    <t>Debêntures -  captações</t>
  </si>
  <si>
    <t>Debêntures -  pagamentos</t>
  </si>
  <si>
    <t>Arrendamentos e parcerias a pagar - pagamentos</t>
  </si>
  <si>
    <t>Liquidação de instrumentos financeiros derivativos</t>
  </si>
  <si>
    <t>Juros sobre capital próprio pagos</t>
  </si>
  <si>
    <t>Dividendos pagos</t>
  </si>
  <si>
    <t>Caixa aplicado nas atividades de financiamentos</t>
  </si>
  <si>
    <t>Aumento (redução) de caixa e equivalentes de caixa, líquido</t>
  </si>
  <si>
    <t>Caixa e equivalentes de caixa no início do período</t>
  </si>
  <si>
    <t>Caixa e equivalentes de caixa no fim do período</t>
  </si>
  <si>
    <t>Outros</t>
  </si>
  <si>
    <t>Recompra de ações</t>
  </si>
  <si>
    <t xml:space="preserve">Consumo de matéria-prima e insumos </t>
  </si>
  <si>
    <t>Salários, encargos e benefícios</t>
  </si>
  <si>
    <t>Material de uso e consumo</t>
  </si>
  <si>
    <t>Serviços de terceiros</t>
  </si>
  <si>
    <t>Fretes sobre vendas</t>
  </si>
  <si>
    <t>Depreciação e amortização</t>
  </si>
  <si>
    <t>Depreciação de canaviais</t>
  </si>
  <si>
    <t>Depreciação direito de uso</t>
  </si>
  <si>
    <t>Amortização de gastos de entressafra</t>
  </si>
  <si>
    <t>Compra de etanol (revenda)</t>
  </si>
  <si>
    <t>Compra de energia (revenda)</t>
  </si>
  <si>
    <t>Custos de venda CBIOS</t>
  </si>
  <si>
    <t>Outras despesas, líquidas</t>
  </si>
  <si>
    <t>Classificados como:</t>
  </si>
  <si>
    <t>Métrica</t>
  </si>
  <si>
    <t>Capex</t>
  </si>
  <si>
    <t>1T22</t>
  </si>
  <si>
    <t>6M22</t>
  </si>
  <si>
    <t>1T21</t>
  </si>
  <si>
    <t>6M21</t>
  </si>
  <si>
    <t>Imposto de renda e contribuição social a recuperar</t>
  </si>
  <si>
    <t>Imposto de renda e contribuição social a recolher</t>
  </si>
  <si>
    <t>Imposto de renda e contriuição social a recuperar</t>
  </si>
  <si>
    <t>9M22</t>
  </si>
  <si>
    <t>9M21</t>
  </si>
  <si>
    <t>Custos e Despesas</t>
  </si>
  <si>
    <t>Receita líquida</t>
  </si>
  <si>
    <t>Vapor e energia para Neomille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</si>
</sst>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%_);\(#,##0.0%\)"/>
    <numFmt numFmtId="165" formatCode="##,##0\p\.\p\._);\(##,##0\p\.\p\.\)"/>
    <numFmt numFmtId="166" formatCode="#,##0.0"/>
    <numFmt numFmtId="167" formatCode="0.0%"/>
    <numFmt numFmtId="168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42AAAC"/>
      <name val="Leelawadee UI"/>
      <family val="2"/>
    </font>
    <font>
      <b/>
      <i/>
      <sz val="11"/>
      <color rgb="FF42AAAC"/>
      <name val="Leelawadee UI"/>
      <family val="2"/>
    </font>
    <font>
      <b/>
      <sz val="10"/>
      <color theme="1"/>
      <name val="Leelawadee UI"/>
      <family val="2"/>
    </font>
    <font>
      <sz val="10"/>
      <color theme="1"/>
      <name val="Leelawadee UI"/>
      <family val="2"/>
    </font>
    <font>
      <i/>
      <sz val="10"/>
      <color theme="1"/>
      <name val="Leelawadee UI"/>
      <family val="2"/>
    </font>
    <font>
      <b/>
      <sz val="11"/>
      <color theme="1"/>
      <name val="Calibri"/>
      <family val="2"/>
      <scheme val="minor"/>
    </font>
    <font>
      <b/>
      <i/>
      <sz val="10"/>
      <color theme="1"/>
      <name val="Leelawadee UI"/>
      <family val="2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Leelawadee UI"/>
      <family val="2"/>
    </font>
    <font>
      <i/>
      <sz val="10"/>
      <color theme="0"/>
      <name val="Leelawadee UI"/>
      <family val="2"/>
    </font>
    <font>
      <b/>
      <i/>
      <sz val="10"/>
      <color theme="0"/>
      <name val="Leelawadee U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rgb="FF6C7A8E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rgb="FF6C7A8E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4" fillId="0" borderId="3" xfId="0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9" fontId="5" fillId="0" borderId="4" xfId="1" applyFont="1" applyBorder="1"/>
    <xf numFmtId="0" fontId="5" fillId="0" borderId="4" xfId="0" applyFont="1" applyBorder="1"/>
    <xf numFmtId="0" fontId="0" fillId="0" borderId="4" xfId="0" applyBorder="1"/>
    <xf numFmtId="166" fontId="5" fillId="0" borderId="4" xfId="0" applyNumberFormat="1" applyFont="1" applyBorder="1"/>
    <xf numFmtId="3" fontId="4" fillId="0" borderId="4" xfId="0" applyNumberFormat="1" applyFont="1" applyBorder="1"/>
    <xf numFmtId="3" fontId="7" fillId="0" borderId="4" xfId="0" applyNumberFormat="1" applyFont="1" applyBorder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/>
    </xf>
    <xf numFmtId="167" fontId="6" fillId="0" borderId="4" xfId="1" applyNumberFormat="1" applyFont="1" applyBorder="1" applyAlignment="1">
      <alignment horizontal="right"/>
    </xf>
    <xf numFmtId="167" fontId="8" fillId="0" borderId="4" xfId="1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166" fontId="5" fillId="0" borderId="4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3" xfId="0" applyFont="1" applyBorder="1"/>
    <xf numFmtId="3" fontId="0" fillId="0" borderId="4" xfId="0" applyNumberFormat="1" applyFont="1" applyBorder="1"/>
    <xf numFmtId="167" fontId="5" fillId="0" borderId="4" xfId="1" applyNumberFormat="1" applyFont="1" applyBorder="1"/>
    <xf numFmtId="0" fontId="2" fillId="0" borderId="5" xfId="0" applyFont="1" applyBorder="1" applyAlignment="1">
      <alignment vertical="center"/>
    </xf>
    <xf numFmtId="0" fontId="0" fillId="0" borderId="0" xfId="0" applyFont="1"/>
    <xf numFmtId="0" fontId="7" fillId="0" borderId="0" xfId="0" applyFont="1"/>
    <xf numFmtId="164" fontId="6" fillId="0" borderId="4" xfId="1" applyNumberFormat="1" applyFont="1" applyBorder="1"/>
    <xf numFmtId="165" fontId="6" fillId="0" borderId="4" xfId="0" applyNumberFormat="1" applyFont="1" applyBorder="1"/>
    <xf numFmtId="164" fontId="6" fillId="0" borderId="3" xfId="1" applyNumberFormat="1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5" fillId="0" borderId="4" xfId="0" applyFont="1" applyBorder="1" applyAlignment="1">
      <alignment horizontal="left" indent="1"/>
    </xf>
    <xf numFmtId="0" fontId="4" fillId="0" borderId="4" xfId="0" applyFont="1" applyFill="1" applyBorder="1"/>
    <xf numFmtId="0" fontId="4" fillId="0" borderId="4" xfId="0" applyFont="1" applyBorder="1"/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4" xfId="0" applyFont="1" applyBorder="1" applyAlignment="1">
      <alignment horizontal="left" indent="1"/>
    </xf>
    <xf numFmtId="0" fontId="5" fillId="0" borderId="4" xfId="0" applyFont="1" applyFill="1" applyBorder="1" applyAlignment="1">
      <alignment horizontal="left" indent="1"/>
    </xf>
    <xf numFmtId="0" fontId="5" fillId="0" borderId="8" xfId="0" applyFont="1" applyBorder="1" applyAlignment="1">
      <alignment horizontal="left" indent="1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Fill="1" applyBorder="1"/>
    <xf numFmtId="0" fontId="5" fillId="0" borderId="7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Border="1" applyAlignment="1">
      <alignment horizontal="left" inden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4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indent="1"/>
    </xf>
    <xf numFmtId="0" fontId="6" fillId="0" borderId="4" xfId="0" applyFont="1" applyBorder="1" applyAlignment="1">
      <alignment horizontal="center"/>
    </xf>
    <xf numFmtId="0" fontId="9" fillId="0" borderId="0" xfId="0" applyFont="1"/>
    <xf numFmtId="0" fontId="4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 indent="2"/>
    </xf>
    <xf numFmtId="0" fontId="2" fillId="0" borderId="5" xfId="0" applyFont="1" applyBorder="1" applyAlignment="1">
      <alignment vertical="center" wrapText="1"/>
    </xf>
    <xf numFmtId="0" fontId="4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0" fillId="0" borderId="0" xfId="0" applyAlignment="1">
      <alignment wrapText="1"/>
    </xf>
    <xf numFmtId="0" fontId="5" fillId="0" borderId="4" xfId="0" applyFont="1" applyBorder="1" applyAlignment="1">
      <alignment horizontal="left" wrapText="1" indent="1"/>
    </xf>
    <xf numFmtId="0" fontId="5" fillId="0" borderId="4" xfId="0" applyFont="1" applyBorder="1" applyAlignment="1">
      <alignment horizontal="left" wrapText="1" indent="2"/>
    </xf>
    <xf numFmtId="0" fontId="4" fillId="0" borderId="4" xfId="0" applyFont="1" applyBorder="1" applyAlignment="1">
      <alignment horizontal="left" wrapText="1"/>
    </xf>
    <xf numFmtId="3" fontId="5" fillId="0" borderId="8" xfId="0" applyNumberFormat="1" applyFont="1" applyBorder="1"/>
    <xf numFmtId="0" fontId="2" fillId="0" borderId="5" xfId="0" applyFont="1" applyBorder="1" applyAlignment="1">
      <alignment horizontal="center" vertical="center" wrapText="1"/>
    </xf>
    <xf numFmtId="167" fontId="6" fillId="0" borderId="8" xfId="1" applyNumberFormat="1" applyFont="1" applyBorder="1" applyAlignment="1">
      <alignment horizontal="right"/>
    </xf>
    <xf numFmtId="0" fontId="2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 indent="1"/>
    </xf>
    <xf numFmtId="3" fontId="4" fillId="0" borderId="6" xfId="0" applyNumberFormat="1" applyFont="1" applyBorder="1"/>
    <xf numFmtId="3" fontId="7" fillId="0" borderId="0" xfId="0" applyNumberFormat="1" applyFont="1"/>
    <xf numFmtId="3" fontId="5" fillId="0" borderId="4" xfId="0" applyNumberFormat="1" applyFont="1" applyFill="1" applyBorder="1"/>
    <xf numFmtId="3" fontId="4" fillId="0" borderId="4" xfId="0" applyNumberFormat="1" applyFont="1" applyFill="1" applyBorder="1"/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3" fontId="11" fillId="0" borderId="4" xfId="0" applyNumberFormat="1" applyFont="1" applyBorder="1"/>
    <xf numFmtId="0" fontId="10" fillId="0" borderId="0" xfId="0" applyFont="1"/>
    <xf numFmtId="167" fontId="12" fillId="0" borderId="4" xfId="1" applyNumberFormat="1" applyFont="1" applyBorder="1" applyAlignment="1">
      <alignment horizontal="right"/>
    </xf>
    <xf numFmtId="167" fontId="13" fillId="0" borderId="4" xfId="1" applyNumberFormat="1" applyFont="1" applyBorder="1" applyAlignment="1">
      <alignment horizontal="right"/>
    </xf>
    <xf numFmtId="3" fontId="0" fillId="0" borderId="0" xfId="0" applyNumberFormat="1"/>
    <xf numFmtId="9" fontId="6" fillId="0" borderId="4" xfId="1" applyFont="1" applyBorder="1"/>
    <xf numFmtId="4" fontId="4" fillId="0" borderId="4" xfId="0" applyNumberFormat="1" applyFont="1" applyBorder="1"/>
    <xf numFmtId="167" fontId="4" fillId="0" borderId="4" xfId="1" applyNumberFormat="1" applyFont="1" applyBorder="1"/>
    <xf numFmtId="4" fontId="7" fillId="0" borderId="0" xfId="0" applyNumberFormat="1" applyFont="1"/>
    <xf numFmtId="168" fontId="0" fillId="0" borderId="0" xfId="0" applyNumberFormat="1"/>
    <xf numFmtId="166" fontId="5" fillId="0" borderId="4" xfId="0" applyNumberFormat="1" applyFont="1" applyFill="1" applyBorder="1"/>
    <xf numFmtId="0" fontId="5" fillId="0" borderId="0" xfId="0" applyFont="1" applyBorder="1" applyAlignment="1">
      <alignment horizontal="center"/>
    </xf>
    <xf numFmtId="166" fontId="5" fillId="0" borderId="0" xfId="0" applyNumberFormat="1" applyFont="1" applyBorder="1"/>
    <xf numFmtId="166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0" fontId="0" fillId="0" borderId="0" xfId="0" applyBorder="1"/>
    <xf numFmtId="0" fontId="4" fillId="0" borderId="4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/>
    </xf>
    <xf numFmtId="0" fontId="0" fillId="0" borderId="0" xfId="0" applyFill="1"/>
    <xf numFmtId="0" fontId="5" fillId="0" borderId="8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164" fontId="8" fillId="0" borderId="3" xfId="1" applyNumberFormat="1" applyFont="1" applyFill="1" applyBorder="1"/>
    <xf numFmtId="0" fontId="5" fillId="0" borderId="8" xfId="0" applyFont="1" applyBorder="1" applyAlignment="1">
      <alignment horizontal="left" wrapText="1"/>
    </xf>
    <xf numFmtId="0" fontId="5" fillId="0" borderId="5" xfId="0" applyFont="1" applyBorder="1" applyAlignment="1">
      <alignment horizontal="center"/>
    </xf>
    <xf numFmtId="3" fontId="5" fillId="0" borderId="5" xfId="0" applyNumberFormat="1" applyFont="1" applyBorder="1"/>
    <xf numFmtId="0" fontId="2" fillId="0" borderId="2" xfId="0" applyFont="1" applyBorder="1" applyAlignment="1">
      <alignment vertical="center" wrapText="1"/>
    </xf>
    <xf numFmtId="0" fontId="5" fillId="0" borderId="9" xfId="0" applyFont="1" applyBorder="1" applyAlignment="1">
      <alignment horizontal="left" wrapText="1"/>
    </xf>
    <xf numFmtId="0" fontId="5" fillId="0" borderId="9" xfId="0" applyFont="1" applyBorder="1" applyAlignment="1">
      <alignment horizontal="center"/>
    </xf>
    <xf numFmtId="3" fontId="5" fillId="0" borderId="9" xfId="0" applyNumberFormat="1" applyFont="1" applyBorder="1"/>
    <xf numFmtId="167" fontId="6" fillId="0" borderId="9" xfId="1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 wrapText="1"/>
    </xf>
    <xf numFmtId="164" fontId="8" fillId="0" borderId="4" xfId="1" applyNumberFormat="1" applyFont="1" applyFill="1" applyBorder="1"/>
    <xf numFmtId="14" fontId="2" fillId="0" borderId="5" xfId="0" quotePrefix="1" applyNumberFormat="1" applyFont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42A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FLUXO DE CAIXA'!A1"/><Relationship Id="rId3" Type="http://schemas.openxmlformats.org/officeDocument/2006/relationships/hyperlink" Target="#COMERCIAL!A1"/><Relationship Id="rId7" Type="http://schemas.openxmlformats.org/officeDocument/2006/relationships/hyperlink" Target="#'BALAN&#199;O PATRIMONIAL'!A1"/><Relationship Id="rId2" Type="http://schemas.openxmlformats.org/officeDocument/2006/relationships/hyperlink" Target="#OPERACIONAL!A1"/><Relationship Id="rId1" Type="http://schemas.openxmlformats.org/officeDocument/2006/relationships/image" Target="../media/image1.jpeg"/><Relationship Id="rId6" Type="http://schemas.openxmlformats.org/officeDocument/2006/relationships/hyperlink" Target="#'DEMONSTRA&#199;&#195;O DE RESULTADOS'!A1"/><Relationship Id="rId5" Type="http://schemas.openxmlformats.org/officeDocument/2006/relationships/hyperlink" Target="#ENDIVIDAMENTO!A1"/><Relationship Id="rId4" Type="http://schemas.openxmlformats.org/officeDocument/2006/relationships/hyperlink" Target="#CUSTOS!A1"/><Relationship Id="rId9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CAP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CAP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CAPA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CAPA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CAP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0</xdr:colOff>
      <xdr:row>37</xdr:row>
      <xdr:rowOff>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F6652228-4524-4F65-9CB7-955FA0D23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0" cy="6766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392430</xdr:colOff>
      <xdr:row>3</xdr:row>
      <xdr:rowOff>83820</xdr:rowOff>
    </xdr:from>
    <xdr:to>
      <xdr:col>19</xdr:col>
      <xdr:colOff>529590</xdr:colOff>
      <xdr:row>6</xdr:row>
      <xdr:rowOff>60960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FB47CD2-78C9-41F6-9454-DE8740977D27}"/>
            </a:ext>
          </a:extLst>
        </xdr:cNvPr>
        <xdr:cNvSpPr/>
      </xdr:nvSpPr>
      <xdr:spPr>
        <a:xfrm>
          <a:off x="7098030" y="632460"/>
          <a:ext cx="5013960" cy="525780"/>
        </a:xfrm>
        <a:prstGeom prst="roundRect">
          <a:avLst/>
        </a:prstGeom>
        <a:solidFill>
          <a:srgbClr val="42AAAC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500">
              <a:solidFill>
                <a:schemeClr val="bg1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Dados operacionais</a:t>
          </a:r>
        </a:p>
      </xdr:txBody>
    </xdr:sp>
    <xdr:clientData/>
  </xdr:twoCellAnchor>
  <xdr:twoCellAnchor>
    <xdr:from>
      <xdr:col>11</xdr:col>
      <xdr:colOff>392430</xdr:colOff>
      <xdr:row>7</xdr:row>
      <xdr:rowOff>71120</xdr:rowOff>
    </xdr:from>
    <xdr:to>
      <xdr:col>19</xdr:col>
      <xdr:colOff>529590</xdr:colOff>
      <xdr:row>10</xdr:row>
      <xdr:rowOff>48260</xdr:rowOff>
    </xdr:to>
    <xdr:sp macro="" textlink="">
      <xdr:nvSpPr>
        <xdr:cNvPr id="6" name="Retângulo: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C283F2B-DD93-4965-AC49-E2FE8FDDF532}"/>
            </a:ext>
          </a:extLst>
        </xdr:cNvPr>
        <xdr:cNvSpPr/>
      </xdr:nvSpPr>
      <xdr:spPr>
        <a:xfrm>
          <a:off x="7098030" y="1351280"/>
          <a:ext cx="5013960" cy="525780"/>
        </a:xfrm>
        <a:prstGeom prst="roundRect">
          <a:avLst/>
        </a:prstGeom>
        <a:solidFill>
          <a:srgbClr val="42AAAC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500">
              <a:solidFill>
                <a:schemeClr val="bg1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Comercial</a:t>
          </a:r>
        </a:p>
      </xdr:txBody>
    </xdr:sp>
    <xdr:clientData/>
  </xdr:twoCellAnchor>
  <xdr:twoCellAnchor>
    <xdr:from>
      <xdr:col>11</xdr:col>
      <xdr:colOff>392430</xdr:colOff>
      <xdr:row>11</xdr:row>
      <xdr:rowOff>58420</xdr:rowOff>
    </xdr:from>
    <xdr:to>
      <xdr:col>19</xdr:col>
      <xdr:colOff>529590</xdr:colOff>
      <xdr:row>14</xdr:row>
      <xdr:rowOff>35560</xdr:rowOff>
    </xdr:to>
    <xdr:sp macro="" textlink="">
      <xdr:nvSpPr>
        <xdr:cNvPr id="7" name="Retângulo: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93B6F47-20A2-4660-83ED-D94266D425B8}"/>
            </a:ext>
          </a:extLst>
        </xdr:cNvPr>
        <xdr:cNvSpPr/>
      </xdr:nvSpPr>
      <xdr:spPr>
        <a:xfrm>
          <a:off x="7098030" y="2070100"/>
          <a:ext cx="5013960" cy="525780"/>
        </a:xfrm>
        <a:prstGeom prst="roundRect">
          <a:avLst/>
        </a:prstGeom>
        <a:solidFill>
          <a:srgbClr val="42AAAC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500">
              <a:solidFill>
                <a:schemeClr val="bg1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Custos</a:t>
          </a:r>
        </a:p>
      </xdr:txBody>
    </xdr:sp>
    <xdr:clientData/>
  </xdr:twoCellAnchor>
  <xdr:twoCellAnchor>
    <xdr:from>
      <xdr:col>11</xdr:col>
      <xdr:colOff>392430</xdr:colOff>
      <xdr:row>15</xdr:row>
      <xdr:rowOff>45720</xdr:rowOff>
    </xdr:from>
    <xdr:to>
      <xdr:col>19</xdr:col>
      <xdr:colOff>529590</xdr:colOff>
      <xdr:row>18</xdr:row>
      <xdr:rowOff>22860</xdr:rowOff>
    </xdr:to>
    <xdr:sp macro="" textlink="">
      <xdr:nvSpPr>
        <xdr:cNvPr id="8" name="Retângulo: Cantos Arredondado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78B5CB0-C636-4546-890D-BCF674A3F39E}"/>
            </a:ext>
          </a:extLst>
        </xdr:cNvPr>
        <xdr:cNvSpPr/>
      </xdr:nvSpPr>
      <xdr:spPr>
        <a:xfrm>
          <a:off x="7098030" y="2788920"/>
          <a:ext cx="5013960" cy="525780"/>
        </a:xfrm>
        <a:prstGeom prst="roundRect">
          <a:avLst/>
        </a:prstGeom>
        <a:solidFill>
          <a:srgbClr val="42AAAC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500">
              <a:solidFill>
                <a:schemeClr val="bg1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Endividamento</a:t>
          </a:r>
        </a:p>
      </xdr:txBody>
    </xdr:sp>
    <xdr:clientData/>
  </xdr:twoCellAnchor>
  <xdr:twoCellAnchor>
    <xdr:from>
      <xdr:col>11</xdr:col>
      <xdr:colOff>392430</xdr:colOff>
      <xdr:row>19</xdr:row>
      <xdr:rowOff>33020</xdr:rowOff>
    </xdr:from>
    <xdr:to>
      <xdr:col>19</xdr:col>
      <xdr:colOff>529590</xdr:colOff>
      <xdr:row>22</xdr:row>
      <xdr:rowOff>10160</xdr:rowOff>
    </xdr:to>
    <xdr:sp macro="" textlink="">
      <xdr:nvSpPr>
        <xdr:cNvPr id="9" name="Retângulo: Cantos Arredondado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78E0351-B0BC-4A3F-ACA2-687781A058A4}"/>
            </a:ext>
          </a:extLst>
        </xdr:cNvPr>
        <xdr:cNvSpPr/>
      </xdr:nvSpPr>
      <xdr:spPr>
        <a:xfrm>
          <a:off x="7098030" y="3507740"/>
          <a:ext cx="5013960" cy="525780"/>
        </a:xfrm>
        <a:prstGeom prst="roundRect">
          <a:avLst/>
        </a:prstGeom>
        <a:solidFill>
          <a:srgbClr val="42AAAC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500">
              <a:solidFill>
                <a:schemeClr val="bg1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Demonstração</a:t>
          </a:r>
          <a:r>
            <a:rPr lang="pt-BR" sz="2500" baseline="0">
              <a:solidFill>
                <a:schemeClr val="bg1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 de resultados</a:t>
          </a:r>
          <a:endParaRPr lang="pt-BR" sz="2500">
            <a:solidFill>
              <a:schemeClr val="bg1"/>
            </a:solidFill>
            <a:latin typeface="Leelawadee" panose="020B0502040204020203" pitchFamily="34" charset="-34"/>
            <a:cs typeface="Leelawadee" panose="020B0502040204020203" pitchFamily="34" charset="-34"/>
          </a:endParaRPr>
        </a:p>
      </xdr:txBody>
    </xdr:sp>
    <xdr:clientData/>
  </xdr:twoCellAnchor>
  <xdr:twoCellAnchor>
    <xdr:from>
      <xdr:col>11</xdr:col>
      <xdr:colOff>392430</xdr:colOff>
      <xdr:row>23</xdr:row>
      <xdr:rowOff>20320</xdr:rowOff>
    </xdr:from>
    <xdr:to>
      <xdr:col>19</xdr:col>
      <xdr:colOff>529590</xdr:colOff>
      <xdr:row>25</xdr:row>
      <xdr:rowOff>180340</xdr:rowOff>
    </xdr:to>
    <xdr:sp macro="" textlink="">
      <xdr:nvSpPr>
        <xdr:cNvPr id="10" name="Retângulo: Cantos Arredondado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3E3718E-AE0F-4396-A74F-39C60E5C3C4F}"/>
            </a:ext>
          </a:extLst>
        </xdr:cNvPr>
        <xdr:cNvSpPr/>
      </xdr:nvSpPr>
      <xdr:spPr>
        <a:xfrm>
          <a:off x="7098030" y="4226560"/>
          <a:ext cx="5013960" cy="525780"/>
        </a:xfrm>
        <a:prstGeom prst="roundRect">
          <a:avLst/>
        </a:prstGeom>
        <a:solidFill>
          <a:srgbClr val="42AAAC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500">
              <a:solidFill>
                <a:schemeClr val="bg1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Balanço patrimonial</a:t>
          </a:r>
        </a:p>
      </xdr:txBody>
    </xdr:sp>
    <xdr:clientData/>
  </xdr:twoCellAnchor>
  <xdr:twoCellAnchor>
    <xdr:from>
      <xdr:col>11</xdr:col>
      <xdr:colOff>392430</xdr:colOff>
      <xdr:row>27</xdr:row>
      <xdr:rowOff>7620</xdr:rowOff>
    </xdr:from>
    <xdr:to>
      <xdr:col>19</xdr:col>
      <xdr:colOff>529590</xdr:colOff>
      <xdr:row>29</xdr:row>
      <xdr:rowOff>167640</xdr:rowOff>
    </xdr:to>
    <xdr:sp macro="" textlink="">
      <xdr:nvSpPr>
        <xdr:cNvPr id="11" name="Retângulo: Cantos Arredondados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17C8CB7-F600-4232-A0BB-EBC992C39DBA}"/>
            </a:ext>
          </a:extLst>
        </xdr:cNvPr>
        <xdr:cNvSpPr/>
      </xdr:nvSpPr>
      <xdr:spPr>
        <a:xfrm>
          <a:off x="7098030" y="4945380"/>
          <a:ext cx="5013960" cy="525780"/>
        </a:xfrm>
        <a:prstGeom prst="roundRect">
          <a:avLst/>
        </a:prstGeom>
        <a:solidFill>
          <a:srgbClr val="42AAAC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500">
              <a:solidFill>
                <a:schemeClr val="bg1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Fluxo de caixa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22860</xdr:colOff>
      <xdr:row>23</xdr:row>
      <xdr:rowOff>144780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531EED62-3A6F-48AF-9F1A-32601A278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18860" cy="435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409014</xdr:colOff>
      <xdr:row>0</xdr:row>
      <xdr:rowOff>44822</xdr:rowOff>
    </xdr:from>
    <xdr:to>
      <xdr:col>14</xdr:col>
      <xdr:colOff>49314</xdr:colOff>
      <xdr:row>0</xdr:row>
      <xdr:rowOff>570602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9CAA94-648F-4960-8E38-C4D9E0BEA4BE}"/>
            </a:ext>
          </a:extLst>
        </xdr:cNvPr>
        <xdr:cNvSpPr/>
      </xdr:nvSpPr>
      <xdr:spPr>
        <a:xfrm>
          <a:off x="13543989" y="44822"/>
          <a:ext cx="4860000" cy="525780"/>
        </a:xfrm>
        <a:prstGeom prst="roundRect">
          <a:avLst/>
        </a:prstGeom>
        <a:solidFill>
          <a:srgbClr val="42AAAC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>
              <a:solidFill>
                <a:schemeClr val="bg1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Capa</a:t>
          </a:r>
        </a:p>
      </xdr:txBody>
    </xdr:sp>
    <xdr:clientData/>
  </xdr:twoCellAnchor>
  <xdr:twoCellAnchor editAs="oneCell">
    <xdr:from>
      <xdr:col>0</xdr:col>
      <xdr:colOff>50176</xdr:colOff>
      <xdr:row>0</xdr:row>
      <xdr:rowOff>45720</xdr:rowOff>
    </xdr:from>
    <xdr:to>
      <xdr:col>0</xdr:col>
      <xdr:colOff>1775459</xdr:colOff>
      <xdr:row>3</xdr:row>
      <xdr:rowOff>91440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19AA710-73E6-42AB-9195-0FA2A8E09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76" y="45720"/>
          <a:ext cx="1725283" cy="1226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348343</xdr:colOff>
      <xdr:row>0</xdr:row>
      <xdr:rowOff>0</xdr:rowOff>
    </xdr:from>
    <xdr:to>
      <xdr:col>13</xdr:col>
      <xdr:colOff>1293568</xdr:colOff>
      <xdr:row>0</xdr:row>
      <xdr:rowOff>525780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8261AD-6E6E-4E82-ACA4-6D1D5C344817}"/>
            </a:ext>
          </a:extLst>
        </xdr:cNvPr>
        <xdr:cNvSpPr/>
      </xdr:nvSpPr>
      <xdr:spPr>
        <a:xfrm>
          <a:off x="13407118" y="0"/>
          <a:ext cx="4860000" cy="525780"/>
        </a:xfrm>
        <a:prstGeom prst="roundRect">
          <a:avLst/>
        </a:prstGeom>
        <a:solidFill>
          <a:srgbClr val="42AAAC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>
              <a:solidFill>
                <a:schemeClr val="bg1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Capa</a:t>
          </a:r>
        </a:p>
      </xdr:txBody>
    </xdr:sp>
    <xdr:clientData/>
  </xdr:twoCellAnchor>
  <xdr:twoCellAnchor editAs="oneCell">
    <xdr:from>
      <xdr:col>0</xdr:col>
      <xdr:colOff>53340</xdr:colOff>
      <xdr:row>0</xdr:row>
      <xdr:rowOff>22860</xdr:rowOff>
    </xdr:from>
    <xdr:to>
      <xdr:col>0</xdr:col>
      <xdr:colOff>1778623</xdr:colOff>
      <xdr:row>3</xdr:row>
      <xdr:rowOff>68580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E68D2D7-0846-4CDD-9CE0-C50DAA1AA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22860"/>
          <a:ext cx="1725283" cy="1226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340995</xdr:colOff>
      <xdr:row>0</xdr:row>
      <xdr:rowOff>30480</xdr:rowOff>
    </xdr:from>
    <xdr:to>
      <xdr:col>13</xdr:col>
      <xdr:colOff>1286220</xdr:colOff>
      <xdr:row>0</xdr:row>
      <xdr:rowOff>556260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43D966-9E51-40DD-ACB3-10B74F1722C3}"/>
            </a:ext>
          </a:extLst>
        </xdr:cNvPr>
        <xdr:cNvSpPr/>
      </xdr:nvSpPr>
      <xdr:spPr>
        <a:xfrm>
          <a:off x="13199745" y="30480"/>
          <a:ext cx="4860000" cy="525780"/>
        </a:xfrm>
        <a:prstGeom prst="roundRect">
          <a:avLst/>
        </a:prstGeom>
        <a:solidFill>
          <a:srgbClr val="42AAAC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>
              <a:solidFill>
                <a:schemeClr val="bg1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Capa</a:t>
          </a:r>
        </a:p>
      </xdr:txBody>
    </xdr:sp>
    <xdr:clientData/>
  </xdr:twoCellAnchor>
  <xdr:twoCellAnchor editAs="oneCell">
    <xdr:from>
      <xdr:col>0</xdr:col>
      <xdr:colOff>38100</xdr:colOff>
      <xdr:row>0</xdr:row>
      <xdr:rowOff>15240</xdr:rowOff>
    </xdr:from>
    <xdr:to>
      <xdr:col>0</xdr:col>
      <xdr:colOff>1763383</xdr:colOff>
      <xdr:row>3</xdr:row>
      <xdr:rowOff>60960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1A36074-D055-4FA9-A413-63DD79F56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5240"/>
          <a:ext cx="1725283" cy="1226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32385</xdr:rowOff>
    </xdr:from>
    <xdr:to>
      <xdr:col>14</xdr:col>
      <xdr:colOff>21300</xdr:colOff>
      <xdr:row>0</xdr:row>
      <xdr:rowOff>558165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FE4290-566C-4E20-837D-5A773B11E5BE}"/>
            </a:ext>
          </a:extLst>
        </xdr:cNvPr>
        <xdr:cNvSpPr/>
      </xdr:nvSpPr>
      <xdr:spPr>
        <a:xfrm>
          <a:off x="13239750" y="32385"/>
          <a:ext cx="4860000" cy="525780"/>
        </a:xfrm>
        <a:prstGeom prst="roundRect">
          <a:avLst/>
        </a:prstGeom>
        <a:solidFill>
          <a:srgbClr val="42AAAC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>
              <a:solidFill>
                <a:schemeClr val="bg1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Capa</a:t>
          </a:r>
        </a:p>
      </xdr:txBody>
    </xdr:sp>
    <xdr:clientData/>
  </xdr:twoCellAnchor>
  <xdr:twoCellAnchor editAs="oneCell">
    <xdr:from>
      <xdr:col>0</xdr:col>
      <xdr:colOff>106680</xdr:colOff>
      <xdr:row>0</xdr:row>
      <xdr:rowOff>45720</xdr:rowOff>
    </xdr:from>
    <xdr:to>
      <xdr:col>0</xdr:col>
      <xdr:colOff>1831963</xdr:colOff>
      <xdr:row>3</xdr:row>
      <xdr:rowOff>91440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D58DC08-901E-4011-90DB-26DB4F2A0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45720"/>
          <a:ext cx="1725283" cy="1226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380999</xdr:colOff>
      <xdr:row>0</xdr:row>
      <xdr:rowOff>0</xdr:rowOff>
    </xdr:from>
    <xdr:to>
      <xdr:col>11</xdr:col>
      <xdr:colOff>21299</xdr:colOff>
      <xdr:row>0</xdr:row>
      <xdr:rowOff>525780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E8F130-86CA-4C88-BA0A-E0ED0E2427F9}"/>
            </a:ext>
          </a:extLst>
        </xdr:cNvPr>
        <xdr:cNvSpPr/>
      </xdr:nvSpPr>
      <xdr:spPr>
        <a:xfrm>
          <a:off x="9248774" y="0"/>
          <a:ext cx="4860000" cy="525780"/>
        </a:xfrm>
        <a:prstGeom prst="roundRect">
          <a:avLst/>
        </a:prstGeom>
        <a:solidFill>
          <a:srgbClr val="42AAAC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>
              <a:solidFill>
                <a:schemeClr val="bg1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Capa</a:t>
          </a:r>
        </a:p>
      </xdr:txBody>
    </xdr:sp>
    <xdr:clientData/>
  </xdr:twoCellAnchor>
  <xdr:twoCellAnchor editAs="oneCell">
    <xdr:from>
      <xdr:col>0</xdr:col>
      <xdr:colOff>121920</xdr:colOff>
      <xdr:row>0</xdr:row>
      <xdr:rowOff>76200</xdr:rowOff>
    </xdr:from>
    <xdr:to>
      <xdr:col>0</xdr:col>
      <xdr:colOff>1847203</xdr:colOff>
      <xdr:row>3</xdr:row>
      <xdr:rowOff>121920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0011B74-EC92-42F7-B925-4EFDD2915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76200"/>
          <a:ext cx="1725283" cy="1226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350520</xdr:colOff>
      <xdr:row>0</xdr:row>
      <xdr:rowOff>13335</xdr:rowOff>
    </xdr:from>
    <xdr:to>
      <xdr:col>13</xdr:col>
      <xdr:colOff>1295745</xdr:colOff>
      <xdr:row>0</xdr:row>
      <xdr:rowOff>539115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0BD1BB-43DC-471A-B799-C76CF2677425}"/>
            </a:ext>
          </a:extLst>
        </xdr:cNvPr>
        <xdr:cNvSpPr/>
      </xdr:nvSpPr>
      <xdr:spPr>
        <a:xfrm>
          <a:off x="13133070" y="13335"/>
          <a:ext cx="4860000" cy="525780"/>
        </a:xfrm>
        <a:prstGeom prst="roundRect">
          <a:avLst/>
        </a:prstGeom>
        <a:solidFill>
          <a:srgbClr val="42AAAC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>
              <a:solidFill>
                <a:schemeClr val="bg1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Capa</a:t>
          </a:r>
        </a:p>
      </xdr:txBody>
    </xdr:sp>
    <xdr:clientData/>
  </xdr:twoCellAnchor>
  <xdr:twoCellAnchor editAs="oneCell">
    <xdr:from>
      <xdr:col>0</xdr:col>
      <xdr:colOff>114300</xdr:colOff>
      <xdr:row>0</xdr:row>
      <xdr:rowOff>76200</xdr:rowOff>
    </xdr:from>
    <xdr:to>
      <xdr:col>0</xdr:col>
      <xdr:colOff>1839583</xdr:colOff>
      <xdr:row>3</xdr:row>
      <xdr:rowOff>121920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E1E4E1-34EC-45CB-9B13-D37BD3ECC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725283" cy="1226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390524</xdr:colOff>
      <xdr:row>0</xdr:row>
      <xdr:rowOff>13335</xdr:rowOff>
    </xdr:from>
    <xdr:to>
      <xdr:col>11</xdr:col>
      <xdr:colOff>30824</xdr:colOff>
      <xdr:row>0</xdr:row>
      <xdr:rowOff>539115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8EC6ED-50E1-40A1-B173-C76ABCC4A3EC}"/>
            </a:ext>
          </a:extLst>
        </xdr:cNvPr>
        <xdr:cNvSpPr/>
      </xdr:nvSpPr>
      <xdr:spPr>
        <a:xfrm>
          <a:off x="9258299" y="13335"/>
          <a:ext cx="4860000" cy="525780"/>
        </a:xfrm>
        <a:prstGeom prst="roundRect">
          <a:avLst/>
        </a:prstGeom>
        <a:solidFill>
          <a:srgbClr val="42AAAC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>
              <a:solidFill>
                <a:schemeClr val="bg1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Capa</a:t>
          </a:r>
        </a:p>
      </xdr:txBody>
    </xdr:sp>
    <xdr:clientData/>
  </xdr:twoCellAnchor>
  <xdr:twoCellAnchor editAs="oneCell">
    <xdr:from>
      <xdr:col>0</xdr:col>
      <xdr:colOff>121920</xdr:colOff>
      <xdr:row>0</xdr:row>
      <xdr:rowOff>83820</xdr:rowOff>
    </xdr:from>
    <xdr:to>
      <xdr:col>0</xdr:col>
      <xdr:colOff>1847203</xdr:colOff>
      <xdr:row>3</xdr:row>
      <xdr:rowOff>129540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1ED0D62-6B40-44A6-90A4-7D83C1E36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83820"/>
          <a:ext cx="1725283" cy="1226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409575</xdr:colOff>
      <xdr:row>0</xdr:row>
      <xdr:rowOff>19050</xdr:rowOff>
    </xdr:from>
    <xdr:to>
      <xdr:col>14</xdr:col>
      <xdr:colOff>49875</xdr:colOff>
      <xdr:row>0</xdr:row>
      <xdr:rowOff>544830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DFCFE4-0FCE-45CF-A1CD-BC1F23E32E55}"/>
            </a:ext>
          </a:extLst>
        </xdr:cNvPr>
        <xdr:cNvSpPr/>
      </xdr:nvSpPr>
      <xdr:spPr>
        <a:xfrm>
          <a:off x="14011275" y="19050"/>
          <a:ext cx="4860000" cy="525780"/>
        </a:xfrm>
        <a:prstGeom prst="roundRect">
          <a:avLst/>
        </a:prstGeom>
        <a:solidFill>
          <a:srgbClr val="42AAAC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>
              <a:solidFill>
                <a:schemeClr val="bg1"/>
              </a:solidFill>
              <a:latin typeface="Leelawadee" panose="020B0502040204020203" pitchFamily="34" charset="-34"/>
              <a:cs typeface="Leelawadee" panose="020B0502040204020203" pitchFamily="34" charset="-34"/>
            </a:rPr>
            <a:t>Capa</a:t>
          </a:r>
        </a:p>
      </xdr:txBody>
    </xdr:sp>
    <xdr:clientData/>
  </xdr:twoCellAnchor>
  <xdr:twoCellAnchor editAs="oneCell">
    <xdr:from>
      <xdr:col>0</xdr:col>
      <xdr:colOff>137160</xdr:colOff>
      <xdr:row>0</xdr:row>
      <xdr:rowOff>45720</xdr:rowOff>
    </xdr:from>
    <xdr:to>
      <xdr:col>0</xdr:col>
      <xdr:colOff>1862443</xdr:colOff>
      <xdr:row>3</xdr:row>
      <xdr:rowOff>91440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C22237-D9CD-46DE-B636-6296CBDCF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45720"/>
          <a:ext cx="1725283" cy="1226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C1C6F-5704-461E-8A51-1AA689E064B0}">
  <dimension ref="A1:T37"/>
  <sheetViews>
    <sheetView showGridLines="0" showRowColHeaders="0" tabSelected="1" workbookViewId="0"/>
  </sheetViews>
  <sheetFormatPr defaultColWidth="0" defaultRowHeight="15" zeroHeight="1" x14ac:dyDescent="0.25"/>
  <cols>
    <col min="1" max="20" width="8.85546875" customWidth="1"/>
    <col min="21" max="16384" width="8.8554687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B1FA2-E164-4780-8503-E8DD1AE7E407}">
  <dimension ref="A1:O18"/>
  <sheetViews>
    <sheetView showGridLines="0" zoomScaleNormal="100" workbookViewId="0">
      <pane xSplit="2" ySplit="5" topLeftCell="I6" activePane="bottomRight" state="frozen"/>
      <selection pane="topRight" activeCell="C1" sqref="C1"/>
      <selection pane="bottomLeft" activeCell="A6" sqref="A6"/>
      <selection pane="bottomRight" activeCell="J13" sqref="J13"/>
    </sheetView>
  </sheetViews>
  <sheetFormatPr defaultRowHeight="15" x14ac:dyDescent="0.25"/>
  <cols>
    <col min="1" max="1" width="47" bestFit="1" customWidth="1"/>
    <col min="2" max="2" width="10.28515625" style="2" customWidth="1"/>
    <col min="3" max="6" width="19.5703125" customWidth="1"/>
    <col min="7" max="7" width="2.7109375" customWidth="1"/>
    <col min="8" max="14" width="19.5703125" customWidth="1"/>
  </cols>
  <sheetData>
    <row r="1" spans="1:15" ht="64.150000000000006" customHeight="1" x14ac:dyDescent="0.25">
      <c r="B1"/>
    </row>
    <row r="5" spans="1:15" ht="16.5" x14ac:dyDescent="0.25">
      <c r="A5" s="27" t="s">
        <v>0</v>
      </c>
      <c r="B5" s="16" t="s">
        <v>227</v>
      </c>
      <c r="C5" s="75" t="s">
        <v>10</v>
      </c>
      <c r="D5" s="75" t="s">
        <v>11</v>
      </c>
      <c r="E5" s="75" t="s">
        <v>2</v>
      </c>
      <c r="F5" s="75" t="s">
        <v>1</v>
      </c>
      <c r="H5" s="75" t="s">
        <v>229</v>
      </c>
      <c r="I5" s="75" t="s">
        <v>231</v>
      </c>
      <c r="J5" s="75" t="s">
        <v>230</v>
      </c>
      <c r="K5" s="75" t="s">
        <v>232</v>
      </c>
      <c r="L5" s="75" t="s">
        <v>236</v>
      </c>
      <c r="M5" s="75" t="s">
        <v>237</v>
      </c>
      <c r="N5" s="117" t="s">
        <v>3</v>
      </c>
    </row>
    <row r="6" spans="1:15" s="104" customFormat="1" x14ac:dyDescent="0.25">
      <c r="A6" s="106" t="s">
        <v>4</v>
      </c>
      <c r="B6" s="107" t="s">
        <v>17</v>
      </c>
      <c r="C6" s="83">
        <f>C14/(C13/C7)+C7</f>
        <v>4706028.8710000003</v>
      </c>
      <c r="D6" s="83">
        <f>D14/(D13/D7)+D7</f>
        <v>4771967.9460000005</v>
      </c>
      <c r="E6" s="83">
        <f>E14/(E13/E7)+E7</f>
        <v>6074101.5616439879</v>
      </c>
      <c r="F6" s="83">
        <f>F14/(F13/F7)+F7</f>
        <v>7332938.2817768054</v>
      </c>
      <c r="H6" s="83">
        <f t="shared" ref="H6:K6" si="0">H14/(H13/H7)+H7</f>
        <v>2606587.8398737027</v>
      </c>
      <c r="I6" s="83">
        <f t="shared" si="0"/>
        <v>2159034.7096889103</v>
      </c>
      <c r="J6" s="83">
        <f t="shared" si="0"/>
        <v>5406077.0705442177</v>
      </c>
      <c r="K6" s="83">
        <f t="shared" si="0"/>
        <v>4629889.9179508416</v>
      </c>
      <c r="L6" s="83">
        <v>6971972.2525882339</v>
      </c>
      <c r="M6" s="83">
        <v>6475801.5111176455</v>
      </c>
      <c r="N6" s="108">
        <f>IFERROR(L6/M6-1,"n.a.")</f>
        <v>7.6619201595163666E-2</v>
      </c>
    </row>
    <row r="7" spans="1:15" x14ac:dyDescent="0.25">
      <c r="A7" s="11" t="s">
        <v>5</v>
      </c>
      <c r="B7" s="46" t="s">
        <v>17</v>
      </c>
      <c r="C7" s="9">
        <v>4706028.8710000003</v>
      </c>
      <c r="D7" s="9">
        <v>4771967.9460000005</v>
      </c>
      <c r="E7" s="9">
        <v>5217618.6689999998</v>
      </c>
      <c r="F7" s="9">
        <v>5013018.409</v>
      </c>
      <c r="H7" s="9">
        <v>1939621.3425</v>
      </c>
      <c r="I7" s="9">
        <v>1864575.3310000002</v>
      </c>
      <c r="J7" s="9">
        <v>4033448.2388333334</v>
      </c>
      <c r="K7" s="9">
        <v>3651642.6669999999</v>
      </c>
      <c r="L7" s="9">
        <v>4779036.0363333337</v>
      </c>
      <c r="M7" s="9">
        <v>4692026.4169999994</v>
      </c>
      <c r="N7" s="30">
        <f>IFERROR(L7/M7-1,"n.a.")</f>
        <v>1.8544145237137544E-2</v>
      </c>
    </row>
    <row r="8" spans="1:15" x14ac:dyDescent="0.25">
      <c r="A8" s="11" t="s">
        <v>6</v>
      </c>
      <c r="B8" s="46" t="s">
        <v>19</v>
      </c>
      <c r="C8" s="10">
        <v>0.70706708951679953</v>
      </c>
      <c r="D8" s="10">
        <v>0.7011575261742129</v>
      </c>
      <c r="E8" s="10">
        <v>0.67146830117573231</v>
      </c>
      <c r="F8" s="10">
        <v>0.57848114696600161</v>
      </c>
      <c r="H8" s="10">
        <v>0.40521243697337755</v>
      </c>
      <c r="I8" s="10">
        <v>0.46508196616272729</v>
      </c>
      <c r="J8" s="10">
        <v>0.44335383203460815</v>
      </c>
      <c r="K8" s="10">
        <v>0.50462984334496452</v>
      </c>
      <c r="L8" s="10">
        <v>0.51409979174064369</v>
      </c>
      <c r="M8" s="10">
        <v>0.54969901653901942</v>
      </c>
      <c r="N8" s="31">
        <f>(L8-M8)*100</f>
        <v>-3.5599224798375739</v>
      </c>
    </row>
    <row r="9" spans="1:15" x14ac:dyDescent="0.25">
      <c r="A9" s="11" t="s">
        <v>7</v>
      </c>
      <c r="B9" s="46" t="s">
        <v>17</v>
      </c>
      <c r="C9" s="9"/>
      <c r="D9" s="9"/>
      <c r="E9" s="9">
        <v>170453.62932000021</v>
      </c>
      <c r="F9" s="9">
        <v>462381.83607499994</v>
      </c>
      <c r="H9" s="9">
        <v>120827.67000000001</v>
      </c>
      <c r="I9" s="9">
        <v>57097.049769000005</v>
      </c>
      <c r="J9" s="9">
        <v>265286.76</v>
      </c>
      <c r="K9" s="9">
        <v>199427.05985800002</v>
      </c>
      <c r="L9" s="9">
        <v>416111.37999999995</v>
      </c>
      <c r="M9" s="9">
        <v>340112.30985500006</v>
      </c>
      <c r="N9" s="30">
        <f t="shared" ref="N9:N18" si="1">IFERROR(L9/M9-1,"n.a.")</f>
        <v>0.22345286525324681</v>
      </c>
    </row>
    <row r="10" spans="1:15" x14ac:dyDescent="0.25">
      <c r="A10" s="11" t="s">
        <v>8</v>
      </c>
      <c r="B10" s="46" t="s">
        <v>20</v>
      </c>
      <c r="C10" s="13">
        <v>96.19000000000004</v>
      </c>
      <c r="D10" s="13">
        <v>102.21999999999997</v>
      </c>
      <c r="E10" s="96">
        <v>96.500000000000014</v>
      </c>
      <c r="F10" s="13">
        <v>89.413596757825346</v>
      </c>
      <c r="H10" s="13">
        <v>84.16</v>
      </c>
      <c r="I10" s="13">
        <v>99.3</v>
      </c>
      <c r="J10" s="13">
        <v>84.74</v>
      </c>
      <c r="K10" s="13">
        <v>94.9</v>
      </c>
      <c r="L10" s="13">
        <v>81.91</v>
      </c>
      <c r="M10" s="13">
        <v>89.92</v>
      </c>
      <c r="N10" s="30">
        <f t="shared" si="1"/>
        <v>-8.9079181494661985E-2</v>
      </c>
    </row>
    <row r="11" spans="1:15" x14ac:dyDescent="0.25">
      <c r="A11" s="11" t="s">
        <v>9</v>
      </c>
      <c r="B11" s="46" t="s">
        <v>18</v>
      </c>
      <c r="C11" s="13">
        <v>129.13999999999999</v>
      </c>
      <c r="D11" s="13">
        <v>127.27</v>
      </c>
      <c r="E11" s="13">
        <v>127.94722564288899</v>
      </c>
      <c r="F11" s="13">
        <v>136.36573617528401</v>
      </c>
      <c r="H11" s="13">
        <v>124.08773051766637</v>
      </c>
      <c r="I11" s="13">
        <v>126.40470280138013</v>
      </c>
      <c r="J11" s="13">
        <v>131.12971263432644</v>
      </c>
      <c r="K11" s="13">
        <v>137.54258424746902</v>
      </c>
      <c r="L11" s="13">
        <v>127.80683319707127</v>
      </c>
      <c r="M11" s="13">
        <v>138.96439031219123</v>
      </c>
      <c r="N11" s="30">
        <f t="shared" si="1"/>
        <v>-8.0290764346563015E-2</v>
      </c>
    </row>
    <row r="12" spans="1:15" x14ac:dyDescent="0.25">
      <c r="A12" s="38" t="s">
        <v>24</v>
      </c>
      <c r="B12" s="51" t="s">
        <v>21</v>
      </c>
      <c r="C12" s="14">
        <f>C13+C14</f>
        <v>396996.11</v>
      </c>
      <c r="D12" s="14">
        <f t="shared" ref="D12:K12" si="2">D13+D14</f>
        <v>389725.81099999999</v>
      </c>
      <c r="E12" s="14">
        <f t="shared" si="2"/>
        <v>500982.25899999996</v>
      </c>
      <c r="F12" s="14">
        <f t="shared" si="2"/>
        <v>646740.29700000002</v>
      </c>
      <c r="G12" s="29"/>
      <c r="H12" s="14">
        <f t="shared" si="2"/>
        <v>212659.5214199</v>
      </c>
      <c r="I12" s="14">
        <f t="shared" si="2"/>
        <v>179303.77500000002</v>
      </c>
      <c r="J12" s="14">
        <f t="shared" si="2"/>
        <v>465127.53745060001</v>
      </c>
      <c r="K12" s="14">
        <f t="shared" si="2"/>
        <v>414061.40299999999</v>
      </c>
      <c r="L12" s="14">
        <f t="shared" ref="L12" si="3">L13+L14</f>
        <v>585799.03739820002</v>
      </c>
      <c r="M12" s="14">
        <f t="shared" ref="M12" si="4">M13+M14</f>
        <v>575087.82799999998</v>
      </c>
      <c r="N12" s="108">
        <f>IFERROR(L12/M12-1,"n.a.")</f>
        <v>1.8625345341511945E-2</v>
      </c>
      <c r="O12" s="28"/>
    </row>
    <row r="13" spans="1:15" x14ac:dyDescent="0.25">
      <c r="A13" s="36" t="s">
        <v>13</v>
      </c>
      <c r="B13" s="46" t="s">
        <v>21</v>
      </c>
      <c r="C13" s="9">
        <v>396996.11</v>
      </c>
      <c r="D13" s="9">
        <v>389725.81099999999</v>
      </c>
      <c r="E13" s="9">
        <v>430340.90899999999</v>
      </c>
      <c r="F13" s="9">
        <v>442131.22899999999</v>
      </c>
      <c r="H13" s="9">
        <v>158244.7904199</v>
      </c>
      <c r="I13" s="9">
        <v>154849.47700000001</v>
      </c>
      <c r="J13" s="9">
        <v>347029.43045059999</v>
      </c>
      <c r="K13" s="9">
        <v>326574.565</v>
      </c>
      <c r="L13" s="9">
        <v>399398.94439819996</v>
      </c>
      <c r="M13" s="9">
        <v>423466.94500000001</v>
      </c>
      <c r="N13" s="30">
        <f t="shared" si="1"/>
        <v>-5.6835606381981152E-2</v>
      </c>
    </row>
    <row r="14" spans="1:15" x14ac:dyDescent="0.25">
      <c r="A14" s="36" t="s">
        <v>14</v>
      </c>
      <c r="B14" s="46" t="s">
        <v>21</v>
      </c>
      <c r="C14" s="9"/>
      <c r="D14" s="9"/>
      <c r="E14" s="9">
        <v>70641.350000000006</v>
      </c>
      <c r="F14" s="9">
        <v>204609.06799999997</v>
      </c>
      <c r="H14" s="9">
        <v>54414.731</v>
      </c>
      <c r="I14" s="9">
        <v>24454.297999999999</v>
      </c>
      <c r="J14" s="9">
        <v>118098.107</v>
      </c>
      <c r="K14" s="9">
        <v>87486.837999999989</v>
      </c>
      <c r="L14" s="9">
        <v>186400.09299999999</v>
      </c>
      <c r="M14" s="9">
        <v>151620.88299999997</v>
      </c>
      <c r="N14" s="30">
        <f t="shared" si="1"/>
        <v>0.22938271636368213</v>
      </c>
    </row>
    <row r="15" spans="1:15" x14ac:dyDescent="0.25">
      <c r="A15" s="11" t="s">
        <v>15</v>
      </c>
      <c r="B15" s="46" t="s">
        <v>22</v>
      </c>
      <c r="C15" s="9"/>
      <c r="D15" s="9"/>
      <c r="E15" s="9">
        <v>45506.625170745916</v>
      </c>
      <c r="F15" s="9">
        <v>123370.99949548481</v>
      </c>
      <c r="H15" s="9">
        <v>32787.563999999998</v>
      </c>
      <c r="I15" s="9">
        <v>15102</v>
      </c>
      <c r="J15" s="9">
        <v>70277.024000000005</v>
      </c>
      <c r="K15" s="9">
        <v>53799.000000000015</v>
      </c>
      <c r="L15" s="9">
        <v>110673.76581162483</v>
      </c>
      <c r="M15" s="9">
        <v>91272.158963272086</v>
      </c>
      <c r="N15" s="30">
        <f t="shared" si="1"/>
        <v>0.21256872926781489</v>
      </c>
    </row>
    <row r="16" spans="1:15" x14ac:dyDescent="0.25">
      <c r="A16" s="11" t="s">
        <v>16</v>
      </c>
      <c r="B16" s="46" t="s">
        <v>22</v>
      </c>
      <c r="C16" s="9"/>
      <c r="D16" s="9"/>
      <c r="E16" s="9">
        <v>273.22929850196465</v>
      </c>
      <c r="F16" s="9">
        <v>4734.1180100000001</v>
      </c>
      <c r="H16" s="9">
        <v>1539.04</v>
      </c>
      <c r="I16" s="9">
        <v>227.94239157305441</v>
      </c>
      <c r="J16" s="9">
        <v>3269.3099999999995</v>
      </c>
      <c r="K16" s="9">
        <v>1770.2025899038513</v>
      </c>
      <c r="L16" s="9">
        <v>5193.232110342311</v>
      </c>
      <c r="M16" s="9">
        <v>3503.8219921891832</v>
      </c>
      <c r="N16" s="30">
        <f t="shared" si="1"/>
        <v>0.48216208526552085</v>
      </c>
    </row>
    <row r="17" spans="1:14" x14ac:dyDescent="0.25">
      <c r="A17" s="11" t="s">
        <v>12</v>
      </c>
      <c r="B17" s="46" t="s">
        <v>23</v>
      </c>
      <c r="C17" s="9">
        <v>473604.99</v>
      </c>
      <c r="D17" s="9">
        <v>487750.41</v>
      </c>
      <c r="E17" s="9">
        <v>458785.06999999989</v>
      </c>
      <c r="F17" s="9">
        <v>361905.26999999996</v>
      </c>
      <c r="H17" s="9">
        <v>143032.57</v>
      </c>
      <c r="I17" s="9">
        <v>124691.93999999999</v>
      </c>
      <c r="J17" s="9">
        <v>302815.66000000003</v>
      </c>
      <c r="K17" s="9">
        <v>248726.93999999994</v>
      </c>
      <c r="L17" s="9">
        <v>358866.54000000004</v>
      </c>
      <c r="M17" s="9">
        <v>333386.23999999993</v>
      </c>
      <c r="N17" s="30">
        <f t="shared" si="1"/>
        <v>7.6428769225748816E-2</v>
      </c>
    </row>
    <row r="18" spans="1:14" x14ac:dyDescent="0.25">
      <c r="A18" s="11" t="s">
        <v>240</v>
      </c>
      <c r="B18" s="46" t="s">
        <v>23</v>
      </c>
      <c r="C18" s="9"/>
      <c r="D18" s="9"/>
      <c r="E18" s="9">
        <v>46.3</v>
      </c>
      <c r="F18" s="9">
        <v>109.6</v>
      </c>
      <c r="H18" s="9">
        <v>27.2</v>
      </c>
      <c r="I18" s="9">
        <v>15.8</v>
      </c>
      <c r="J18" s="9">
        <v>59.4</v>
      </c>
      <c r="K18" s="9">
        <v>48.7</v>
      </c>
      <c r="L18" s="9">
        <v>94.383542800144582</v>
      </c>
      <c r="M18" s="9">
        <v>81.352613882184642</v>
      </c>
      <c r="N18" s="30">
        <f t="shared" si="1"/>
        <v>0.16017836792351159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N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287D0-2FEB-4E58-AD5A-57017D06A54B}">
  <dimension ref="A1:Q31"/>
  <sheetViews>
    <sheetView showGridLines="0" zoomScaleNormal="100" workbookViewId="0">
      <pane xSplit="2" ySplit="5" topLeftCell="I6" activePane="bottomRight" state="frozen"/>
      <selection pane="topRight" activeCell="C1" sqref="C1"/>
      <selection pane="bottomLeft" activeCell="A6" sqref="A6"/>
      <selection pane="bottomRight" activeCell="K13" sqref="K13"/>
    </sheetView>
  </sheetViews>
  <sheetFormatPr defaultRowHeight="15" x14ac:dyDescent="0.25"/>
  <cols>
    <col min="1" max="1" width="47" bestFit="1" customWidth="1"/>
    <col min="2" max="2" width="10.28515625" style="2" customWidth="1"/>
    <col min="3" max="6" width="19.5703125" customWidth="1"/>
    <col min="7" max="7" width="1.5703125" customWidth="1"/>
    <col min="8" max="14" width="19.5703125" customWidth="1"/>
  </cols>
  <sheetData>
    <row r="1" spans="1:14" ht="64.150000000000006" customHeight="1" x14ac:dyDescent="0.25"/>
    <row r="5" spans="1:14" ht="16.5" x14ac:dyDescent="0.25">
      <c r="A5" s="27" t="s">
        <v>25</v>
      </c>
      <c r="B5" s="16" t="s">
        <v>227</v>
      </c>
      <c r="C5" s="75" t="s">
        <v>10</v>
      </c>
      <c r="D5" s="75" t="s">
        <v>11</v>
      </c>
      <c r="E5" s="75" t="s">
        <v>2</v>
      </c>
      <c r="F5" s="75" t="s">
        <v>1</v>
      </c>
      <c r="H5" s="75" t="s">
        <v>229</v>
      </c>
      <c r="I5" s="75" t="s">
        <v>231</v>
      </c>
      <c r="J5" s="75" t="s">
        <v>230</v>
      </c>
      <c r="K5" s="75" t="s">
        <v>232</v>
      </c>
      <c r="L5" s="75" t="str">
        <f>+OPERACIONAL!L5</f>
        <v>9M22</v>
      </c>
      <c r="M5" s="75" t="str">
        <f>+OPERACIONAL!M5</f>
        <v>9M21</v>
      </c>
      <c r="N5" s="117" t="s">
        <v>3</v>
      </c>
    </row>
    <row r="6" spans="1:14" x14ac:dyDescent="0.25">
      <c r="A6" s="7" t="s">
        <v>26</v>
      </c>
      <c r="B6" s="50"/>
      <c r="C6" s="8"/>
      <c r="D6" s="8"/>
      <c r="E6" s="8"/>
      <c r="F6" s="8"/>
      <c r="H6" s="8"/>
      <c r="I6" s="8"/>
      <c r="J6" s="8"/>
      <c r="K6" s="8"/>
      <c r="L6" s="8"/>
      <c r="M6" s="8"/>
      <c r="N6" s="32"/>
    </row>
    <row r="7" spans="1:14" x14ac:dyDescent="0.25">
      <c r="A7" s="36" t="s">
        <v>29</v>
      </c>
      <c r="B7" s="47" t="s">
        <v>21</v>
      </c>
      <c r="C7" s="9">
        <v>393815.09700000001</v>
      </c>
      <c r="D7" s="9">
        <v>382142.73200000002</v>
      </c>
      <c r="E7" s="9">
        <v>416274.78300000005</v>
      </c>
      <c r="F7" s="9">
        <v>440535.54200000007</v>
      </c>
      <c r="H7" s="9">
        <v>107300.54699999999</v>
      </c>
      <c r="I7" s="9">
        <v>122927.24299999999</v>
      </c>
      <c r="J7" s="9">
        <v>204798.84400000001</v>
      </c>
      <c r="K7" s="9">
        <v>214578.25899999999</v>
      </c>
      <c r="L7" s="9">
        <v>306783.32</v>
      </c>
      <c r="M7" s="9">
        <v>329557.45600000001</v>
      </c>
      <c r="N7" s="30">
        <f>IFERROR(L7/M7-1,"n.a.")</f>
        <v>-6.9105206346780412E-2</v>
      </c>
    </row>
    <row r="8" spans="1:14" x14ac:dyDescent="0.25">
      <c r="A8" s="36" t="s">
        <v>31</v>
      </c>
      <c r="B8" s="47" t="s">
        <v>21</v>
      </c>
      <c r="C8" s="9"/>
      <c r="D8" s="9"/>
      <c r="E8" s="9">
        <v>60418.302000000003</v>
      </c>
      <c r="F8" s="9">
        <v>203632.00399999999</v>
      </c>
      <c r="H8" s="9">
        <v>45494.101999999999</v>
      </c>
      <c r="I8" s="9">
        <v>29310.915999999997</v>
      </c>
      <c r="J8" s="9">
        <v>82034.816999999995</v>
      </c>
      <c r="K8" s="9">
        <v>90298.111999999994</v>
      </c>
      <c r="L8" s="9">
        <v>159769.20699999999</v>
      </c>
      <c r="M8" s="9">
        <v>151181.70000000001</v>
      </c>
      <c r="N8" s="30">
        <f t="shared" ref="N8:N11" si="0">IFERROR(L8/M8-1,"n.a.")</f>
        <v>5.6802556129478488E-2</v>
      </c>
    </row>
    <row r="9" spans="1:14" x14ac:dyDescent="0.25">
      <c r="A9" s="36" t="s">
        <v>32</v>
      </c>
      <c r="B9" s="47" t="s">
        <v>22</v>
      </c>
      <c r="C9" s="9"/>
      <c r="D9" s="9"/>
      <c r="E9" s="9">
        <v>40354.606530000005</v>
      </c>
      <c r="F9" s="9">
        <v>123363.843633</v>
      </c>
      <c r="H9" s="9">
        <v>33212.339999999997</v>
      </c>
      <c r="I9" s="9">
        <v>14835.17</v>
      </c>
      <c r="J9" s="9">
        <v>69310.7</v>
      </c>
      <c r="K9" s="9">
        <v>53182.096031999994</v>
      </c>
      <c r="L9" s="9">
        <v>103232.8</v>
      </c>
      <c r="M9" s="9">
        <v>88886.654031999991</v>
      </c>
      <c r="N9" s="30">
        <f t="shared" si="0"/>
        <v>0.16139820003614114</v>
      </c>
    </row>
    <row r="10" spans="1:14" x14ac:dyDescent="0.25">
      <c r="A10" s="43" t="s">
        <v>33</v>
      </c>
      <c r="B10" s="49" t="s">
        <v>22</v>
      </c>
      <c r="C10" s="9"/>
      <c r="D10" s="9"/>
      <c r="E10" s="9">
        <v>239.3381502978589</v>
      </c>
      <c r="F10" s="9">
        <v>4734.8369999999995</v>
      </c>
      <c r="H10" s="9">
        <v>1574.58</v>
      </c>
      <c r="I10" s="9">
        <v>234.78000000000003</v>
      </c>
      <c r="J10" s="9">
        <v>3195.49</v>
      </c>
      <c r="K10" s="9">
        <v>1750.79</v>
      </c>
      <c r="L10" s="9">
        <v>5083.3499999999995</v>
      </c>
      <c r="M10" s="9">
        <v>3487.4569999999999</v>
      </c>
      <c r="N10" s="30">
        <f t="shared" si="0"/>
        <v>0.45760936980728362</v>
      </c>
    </row>
    <row r="11" spans="1:14" x14ac:dyDescent="0.25">
      <c r="A11" s="36" t="s">
        <v>27</v>
      </c>
      <c r="B11" s="47" t="s">
        <v>23</v>
      </c>
      <c r="C11" s="9">
        <v>522307.37200000003</v>
      </c>
      <c r="D11" s="9">
        <v>578612.17999999993</v>
      </c>
      <c r="E11" s="9">
        <v>528504.36154487031</v>
      </c>
      <c r="F11" s="9">
        <v>658725.87600000005</v>
      </c>
      <c r="H11" s="9">
        <v>149122.17800000001</v>
      </c>
      <c r="I11" s="9">
        <v>154404.00100000002</v>
      </c>
      <c r="J11" s="9">
        <v>321065.09700000001</v>
      </c>
      <c r="K11" s="9">
        <v>355158.00300000003</v>
      </c>
      <c r="L11" s="9">
        <v>452519.73794300004</v>
      </c>
      <c r="M11" s="9">
        <v>553114.65100000007</v>
      </c>
      <c r="N11" s="30">
        <f t="shared" si="0"/>
        <v>-0.18186991227791582</v>
      </c>
    </row>
    <row r="12" spans="1:14" x14ac:dyDescent="0.25">
      <c r="A12" s="38"/>
      <c r="B12" s="48"/>
      <c r="C12" s="9"/>
      <c r="D12" s="9"/>
      <c r="E12" s="9"/>
      <c r="F12" s="9"/>
      <c r="H12" s="9"/>
      <c r="I12" s="9"/>
      <c r="J12" s="9"/>
      <c r="K12" s="9"/>
      <c r="L12" s="9"/>
      <c r="M12" s="9"/>
      <c r="N12" s="30"/>
    </row>
    <row r="13" spans="1:14" s="104" customFormat="1" x14ac:dyDescent="0.25">
      <c r="A13" s="102" t="s">
        <v>28</v>
      </c>
      <c r="B13" s="103" t="s">
        <v>34</v>
      </c>
      <c r="C13" s="83">
        <f>SUM(C14:C19)</f>
        <v>909482.43024999963</v>
      </c>
      <c r="D13" s="83">
        <f t="shared" ref="D13:K13" si="1">SUM(D14:D19)</f>
        <v>951658.30448865995</v>
      </c>
      <c r="E13" s="83">
        <f t="shared" si="1"/>
        <v>1377702</v>
      </c>
      <c r="F13" s="83">
        <f t="shared" si="1"/>
        <v>1931714</v>
      </c>
      <c r="H13" s="83">
        <f t="shared" si="1"/>
        <v>608985</v>
      </c>
      <c r="I13" s="83">
        <f t="shared" si="1"/>
        <v>374193.31834</v>
      </c>
      <c r="J13" s="83">
        <f t="shared" si="1"/>
        <v>1222834</v>
      </c>
      <c r="K13" s="83">
        <f t="shared" si="1"/>
        <v>806856.09382999968</v>
      </c>
      <c r="L13" s="83">
        <f t="shared" ref="L13:M13" si="2">SUM(L14:L19)</f>
        <v>1838029</v>
      </c>
      <c r="M13" s="83">
        <f t="shared" si="2"/>
        <v>1202161</v>
      </c>
      <c r="N13" s="119">
        <f>IFERROR(L13/M13-1,"n.a.")</f>
        <v>0.52893747176958827</v>
      </c>
    </row>
    <row r="14" spans="1:14" s="104" customFormat="1" x14ac:dyDescent="0.25">
      <c r="A14" s="43" t="s">
        <v>29</v>
      </c>
      <c r="B14" s="105" t="s">
        <v>34</v>
      </c>
      <c r="C14" s="82">
        <v>780042.43024999963</v>
      </c>
      <c r="D14" s="82">
        <v>776794.12011999998</v>
      </c>
      <c r="E14" s="82">
        <v>938919</v>
      </c>
      <c r="F14" s="82">
        <v>1003050</v>
      </c>
      <c r="H14" s="82">
        <v>355724.11920000007</v>
      </c>
      <c r="I14" s="82">
        <v>219548.25982000009</v>
      </c>
      <c r="J14" s="82">
        <v>702156.67031000019</v>
      </c>
      <c r="K14" s="82">
        <v>409237.23479000008</v>
      </c>
      <c r="L14" s="82">
        <v>1006474.3526791173</v>
      </c>
      <c r="M14" s="82">
        <v>619934.57195384335</v>
      </c>
      <c r="N14" s="30">
        <f t="shared" ref="N14:N19" si="3">IFERROR(L14/M14-1,"n.a.")</f>
        <v>0.62351705843250427</v>
      </c>
    </row>
    <row r="15" spans="1:14" s="104" customFormat="1" x14ac:dyDescent="0.25">
      <c r="A15" s="43" t="s">
        <v>31</v>
      </c>
      <c r="B15" s="105" t="s">
        <v>34</v>
      </c>
      <c r="C15" s="82"/>
      <c r="D15" s="82"/>
      <c r="E15" s="82">
        <v>147167</v>
      </c>
      <c r="F15" s="82">
        <v>479808</v>
      </c>
      <c r="H15" s="82">
        <v>153082.72258999999</v>
      </c>
      <c r="I15" s="82">
        <v>50717.189149999998</v>
      </c>
      <c r="J15" s="82">
        <v>289247.15639999998</v>
      </c>
      <c r="K15" s="82">
        <v>178673.83027000001</v>
      </c>
      <c r="L15" s="82">
        <v>544026.48537795362</v>
      </c>
      <c r="M15" s="82">
        <v>286088.22620996478</v>
      </c>
      <c r="N15" s="30">
        <f t="shared" si="3"/>
        <v>0.90160389536157903</v>
      </c>
    </row>
    <row r="16" spans="1:14" s="104" customFormat="1" x14ac:dyDescent="0.25">
      <c r="A16" s="43" t="s">
        <v>32</v>
      </c>
      <c r="B16" s="105" t="s">
        <v>34</v>
      </c>
      <c r="C16" s="82"/>
      <c r="D16" s="82"/>
      <c r="E16" s="82">
        <v>25937</v>
      </c>
      <c r="F16" s="82">
        <v>108793</v>
      </c>
      <c r="H16" s="82">
        <v>48270.770389999998</v>
      </c>
      <c r="I16" s="82">
        <v>9661.7212799999998</v>
      </c>
      <c r="J16" s="82">
        <v>97700.947090000001</v>
      </c>
      <c r="K16" s="82">
        <v>36439.215790000002</v>
      </c>
      <c r="L16" s="82">
        <v>132879.68154721326</v>
      </c>
      <c r="M16" s="82">
        <v>52363.378892424291</v>
      </c>
      <c r="N16" s="30">
        <f t="shared" si="3"/>
        <v>1.5376452848889346</v>
      </c>
    </row>
    <row r="17" spans="1:17" s="104" customFormat="1" x14ac:dyDescent="0.25">
      <c r="A17" s="43" t="s">
        <v>33</v>
      </c>
      <c r="B17" s="105" t="s">
        <v>34</v>
      </c>
      <c r="C17" s="82"/>
      <c r="D17" s="82"/>
      <c r="E17" s="82">
        <v>591.98249999999996</v>
      </c>
      <c r="F17" s="82">
        <f>126564-F16</f>
        <v>17771</v>
      </c>
      <c r="H17" s="82">
        <v>8842.5240399999966</v>
      </c>
      <c r="I17" s="82">
        <v>563.47199999999975</v>
      </c>
      <c r="J17" s="82">
        <v>19409.85205999999</v>
      </c>
      <c r="K17" s="82">
        <v>4749.5516999999963</v>
      </c>
      <c r="L17" s="82">
        <v>28258.222834833196</v>
      </c>
      <c r="M17" s="82">
        <v>10374.267427891105</v>
      </c>
      <c r="N17" s="30">
        <f t="shared" si="3"/>
        <v>1.723876459831879</v>
      </c>
    </row>
    <row r="18" spans="1:17" s="104" customFormat="1" x14ac:dyDescent="0.25">
      <c r="A18" s="43" t="s">
        <v>27</v>
      </c>
      <c r="B18" s="105" t="s">
        <v>34</v>
      </c>
      <c r="C18" s="82">
        <v>116495</v>
      </c>
      <c r="D18" s="82">
        <v>155268.10851866001</v>
      </c>
      <c r="E18" s="82">
        <v>126490</v>
      </c>
      <c r="F18" s="82">
        <v>156033</v>
      </c>
      <c r="H18" s="82">
        <v>42431.22479</v>
      </c>
      <c r="I18" s="82">
        <v>42057.050659999994</v>
      </c>
      <c r="J18" s="82">
        <v>103912.65949000001</v>
      </c>
      <c r="K18" s="82">
        <v>92201.742759999994</v>
      </c>
      <c r="L18" s="82">
        <v>111622.94765322946</v>
      </c>
      <c r="M18" s="82">
        <v>115417.63918040504</v>
      </c>
      <c r="N18" s="30">
        <f t="shared" si="3"/>
        <v>-3.2877916704258991E-2</v>
      </c>
    </row>
    <row r="19" spans="1:17" s="104" customFormat="1" x14ac:dyDescent="0.25">
      <c r="A19" s="43" t="s">
        <v>76</v>
      </c>
      <c r="B19" s="105" t="s">
        <v>34</v>
      </c>
      <c r="C19" s="82">
        <v>12945</v>
      </c>
      <c r="D19" s="82">
        <v>19596.075850000034</v>
      </c>
      <c r="E19" s="82">
        <f>1377702-SUM(E14:E18)</f>
        <v>138597.01750000007</v>
      </c>
      <c r="F19" s="82">
        <v>166259</v>
      </c>
      <c r="H19" s="82">
        <v>633.63898999989033</v>
      </c>
      <c r="I19" s="82">
        <v>51645.625429999898</v>
      </c>
      <c r="J19" s="82">
        <v>10406.71464999998</v>
      </c>
      <c r="K19" s="82">
        <v>85554.518519999692</v>
      </c>
      <c r="L19" s="82">
        <v>14767.309907652903</v>
      </c>
      <c r="M19" s="82">
        <v>117982.91633547144</v>
      </c>
      <c r="N19" s="30">
        <f t="shared" si="3"/>
        <v>-0.87483518490368828</v>
      </c>
    </row>
    <row r="20" spans="1:17" x14ac:dyDescent="0.25">
      <c r="A20" s="36"/>
      <c r="B20" s="47"/>
      <c r="C20" s="82"/>
      <c r="D20" s="9"/>
      <c r="E20" s="9"/>
      <c r="F20" s="9"/>
      <c r="H20" s="9"/>
      <c r="I20" s="9"/>
      <c r="J20" s="9"/>
      <c r="K20" s="9"/>
      <c r="L20" s="9"/>
      <c r="M20" s="9"/>
      <c r="N20" s="30"/>
    </row>
    <row r="21" spans="1:17" x14ac:dyDescent="0.25">
      <c r="A21" s="41" t="s">
        <v>30</v>
      </c>
      <c r="B21" s="47"/>
      <c r="C21" s="82"/>
      <c r="D21" s="9"/>
      <c r="E21" s="9"/>
      <c r="F21" s="9"/>
      <c r="H21" s="9"/>
      <c r="I21" s="9"/>
      <c r="J21" s="9"/>
      <c r="K21" s="9"/>
      <c r="L21" s="9"/>
      <c r="M21" s="9"/>
      <c r="N21" s="30"/>
    </row>
    <row r="22" spans="1:17" x14ac:dyDescent="0.25">
      <c r="A22" s="36" t="s">
        <v>29</v>
      </c>
      <c r="B22" s="47" t="s">
        <v>35</v>
      </c>
      <c r="C22" s="9">
        <f>IFERROR(C14/C7*1000,0)</f>
        <v>1980.732674273276</v>
      </c>
      <c r="D22" s="9">
        <f t="shared" ref="D22:F22" si="4">IFERROR(D14/D7*1000,0)</f>
        <v>2032.7329426220774</v>
      </c>
      <c r="E22" s="9">
        <f t="shared" si="4"/>
        <v>2255.5269700302742</v>
      </c>
      <c r="F22" s="9">
        <f t="shared" si="4"/>
        <v>2276.8877976251911</v>
      </c>
      <c r="H22" s="9">
        <f t="shared" ref="H22:I26" si="5">H14/H7*1000</f>
        <v>3315.2125422063332</v>
      </c>
      <c r="I22" s="9">
        <f t="shared" si="5"/>
        <v>1786.001658070214</v>
      </c>
      <c r="J22" s="9">
        <f t="shared" ref="J22:K22" si="6">J14/J7*1000</f>
        <v>3428.5187191290988</v>
      </c>
      <c r="K22" s="9">
        <f t="shared" si="6"/>
        <v>1907.170077235085</v>
      </c>
      <c r="L22" s="9">
        <f t="shared" ref="L22:M22" si="7">L14/L7*1000</f>
        <v>3280.7336222814115</v>
      </c>
      <c r="M22" s="9">
        <f t="shared" si="7"/>
        <v>1881.1122633312334</v>
      </c>
      <c r="N22" s="30">
        <f t="shared" ref="N22:N26" si="8">IFERROR(L22/M22-1,"n.a.")</f>
        <v>0.74403925073116572</v>
      </c>
      <c r="P22" s="95"/>
      <c r="Q22" s="95"/>
    </row>
    <row r="23" spans="1:17" x14ac:dyDescent="0.25">
      <c r="A23" s="36" t="s">
        <v>31</v>
      </c>
      <c r="B23" s="47" t="s">
        <v>35</v>
      </c>
      <c r="C23" s="9"/>
      <c r="D23" s="9"/>
      <c r="E23" s="9">
        <f t="shared" ref="E23:F23" si="9">IFERROR(E15/E8*1000,0)</f>
        <v>2435.8016549356189</v>
      </c>
      <c r="F23" s="9">
        <f t="shared" si="9"/>
        <v>2356.2504447974693</v>
      </c>
      <c r="H23" s="9">
        <f t="shared" si="5"/>
        <v>3364.8916202368382</v>
      </c>
      <c r="I23" s="9">
        <f t="shared" si="5"/>
        <v>1730.3174404375491</v>
      </c>
      <c r="J23" s="9">
        <f t="shared" ref="J23:K23" si="10">J15/J8*1000</f>
        <v>3525.9072547208825</v>
      </c>
      <c r="K23" s="9">
        <f t="shared" si="10"/>
        <v>1978.7105877695431</v>
      </c>
      <c r="L23" s="9">
        <f t="shared" ref="L23:M23" si="11">L15/L8*1000</f>
        <v>3405.0772085133631</v>
      </c>
      <c r="M23" s="9">
        <f t="shared" si="11"/>
        <v>1892.3469322673627</v>
      </c>
      <c r="N23" s="30">
        <f t="shared" si="8"/>
        <v>0.79939373190595919</v>
      </c>
      <c r="P23" s="95"/>
      <c r="Q23" s="95"/>
    </row>
    <row r="24" spans="1:17" x14ac:dyDescent="0.25">
      <c r="A24" s="36" t="s">
        <v>32</v>
      </c>
      <c r="B24" s="47" t="s">
        <v>36</v>
      </c>
      <c r="C24" s="9"/>
      <c r="D24" s="9"/>
      <c r="E24" s="9">
        <f t="shared" ref="E24:F24" si="12">IFERROR(E16/E9*1000,0)</f>
        <v>642.72711916341405</v>
      </c>
      <c r="F24" s="9">
        <f t="shared" si="12"/>
        <v>881.8872434264664</v>
      </c>
      <c r="H24" s="9">
        <f t="shared" si="5"/>
        <v>1453.3986581493505</v>
      </c>
      <c r="I24" s="9">
        <f t="shared" si="5"/>
        <v>651.27135583886127</v>
      </c>
      <c r="J24" s="9">
        <f t="shared" ref="J24:K24" si="13">J16/J9*1000</f>
        <v>1409.6084311657507</v>
      </c>
      <c r="K24" s="9">
        <f t="shared" si="13"/>
        <v>685.17825563088559</v>
      </c>
      <c r="L24" s="9">
        <f t="shared" ref="L24:M24" si="14">L16/L9*1000</f>
        <v>1287.1847082246461</v>
      </c>
      <c r="M24" s="9">
        <f t="shared" si="14"/>
        <v>589.10282384544485</v>
      </c>
      <c r="N24" s="30">
        <f t="shared" si="8"/>
        <v>1.1849915772298996</v>
      </c>
      <c r="P24" s="95"/>
      <c r="Q24" s="95"/>
    </row>
    <row r="25" spans="1:17" x14ac:dyDescent="0.25">
      <c r="A25" s="44" t="s">
        <v>33</v>
      </c>
      <c r="B25" s="47" t="s">
        <v>36</v>
      </c>
      <c r="C25" s="9"/>
      <c r="D25" s="9"/>
      <c r="E25" s="9">
        <f t="shared" ref="E25:F25" si="15">IFERROR(E17/E10*1000,0)</f>
        <v>2473.4147032692922</v>
      </c>
      <c r="F25" s="9">
        <f t="shared" si="15"/>
        <v>3753.2443038693841</v>
      </c>
      <c r="H25" s="9">
        <f t="shared" si="5"/>
        <v>5615.798524050856</v>
      </c>
      <c r="I25" s="9">
        <f t="shared" si="5"/>
        <v>2399.9999999999986</v>
      </c>
      <c r="J25" s="9">
        <f t="shared" ref="J25:K25" si="16">J17/J10*1000</f>
        <v>6074.1395091206641</v>
      </c>
      <c r="K25" s="9">
        <f t="shared" si="16"/>
        <v>2712.8049052142155</v>
      </c>
      <c r="L25" s="9">
        <f t="shared" ref="L25:M25" si="17">L17/L10*1000</f>
        <v>5558.9764298805312</v>
      </c>
      <c r="M25" s="9">
        <f t="shared" si="17"/>
        <v>2974.7370155076051</v>
      </c>
      <c r="N25" s="30">
        <f t="shared" si="8"/>
        <v>0.86872869799952879</v>
      </c>
      <c r="P25" s="95"/>
      <c r="Q25" s="95"/>
    </row>
    <row r="26" spans="1:17" x14ac:dyDescent="0.25">
      <c r="A26" s="44" t="s">
        <v>27</v>
      </c>
      <c r="B26" s="46" t="s">
        <v>37</v>
      </c>
      <c r="C26" s="9">
        <f t="shared" ref="C26:F26" si="18">IFERROR(C18/C11*1000,0)</f>
        <v>223.0391647621623</v>
      </c>
      <c r="D26" s="9">
        <f t="shared" si="18"/>
        <v>268.3457311919359</v>
      </c>
      <c r="E26" s="9">
        <f t="shared" si="18"/>
        <v>239.33577318124162</v>
      </c>
      <c r="F26" s="9">
        <f t="shared" si="18"/>
        <v>236.87091350879314</v>
      </c>
      <c r="H26" s="9">
        <f t="shared" si="5"/>
        <v>284.54000175614385</v>
      </c>
      <c r="I26" s="9">
        <f t="shared" si="5"/>
        <v>272.38316615901675</v>
      </c>
      <c r="J26" s="9">
        <f t="shared" ref="J26:K26" si="19">J18/J11*1000</f>
        <v>323.6498157568339</v>
      </c>
      <c r="K26" s="9">
        <f t="shared" si="19"/>
        <v>259.60767315160285</v>
      </c>
      <c r="L26" s="9">
        <f t="shared" ref="L26:M26" si="20">L18/L11*1000</f>
        <v>246.66978762214706</v>
      </c>
      <c r="M26" s="9">
        <f t="shared" si="20"/>
        <v>208.66856260584757</v>
      </c>
      <c r="N26" s="30">
        <f t="shared" si="8"/>
        <v>0.18211284221130963</v>
      </c>
      <c r="P26" s="95"/>
      <c r="Q26" s="95"/>
    </row>
    <row r="28" spans="1:17" x14ac:dyDescent="0.25">
      <c r="C28" s="90"/>
      <c r="D28" s="90"/>
      <c r="E28" s="90"/>
      <c r="F28" s="90"/>
    </row>
    <row r="29" spans="1:17" x14ac:dyDescent="0.25">
      <c r="C29" s="90"/>
      <c r="D29" s="90"/>
      <c r="E29" s="90"/>
      <c r="F29" s="90"/>
    </row>
    <row r="30" spans="1:17" x14ac:dyDescent="0.25">
      <c r="E30" s="90"/>
      <c r="F30" s="90"/>
    </row>
    <row r="31" spans="1:17" x14ac:dyDescent="0.25">
      <c r="E31" s="90"/>
      <c r="F31" s="9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C3BF-CA1F-4431-9BB6-E509BFF56B40}">
  <dimension ref="A1:N79"/>
  <sheetViews>
    <sheetView showGridLines="0" zoomScaleNormal="100" workbookViewId="0">
      <pane xSplit="2" ySplit="5" topLeftCell="I6" activePane="bottomRight" state="frozen"/>
      <selection pane="topRight" activeCell="C1" sqref="C1"/>
      <selection pane="bottomLeft" activeCell="A6" sqref="A6"/>
      <selection pane="bottomRight" activeCell="A34" sqref="A34"/>
    </sheetView>
  </sheetViews>
  <sheetFormatPr defaultRowHeight="15" x14ac:dyDescent="0.25"/>
  <cols>
    <col min="1" max="1" width="47" bestFit="1" customWidth="1"/>
    <col min="2" max="2" width="10.28515625" style="2" customWidth="1"/>
    <col min="3" max="5" width="18.42578125" customWidth="1"/>
    <col min="6" max="6" width="19.5703125" customWidth="1"/>
    <col min="7" max="7" width="2" customWidth="1"/>
    <col min="8" max="13" width="19.5703125" customWidth="1"/>
    <col min="14" max="14" width="19.5703125" style="23" customWidth="1"/>
  </cols>
  <sheetData>
    <row r="1" spans="1:14" ht="64.150000000000006" customHeight="1" x14ac:dyDescent="0.25"/>
    <row r="5" spans="1:14" ht="16.5" x14ac:dyDescent="0.25">
      <c r="A5" s="27" t="s">
        <v>238</v>
      </c>
      <c r="B5" s="16" t="s">
        <v>227</v>
      </c>
      <c r="C5" s="75" t="s">
        <v>10</v>
      </c>
      <c r="D5" s="75" t="s">
        <v>11</v>
      </c>
      <c r="E5" s="75" t="s">
        <v>2</v>
      </c>
      <c r="F5" s="75" t="s">
        <v>1</v>
      </c>
      <c r="H5" s="75" t="s">
        <v>229</v>
      </c>
      <c r="I5" s="75" t="s">
        <v>231</v>
      </c>
      <c r="J5" s="75" t="s">
        <v>230</v>
      </c>
      <c r="K5" s="75" t="s">
        <v>232</v>
      </c>
      <c r="L5" s="75" t="str">
        <f>+OPERACIONAL!L5</f>
        <v>9M22</v>
      </c>
      <c r="M5" s="75" t="str">
        <f>+OPERACIONAL!M5</f>
        <v>9M21</v>
      </c>
      <c r="N5" s="117" t="s">
        <v>3</v>
      </c>
    </row>
    <row r="6" spans="1:14" ht="16.5" x14ac:dyDescent="0.25">
      <c r="A6" s="33" t="s">
        <v>51</v>
      </c>
      <c r="B6" s="33"/>
      <c r="C6" s="75"/>
      <c r="D6" s="75"/>
      <c r="E6" s="75"/>
      <c r="F6" s="75"/>
      <c r="H6" s="75"/>
      <c r="I6" s="75"/>
      <c r="J6" s="75"/>
      <c r="K6" s="75"/>
      <c r="L6" s="75"/>
      <c r="M6" s="75"/>
      <c r="N6" s="77"/>
    </row>
    <row r="7" spans="1:14" x14ac:dyDescent="0.25">
      <c r="A7" s="52" t="s">
        <v>213</v>
      </c>
      <c r="B7" s="36" t="s">
        <v>34</v>
      </c>
      <c r="C7" s="74">
        <v>-239355.40028</v>
      </c>
      <c r="D7" s="74">
        <v>-269910</v>
      </c>
      <c r="E7" s="74">
        <v>-285365</v>
      </c>
      <c r="F7" s="74">
        <v>-316811</v>
      </c>
      <c r="H7" s="74">
        <v>-122421</v>
      </c>
      <c r="I7" s="74">
        <v>-82688</v>
      </c>
      <c r="J7" s="74">
        <v>-242718</v>
      </c>
      <c r="K7" s="74">
        <v>-122705</v>
      </c>
      <c r="L7" s="74">
        <v>-336720</v>
      </c>
      <c r="M7" s="74">
        <v>-180947</v>
      </c>
      <c r="N7" s="76">
        <f>IFERROR(L7/M7-1,"n.a.")</f>
        <v>0.86087638921894261</v>
      </c>
    </row>
    <row r="8" spans="1:14" x14ac:dyDescent="0.25">
      <c r="A8" s="52" t="s">
        <v>86</v>
      </c>
      <c r="B8" s="36" t="s">
        <v>34</v>
      </c>
      <c r="C8" s="9">
        <v>19758</v>
      </c>
      <c r="D8" s="9">
        <v>-6541</v>
      </c>
      <c r="E8" s="9">
        <v>-29871</v>
      </c>
      <c r="F8" s="9">
        <v>31640</v>
      </c>
      <c r="H8" s="9">
        <v>21966</v>
      </c>
      <c r="I8" s="9">
        <v>3258</v>
      </c>
      <c r="J8" s="74">
        <v>45154</v>
      </c>
      <c r="K8" s="74">
        <v>-488</v>
      </c>
      <c r="L8" s="74">
        <v>38240</v>
      </c>
      <c r="M8" s="74">
        <v>-19350</v>
      </c>
      <c r="N8" s="76">
        <f t="shared" ref="N8:N21" si="0">IFERROR(L8/M8-1,"n.a.")</f>
        <v>-2.9762273901808785</v>
      </c>
    </row>
    <row r="9" spans="1:14" x14ac:dyDescent="0.25">
      <c r="A9" s="52" t="s">
        <v>214</v>
      </c>
      <c r="B9" s="36" t="s">
        <v>34</v>
      </c>
      <c r="C9" s="9">
        <v>-69204</v>
      </c>
      <c r="D9" s="9">
        <v>-72334</v>
      </c>
      <c r="E9" s="9">
        <v>-85722</v>
      </c>
      <c r="F9" s="9">
        <v>-84537</v>
      </c>
      <c r="H9" s="9">
        <v>-27827</v>
      </c>
      <c r="I9" s="9">
        <v>-22178</v>
      </c>
      <c r="J9" s="74">
        <v>-44146</v>
      </c>
      <c r="K9" s="74">
        <v>-36196</v>
      </c>
      <c r="L9" s="74">
        <v>-68540</v>
      </c>
      <c r="M9" s="74">
        <v>-58836</v>
      </c>
      <c r="N9" s="76">
        <f t="shared" si="0"/>
        <v>0.16493303419675032</v>
      </c>
    </row>
    <row r="10" spans="1:14" x14ac:dyDescent="0.25">
      <c r="A10" s="52" t="s">
        <v>215</v>
      </c>
      <c r="B10" s="36" t="s">
        <v>34</v>
      </c>
      <c r="C10" s="9">
        <v>-33808</v>
      </c>
      <c r="D10" s="9">
        <v>-31101</v>
      </c>
      <c r="E10" s="9">
        <v>-26664</v>
      </c>
      <c r="F10" s="9">
        <v>-30942</v>
      </c>
      <c r="H10" s="9">
        <v>-9131</v>
      </c>
      <c r="I10" s="9">
        <v>-8812</v>
      </c>
      <c r="J10" s="74">
        <v>-17851</v>
      </c>
      <c r="K10" s="74">
        <v>-15082</v>
      </c>
      <c r="L10" s="74">
        <v>-53956</v>
      </c>
      <c r="M10" s="74">
        <v>-51963</v>
      </c>
      <c r="N10" s="76">
        <f t="shared" si="0"/>
        <v>3.8354213575043872E-2</v>
      </c>
    </row>
    <row r="11" spans="1:14" x14ac:dyDescent="0.25">
      <c r="A11" s="52" t="s">
        <v>216</v>
      </c>
      <c r="B11" s="36" t="s">
        <v>34</v>
      </c>
      <c r="C11" s="9">
        <v>-29425.627530000002</v>
      </c>
      <c r="D11" s="9">
        <v>-23316.516880000003</v>
      </c>
      <c r="E11" s="9">
        <v>-22160</v>
      </c>
      <c r="F11" s="9">
        <v>-17582</v>
      </c>
      <c r="H11" s="9">
        <v>-6085</v>
      </c>
      <c r="I11" s="9">
        <v>-4772</v>
      </c>
      <c r="J11" s="74">
        <v>-13315</v>
      </c>
      <c r="K11" s="74">
        <v>-8127</v>
      </c>
      <c r="L11" s="74">
        <v>-22386</v>
      </c>
      <c r="M11" s="74">
        <v>-9619</v>
      </c>
      <c r="N11" s="76">
        <f t="shared" si="0"/>
        <v>1.3272689468759746</v>
      </c>
    </row>
    <row r="12" spans="1:14" x14ac:dyDescent="0.25">
      <c r="A12" s="52" t="s">
        <v>217</v>
      </c>
      <c r="B12" s="36" t="s">
        <v>34</v>
      </c>
      <c r="C12" s="9">
        <v>-27236.372469999998</v>
      </c>
      <c r="D12" s="9">
        <v>-25567.483119999997</v>
      </c>
      <c r="E12" s="9">
        <v>-36624</v>
      </c>
      <c r="F12" s="9">
        <v>-31152</v>
      </c>
      <c r="H12" s="9">
        <v>-10777</v>
      </c>
      <c r="I12" s="9">
        <v>-5576</v>
      </c>
      <c r="J12" s="74">
        <v>-21771</v>
      </c>
      <c r="K12" s="74">
        <v>-12171</v>
      </c>
      <c r="L12" s="74">
        <v>-33223</v>
      </c>
      <c r="M12" s="74">
        <v>-21619</v>
      </c>
      <c r="N12" s="76">
        <f t="shared" si="0"/>
        <v>0.53675008094731491</v>
      </c>
    </row>
    <row r="13" spans="1:14" x14ac:dyDescent="0.25">
      <c r="A13" s="52" t="s">
        <v>218</v>
      </c>
      <c r="B13" s="36" t="s">
        <v>34</v>
      </c>
      <c r="C13" s="9">
        <v>-67308</v>
      </c>
      <c r="D13" s="9">
        <v>-60323</v>
      </c>
      <c r="E13" s="9">
        <v>-51627</v>
      </c>
      <c r="F13" s="9">
        <v>-50491</v>
      </c>
      <c r="H13" s="9">
        <v>-11612</v>
      </c>
      <c r="I13" s="9">
        <v>-16574</v>
      </c>
      <c r="J13" s="74">
        <v>-19595</v>
      </c>
      <c r="K13" s="74">
        <v>-21807</v>
      </c>
      <c r="L13" s="74">
        <v>-34934</v>
      </c>
      <c r="M13" s="74">
        <v>-35547</v>
      </c>
      <c r="N13" s="76">
        <f t="shared" si="0"/>
        <v>-1.7244774523869855E-2</v>
      </c>
    </row>
    <row r="14" spans="1:14" x14ac:dyDescent="0.25">
      <c r="A14" s="52" t="s">
        <v>219</v>
      </c>
      <c r="B14" s="36" t="s">
        <v>34</v>
      </c>
      <c r="C14" s="9">
        <v>-78535</v>
      </c>
      <c r="D14" s="9">
        <v>-70830</v>
      </c>
      <c r="E14" s="9">
        <v>-79597</v>
      </c>
      <c r="F14" s="9">
        <v>-89173</v>
      </c>
      <c r="H14" s="9">
        <v>-16150</v>
      </c>
      <c r="I14" s="9">
        <v>-19127</v>
      </c>
      <c r="J14" s="74">
        <v>-26266</v>
      </c>
      <c r="K14" s="74">
        <v>-40483</v>
      </c>
      <c r="L14" s="74">
        <v>-45155</v>
      </c>
      <c r="M14" s="74">
        <v>-60831</v>
      </c>
      <c r="N14" s="76">
        <f t="shared" si="0"/>
        <v>-0.25769755552267759</v>
      </c>
    </row>
    <row r="15" spans="1:14" x14ac:dyDescent="0.25">
      <c r="A15" s="52" t="s">
        <v>220</v>
      </c>
      <c r="B15" s="36" t="s">
        <v>34</v>
      </c>
      <c r="C15" s="9"/>
      <c r="D15" s="9"/>
      <c r="E15" s="9">
        <v>-52513</v>
      </c>
      <c r="F15" s="9">
        <v>-73781</v>
      </c>
      <c r="H15" s="9">
        <v>-12575</v>
      </c>
      <c r="I15" s="9">
        <v>-13399</v>
      </c>
      <c r="J15" s="74">
        <v>-24317</v>
      </c>
      <c r="K15" s="74">
        <v>-24272</v>
      </c>
      <c r="L15" s="74">
        <v>-46923</v>
      </c>
      <c r="M15" s="74">
        <v>-42375</v>
      </c>
      <c r="N15" s="76">
        <f t="shared" si="0"/>
        <v>0.10732743362831854</v>
      </c>
    </row>
    <row r="16" spans="1:14" x14ac:dyDescent="0.25">
      <c r="A16" s="52" t="s">
        <v>167</v>
      </c>
      <c r="B16" s="36" t="s">
        <v>34</v>
      </c>
      <c r="C16" s="9">
        <v>-88555</v>
      </c>
      <c r="D16" s="9">
        <v>-82015</v>
      </c>
      <c r="E16" s="9">
        <v>-120725</v>
      </c>
      <c r="F16" s="9">
        <v>-107724</v>
      </c>
      <c r="H16" s="9">
        <v>-23686</v>
      </c>
      <c r="I16" s="9">
        <v>-24338</v>
      </c>
      <c r="J16" s="74">
        <v>-39139</v>
      </c>
      <c r="K16" s="74">
        <v>-48094</v>
      </c>
      <c r="L16" s="74">
        <v>-68266</v>
      </c>
      <c r="M16" s="74">
        <v>-72932</v>
      </c>
      <c r="N16" s="76">
        <f t="shared" si="0"/>
        <v>-6.3977403608841077E-2</v>
      </c>
    </row>
    <row r="17" spans="1:14" x14ac:dyDescent="0.25">
      <c r="A17" s="52" t="s">
        <v>221</v>
      </c>
      <c r="B17" s="36" t="s">
        <v>34</v>
      </c>
      <c r="C17" s="9">
        <v>-38131</v>
      </c>
      <c r="D17" s="9">
        <v>-50698</v>
      </c>
      <c r="E17" s="9">
        <v>-57195</v>
      </c>
      <c r="F17" s="9">
        <v>-51326</v>
      </c>
      <c r="H17" s="9">
        <v>-13585</v>
      </c>
      <c r="I17" s="9">
        <v>-15224</v>
      </c>
      <c r="J17" s="74">
        <v>-23706</v>
      </c>
      <c r="K17" s="74">
        <v>-23152</v>
      </c>
      <c r="L17" s="74">
        <v>-38091</v>
      </c>
      <c r="M17" s="74">
        <v>-36632</v>
      </c>
      <c r="N17" s="76">
        <f t="shared" si="0"/>
        <v>3.9828565188905873E-2</v>
      </c>
    </row>
    <row r="18" spans="1:14" x14ac:dyDescent="0.25">
      <c r="A18" s="52" t="s">
        <v>222</v>
      </c>
      <c r="B18" s="36" t="s">
        <v>34</v>
      </c>
      <c r="C18" s="9"/>
      <c r="D18" s="9"/>
      <c r="E18" s="9">
        <v>-47881</v>
      </c>
      <c r="F18" s="9">
        <v>-27753</v>
      </c>
      <c r="H18" s="9">
        <v>0</v>
      </c>
      <c r="I18" s="9">
        <v>-1100</v>
      </c>
      <c r="J18" s="74">
        <v>0</v>
      </c>
      <c r="K18" s="74">
        <v>-27267</v>
      </c>
      <c r="L18" s="74">
        <v>0</v>
      </c>
      <c r="M18" s="74">
        <v>-27753</v>
      </c>
      <c r="N18" s="76">
        <f t="shared" si="0"/>
        <v>-1</v>
      </c>
    </row>
    <row r="19" spans="1:14" x14ac:dyDescent="0.25">
      <c r="A19" s="52" t="s">
        <v>223</v>
      </c>
      <c r="B19" s="36" t="s">
        <v>34</v>
      </c>
      <c r="C19" s="9">
        <v>-6551.5997200000002</v>
      </c>
      <c r="D19" s="9">
        <v>-16149</v>
      </c>
      <c r="E19" s="9">
        <v>-14814</v>
      </c>
      <c r="F19" s="9">
        <v>-40489</v>
      </c>
      <c r="H19" s="9">
        <v>-5690</v>
      </c>
      <c r="I19" s="9">
        <v>-3865</v>
      </c>
      <c r="J19" s="74">
        <v>-27137</v>
      </c>
      <c r="K19" s="74">
        <v>-11740</v>
      </c>
      <c r="L19" s="74">
        <v>-42453</v>
      </c>
      <c r="M19" s="74">
        <v>-28239</v>
      </c>
      <c r="N19" s="76">
        <f t="shared" si="0"/>
        <v>0.50334643578030391</v>
      </c>
    </row>
    <row r="20" spans="1:14" x14ac:dyDescent="0.25">
      <c r="A20" s="52" t="s">
        <v>224</v>
      </c>
      <c r="B20" s="36" t="s">
        <v>34</v>
      </c>
      <c r="C20" s="9"/>
      <c r="D20" s="9"/>
      <c r="E20" s="9">
        <v>0</v>
      </c>
      <c r="F20" s="9">
        <v>-12106</v>
      </c>
      <c r="H20" s="9">
        <v>-359</v>
      </c>
      <c r="I20" s="9">
        <v>0</v>
      </c>
      <c r="J20" s="74">
        <v>-1442</v>
      </c>
      <c r="K20" s="74">
        <v>-2775</v>
      </c>
      <c r="L20" s="74">
        <v>-2139</v>
      </c>
      <c r="M20" s="74">
        <v>-21162</v>
      </c>
      <c r="N20" s="76">
        <f t="shared" si="0"/>
        <v>-0.8989225971080238</v>
      </c>
    </row>
    <row r="21" spans="1:14" x14ac:dyDescent="0.25">
      <c r="A21" s="52" t="s">
        <v>225</v>
      </c>
      <c r="B21" s="36" t="s">
        <v>34</v>
      </c>
      <c r="C21" s="9">
        <v>-1191</v>
      </c>
      <c r="D21" s="9">
        <v>-1273</v>
      </c>
      <c r="E21" s="9">
        <v>-4332</v>
      </c>
      <c r="F21" s="9">
        <v>-4262</v>
      </c>
      <c r="H21" s="9">
        <v>178</v>
      </c>
      <c r="I21" s="9">
        <v>-709</v>
      </c>
      <c r="J21" s="74">
        <v>24</v>
      </c>
      <c r="K21" s="74">
        <v>-3105</v>
      </c>
      <c r="L21" s="74">
        <v>503</v>
      </c>
      <c r="M21" s="74">
        <v>-6811</v>
      </c>
      <c r="N21" s="76">
        <f t="shared" si="0"/>
        <v>-1.0738511231830863</v>
      </c>
    </row>
    <row r="22" spans="1:14" s="29" customFormat="1" x14ac:dyDescent="0.25">
      <c r="A22" s="40"/>
      <c r="B22" s="42" t="s">
        <v>34</v>
      </c>
      <c r="C22" s="14">
        <f t="shared" ref="C22:D22" si="1">SUM(C7:C21)</f>
        <v>-659543</v>
      </c>
      <c r="D22" s="14">
        <f t="shared" si="1"/>
        <v>-710058</v>
      </c>
      <c r="E22" s="14">
        <f>SUM(E7:E21)</f>
        <v>-915090</v>
      </c>
      <c r="F22" s="14">
        <f>SUM(F7:F21)</f>
        <v>-906489</v>
      </c>
      <c r="H22" s="14">
        <f t="shared" ref="H22:K22" si="2">SUM(H7:H21)</f>
        <v>-237754</v>
      </c>
      <c r="I22" s="14">
        <f t="shared" si="2"/>
        <v>-215104</v>
      </c>
      <c r="J22" s="14">
        <f t="shared" si="2"/>
        <v>-456225</v>
      </c>
      <c r="K22" s="14">
        <f t="shared" si="2"/>
        <v>-397464</v>
      </c>
      <c r="L22" s="14">
        <f t="shared" ref="L22:M22" si="3">SUM(L7:L21)</f>
        <v>-754043</v>
      </c>
      <c r="M22" s="14">
        <f t="shared" si="3"/>
        <v>-674616</v>
      </c>
      <c r="N22" s="20">
        <f>IFERROR(L22/M22-1,"n.a.")</f>
        <v>0.11773660867812197</v>
      </c>
    </row>
    <row r="23" spans="1:14" x14ac:dyDescent="0.25">
      <c r="A23" s="52"/>
      <c r="B23" s="36"/>
      <c r="C23" s="9"/>
      <c r="D23" s="9"/>
      <c r="E23" s="9"/>
      <c r="F23" s="9"/>
      <c r="H23" s="9"/>
      <c r="I23" s="9"/>
      <c r="J23" s="9"/>
      <c r="K23" s="9"/>
      <c r="L23" s="9"/>
      <c r="M23" s="9"/>
      <c r="N23" s="19"/>
    </row>
    <row r="24" spans="1:14" x14ac:dyDescent="0.25">
      <c r="A24" s="52" t="s">
        <v>226</v>
      </c>
      <c r="B24" s="36"/>
      <c r="C24" s="9"/>
      <c r="D24" s="9"/>
      <c r="E24" s="9"/>
      <c r="F24" s="9"/>
      <c r="H24" s="9"/>
      <c r="I24" s="9"/>
      <c r="J24" s="9"/>
      <c r="K24" s="9"/>
      <c r="L24" s="9"/>
      <c r="M24" s="9"/>
      <c r="N24" s="19"/>
    </row>
    <row r="25" spans="1:14" x14ac:dyDescent="0.25">
      <c r="A25" s="52" t="s">
        <v>85</v>
      </c>
      <c r="B25" s="36" t="s">
        <v>34</v>
      </c>
      <c r="C25" s="9">
        <v>-588126</v>
      </c>
      <c r="D25" s="9">
        <v>-624778</v>
      </c>
      <c r="E25" s="9">
        <v>-789663</v>
      </c>
      <c r="F25" s="9">
        <v>-847996</v>
      </c>
      <c r="H25" s="9">
        <v>-230527</v>
      </c>
      <c r="I25" s="9">
        <v>-201159</v>
      </c>
      <c r="J25" s="9">
        <v>-442757</v>
      </c>
      <c r="K25" s="9">
        <v>-357310</v>
      </c>
      <c r="L25" s="9">
        <v>-707297</v>
      </c>
      <c r="M25" s="9">
        <v>-591646</v>
      </c>
      <c r="N25" s="76">
        <f t="shared" ref="N25:N28" si="4">IFERROR(L25/M25-1,"n.a.")</f>
        <v>0.19547330667324725</v>
      </c>
    </row>
    <row r="26" spans="1:14" x14ac:dyDescent="0.25">
      <c r="A26" s="52" t="s">
        <v>86</v>
      </c>
      <c r="B26" s="36" t="s">
        <v>34</v>
      </c>
      <c r="C26" s="9">
        <v>19758</v>
      </c>
      <c r="D26" s="9">
        <v>-6541</v>
      </c>
      <c r="E26" s="9">
        <v>-29871</v>
      </c>
      <c r="F26" s="9">
        <v>31640</v>
      </c>
      <c r="H26" s="9">
        <v>21966</v>
      </c>
      <c r="I26" s="9">
        <v>3258</v>
      </c>
      <c r="J26" s="9">
        <v>41606</v>
      </c>
      <c r="K26" s="9">
        <v>-488</v>
      </c>
      <c r="L26" s="9">
        <v>38240</v>
      </c>
      <c r="M26" s="9">
        <v>-19350</v>
      </c>
      <c r="N26" s="76">
        <f t="shared" si="4"/>
        <v>-2.9762273901808785</v>
      </c>
    </row>
    <row r="27" spans="1:14" x14ac:dyDescent="0.25">
      <c r="A27" s="52" t="s">
        <v>88</v>
      </c>
      <c r="B27" s="36" t="s">
        <v>34</v>
      </c>
      <c r="C27" s="9">
        <v>-47060</v>
      </c>
      <c r="D27" s="9">
        <v>-42517</v>
      </c>
      <c r="E27" s="9">
        <v>-53352</v>
      </c>
      <c r="F27" s="9">
        <v>-49392</v>
      </c>
      <c r="H27" s="9">
        <v>-14911</v>
      </c>
      <c r="I27" s="9">
        <v>-10394</v>
      </c>
      <c r="J27" s="9">
        <v>-31089</v>
      </c>
      <c r="K27" s="9">
        <v>-21816</v>
      </c>
      <c r="L27" s="9">
        <v>-46047</v>
      </c>
      <c r="M27" s="9">
        <v>-33920</v>
      </c>
      <c r="N27" s="76">
        <f t="shared" si="4"/>
        <v>0.35751768867924527</v>
      </c>
    </row>
    <row r="28" spans="1:14" x14ac:dyDescent="0.25">
      <c r="A28" s="52" t="s">
        <v>89</v>
      </c>
      <c r="B28" s="36" t="s">
        <v>34</v>
      </c>
      <c r="C28" s="9">
        <v>-44115</v>
      </c>
      <c r="D28" s="9">
        <v>-36222</v>
      </c>
      <c r="E28" s="9">
        <v>-42204</v>
      </c>
      <c r="F28" s="9">
        <v>-40741</v>
      </c>
      <c r="H28" s="9">
        <v>-14282</v>
      </c>
      <c r="I28" s="9">
        <v>-6809</v>
      </c>
      <c r="J28" s="9">
        <v>-23985</v>
      </c>
      <c r="K28" s="9">
        <v>-17850</v>
      </c>
      <c r="L28" s="9">
        <v>-38939</v>
      </c>
      <c r="M28" s="9">
        <v>-29700</v>
      </c>
      <c r="N28" s="76">
        <f t="shared" si="4"/>
        <v>0.31107744107744106</v>
      </c>
    </row>
    <row r="29" spans="1:14" s="29" customFormat="1" x14ac:dyDescent="0.25">
      <c r="A29" s="40"/>
      <c r="B29" s="42" t="s">
        <v>34</v>
      </c>
      <c r="C29" s="14">
        <f t="shared" ref="C29:D29" si="5">SUM(C25:C28)</f>
        <v>-659543</v>
      </c>
      <c r="D29" s="14">
        <f t="shared" si="5"/>
        <v>-710058</v>
      </c>
      <c r="E29" s="14">
        <f>SUM(E25:E28)</f>
        <v>-915090</v>
      </c>
      <c r="F29" s="14">
        <f>SUM(F25:F28)</f>
        <v>-906489</v>
      </c>
      <c r="H29" s="14">
        <f>SUM(H25:H28)</f>
        <v>-237754</v>
      </c>
      <c r="I29" s="14">
        <f>SUM(I25:I28)</f>
        <v>-215104</v>
      </c>
      <c r="J29" s="14">
        <f t="shared" ref="J29:K29" si="6">SUM(J25:J28)</f>
        <v>-456225</v>
      </c>
      <c r="K29" s="14">
        <f t="shared" si="6"/>
        <v>-397464</v>
      </c>
      <c r="L29" s="14">
        <f t="shared" ref="L29:M29" si="7">SUM(L25:L28)</f>
        <v>-754043</v>
      </c>
      <c r="M29" s="14">
        <f t="shared" si="7"/>
        <v>-674616</v>
      </c>
      <c r="N29" s="20">
        <f>IFERROR(L29/M29-1,"n.a.")</f>
        <v>0.11773660867812197</v>
      </c>
    </row>
    <row r="30" spans="1:14" s="29" customFormat="1" x14ac:dyDescent="0.25">
      <c r="A30" s="78"/>
      <c r="B30" s="79"/>
      <c r="C30" s="14"/>
      <c r="D30" s="14"/>
      <c r="E30" s="14"/>
      <c r="F30" s="14"/>
      <c r="H30" s="14"/>
      <c r="I30" s="14"/>
      <c r="J30" s="14"/>
      <c r="K30" s="14"/>
      <c r="L30" s="14"/>
      <c r="M30" s="14"/>
      <c r="N30" s="20"/>
    </row>
    <row r="31" spans="1:14" ht="16.5" x14ac:dyDescent="0.25">
      <c r="A31" s="33" t="s">
        <v>52</v>
      </c>
      <c r="B31" s="33"/>
      <c r="C31" s="75"/>
      <c r="D31" s="75"/>
      <c r="E31" s="75"/>
      <c r="F31" s="75"/>
      <c r="H31" s="75"/>
      <c r="I31" s="75"/>
      <c r="J31" s="75"/>
      <c r="K31" s="75"/>
      <c r="L31" s="75"/>
      <c r="M31" s="75"/>
      <c r="N31" s="77"/>
    </row>
    <row r="32" spans="1:14" x14ac:dyDescent="0.25">
      <c r="A32" s="52" t="s">
        <v>213</v>
      </c>
      <c r="B32" s="36" t="s">
        <v>34</v>
      </c>
      <c r="C32" s="74"/>
      <c r="D32" s="74">
        <f>+D57-D7</f>
        <v>0</v>
      </c>
      <c r="E32" s="74">
        <f t="shared" ref="E32:F32" si="8">+E57-E7</f>
        <v>-68608</v>
      </c>
      <c r="F32" s="74">
        <f t="shared" si="8"/>
        <v>-315768</v>
      </c>
      <c r="H32" s="74">
        <f t="shared" ref="H32:I32" si="9">+H57-H7</f>
        <v>-61013</v>
      </c>
      <c r="I32" s="74">
        <f t="shared" si="9"/>
        <v>-63976</v>
      </c>
      <c r="J32" s="74">
        <f t="shared" ref="J32:K32" si="10">+J57-J7</f>
        <v>-137619</v>
      </c>
      <c r="K32" s="74">
        <f t="shared" si="10"/>
        <v>-141377</v>
      </c>
      <c r="L32" s="74">
        <f t="shared" ref="L32:M32" si="11">+L57-L7</f>
        <v>-344577</v>
      </c>
      <c r="M32" s="74">
        <f t="shared" si="11"/>
        <v>-242899</v>
      </c>
      <c r="N32" s="76">
        <f t="shared" ref="N32:N46" si="12">IFERROR(L32/M32-1,"n.a.")</f>
        <v>0.41860197036628399</v>
      </c>
    </row>
    <row r="33" spans="1:14" x14ac:dyDescent="0.25">
      <c r="A33" s="52" t="s">
        <v>86</v>
      </c>
      <c r="B33" s="36" t="s">
        <v>34</v>
      </c>
      <c r="C33" s="9"/>
      <c r="D33" s="9">
        <f t="shared" ref="D33:F54" si="13">+D58-D8</f>
        <v>0</v>
      </c>
      <c r="E33" s="9">
        <f t="shared" si="13"/>
        <v>0</v>
      </c>
      <c r="F33" s="9">
        <f t="shared" si="13"/>
        <v>0</v>
      </c>
      <c r="H33" s="9">
        <f t="shared" ref="H33:I33" si="14">+H58-H8</f>
        <v>0</v>
      </c>
      <c r="I33" s="9">
        <f t="shared" si="14"/>
        <v>0</v>
      </c>
      <c r="J33" s="9">
        <f t="shared" ref="J33:K33" si="15">+J58-J8</f>
        <v>0</v>
      </c>
      <c r="K33" s="9">
        <f t="shared" si="15"/>
        <v>976</v>
      </c>
      <c r="L33" s="9">
        <f t="shared" ref="L33:M33" si="16">+L58-L8</f>
        <v>0</v>
      </c>
      <c r="M33" s="9">
        <f t="shared" si="16"/>
        <v>0</v>
      </c>
      <c r="N33" s="76" t="str">
        <f t="shared" si="12"/>
        <v>n.a.</v>
      </c>
    </row>
    <row r="34" spans="1:14" x14ac:dyDescent="0.25">
      <c r="A34" s="52" t="s">
        <v>214</v>
      </c>
      <c r="B34" s="36" t="s">
        <v>34</v>
      </c>
      <c r="C34" s="9"/>
      <c r="D34" s="9">
        <f t="shared" si="13"/>
        <v>-1345</v>
      </c>
      <c r="E34" s="9">
        <f t="shared" si="13"/>
        <v>-15149</v>
      </c>
      <c r="F34" s="9">
        <f t="shared" si="13"/>
        <v>-21326</v>
      </c>
      <c r="H34" s="9">
        <f t="shared" ref="H34:I34" si="17">+H59-H9</f>
        <v>-6136</v>
      </c>
      <c r="I34" s="9">
        <f t="shared" si="17"/>
        <v>-3151</v>
      </c>
      <c r="J34" s="9">
        <f t="shared" ref="J34:K34" si="18">+J59-J9</f>
        <v>-11766</v>
      </c>
      <c r="K34" s="9">
        <f t="shared" si="18"/>
        <v>-10293</v>
      </c>
      <c r="L34" s="9">
        <f t="shared" ref="L34:M34" si="19">+L59-L9</f>
        <v>-20151</v>
      </c>
      <c r="M34" s="9">
        <f t="shared" si="19"/>
        <v>-14056</v>
      </c>
      <c r="N34" s="76">
        <f t="shared" si="12"/>
        <v>0.43362265224815033</v>
      </c>
    </row>
    <row r="35" spans="1:14" x14ac:dyDescent="0.25">
      <c r="A35" s="52" t="s">
        <v>215</v>
      </c>
      <c r="B35" s="36" t="s">
        <v>34</v>
      </c>
      <c r="C35" s="9"/>
      <c r="D35" s="9">
        <f t="shared" si="13"/>
        <v>-110</v>
      </c>
      <c r="E35" s="9">
        <f t="shared" si="13"/>
        <v>-7325</v>
      </c>
      <c r="F35" s="9">
        <f t="shared" si="13"/>
        <v>-9498</v>
      </c>
      <c r="H35" s="9">
        <f t="shared" ref="H35:I35" si="20">+H60-H10</f>
        <v>-1825</v>
      </c>
      <c r="I35" s="9">
        <f t="shared" si="20"/>
        <v>-1536</v>
      </c>
      <c r="J35" s="9">
        <f t="shared" ref="J35:K35" si="21">+J60-J10</f>
        <v>-4713</v>
      </c>
      <c r="K35" s="9">
        <f t="shared" si="21"/>
        <v>-12566</v>
      </c>
      <c r="L35" s="9">
        <f t="shared" ref="L35:M35" si="22">+L60-L10</f>
        <v>-6776</v>
      </c>
      <c r="M35" s="9">
        <f t="shared" si="22"/>
        <v>3223</v>
      </c>
      <c r="N35" s="76">
        <f t="shared" si="12"/>
        <v>-3.1023890784982937</v>
      </c>
    </row>
    <row r="36" spans="1:14" x14ac:dyDescent="0.25">
      <c r="A36" s="52" t="s">
        <v>216</v>
      </c>
      <c r="B36" s="36" t="s">
        <v>34</v>
      </c>
      <c r="C36" s="9"/>
      <c r="D36" s="9">
        <f t="shared" si="13"/>
        <v>-2456</v>
      </c>
      <c r="E36" s="9">
        <f t="shared" si="13"/>
        <v>-10383</v>
      </c>
      <c r="F36" s="9">
        <f t="shared" si="13"/>
        <v>-10018</v>
      </c>
      <c r="H36" s="9">
        <f t="shared" ref="H36:I36" si="23">+H61-H11</f>
        <v>-2595</v>
      </c>
      <c r="I36" s="9">
        <f t="shared" si="23"/>
        <v>-1795</v>
      </c>
      <c r="J36" s="9">
        <f t="shared" ref="J36:K36" si="24">+J61-J11</f>
        <v>-4773</v>
      </c>
      <c r="K36" s="9">
        <f t="shared" si="24"/>
        <v>-936</v>
      </c>
      <c r="L36" s="9">
        <f t="shared" ref="L36:M36" si="25">+L61-L11</f>
        <v>-7728</v>
      </c>
      <c r="M36" s="9">
        <f t="shared" si="25"/>
        <v>-6298</v>
      </c>
      <c r="N36" s="76">
        <f t="shared" si="12"/>
        <v>0.22705620832010154</v>
      </c>
    </row>
    <row r="37" spans="1:14" x14ac:dyDescent="0.25">
      <c r="A37" s="52" t="s">
        <v>217</v>
      </c>
      <c r="B37" s="36" t="s">
        <v>34</v>
      </c>
      <c r="C37" s="9"/>
      <c r="D37" s="9">
        <f t="shared" si="13"/>
        <v>0</v>
      </c>
      <c r="E37" s="9">
        <f t="shared" si="13"/>
        <v>0</v>
      </c>
      <c r="F37" s="9">
        <f t="shared" si="13"/>
        <v>-22478</v>
      </c>
      <c r="H37" s="9">
        <f t="shared" ref="H37:I37" si="26">+H62-H12</f>
        <v>-5390</v>
      </c>
      <c r="I37" s="9">
        <f t="shared" si="26"/>
        <v>-2580</v>
      </c>
      <c r="J37" s="9">
        <f t="shared" ref="J37:K37" si="27">+J62-J12</f>
        <v>-11430</v>
      </c>
      <c r="K37" s="9">
        <f t="shared" si="27"/>
        <v>-8047</v>
      </c>
      <c r="L37" s="9">
        <f t="shared" ref="L37:M37" si="28">+L62-L12</f>
        <v>-23016</v>
      </c>
      <c r="M37" s="9">
        <f t="shared" si="28"/>
        <v>-9466</v>
      </c>
      <c r="N37" s="76">
        <f t="shared" si="12"/>
        <v>1.4314388337206845</v>
      </c>
    </row>
    <row r="38" spans="1:14" x14ac:dyDescent="0.25">
      <c r="A38" s="52" t="s">
        <v>218</v>
      </c>
      <c r="B38" s="36" t="s">
        <v>34</v>
      </c>
      <c r="C38" s="9"/>
      <c r="D38" s="9">
        <f t="shared" si="13"/>
        <v>-8</v>
      </c>
      <c r="E38" s="9">
        <f t="shared" si="13"/>
        <v>-2906</v>
      </c>
      <c r="F38" s="9">
        <f t="shared" si="13"/>
        <v>-12152</v>
      </c>
      <c r="H38" s="9">
        <f t="shared" ref="H38:I38" si="29">+H63-H13</f>
        <v>-3089</v>
      </c>
      <c r="I38" s="9">
        <f t="shared" si="29"/>
        <v>-3014</v>
      </c>
      <c r="J38" s="9">
        <f t="shared" ref="J38:K38" si="30">+J63-J13</f>
        <v>-6181</v>
      </c>
      <c r="K38" s="9">
        <f t="shared" si="30"/>
        <v>-6056</v>
      </c>
      <c r="L38" s="9">
        <f t="shared" ref="L38:M38" si="31">+L63-L13</f>
        <v>-9287</v>
      </c>
      <c r="M38" s="9">
        <f t="shared" si="31"/>
        <v>-9101</v>
      </c>
      <c r="N38" s="76">
        <f t="shared" si="12"/>
        <v>2.0437314580815213E-2</v>
      </c>
    </row>
    <row r="39" spans="1:14" x14ac:dyDescent="0.25">
      <c r="A39" s="52" t="s">
        <v>219</v>
      </c>
      <c r="B39" s="36" t="s">
        <v>34</v>
      </c>
      <c r="C39" s="9"/>
      <c r="D39" s="9">
        <f t="shared" si="13"/>
        <v>0</v>
      </c>
      <c r="E39" s="9">
        <f t="shared" si="13"/>
        <v>0</v>
      </c>
      <c r="F39" s="9">
        <f t="shared" si="13"/>
        <v>0</v>
      </c>
      <c r="H39" s="9">
        <f t="shared" ref="H39:I39" si="32">+H64-H14</f>
        <v>0</v>
      </c>
      <c r="I39" s="9">
        <f t="shared" si="32"/>
        <v>0</v>
      </c>
      <c r="J39" s="9">
        <f t="shared" ref="J39:K39" si="33">+J64-J14</f>
        <v>0</v>
      </c>
      <c r="K39" s="9">
        <f t="shared" si="33"/>
        <v>0</v>
      </c>
      <c r="L39" s="9">
        <f t="shared" ref="L39:M39" si="34">+L64-L14</f>
        <v>0</v>
      </c>
      <c r="M39" s="9">
        <f t="shared" si="34"/>
        <v>0</v>
      </c>
      <c r="N39" s="76" t="str">
        <f t="shared" si="12"/>
        <v>n.a.</v>
      </c>
    </row>
    <row r="40" spans="1:14" x14ac:dyDescent="0.25">
      <c r="A40" s="52" t="s">
        <v>220</v>
      </c>
      <c r="B40" s="36" t="s">
        <v>34</v>
      </c>
      <c r="C40" s="9"/>
      <c r="D40" s="9">
        <f t="shared" si="13"/>
        <v>0</v>
      </c>
      <c r="E40" s="9">
        <f t="shared" si="13"/>
        <v>0</v>
      </c>
      <c r="F40" s="9">
        <f t="shared" si="13"/>
        <v>0</v>
      </c>
      <c r="H40" s="9">
        <f t="shared" ref="H40:I40" si="35">+H65-H15</f>
        <v>0</v>
      </c>
      <c r="I40" s="9">
        <f t="shared" si="35"/>
        <v>0</v>
      </c>
      <c r="J40" s="9">
        <f t="shared" ref="J40:K40" si="36">+J65-J15</f>
        <v>0</v>
      </c>
      <c r="K40" s="9">
        <f t="shared" si="36"/>
        <v>0</v>
      </c>
      <c r="L40" s="9">
        <f t="shared" ref="L40:M40" si="37">+L65-L15</f>
        <v>0</v>
      </c>
      <c r="M40" s="9">
        <f t="shared" si="37"/>
        <v>0</v>
      </c>
      <c r="N40" s="76" t="str">
        <f t="shared" si="12"/>
        <v>n.a.</v>
      </c>
    </row>
    <row r="41" spans="1:14" x14ac:dyDescent="0.25">
      <c r="A41" s="52" t="s">
        <v>167</v>
      </c>
      <c r="B41" s="36" t="s">
        <v>34</v>
      </c>
      <c r="C41" s="9"/>
      <c r="D41" s="9">
        <f t="shared" si="13"/>
        <v>0</v>
      </c>
      <c r="E41" s="9">
        <f t="shared" si="13"/>
        <v>0</v>
      </c>
      <c r="F41" s="9">
        <f t="shared" si="13"/>
        <v>0</v>
      </c>
      <c r="H41" s="9">
        <f t="shared" ref="H41:I41" si="38">+H66-H16</f>
        <v>0</v>
      </c>
      <c r="I41" s="9">
        <f t="shared" si="38"/>
        <v>0</v>
      </c>
      <c r="J41" s="9">
        <f t="shared" ref="J41:K41" si="39">+J66-J16</f>
        <v>0</v>
      </c>
      <c r="K41" s="9">
        <f t="shared" si="39"/>
        <v>0</v>
      </c>
      <c r="L41" s="9">
        <f t="shared" ref="L41:M41" si="40">+L66-L16</f>
        <v>0</v>
      </c>
      <c r="M41" s="9">
        <f t="shared" si="40"/>
        <v>0</v>
      </c>
      <c r="N41" s="76" t="str">
        <f t="shared" si="12"/>
        <v>n.a.</v>
      </c>
    </row>
    <row r="42" spans="1:14" x14ac:dyDescent="0.25">
      <c r="A42" s="52" t="s">
        <v>221</v>
      </c>
      <c r="B42" s="36" t="s">
        <v>34</v>
      </c>
      <c r="C42" s="9"/>
      <c r="D42" s="9">
        <f t="shared" si="13"/>
        <v>0</v>
      </c>
      <c r="E42" s="9">
        <f t="shared" si="13"/>
        <v>0</v>
      </c>
      <c r="F42" s="9">
        <f t="shared" si="13"/>
        <v>0</v>
      </c>
      <c r="H42" s="9">
        <f t="shared" ref="H42:I42" si="41">+H67-H17</f>
        <v>0</v>
      </c>
      <c r="I42" s="9">
        <f t="shared" si="41"/>
        <v>0</v>
      </c>
      <c r="J42" s="9">
        <f t="shared" ref="J42:K42" si="42">+J67-J17</f>
        <v>0</v>
      </c>
      <c r="K42" s="9">
        <f t="shared" si="42"/>
        <v>0</v>
      </c>
      <c r="L42" s="9">
        <f t="shared" ref="L42:M42" si="43">+L67-L17</f>
        <v>0</v>
      </c>
      <c r="M42" s="9">
        <f t="shared" si="43"/>
        <v>0</v>
      </c>
      <c r="N42" s="76" t="str">
        <f t="shared" si="12"/>
        <v>n.a.</v>
      </c>
    </row>
    <row r="43" spans="1:14" x14ac:dyDescent="0.25">
      <c r="A43" s="52" t="s">
        <v>222</v>
      </c>
      <c r="B43" s="36" t="s">
        <v>34</v>
      </c>
      <c r="C43" s="9"/>
      <c r="D43" s="9">
        <f t="shared" si="13"/>
        <v>0</v>
      </c>
      <c r="E43" s="9">
        <f t="shared" si="13"/>
        <v>0</v>
      </c>
      <c r="F43" s="9">
        <f t="shared" si="13"/>
        <v>0</v>
      </c>
      <c r="H43" s="9">
        <f t="shared" ref="H43:I43" si="44">+H68-H18</f>
        <v>0</v>
      </c>
      <c r="I43" s="9">
        <f t="shared" si="44"/>
        <v>0</v>
      </c>
      <c r="J43" s="9">
        <f t="shared" ref="J43:K43" si="45">+J68-J18</f>
        <v>0</v>
      </c>
      <c r="K43" s="9">
        <f t="shared" si="45"/>
        <v>0</v>
      </c>
      <c r="L43" s="9">
        <f t="shared" ref="L43:M43" si="46">+L68-L18</f>
        <v>0</v>
      </c>
      <c r="M43" s="9">
        <f t="shared" si="46"/>
        <v>0</v>
      </c>
      <c r="N43" s="76" t="str">
        <f t="shared" si="12"/>
        <v>n.a.</v>
      </c>
    </row>
    <row r="44" spans="1:14" x14ac:dyDescent="0.25">
      <c r="A44" s="52" t="s">
        <v>223</v>
      </c>
      <c r="B44" s="36" t="s">
        <v>34</v>
      </c>
      <c r="C44" s="9"/>
      <c r="D44" s="9">
        <f t="shared" si="13"/>
        <v>0</v>
      </c>
      <c r="E44" s="9">
        <f t="shared" si="13"/>
        <v>0</v>
      </c>
      <c r="F44" s="9">
        <f t="shared" si="13"/>
        <v>0</v>
      </c>
      <c r="H44" s="9">
        <f t="shared" ref="H44:I44" si="47">+H69-H19</f>
        <v>0</v>
      </c>
      <c r="I44" s="9">
        <f t="shared" si="47"/>
        <v>0</v>
      </c>
      <c r="J44" s="9">
        <f t="shared" ref="J44:K44" si="48">+J69-J19</f>
        <v>0</v>
      </c>
      <c r="K44" s="9">
        <f t="shared" si="48"/>
        <v>0</v>
      </c>
      <c r="L44" s="9">
        <f t="shared" ref="L44:M44" si="49">+L69-L19</f>
        <v>0</v>
      </c>
      <c r="M44" s="9">
        <f t="shared" si="49"/>
        <v>0</v>
      </c>
      <c r="N44" s="76" t="str">
        <f t="shared" si="12"/>
        <v>n.a.</v>
      </c>
    </row>
    <row r="45" spans="1:14" x14ac:dyDescent="0.25">
      <c r="A45" s="52" t="s">
        <v>224</v>
      </c>
      <c r="B45" s="36" t="s">
        <v>34</v>
      </c>
      <c r="C45" s="9"/>
      <c r="D45" s="9">
        <f t="shared" si="13"/>
        <v>0</v>
      </c>
      <c r="E45" s="9">
        <f t="shared" si="13"/>
        <v>0</v>
      </c>
      <c r="F45" s="9">
        <f t="shared" si="13"/>
        <v>0</v>
      </c>
      <c r="H45" s="9">
        <f t="shared" ref="H45:I45" si="50">+H70-H20</f>
        <v>0</v>
      </c>
      <c r="I45" s="9">
        <f t="shared" si="50"/>
        <v>0</v>
      </c>
      <c r="J45" s="9">
        <f t="shared" ref="J45:K45" si="51">+J70-J20</f>
        <v>0</v>
      </c>
      <c r="K45" s="9">
        <f t="shared" si="51"/>
        <v>0</v>
      </c>
      <c r="L45" s="9">
        <f t="shared" ref="L45:M45" si="52">+L70-L20</f>
        <v>0</v>
      </c>
      <c r="M45" s="9">
        <f t="shared" si="52"/>
        <v>0</v>
      </c>
      <c r="N45" s="76" t="str">
        <f t="shared" si="12"/>
        <v>n.a.</v>
      </c>
    </row>
    <row r="46" spans="1:14" x14ac:dyDescent="0.25">
      <c r="A46" s="52" t="s">
        <v>225</v>
      </c>
      <c r="B46" s="36" t="s">
        <v>34</v>
      </c>
      <c r="C46" s="9"/>
      <c r="D46" s="9">
        <f t="shared" si="13"/>
        <v>-4197</v>
      </c>
      <c r="E46" s="9">
        <f t="shared" si="13"/>
        <v>-265</v>
      </c>
      <c r="F46" s="9">
        <f t="shared" si="13"/>
        <v>3400</v>
      </c>
      <c r="H46" s="9">
        <f t="shared" ref="H46:I46" si="53">+H71-H21</f>
        <v>-38</v>
      </c>
      <c r="I46" s="9">
        <f t="shared" si="53"/>
        <v>-984</v>
      </c>
      <c r="J46" s="9">
        <f t="shared" ref="J46:K46" si="54">+J71-J21</f>
        <v>-1463</v>
      </c>
      <c r="K46" s="9">
        <f t="shared" si="54"/>
        <v>-1200</v>
      </c>
      <c r="L46" s="9">
        <f t="shared" ref="L46:M46" si="55">+L71-L21</f>
        <v>-3257</v>
      </c>
      <c r="M46" s="9">
        <f t="shared" si="55"/>
        <v>-1156</v>
      </c>
      <c r="N46" s="76">
        <f t="shared" si="12"/>
        <v>1.8174740484429064</v>
      </c>
    </row>
    <row r="47" spans="1:14" s="29" customFormat="1" x14ac:dyDescent="0.25">
      <c r="A47" s="40"/>
      <c r="B47" s="42" t="s">
        <v>34</v>
      </c>
      <c r="C47" s="14"/>
      <c r="D47" s="14">
        <f t="shared" si="13"/>
        <v>-8116</v>
      </c>
      <c r="E47" s="14">
        <f t="shared" si="13"/>
        <v>-104636</v>
      </c>
      <c r="F47" s="14">
        <f t="shared" si="13"/>
        <v>-387840</v>
      </c>
      <c r="H47" s="14">
        <f t="shared" ref="H47:I47" si="56">+H72-H22</f>
        <v>-80086</v>
      </c>
      <c r="I47" s="14">
        <f t="shared" si="56"/>
        <v>-77036</v>
      </c>
      <c r="J47" s="14">
        <f t="shared" ref="J47:K47" si="57">+J72-J22</f>
        <v>-177945</v>
      </c>
      <c r="K47" s="14">
        <f t="shared" si="57"/>
        <v>-179499</v>
      </c>
      <c r="L47" s="14">
        <f t="shared" ref="L47:M47" si="58">+L72-L22</f>
        <v>-414792</v>
      </c>
      <c r="M47" s="14">
        <f t="shared" si="58"/>
        <v>-279753</v>
      </c>
      <c r="N47" s="20">
        <f>IFERROR(L47/M47-1,"n.a.")</f>
        <v>0.48270796023635132</v>
      </c>
    </row>
    <row r="48" spans="1:14" x14ac:dyDescent="0.25">
      <c r="A48" s="52"/>
      <c r="B48" s="36"/>
      <c r="C48" s="9"/>
      <c r="D48" s="9"/>
      <c r="E48" s="9"/>
      <c r="F48" s="9"/>
      <c r="H48" s="9"/>
      <c r="I48" s="9"/>
      <c r="J48" s="9"/>
      <c r="K48" s="9"/>
      <c r="L48" s="9"/>
      <c r="M48" s="9"/>
      <c r="N48" s="19"/>
    </row>
    <row r="49" spans="1:14" x14ac:dyDescent="0.25">
      <c r="A49" s="52" t="s">
        <v>226</v>
      </c>
      <c r="B49" s="36"/>
      <c r="C49" s="9"/>
      <c r="D49" s="9"/>
      <c r="E49" s="9"/>
      <c r="F49" s="9"/>
      <c r="H49" s="9"/>
      <c r="I49" s="9"/>
      <c r="J49" s="9"/>
      <c r="K49" s="9"/>
      <c r="L49" s="9"/>
      <c r="M49" s="9"/>
      <c r="N49" s="19"/>
    </row>
    <row r="50" spans="1:14" x14ac:dyDescent="0.25">
      <c r="A50" s="52" t="s">
        <v>85</v>
      </c>
      <c r="B50" s="36" t="s">
        <v>34</v>
      </c>
      <c r="C50" s="9"/>
      <c r="D50" s="9">
        <f t="shared" si="13"/>
        <v>0</v>
      </c>
      <c r="E50" s="9">
        <f t="shared" si="13"/>
        <v>-82531</v>
      </c>
      <c r="F50" s="9">
        <f t="shared" si="13"/>
        <v>-352156</v>
      </c>
      <c r="H50" s="9">
        <f t="shared" ref="H50:I50" si="59">+H75-H25</f>
        <v>-70814</v>
      </c>
      <c r="I50" s="9">
        <f t="shared" si="59"/>
        <v>-71669</v>
      </c>
      <c r="J50" s="9">
        <f t="shared" ref="J50:K50" si="60">+J75-J25</f>
        <v>-159493</v>
      </c>
      <c r="K50" s="9">
        <f t="shared" si="60"/>
        <v>-166431</v>
      </c>
      <c r="L50" s="9">
        <f t="shared" ref="L50:M50" si="61">+L75-L25</f>
        <v>-379511</v>
      </c>
      <c r="M50" s="9">
        <f t="shared" si="61"/>
        <v>-260554</v>
      </c>
      <c r="N50" s="76">
        <f t="shared" ref="N50:N53" si="62">IFERROR(L50/M50-1,"n.a.")</f>
        <v>0.45655411162369419</v>
      </c>
    </row>
    <row r="51" spans="1:14" x14ac:dyDescent="0.25">
      <c r="A51" s="52" t="s">
        <v>86</v>
      </c>
      <c r="B51" s="36" t="s">
        <v>34</v>
      </c>
      <c r="C51" s="9"/>
      <c r="D51" s="9">
        <f t="shared" si="13"/>
        <v>0</v>
      </c>
      <c r="E51" s="9">
        <f t="shared" si="13"/>
        <v>0</v>
      </c>
      <c r="F51" s="9">
        <f t="shared" si="13"/>
        <v>0</v>
      </c>
      <c r="H51" s="9">
        <f t="shared" ref="H51:I51" si="63">+H76-H26</f>
        <v>0</v>
      </c>
      <c r="I51" s="9">
        <f t="shared" si="63"/>
        <v>0</v>
      </c>
      <c r="J51" s="9">
        <f t="shared" ref="J51:K51" si="64">+J76-J26</f>
        <v>0</v>
      </c>
      <c r="K51" s="9">
        <f t="shared" si="64"/>
        <v>0</v>
      </c>
      <c r="L51" s="9">
        <f t="shared" ref="L51:M51" si="65">+L76-L26</f>
        <v>0</v>
      </c>
      <c r="M51" s="9">
        <f t="shared" si="65"/>
        <v>0</v>
      </c>
      <c r="N51" s="76" t="str">
        <f t="shared" si="62"/>
        <v>n.a.</v>
      </c>
    </row>
    <row r="52" spans="1:14" x14ac:dyDescent="0.25">
      <c r="A52" s="52" t="s">
        <v>88</v>
      </c>
      <c r="B52" s="36" t="s">
        <v>34</v>
      </c>
      <c r="C52" s="9"/>
      <c r="D52" s="9">
        <f t="shared" si="13"/>
        <v>0</v>
      </c>
      <c r="E52" s="9">
        <f t="shared" si="13"/>
        <v>-6543</v>
      </c>
      <c r="F52" s="9">
        <f t="shared" si="13"/>
        <v>-28733</v>
      </c>
      <c r="H52" s="9">
        <f t="shared" ref="H52:I52" si="66">+H77-H27</f>
        <v>-6741</v>
      </c>
      <c r="I52" s="9">
        <f t="shared" si="66"/>
        <v>-3531</v>
      </c>
      <c r="J52" s="9">
        <f t="shared" ref="J52:K52" si="67">+J77-J27</f>
        <v>-14179</v>
      </c>
      <c r="K52" s="9">
        <f t="shared" si="67"/>
        <v>-9162</v>
      </c>
      <c r="L52" s="9">
        <f t="shared" ref="L52:M52" si="68">+L77-L27</f>
        <v>-27837</v>
      </c>
      <c r="M52" s="9">
        <f t="shared" si="68"/>
        <v>-20406</v>
      </c>
      <c r="N52" s="76">
        <f t="shared" si="62"/>
        <v>0.36415760070567482</v>
      </c>
    </row>
    <row r="53" spans="1:14" x14ac:dyDescent="0.25">
      <c r="A53" s="52" t="s">
        <v>89</v>
      </c>
      <c r="B53" s="36" t="s">
        <v>34</v>
      </c>
      <c r="C53" s="9"/>
      <c r="D53" s="9">
        <f t="shared" si="13"/>
        <v>-8116</v>
      </c>
      <c r="E53" s="9">
        <f t="shared" si="13"/>
        <v>-15562</v>
      </c>
      <c r="F53" s="9">
        <f t="shared" si="13"/>
        <v>-6951</v>
      </c>
      <c r="H53" s="9">
        <f t="shared" ref="H53:I53" si="69">+H78-H28</f>
        <v>-2531</v>
      </c>
      <c r="I53" s="9">
        <f t="shared" si="69"/>
        <v>-1836</v>
      </c>
      <c r="J53" s="9">
        <f t="shared" ref="J53:K53" si="70">+J78-J28</f>
        <v>-4273</v>
      </c>
      <c r="K53" s="9">
        <f t="shared" si="70"/>
        <v>-3906</v>
      </c>
      <c r="L53" s="9">
        <f t="shared" ref="L53:M53" si="71">+L78-L28</f>
        <v>-7444</v>
      </c>
      <c r="M53" s="9">
        <f t="shared" si="71"/>
        <v>1207</v>
      </c>
      <c r="N53" s="76">
        <f t="shared" si="62"/>
        <v>-7.1673570836785414</v>
      </c>
    </row>
    <row r="54" spans="1:14" s="29" customFormat="1" x14ac:dyDescent="0.25">
      <c r="A54" s="40"/>
      <c r="B54" s="42" t="s">
        <v>34</v>
      </c>
      <c r="C54" s="14"/>
      <c r="D54" s="14">
        <f t="shared" si="13"/>
        <v>-8116</v>
      </c>
      <c r="E54" s="14">
        <f t="shared" si="13"/>
        <v>-104636</v>
      </c>
      <c r="F54" s="14">
        <f t="shared" si="13"/>
        <v>-387840</v>
      </c>
      <c r="H54" s="14">
        <f t="shared" ref="H54:I54" si="72">+H79-H29</f>
        <v>-80086</v>
      </c>
      <c r="I54" s="14">
        <f t="shared" si="72"/>
        <v>-77036</v>
      </c>
      <c r="J54" s="14">
        <f t="shared" ref="J54:K54" si="73">+J79-J29</f>
        <v>-177945</v>
      </c>
      <c r="K54" s="14">
        <f t="shared" si="73"/>
        <v>-179499</v>
      </c>
      <c r="L54" s="14">
        <f t="shared" ref="L54:M54" si="74">+L79-L29</f>
        <v>-414792</v>
      </c>
      <c r="M54" s="14">
        <f t="shared" si="74"/>
        <v>-279753</v>
      </c>
      <c r="N54" s="20">
        <f>IFERROR(L54/M54-1,"n.a.")</f>
        <v>0.48270796023635132</v>
      </c>
    </row>
    <row r="55" spans="1:14" s="29" customFormat="1" x14ac:dyDescent="0.25">
      <c r="A55" s="78"/>
      <c r="B55" s="79"/>
      <c r="C55" s="80"/>
      <c r="D55" s="14"/>
      <c r="E55" s="14"/>
      <c r="F55" s="14"/>
      <c r="H55" s="14"/>
      <c r="I55" s="14"/>
      <c r="J55" s="14"/>
      <c r="K55" s="14"/>
      <c r="L55" s="14"/>
      <c r="M55" s="14"/>
      <c r="N55" s="20"/>
    </row>
    <row r="56" spans="1:14" ht="16.5" x14ac:dyDescent="0.25">
      <c r="A56" s="33" t="s">
        <v>54</v>
      </c>
      <c r="B56" s="33"/>
      <c r="C56" s="5"/>
      <c r="D56" s="75"/>
      <c r="E56" s="75"/>
      <c r="F56" s="75"/>
      <c r="H56" s="75"/>
      <c r="I56" s="75"/>
      <c r="J56" s="75"/>
      <c r="K56" s="75"/>
      <c r="L56" s="75"/>
      <c r="M56" s="75"/>
      <c r="N56" s="77"/>
    </row>
    <row r="57" spans="1:14" x14ac:dyDescent="0.25">
      <c r="A57" s="52" t="s">
        <v>213</v>
      </c>
      <c r="B57" s="36" t="s">
        <v>34</v>
      </c>
      <c r="C57" s="74">
        <v>-239355.40028</v>
      </c>
      <c r="D57" s="74">
        <v>-269910</v>
      </c>
      <c r="E57" s="74">
        <v>-353973</v>
      </c>
      <c r="F57" s="74">
        <v>-632579</v>
      </c>
      <c r="H57" s="74">
        <v>-183434</v>
      </c>
      <c r="I57" s="74">
        <v>-146664</v>
      </c>
      <c r="J57" s="74">
        <v>-380337</v>
      </c>
      <c r="K57" s="74">
        <v>-264082</v>
      </c>
      <c r="L57" s="74">
        <v>-681297</v>
      </c>
      <c r="M57" s="74">
        <v>-423846</v>
      </c>
      <c r="N57" s="76">
        <f t="shared" ref="N57:N71" si="75">IFERROR(L57/M57-1,"n.a.")</f>
        <v>0.60741637292790296</v>
      </c>
    </row>
    <row r="58" spans="1:14" x14ac:dyDescent="0.25">
      <c r="A58" s="52" t="s">
        <v>86</v>
      </c>
      <c r="B58" s="36" t="s">
        <v>34</v>
      </c>
      <c r="C58" s="9">
        <v>19758</v>
      </c>
      <c r="D58" s="9">
        <v>-6541</v>
      </c>
      <c r="E58" s="9">
        <v>-29871</v>
      </c>
      <c r="F58" s="9">
        <v>31640</v>
      </c>
      <c r="H58" s="9">
        <v>21966</v>
      </c>
      <c r="I58" s="9">
        <v>3258</v>
      </c>
      <c r="J58" s="74">
        <v>45154</v>
      </c>
      <c r="K58" s="74">
        <v>488</v>
      </c>
      <c r="L58" s="74">
        <v>38240</v>
      </c>
      <c r="M58" s="74">
        <v>-19350</v>
      </c>
      <c r="N58" s="76">
        <f t="shared" si="75"/>
        <v>-2.9762273901808785</v>
      </c>
    </row>
    <row r="59" spans="1:14" x14ac:dyDescent="0.25">
      <c r="A59" s="52" t="s">
        <v>214</v>
      </c>
      <c r="B59" s="36" t="s">
        <v>34</v>
      </c>
      <c r="C59" s="9">
        <v>-69204</v>
      </c>
      <c r="D59" s="9">
        <v>-73679</v>
      </c>
      <c r="E59" s="9">
        <v>-100871</v>
      </c>
      <c r="F59" s="9">
        <v>-105863</v>
      </c>
      <c r="H59" s="9">
        <v>-33963</v>
      </c>
      <c r="I59" s="9">
        <v>-25329</v>
      </c>
      <c r="J59" s="74">
        <v>-55912</v>
      </c>
      <c r="K59" s="74">
        <v>-46489</v>
      </c>
      <c r="L59" s="74">
        <v>-88691</v>
      </c>
      <c r="M59" s="74">
        <v>-72892</v>
      </c>
      <c r="N59" s="76">
        <f t="shared" si="75"/>
        <v>0.21674532184601869</v>
      </c>
    </row>
    <row r="60" spans="1:14" x14ac:dyDescent="0.25">
      <c r="A60" s="52" t="s">
        <v>215</v>
      </c>
      <c r="B60" s="36" t="s">
        <v>34</v>
      </c>
      <c r="C60" s="9">
        <v>-33808</v>
      </c>
      <c r="D60" s="9">
        <v>-31211</v>
      </c>
      <c r="E60" s="9">
        <v>-33989</v>
      </c>
      <c r="F60" s="9">
        <v>-40440</v>
      </c>
      <c r="H60" s="9">
        <v>-10956</v>
      </c>
      <c r="I60" s="9">
        <v>-10348</v>
      </c>
      <c r="J60" s="74">
        <v>-22564</v>
      </c>
      <c r="K60" s="74">
        <v>-27648</v>
      </c>
      <c r="L60" s="74">
        <v>-60732</v>
      </c>
      <c r="M60" s="74">
        <v>-48740</v>
      </c>
      <c r="N60" s="76">
        <f t="shared" si="75"/>
        <v>0.24604021337710291</v>
      </c>
    </row>
    <row r="61" spans="1:14" x14ac:dyDescent="0.25">
      <c r="A61" s="52" t="s">
        <v>216</v>
      </c>
      <c r="B61" s="36" t="s">
        <v>34</v>
      </c>
      <c r="C61" s="9">
        <v>-29425.627530000002</v>
      </c>
      <c r="D61" s="9">
        <v>-25772.516880000003</v>
      </c>
      <c r="E61" s="9">
        <v>-32543</v>
      </c>
      <c r="F61" s="9">
        <v>-27600</v>
      </c>
      <c r="H61" s="9">
        <v>-8680</v>
      </c>
      <c r="I61" s="9">
        <v>-6567</v>
      </c>
      <c r="J61" s="74">
        <v>-18088</v>
      </c>
      <c r="K61" s="74">
        <v>-9063</v>
      </c>
      <c r="L61" s="74">
        <v>-30114</v>
      </c>
      <c r="M61" s="74">
        <v>-15917</v>
      </c>
      <c r="N61" s="76">
        <f t="shared" si="75"/>
        <v>0.89193943582333346</v>
      </c>
    </row>
    <row r="62" spans="1:14" x14ac:dyDescent="0.25">
      <c r="A62" s="52" t="s">
        <v>217</v>
      </c>
      <c r="B62" s="36" t="s">
        <v>34</v>
      </c>
      <c r="C62" s="9">
        <v>-27236.372469999998</v>
      </c>
      <c r="D62" s="9">
        <v>-25567.483119999997</v>
      </c>
      <c r="E62" s="9">
        <v>-36624</v>
      </c>
      <c r="F62" s="9">
        <v>-53630</v>
      </c>
      <c r="H62" s="9">
        <v>-16167</v>
      </c>
      <c r="I62" s="9">
        <v>-8156</v>
      </c>
      <c r="J62" s="74">
        <v>-33201</v>
      </c>
      <c r="K62" s="74">
        <v>-20218</v>
      </c>
      <c r="L62" s="74">
        <v>-56239</v>
      </c>
      <c r="M62" s="74">
        <v>-31085</v>
      </c>
      <c r="N62" s="76">
        <f t="shared" si="75"/>
        <v>0.80920057905742326</v>
      </c>
    </row>
    <row r="63" spans="1:14" x14ac:dyDescent="0.25">
      <c r="A63" s="52" t="s">
        <v>218</v>
      </c>
      <c r="B63" s="36" t="s">
        <v>34</v>
      </c>
      <c r="C63" s="9">
        <v>-67308</v>
      </c>
      <c r="D63" s="9">
        <v>-60331</v>
      </c>
      <c r="E63" s="9">
        <v>-54533</v>
      </c>
      <c r="F63" s="9">
        <v>-62643</v>
      </c>
      <c r="H63" s="9">
        <v>-14701</v>
      </c>
      <c r="I63" s="9">
        <v>-19588</v>
      </c>
      <c r="J63" s="74">
        <v>-25776</v>
      </c>
      <c r="K63" s="74">
        <v>-27863</v>
      </c>
      <c r="L63" s="74">
        <v>-44221</v>
      </c>
      <c r="M63" s="74">
        <v>-44648</v>
      </c>
      <c r="N63" s="76">
        <f t="shared" si="75"/>
        <v>-9.5636982619602406E-3</v>
      </c>
    </row>
    <row r="64" spans="1:14" x14ac:dyDescent="0.25">
      <c r="A64" s="52" t="s">
        <v>219</v>
      </c>
      <c r="B64" s="36" t="s">
        <v>34</v>
      </c>
      <c r="C64" s="9">
        <v>-78535</v>
      </c>
      <c r="D64" s="9">
        <v>-70830</v>
      </c>
      <c r="E64" s="9">
        <v>-79597</v>
      </c>
      <c r="F64" s="9">
        <v>-89173</v>
      </c>
      <c r="H64" s="9">
        <v>-16150</v>
      </c>
      <c r="I64" s="9">
        <v>-19127</v>
      </c>
      <c r="J64" s="74">
        <v>-26266</v>
      </c>
      <c r="K64" s="74">
        <v>-40483</v>
      </c>
      <c r="L64" s="74">
        <v>-45155</v>
      </c>
      <c r="M64" s="74">
        <v>-60831</v>
      </c>
      <c r="N64" s="76">
        <f t="shared" si="75"/>
        <v>-0.25769755552267759</v>
      </c>
    </row>
    <row r="65" spans="1:14" x14ac:dyDescent="0.25">
      <c r="A65" s="52" t="s">
        <v>220</v>
      </c>
      <c r="B65" s="36" t="s">
        <v>34</v>
      </c>
      <c r="C65" s="9"/>
      <c r="D65" s="9"/>
      <c r="E65" s="9">
        <v>-52513</v>
      </c>
      <c r="F65" s="9">
        <v>-73781</v>
      </c>
      <c r="H65" s="9">
        <v>-12575</v>
      </c>
      <c r="I65" s="9">
        <v>-13399</v>
      </c>
      <c r="J65" s="74">
        <v>-24317</v>
      </c>
      <c r="K65" s="74">
        <v>-24272</v>
      </c>
      <c r="L65" s="74">
        <v>-46923</v>
      </c>
      <c r="M65" s="74">
        <v>-42375</v>
      </c>
      <c r="N65" s="76">
        <f t="shared" si="75"/>
        <v>0.10732743362831854</v>
      </c>
    </row>
    <row r="66" spans="1:14" x14ac:dyDescent="0.25">
      <c r="A66" s="52" t="s">
        <v>167</v>
      </c>
      <c r="B66" s="36" t="s">
        <v>34</v>
      </c>
      <c r="C66" s="9">
        <v>-88555</v>
      </c>
      <c r="D66" s="9">
        <v>-82015</v>
      </c>
      <c r="E66" s="9">
        <v>-120725</v>
      </c>
      <c r="F66" s="9">
        <v>-107724</v>
      </c>
      <c r="H66" s="9">
        <v>-23686</v>
      </c>
      <c r="I66" s="9">
        <v>-24338</v>
      </c>
      <c r="J66" s="74">
        <v>-39139</v>
      </c>
      <c r="K66" s="74">
        <v>-48094</v>
      </c>
      <c r="L66" s="74">
        <v>-68266</v>
      </c>
      <c r="M66" s="74">
        <v>-72932</v>
      </c>
      <c r="N66" s="76">
        <f t="shared" si="75"/>
        <v>-6.3977403608841077E-2</v>
      </c>
    </row>
    <row r="67" spans="1:14" x14ac:dyDescent="0.25">
      <c r="A67" s="52" t="s">
        <v>221</v>
      </c>
      <c r="B67" s="36" t="s">
        <v>34</v>
      </c>
      <c r="C67" s="9">
        <v>-38131</v>
      </c>
      <c r="D67" s="9">
        <v>-50698</v>
      </c>
      <c r="E67" s="9">
        <v>-57195</v>
      </c>
      <c r="F67" s="9">
        <v>-51326</v>
      </c>
      <c r="H67" s="9">
        <v>-13585</v>
      </c>
      <c r="I67" s="9">
        <v>-15224</v>
      </c>
      <c r="J67" s="74">
        <v>-23706</v>
      </c>
      <c r="K67" s="74">
        <v>-23152</v>
      </c>
      <c r="L67" s="74">
        <v>-38091</v>
      </c>
      <c r="M67" s="74">
        <v>-36632</v>
      </c>
      <c r="N67" s="76">
        <f t="shared" si="75"/>
        <v>3.9828565188905873E-2</v>
      </c>
    </row>
    <row r="68" spans="1:14" x14ac:dyDescent="0.25">
      <c r="A68" s="52" t="s">
        <v>222</v>
      </c>
      <c r="B68" s="36" t="s">
        <v>34</v>
      </c>
      <c r="C68" s="9"/>
      <c r="D68" s="9"/>
      <c r="E68" s="9">
        <v>-47881</v>
      </c>
      <c r="F68" s="9">
        <v>-27753</v>
      </c>
      <c r="H68" s="9">
        <v>0</v>
      </c>
      <c r="I68" s="9">
        <v>-1100</v>
      </c>
      <c r="J68" s="74">
        <v>0</v>
      </c>
      <c r="K68" s="74">
        <v>-27267</v>
      </c>
      <c r="L68" s="74">
        <v>0</v>
      </c>
      <c r="M68" s="74">
        <v>-27753</v>
      </c>
      <c r="N68" s="76">
        <f t="shared" si="75"/>
        <v>-1</v>
      </c>
    </row>
    <row r="69" spans="1:14" x14ac:dyDescent="0.25">
      <c r="A69" s="52" t="s">
        <v>223</v>
      </c>
      <c r="B69" s="36" t="s">
        <v>34</v>
      </c>
      <c r="C69" s="9">
        <v>-6551.5997200000002</v>
      </c>
      <c r="D69" s="9">
        <v>-16149</v>
      </c>
      <c r="E69" s="9">
        <v>-14814</v>
      </c>
      <c r="F69" s="9">
        <v>-40489</v>
      </c>
      <c r="H69" s="9">
        <v>-5690</v>
      </c>
      <c r="I69" s="9">
        <v>-3865</v>
      </c>
      <c r="J69" s="74">
        <v>-27137</v>
      </c>
      <c r="K69" s="74">
        <v>-11740</v>
      </c>
      <c r="L69" s="74">
        <v>-42453</v>
      </c>
      <c r="M69" s="74">
        <v>-28239</v>
      </c>
      <c r="N69" s="76">
        <f t="shared" si="75"/>
        <v>0.50334643578030391</v>
      </c>
    </row>
    <row r="70" spans="1:14" x14ac:dyDescent="0.25">
      <c r="A70" s="52" t="s">
        <v>224</v>
      </c>
      <c r="B70" s="36" t="s">
        <v>34</v>
      </c>
      <c r="C70" s="9"/>
      <c r="D70" s="9"/>
      <c r="E70" s="9">
        <v>0</v>
      </c>
      <c r="F70" s="9">
        <v>-12106</v>
      </c>
      <c r="H70" s="9">
        <v>-359</v>
      </c>
      <c r="I70" s="9">
        <v>0</v>
      </c>
      <c r="J70" s="74">
        <v>-1442</v>
      </c>
      <c r="K70" s="74">
        <v>-2775</v>
      </c>
      <c r="L70" s="74">
        <v>-2139</v>
      </c>
      <c r="M70" s="74">
        <v>-21162</v>
      </c>
      <c r="N70" s="76">
        <f t="shared" si="75"/>
        <v>-0.8989225971080238</v>
      </c>
    </row>
    <row r="71" spans="1:14" x14ac:dyDescent="0.25">
      <c r="A71" s="52" t="s">
        <v>225</v>
      </c>
      <c r="B71" s="36" t="s">
        <v>34</v>
      </c>
      <c r="C71" s="9">
        <v>-1191</v>
      </c>
      <c r="D71" s="9">
        <v>-5470</v>
      </c>
      <c r="E71" s="9">
        <v>-4597</v>
      </c>
      <c r="F71" s="9">
        <v>-862</v>
      </c>
      <c r="H71" s="9">
        <v>140</v>
      </c>
      <c r="I71" s="9">
        <v>-1693</v>
      </c>
      <c r="J71" s="74">
        <v>-1439</v>
      </c>
      <c r="K71" s="74">
        <v>-4305</v>
      </c>
      <c r="L71" s="74">
        <v>-2754</v>
      </c>
      <c r="M71" s="74">
        <v>-7967</v>
      </c>
      <c r="N71" s="76">
        <f t="shared" si="75"/>
        <v>-0.65432408685829047</v>
      </c>
    </row>
    <row r="72" spans="1:14" s="29" customFormat="1" x14ac:dyDescent="0.25">
      <c r="A72" s="40"/>
      <c r="B72" s="42" t="s">
        <v>34</v>
      </c>
      <c r="C72" s="14">
        <f t="shared" ref="C72" si="76">SUM(C57:C71)</f>
        <v>-659543</v>
      </c>
      <c r="D72" s="14">
        <f t="shared" ref="D72" si="77">SUM(D57:D71)</f>
        <v>-718174</v>
      </c>
      <c r="E72" s="14">
        <f>SUM(E57:E71)</f>
        <v>-1019726</v>
      </c>
      <c r="F72" s="14">
        <f>SUM(F57:F71)</f>
        <v>-1294329</v>
      </c>
      <c r="H72" s="14">
        <f t="shared" ref="H72:K72" si="78">SUM(H57:H71)</f>
        <v>-317840</v>
      </c>
      <c r="I72" s="14">
        <f t="shared" si="78"/>
        <v>-292140</v>
      </c>
      <c r="J72" s="14">
        <f t="shared" si="78"/>
        <v>-634170</v>
      </c>
      <c r="K72" s="14">
        <f t="shared" si="78"/>
        <v>-576963</v>
      </c>
      <c r="L72" s="14">
        <f t="shared" ref="L72:M72" si="79">SUM(L57:L71)</f>
        <v>-1168835</v>
      </c>
      <c r="M72" s="14">
        <f t="shared" si="79"/>
        <v>-954369</v>
      </c>
      <c r="N72" s="20">
        <f>IFERROR(L72/M72-1,"n.a.")</f>
        <v>0.22472020780222324</v>
      </c>
    </row>
    <row r="73" spans="1:14" x14ac:dyDescent="0.25">
      <c r="A73" s="52"/>
      <c r="B73" s="36"/>
      <c r="C73" s="9"/>
      <c r="D73" s="9"/>
      <c r="E73" s="9"/>
      <c r="F73" s="9"/>
      <c r="H73" s="9"/>
      <c r="I73" s="9"/>
      <c r="J73" s="9"/>
      <c r="K73" s="9"/>
      <c r="L73" s="9"/>
      <c r="M73" s="9"/>
      <c r="N73" s="19"/>
    </row>
    <row r="74" spans="1:14" x14ac:dyDescent="0.25">
      <c r="A74" s="52" t="s">
        <v>226</v>
      </c>
      <c r="B74" s="36"/>
      <c r="C74" s="9"/>
      <c r="D74" s="9"/>
      <c r="E74" s="9"/>
      <c r="F74" s="9"/>
      <c r="H74" s="9"/>
      <c r="I74" s="9"/>
      <c r="J74" s="9"/>
      <c r="K74" s="9"/>
      <c r="L74" s="9"/>
      <c r="M74" s="9"/>
      <c r="N74" s="19"/>
    </row>
    <row r="75" spans="1:14" x14ac:dyDescent="0.25">
      <c r="A75" s="52" t="s">
        <v>85</v>
      </c>
      <c r="B75" s="36" t="s">
        <v>34</v>
      </c>
      <c r="C75" s="9">
        <v>-588126</v>
      </c>
      <c r="D75" s="9">
        <v>-624778</v>
      </c>
      <c r="E75" s="9">
        <v>-872194</v>
      </c>
      <c r="F75" s="9">
        <v>-1200152</v>
      </c>
      <c r="H75" s="9">
        <v>-301341</v>
      </c>
      <c r="I75" s="9">
        <v>-272828</v>
      </c>
      <c r="J75" s="9">
        <v>-602250</v>
      </c>
      <c r="K75" s="9">
        <v>-523741</v>
      </c>
      <c r="L75" s="9">
        <v>-1086808</v>
      </c>
      <c r="M75" s="9">
        <v>-852200</v>
      </c>
      <c r="N75" s="76">
        <f t="shared" ref="N75:N78" si="80">IFERROR(L75/M75-1,"n.a.")</f>
        <v>0.27529687866697961</v>
      </c>
    </row>
    <row r="76" spans="1:14" x14ac:dyDescent="0.25">
      <c r="A76" s="52" t="s">
        <v>86</v>
      </c>
      <c r="B76" s="36" t="s">
        <v>34</v>
      </c>
      <c r="C76" s="9">
        <v>19758</v>
      </c>
      <c r="D76" s="9">
        <v>-6541</v>
      </c>
      <c r="E76" s="9">
        <v>-29871</v>
      </c>
      <c r="F76" s="9">
        <v>31640</v>
      </c>
      <c r="H76" s="9">
        <v>21966</v>
      </c>
      <c r="I76" s="9">
        <v>3258</v>
      </c>
      <c r="J76" s="9">
        <v>41606</v>
      </c>
      <c r="K76" s="9">
        <v>-488</v>
      </c>
      <c r="L76" s="9">
        <v>38240</v>
      </c>
      <c r="M76" s="9">
        <v>-19350</v>
      </c>
      <c r="N76" s="76">
        <f t="shared" si="80"/>
        <v>-2.9762273901808785</v>
      </c>
    </row>
    <row r="77" spans="1:14" x14ac:dyDescent="0.25">
      <c r="A77" s="52" t="s">
        <v>88</v>
      </c>
      <c r="B77" s="36" t="s">
        <v>34</v>
      </c>
      <c r="C77" s="9">
        <v>-47060</v>
      </c>
      <c r="D77" s="9">
        <v>-42517</v>
      </c>
      <c r="E77" s="9">
        <v>-59895</v>
      </c>
      <c r="F77" s="9">
        <v>-78125</v>
      </c>
      <c r="H77" s="9">
        <v>-21652</v>
      </c>
      <c r="I77" s="9">
        <v>-13925</v>
      </c>
      <c r="J77" s="9">
        <v>-45268</v>
      </c>
      <c r="K77" s="9">
        <v>-30978</v>
      </c>
      <c r="L77" s="9">
        <v>-73884</v>
      </c>
      <c r="M77" s="9">
        <v>-54326</v>
      </c>
      <c r="N77" s="76">
        <f t="shared" si="80"/>
        <v>0.3600117807311416</v>
      </c>
    </row>
    <row r="78" spans="1:14" x14ac:dyDescent="0.25">
      <c r="A78" s="52" t="s">
        <v>89</v>
      </c>
      <c r="B78" s="36" t="s">
        <v>34</v>
      </c>
      <c r="C78" s="9">
        <v>-44115</v>
      </c>
      <c r="D78" s="9">
        <v>-44338</v>
      </c>
      <c r="E78" s="9">
        <v>-57766</v>
      </c>
      <c r="F78" s="9">
        <v>-47692</v>
      </c>
      <c r="H78" s="9">
        <v>-16813</v>
      </c>
      <c r="I78" s="9">
        <v>-8645</v>
      </c>
      <c r="J78" s="9">
        <v>-28258</v>
      </c>
      <c r="K78" s="9">
        <v>-21756</v>
      </c>
      <c r="L78" s="9">
        <v>-46383</v>
      </c>
      <c r="M78" s="9">
        <v>-28493</v>
      </c>
      <c r="N78" s="76">
        <f t="shared" si="80"/>
        <v>0.62787351279261583</v>
      </c>
    </row>
    <row r="79" spans="1:14" s="29" customFormat="1" x14ac:dyDescent="0.25">
      <c r="A79" s="40"/>
      <c r="B79" s="42" t="s">
        <v>34</v>
      </c>
      <c r="C79" s="14">
        <f t="shared" ref="C79" si="81">SUM(C75:C78)</f>
        <v>-659543</v>
      </c>
      <c r="D79" s="14">
        <f t="shared" ref="D79" si="82">SUM(D75:D78)</f>
        <v>-718174</v>
      </c>
      <c r="E79" s="14">
        <f>SUM(E75:E78)</f>
        <v>-1019726</v>
      </c>
      <c r="F79" s="14">
        <f>SUM(F75:F78)</f>
        <v>-1294329</v>
      </c>
      <c r="H79" s="14">
        <f>SUM(H75:H78)</f>
        <v>-317840</v>
      </c>
      <c r="I79" s="14">
        <f>SUM(I75:I78)</f>
        <v>-292140</v>
      </c>
      <c r="J79" s="14">
        <f t="shared" ref="J79:K79" si="83">SUM(J75:J78)</f>
        <v>-634170</v>
      </c>
      <c r="K79" s="14">
        <f t="shared" si="83"/>
        <v>-576963</v>
      </c>
      <c r="L79" s="14">
        <f t="shared" ref="L79:M79" si="84">SUM(L75:L78)</f>
        <v>-1168835</v>
      </c>
      <c r="M79" s="14">
        <f t="shared" si="84"/>
        <v>-954369</v>
      </c>
      <c r="N79" s="20">
        <f>IFERROR(L79/M79-1,"n.a.")</f>
        <v>0.22472020780222324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B2D52-6D64-4028-B613-7F8FCFF21D67}">
  <dimension ref="A1:N64"/>
  <sheetViews>
    <sheetView showGridLines="0" zoomScaleNormal="100" workbookViewId="0">
      <pane xSplit="2" ySplit="5" topLeftCell="J6" activePane="bottomRight" state="frozen"/>
      <selection pane="topRight" activeCell="C1" sqref="C1"/>
      <selection pane="bottomLeft" activeCell="A6" sqref="A6"/>
      <selection pane="bottomRight" activeCell="N6" sqref="N6"/>
    </sheetView>
  </sheetViews>
  <sheetFormatPr defaultRowHeight="15" x14ac:dyDescent="0.25"/>
  <cols>
    <col min="1" max="1" width="47" bestFit="1" customWidth="1"/>
    <col min="2" max="2" width="10.28515625" style="2" customWidth="1"/>
    <col min="3" max="5" width="18.42578125" customWidth="1"/>
    <col min="6" max="6" width="19.5703125" customWidth="1"/>
    <col min="7" max="7" width="2" customWidth="1"/>
    <col min="8" max="13" width="19.5703125" customWidth="1"/>
    <col min="14" max="14" width="19.5703125" style="23" customWidth="1"/>
  </cols>
  <sheetData>
    <row r="1" spans="1:14" ht="64.150000000000006" customHeight="1" x14ac:dyDescent="0.25"/>
    <row r="5" spans="1:14" ht="16.5" x14ac:dyDescent="0.25">
      <c r="A5" s="27" t="s">
        <v>228</v>
      </c>
      <c r="B5" s="16" t="s">
        <v>227</v>
      </c>
      <c r="C5" s="75" t="s">
        <v>10</v>
      </c>
      <c r="D5" s="75" t="s">
        <v>11</v>
      </c>
      <c r="E5" s="75" t="s">
        <v>2</v>
      </c>
      <c r="F5" s="75" t="s">
        <v>1</v>
      </c>
      <c r="H5" s="75" t="s">
        <v>229</v>
      </c>
      <c r="I5" s="75" t="s">
        <v>231</v>
      </c>
      <c r="J5" s="75" t="s">
        <v>230</v>
      </c>
      <c r="K5" s="75" t="s">
        <v>232</v>
      </c>
      <c r="L5" s="75" t="str">
        <f>+OPERACIONAL!L5</f>
        <v>9M22</v>
      </c>
      <c r="M5" s="75" t="str">
        <f>+OPERACIONAL!M5</f>
        <v>9M21</v>
      </c>
      <c r="N5" s="117" t="s">
        <v>3</v>
      </c>
    </row>
    <row r="6" spans="1:14" ht="16.5" x14ac:dyDescent="0.25">
      <c r="A6" s="33" t="s">
        <v>51</v>
      </c>
      <c r="B6" s="33"/>
      <c r="C6" s="1"/>
      <c r="D6" s="1"/>
      <c r="E6" s="1"/>
      <c r="F6" s="1"/>
      <c r="H6" s="1"/>
      <c r="I6" s="1"/>
      <c r="J6" s="1"/>
      <c r="K6" s="1"/>
      <c r="L6" s="1"/>
      <c r="M6" s="1"/>
      <c r="N6" s="17"/>
    </row>
    <row r="7" spans="1:14" x14ac:dyDescent="0.25">
      <c r="A7" s="7" t="s">
        <v>38</v>
      </c>
      <c r="B7" s="7"/>
      <c r="C7" s="7"/>
      <c r="D7" s="7"/>
      <c r="E7" s="7"/>
      <c r="F7" s="8"/>
      <c r="H7" s="8"/>
      <c r="I7" s="8"/>
      <c r="J7" s="8"/>
      <c r="K7" s="8"/>
      <c r="L7" s="8"/>
      <c r="M7" s="8"/>
      <c r="N7" s="18"/>
    </row>
    <row r="8" spans="1:14" x14ac:dyDescent="0.25">
      <c r="A8" s="36" t="s">
        <v>39</v>
      </c>
      <c r="B8" s="36" t="s">
        <v>34</v>
      </c>
      <c r="C8" s="9">
        <v>46853.371397942188</v>
      </c>
      <c r="D8" s="9">
        <v>43749.219364019053</v>
      </c>
      <c r="E8" s="9">
        <v>70049.593030000004</v>
      </c>
      <c r="F8" s="9">
        <v>46527.890660000005</v>
      </c>
      <c r="H8" s="9">
        <v>13621.34059</v>
      </c>
      <c r="I8" s="9">
        <v>13747.226381666336</v>
      </c>
      <c r="J8" s="9">
        <v>24959</v>
      </c>
      <c r="K8" s="9">
        <v>17391.830451666337</v>
      </c>
      <c r="L8" s="9">
        <v>46805.022064869503</v>
      </c>
      <c r="M8" s="9">
        <v>36822.858321666339</v>
      </c>
      <c r="N8" s="19">
        <f>IFERROR(L8/M8-1,"n.a.")</f>
        <v>0.27108606442237315</v>
      </c>
    </row>
    <row r="9" spans="1:14" x14ac:dyDescent="0.25">
      <c r="A9" s="36" t="s">
        <v>40</v>
      </c>
      <c r="B9" s="36" t="s">
        <v>34</v>
      </c>
      <c r="C9" s="9">
        <v>45029.922290000002</v>
      </c>
      <c r="D9" s="9">
        <v>58281.282413248678</v>
      </c>
      <c r="E9" s="9">
        <v>53140.924656234019</v>
      </c>
      <c r="F9" s="9">
        <v>58922.193280000007</v>
      </c>
      <c r="H9" s="9">
        <v>9.85501</v>
      </c>
      <c r="I9" s="9">
        <v>11.16225</v>
      </c>
      <c r="J9" s="9">
        <v>978.95026999999993</v>
      </c>
      <c r="K9" s="9">
        <v>2061.9824799999992</v>
      </c>
      <c r="L9" s="9">
        <v>25310.282310000006</v>
      </c>
      <c r="M9" s="9">
        <v>22938.560290000005</v>
      </c>
      <c r="N9" s="19">
        <f t="shared" ref="N9:N10" si="0">IFERROR(L9/M9-1,"n.a.")</f>
        <v>0.10339454569142892</v>
      </c>
    </row>
    <row r="10" spans="1:14" x14ac:dyDescent="0.25">
      <c r="A10" s="36" t="s">
        <v>41</v>
      </c>
      <c r="B10" s="36" t="s">
        <v>34</v>
      </c>
      <c r="C10" s="9">
        <v>107208.49840999999</v>
      </c>
      <c r="D10" s="9">
        <v>101338.57857310497</v>
      </c>
      <c r="E10" s="9">
        <v>123489.45153999998</v>
      </c>
      <c r="F10" s="9">
        <v>126736.96609</v>
      </c>
      <c r="H10" s="9">
        <v>31467.998310000003</v>
      </c>
      <c r="I10" s="9">
        <v>30166.44255</v>
      </c>
      <c r="J10" s="9">
        <v>59027.953890000004</v>
      </c>
      <c r="K10" s="9">
        <v>60853.509189999997</v>
      </c>
      <c r="L10" s="9">
        <v>102459.36717000001</v>
      </c>
      <c r="M10" s="9">
        <v>94030.760209999993</v>
      </c>
      <c r="N10" s="19">
        <f t="shared" si="0"/>
        <v>8.9636699109698847E-2</v>
      </c>
    </row>
    <row r="11" spans="1:14" x14ac:dyDescent="0.25">
      <c r="A11" s="37" t="s">
        <v>42</v>
      </c>
      <c r="B11" s="42" t="s">
        <v>34</v>
      </c>
      <c r="C11" s="14">
        <f>SUM(C8:C10)</f>
        <v>199091.79209794218</v>
      </c>
      <c r="D11" s="14">
        <f t="shared" ref="D11:F11" si="1">SUM(D8:D10)</f>
        <v>203369.08035037271</v>
      </c>
      <c r="E11" s="14">
        <f t="shared" si="1"/>
        <v>246679.96922623401</v>
      </c>
      <c r="F11" s="14">
        <f t="shared" si="1"/>
        <v>232187.05003000001</v>
      </c>
      <c r="G11" s="14"/>
      <c r="H11" s="14">
        <f t="shared" ref="H11" si="2">SUM(H8:H10)</f>
        <v>45099.193910000002</v>
      </c>
      <c r="I11" s="14">
        <f t="shared" ref="I11:K11" si="3">SUM(I8:I10)</f>
        <v>43924.831181666334</v>
      </c>
      <c r="J11" s="14">
        <f t="shared" si="3"/>
        <v>84965.904160000006</v>
      </c>
      <c r="K11" s="14">
        <f t="shared" si="3"/>
        <v>80307.322121666337</v>
      </c>
      <c r="L11" s="14">
        <f t="shared" ref="L11:M11" si="4">SUM(L8:L10)</f>
        <v>174574.67154486952</v>
      </c>
      <c r="M11" s="14">
        <f t="shared" si="4"/>
        <v>153792.17882166634</v>
      </c>
      <c r="N11" s="20">
        <f>IFERROR(L11/M11-1,"n.a.")</f>
        <v>0.13513361266116175</v>
      </c>
    </row>
    <row r="12" spans="1:14" x14ac:dyDescent="0.25">
      <c r="A12" s="11"/>
      <c r="B12" s="11"/>
      <c r="C12" s="9"/>
      <c r="D12" s="9"/>
      <c r="E12" s="9"/>
      <c r="F12" s="9"/>
      <c r="H12" s="9"/>
      <c r="I12" s="9"/>
      <c r="J12" s="9"/>
      <c r="K12" s="9"/>
      <c r="L12" s="9"/>
      <c r="M12" s="9"/>
      <c r="N12" s="21"/>
    </row>
    <row r="13" spans="1:14" x14ac:dyDescent="0.25">
      <c r="A13" s="38" t="s">
        <v>43</v>
      </c>
      <c r="B13" s="36" t="s">
        <v>34</v>
      </c>
      <c r="C13" s="9"/>
      <c r="D13" s="9"/>
      <c r="E13" s="9"/>
      <c r="F13" s="9"/>
      <c r="H13" s="9"/>
      <c r="I13" s="9"/>
      <c r="J13" s="9"/>
      <c r="K13" s="9"/>
      <c r="L13" s="9"/>
      <c r="M13" s="9"/>
      <c r="N13" s="21"/>
    </row>
    <row r="14" spans="1:14" x14ac:dyDescent="0.25">
      <c r="A14" s="36" t="s">
        <v>44</v>
      </c>
      <c r="B14" s="36" t="s">
        <v>34</v>
      </c>
      <c r="C14" s="9">
        <v>38795.603060000001</v>
      </c>
      <c r="D14" s="9">
        <v>29941.440109999992</v>
      </c>
      <c r="E14" s="9">
        <v>30156.255489999992</v>
      </c>
      <c r="F14" s="9">
        <v>33519.931000000004</v>
      </c>
      <c r="H14" s="9">
        <v>1320.143</v>
      </c>
      <c r="I14" s="9">
        <v>23676.567569999996</v>
      </c>
      <c r="J14" s="9">
        <v>6884.1200200000003</v>
      </c>
      <c r="K14" s="9">
        <v>26101.435679999999</v>
      </c>
      <c r="L14" s="9">
        <v>11752.74892</v>
      </c>
      <c r="M14" s="9">
        <v>27788.092949999998</v>
      </c>
      <c r="N14" s="19">
        <f t="shared" ref="N14:N15" si="5">IFERROR(L14/M14-1,"n.a.")</f>
        <v>-0.57705809674859321</v>
      </c>
    </row>
    <row r="15" spans="1:14" x14ac:dyDescent="0.25">
      <c r="A15" s="36" t="s">
        <v>45</v>
      </c>
      <c r="B15" s="36" t="s">
        <v>34</v>
      </c>
      <c r="C15" s="9">
        <v>46.486620000000002</v>
      </c>
      <c r="D15" s="9">
        <v>10.89016</v>
      </c>
      <c r="E15" s="9">
        <v>1274.6799899999999</v>
      </c>
      <c r="F15" s="9">
        <v>2312.15074</v>
      </c>
      <c r="H15" s="9">
        <v>0</v>
      </c>
      <c r="I15" s="9">
        <v>227.26499999999999</v>
      </c>
      <c r="J15" s="9">
        <v>28.56344</v>
      </c>
      <c r="K15" s="9">
        <v>417.86500000000001</v>
      </c>
      <c r="L15" s="9">
        <v>418.69857000000002</v>
      </c>
      <c r="M15" s="9">
        <v>635.03</v>
      </c>
      <c r="N15" s="19">
        <f t="shared" si="5"/>
        <v>-0.34066332299261448</v>
      </c>
    </row>
    <row r="16" spans="1:14" x14ac:dyDescent="0.25">
      <c r="A16" s="40" t="s">
        <v>42</v>
      </c>
      <c r="B16" s="42" t="s">
        <v>34</v>
      </c>
      <c r="C16" s="14">
        <f>SUM(C14:C15)</f>
        <v>38842.089680000005</v>
      </c>
      <c r="D16" s="14">
        <f t="shared" ref="D16:F16" si="6">SUM(D14:D15)</f>
        <v>29952.330269999991</v>
      </c>
      <c r="E16" s="14">
        <f t="shared" si="6"/>
        <v>31430.935479999993</v>
      </c>
      <c r="F16" s="14">
        <f t="shared" si="6"/>
        <v>35832.081740000001</v>
      </c>
      <c r="H16" s="14">
        <f t="shared" ref="H16" si="7">SUM(H14:H15)</f>
        <v>1320.143</v>
      </c>
      <c r="I16" s="14">
        <f t="shared" ref="I16:K16" si="8">SUM(I14:I15)</f>
        <v>23903.832569999995</v>
      </c>
      <c r="J16" s="14">
        <f t="shared" si="8"/>
        <v>6912.6834600000002</v>
      </c>
      <c r="K16" s="14">
        <f t="shared" si="8"/>
        <v>26519.30068</v>
      </c>
      <c r="L16" s="14">
        <f t="shared" ref="L16:M16" si="9">SUM(L14:L15)</f>
        <v>12171.44749</v>
      </c>
      <c r="M16" s="14">
        <f t="shared" si="9"/>
        <v>28423.122949999997</v>
      </c>
      <c r="N16" s="20">
        <f>IFERROR(L16/M16-1,"n.a.")</f>
        <v>-0.57177655983084008</v>
      </c>
    </row>
    <row r="17" spans="1:14" x14ac:dyDescent="0.25">
      <c r="A17" s="36"/>
      <c r="B17" s="36"/>
      <c r="C17" s="9"/>
      <c r="D17" s="9"/>
      <c r="E17" s="9"/>
      <c r="F17" s="9"/>
      <c r="H17" s="9"/>
      <c r="I17" s="9"/>
      <c r="J17" s="9"/>
      <c r="K17" s="9"/>
      <c r="L17" s="9"/>
      <c r="M17" s="9"/>
      <c r="N17" s="21"/>
    </row>
    <row r="18" spans="1:14" x14ac:dyDescent="0.25">
      <c r="A18" s="40" t="s">
        <v>46</v>
      </c>
      <c r="B18" s="36" t="s">
        <v>34</v>
      </c>
      <c r="C18" s="9"/>
      <c r="D18" s="9"/>
      <c r="E18" s="9"/>
      <c r="F18" s="9"/>
      <c r="H18" s="9"/>
      <c r="I18" s="9"/>
      <c r="J18" s="9"/>
      <c r="K18" s="9"/>
      <c r="L18" s="9"/>
      <c r="M18" s="9"/>
      <c r="N18" s="21"/>
    </row>
    <row r="19" spans="1:14" x14ac:dyDescent="0.25">
      <c r="A19" s="36" t="s">
        <v>47</v>
      </c>
      <c r="B19" s="36" t="s">
        <v>34</v>
      </c>
      <c r="C19" s="9">
        <v>31720.469429184945</v>
      </c>
      <c r="D19" s="9">
        <v>24173.509732127142</v>
      </c>
      <c r="E19" s="9">
        <v>0</v>
      </c>
      <c r="F19" s="9">
        <v>0</v>
      </c>
      <c r="H19" s="9">
        <v>0</v>
      </c>
      <c r="I19" s="9">
        <v>0</v>
      </c>
      <c r="J19" s="9">
        <v>2412.2715942740665</v>
      </c>
      <c r="K19" s="9">
        <v>0</v>
      </c>
      <c r="L19" s="9">
        <v>5060.4032994045665</v>
      </c>
      <c r="M19" s="9">
        <v>0</v>
      </c>
      <c r="N19" s="19" t="str">
        <f t="shared" ref="N19:N21" si="10">IFERROR(L19/M19-1,"n.a.")</f>
        <v>n.a.</v>
      </c>
    </row>
    <row r="20" spans="1:14" x14ac:dyDescent="0.25">
      <c r="A20" s="36" t="s">
        <v>48</v>
      </c>
      <c r="B20" s="36" t="s">
        <v>34</v>
      </c>
      <c r="C20" s="9">
        <v>0</v>
      </c>
      <c r="D20" s="9">
        <v>0</v>
      </c>
      <c r="E20" s="9">
        <v>3997.6014500000001</v>
      </c>
      <c r="F20" s="9">
        <v>2988.3340899999998</v>
      </c>
      <c r="H20" s="9">
        <v>333.11845999999997</v>
      </c>
      <c r="I20" s="9">
        <v>1454.9456599999999</v>
      </c>
      <c r="J20" s="9">
        <v>807.47916999999984</v>
      </c>
      <c r="K20" s="9">
        <v>1715.1644099999999</v>
      </c>
      <c r="L20" s="9">
        <v>2366.8858199999995</v>
      </c>
      <c r="M20" s="9">
        <v>2159.80573</v>
      </c>
      <c r="N20" s="19">
        <f t="shared" si="10"/>
        <v>9.5879035379723421E-2</v>
      </c>
    </row>
    <row r="21" spans="1:14" x14ac:dyDescent="0.25">
      <c r="A21" s="36" t="s">
        <v>49</v>
      </c>
      <c r="B21" s="36" t="s">
        <v>34</v>
      </c>
      <c r="C21" s="9">
        <v>9467.2300499999983</v>
      </c>
      <c r="D21" s="9">
        <v>27919.852679999996</v>
      </c>
      <c r="E21" s="9">
        <v>18133.929369999998</v>
      </c>
      <c r="F21" s="9">
        <v>40918.239764999998</v>
      </c>
      <c r="H21" s="9">
        <v>5983.1695</v>
      </c>
      <c r="I21" s="9">
        <v>18252.774375000001</v>
      </c>
      <c r="J21" s="9">
        <v>10878.849490000001</v>
      </c>
      <c r="K21" s="9">
        <v>34507.444084999996</v>
      </c>
      <c r="L21" s="9">
        <v>13262.43771</v>
      </c>
      <c r="M21" s="9">
        <v>39008.606954999996</v>
      </c>
      <c r="N21" s="19">
        <f t="shared" si="10"/>
        <v>-0.66001252684312872</v>
      </c>
    </row>
    <row r="22" spans="1:14" x14ac:dyDescent="0.25">
      <c r="A22" s="40" t="s">
        <v>42</v>
      </c>
      <c r="B22" s="42" t="s">
        <v>34</v>
      </c>
      <c r="C22" s="14">
        <f t="shared" ref="C22:F22" si="11">SUM(C19:C21)</f>
        <v>41187.699479184943</v>
      </c>
      <c r="D22" s="14">
        <f t="shared" si="11"/>
        <v>52093.362412127142</v>
      </c>
      <c r="E22" s="14">
        <f t="shared" si="11"/>
        <v>22131.53082</v>
      </c>
      <c r="F22" s="14">
        <f t="shared" si="11"/>
        <v>43906.573854999995</v>
      </c>
      <c r="G22" s="14"/>
      <c r="H22" s="14">
        <f t="shared" ref="H22" si="12">SUM(H19:H21)</f>
        <v>6316.2879599999997</v>
      </c>
      <c r="I22" s="14">
        <f t="shared" ref="I22:K22" si="13">SUM(I19:I21)</f>
        <v>19707.720035000002</v>
      </c>
      <c r="J22" s="14">
        <f t="shared" si="13"/>
        <v>14098.600254274068</v>
      </c>
      <c r="K22" s="14">
        <f t="shared" si="13"/>
        <v>36222.608494999993</v>
      </c>
      <c r="L22" s="14">
        <f t="shared" ref="L22:M22" si="14">SUM(L19:L21)</f>
        <v>20689.726829404564</v>
      </c>
      <c r="M22" s="14">
        <f t="shared" si="14"/>
        <v>41168.412684999996</v>
      </c>
      <c r="N22" s="20">
        <f>IFERROR(L22/M22-1,"n.a.")</f>
        <v>-0.49743685801753024</v>
      </c>
    </row>
    <row r="23" spans="1:14" x14ac:dyDescent="0.25">
      <c r="A23" s="36"/>
      <c r="B23" s="36"/>
      <c r="C23" s="13"/>
      <c r="D23" s="13"/>
      <c r="E23" s="13"/>
      <c r="F23" s="13"/>
      <c r="H23" s="13"/>
      <c r="I23" s="13"/>
      <c r="J23" s="13"/>
      <c r="K23" s="13"/>
      <c r="L23" s="13"/>
      <c r="M23" s="13"/>
      <c r="N23" s="22"/>
    </row>
    <row r="24" spans="1:14" x14ac:dyDescent="0.25">
      <c r="A24" s="40" t="s">
        <v>50</v>
      </c>
      <c r="B24" s="42" t="s">
        <v>34</v>
      </c>
      <c r="C24" s="14">
        <f>C11+C16+C22</f>
        <v>279121.58125712711</v>
      </c>
      <c r="D24" s="14">
        <f t="shared" ref="D24:K24" si="15">D11+D16+D22</f>
        <v>285414.77303249983</v>
      </c>
      <c r="E24" s="14">
        <f t="shared" si="15"/>
        <v>300242.43552623398</v>
      </c>
      <c r="F24" s="14">
        <f t="shared" si="15"/>
        <v>311925.70562500006</v>
      </c>
      <c r="H24" s="14">
        <f t="shared" si="15"/>
        <v>52735.62487</v>
      </c>
      <c r="I24" s="14">
        <f t="shared" si="15"/>
        <v>87536.383786666338</v>
      </c>
      <c r="J24" s="14">
        <f t="shared" si="15"/>
        <v>105977.18787427407</v>
      </c>
      <c r="K24" s="14">
        <f t="shared" si="15"/>
        <v>143049.23129666632</v>
      </c>
      <c r="L24" s="14">
        <f t="shared" ref="L24:M24" si="16">L11+L16+L22</f>
        <v>207435.84586427407</v>
      </c>
      <c r="M24" s="14">
        <f t="shared" si="16"/>
        <v>223383.71445666632</v>
      </c>
      <c r="N24" s="20">
        <f>IFERROR(L24/M24-1,"n.a.")</f>
        <v>-7.1392261656952338E-2</v>
      </c>
    </row>
    <row r="25" spans="1:14" x14ac:dyDescent="0.25">
      <c r="A25" s="100"/>
      <c r="B25" s="97"/>
      <c r="C25" s="98"/>
      <c r="D25" s="98"/>
      <c r="E25" s="98"/>
      <c r="F25" s="98"/>
      <c r="H25" s="98"/>
      <c r="I25" s="98"/>
      <c r="J25" s="98"/>
      <c r="K25" s="98"/>
      <c r="L25" s="98"/>
      <c r="M25" s="98"/>
      <c r="N25" s="99"/>
    </row>
    <row r="26" spans="1:14" ht="16.5" x14ac:dyDescent="0.25">
      <c r="A26" s="27" t="s">
        <v>52</v>
      </c>
      <c r="B26" s="16"/>
      <c r="C26" s="75"/>
      <c r="D26" s="75"/>
      <c r="E26" s="75"/>
      <c r="F26" s="75"/>
      <c r="H26" s="75"/>
      <c r="I26" s="75"/>
      <c r="J26" s="75"/>
      <c r="K26" s="75"/>
      <c r="L26" s="75"/>
      <c r="M26" s="75"/>
      <c r="N26" s="75"/>
    </row>
    <row r="27" spans="1:14" x14ac:dyDescent="0.25">
      <c r="A27" s="7" t="s">
        <v>38</v>
      </c>
      <c r="B27" s="7"/>
      <c r="C27" s="7"/>
      <c r="D27" s="7"/>
      <c r="E27" s="7"/>
      <c r="F27" s="8"/>
      <c r="H27" s="8"/>
      <c r="I27" s="8"/>
      <c r="J27" s="8"/>
      <c r="K27" s="8"/>
      <c r="L27" s="8"/>
      <c r="M27" s="8"/>
      <c r="N27" s="18"/>
    </row>
    <row r="28" spans="1:14" x14ac:dyDescent="0.25">
      <c r="A28" s="36" t="s">
        <v>56</v>
      </c>
      <c r="B28" s="36" t="s">
        <v>34</v>
      </c>
      <c r="C28" s="9">
        <v>0</v>
      </c>
      <c r="D28" s="9">
        <v>0</v>
      </c>
      <c r="E28" s="9">
        <v>0</v>
      </c>
      <c r="F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19" t="str">
        <f t="shared" ref="N28:N30" si="17">IFERROR(L28/M28-1,"n.a.")</f>
        <v>n.a.</v>
      </c>
    </row>
    <row r="29" spans="1:14" x14ac:dyDescent="0.25">
      <c r="A29" s="36" t="s">
        <v>40</v>
      </c>
      <c r="B29" s="36" t="s">
        <v>34</v>
      </c>
      <c r="C29" s="9">
        <v>0</v>
      </c>
      <c r="D29" s="9">
        <v>0</v>
      </c>
      <c r="E29" s="9">
        <v>0</v>
      </c>
      <c r="F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19" t="str">
        <f t="shared" si="17"/>
        <v>n.a.</v>
      </c>
    </row>
    <row r="30" spans="1:14" x14ac:dyDescent="0.25">
      <c r="A30" s="36" t="s">
        <v>41</v>
      </c>
      <c r="B30" s="36" t="s">
        <v>34</v>
      </c>
      <c r="C30" s="9">
        <v>0</v>
      </c>
      <c r="D30" s="9">
        <v>0</v>
      </c>
      <c r="E30" s="9">
        <v>0</v>
      </c>
      <c r="F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19" t="str">
        <f t="shared" si="17"/>
        <v>n.a.</v>
      </c>
    </row>
    <row r="31" spans="1:14" x14ac:dyDescent="0.25">
      <c r="A31" s="37" t="s">
        <v>42</v>
      </c>
      <c r="B31" s="42" t="s">
        <v>34</v>
      </c>
      <c r="C31" s="14">
        <f>SUM(C28:C30)</f>
        <v>0</v>
      </c>
      <c r="D31" s="14">
        <f t="shared" ref="D31:F31" si="18">SUM(D28:D30)</f>
        <v>0</v>
      </c>
      <c r="E31" s="14">
        <f t="shared" si="18"/>
        <v>0</v>
      </c>
      <c r="F31" s="14">
        <f t="shared" si="18"/>
        <v>0</v>
      </c>
      <c r="G31" s="14"/>
      <c r="H31" s="14">
        <f t="shared" ref="H31" si="19">SUM(H28:H30)</f>
        <v>0</v>
      </c>
      <c r="I31" s="14">
        <f t="shared" ref="I31:K31" si="20">SUM(I28:I30)</f>
        <v>0</v>
      </c>
      <c r="J31" s="14">
        <f t="shared" si="20"/>
        <v>0</v>
      </c>
      <c r="K31" s="14">
        <f t="shared" si="20"/>
        <v>0</v>
      </c>
      <c r="L31" s="14">
        <f t="shared" ref="L31:M31" si="21">SUM(L28:L30)</f>
        <v>0</v>
      </c>
      <c r="M31" s="14">
        <f t="shared" si="21"/>
        <v>0</v>
      </c>
      <c r="N31" s="20" t="str">
        <f>IFERROR(L31/M31-1,"n.a.")</f>
        <v>n.a.</v>
      </c>
    </row>
    <row r="32" spans="1:14" x14ac:dyDescent="0.25">
      <c r="A32" s="11"/>
      <c r="B32" s="11"/>
      <c r="C32" s="9"/>
      <c r="D32" s="9"/>
      <c r="E32" s="9"/>
      <c r="F32" s="9"/>
      <c r="H32" s="9"/>
      <c r="I32" s="9"/>
      <c r="J32" s="9"/>
      <c r="K32" s="9"/>
      <c r="L32" s="9"/>
      <c r="M32" s="9"/>
      <c r="N32" s="21"/>
    </row>
    <row r="33" spans="1:14" x14ac:dyDescent="0.25">
      <c r="A33" s="38" t="s">
        <v>43</v>
      </c>
      <c r="B33" s="36" t="s">
        <v>34</v>
      </c>
      <c r="C33" s="9"/>
      <c r="D33" s="9"/>
      <c r="E33" s="9"/>
      <c r="F33" s="9"/>
      <c r="H33" s="9"/>
      <c r="I33" s="9"/>
      <c r="J33" s="9"/>
      <c r="K33" s="9"/>
      <c r="L33" s="9"/>
      <c r="M33" s="9"/>
      <c r="N33" s="21"/>
    </row>
    <row r="34" spans="1:14" x14ac:dyDescent="0.25">
      <c r="A34" s="36" t="s">
        <v>44</v>
      </c>
      <c r="B34" s="36" t="s">
        <v>34</v>
      </c>
      <c r="C34" s="9">
        <v>0</v>
      </c>
      <c r="D34" s="9">
        <v>0</v>
      </c>
      <c r="E34" s="9">
        <v>0</v>
      </c>
      <c r="F34" s="9">
        <v>1112.60069</v>
      </c>
      <c r="H34" s="9">
        <v>31.408989999999903</v>
      </c>
      <c r="I34" s="9">
        <v>0</v>
      </c>
      <c r="J34" s="9">
        <v>772.68988999999692</v>
      </c>
      <c r="K34" s="9">
        <v>0</v>
      </c>
      <c r="L34" s="9">
        <v>1440.79288</v>
      </c>
      <c r="M34" s="9">
        <v>80.686239999999998</v>
      </c>
      <c r="N34" s="19">
        <f t="shared" ref="N34:N35" si="22">IFERROR(L34/M34-1,"n.a.")</f>
        <v>16.856735919284379</v>
      </c>
    </row>
    <row r="35" spans="1:14" x14ac:dyDescent="0.25">
      <c r="A35" s="36" t="s">
        <v>45</v>
      </c>
      <c r="B35" s="36" t="s">
        <v>34</v>
      </c>
      <c r="C35" s="9">
        <v>0</v>
      </c>
      <c r="D35" s="9">
        <v>0</v>
      </c>
      <c r="E35" s="9">
        <v>0</v>
      </c>
      <c r="F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19" t="str">
        <f t="shared" si="22"/>
        <v>n.a.</v>
      </c>
    </row>
    <row r="36" spans="1:14" x14ac:dyDescent="0.25">
      <c r="A36" s="40" t="s">
        <v>42</v>
      </c>
      <c r="B36" s="42" t="s">
        <v>34</v>
      </c>
      <c r="C36" s="14">
        <f>SUM(C34:C35)</f>
        <v>0</v>
      </c>
      <c r="D36" s="14">
        <f t="shared" ref="D36:F36" si="23">SUM(D34:D35)</f>
        <v>0</v>
      </c>
      <c r="E36" s="14">
        <f t="shared" si="23"/>
        <v>0</v>
      </c>
      <c r="F36" s="14">
        <f t="shared" si="23"/>
        <v>1112.60069</v>
      </c>
      <c r="H36" s="14">
        <f t="shared" ref="H36" si="24">SUM(H34:H35)</f>
        <v>31.408989999999903</v>
      </c>
      <c r="I36" s="14">
        <f t="shared" ref="I36:K36" si="25">SUM(I34:I35)</f>
        <v>0</v>
      </c>
      <c r="J36" s="14">
        <f t="shared" si="25"/>
        <v>772.68988999999692</v>
      </c>
      <c r="K36" s="14">
        <f t="shared" si="25"/>
        <v>0</v>
      </c>
      <c r="L36" s="14">
        <f t="shared" ref="L36:M36" si="26">SUM(L34:L35)</f>
        <v>1440.79288</v>
      </c>
      <c r="M36" s="14">
        <f t="shared" si="26"/>
        <v>80.686239999999998</v>
      </c>
      <c r="N36" s="20">
        <f>IFERROR(L36/M36-1,"n.a.")</f>
        <v>16.856735919284379</v>
      </c>
    </row>
    <row r="37" spans="1:14" x14ac:dyDescent="0.25">
      <c r="A37" s="36"/>
      <c r="B37" s="36"/>
      <c r="C37" s="9"/>
      <c r="D37" s="9"/>
      <c r="E37" s="9"/>
      <c r="F37" s="9"/>
      <c r="H37" s="9"/>
      <c r="I37" s="9"/>
      <c r="J37" s="9"/>
      <c r="K37" s="9"/>
      <c r="L37" s="9"/>
      <c r="M37" s="9"/>
      <c r="N37" s="21"/>
    </row>
    <row r="38" spans="1:14" x14ac:dyDescent="0.25">
      <c r="A38" s="40" t="s">
        <v>46</v>
      </c>
      <c r="B38" s="36" t="s">
        <v>34</v>
      </c>
      <c r="C38" s="9"/>
      <c r="D38" s="9"/>
      <c r="E38" s="9"/>
      <c r="F38" s="9"/>
      <c r="H38" s="9"/>
      <c r="I38" s="9"/>
      <c r="J38" s="9"/>
      <c r="K38" s="9"/>
      <c r="L38" s="9"/>
      <c r="M38" s="9"/>
      <c r="N38" s="21"/>
    </row>
    <row r="39" spans="1:14" x14ac:dyDescent="0.25">
      <c r="A39" s="36" t="s">
        <v>57</v>
      </c>
      <c r="B39" s="36" t="s">
        <v>34</v>
      </c>
      <c r="C39" s="9">
        <v>0</v>
      </c>
      <c r="D39" s="9">
        <v>0</v>
      </c>
      <c r="E39" s="9">
        <v>0</v>
      </c>
      <c r="F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19" t="str">
        <f t="shared" ref="N39:N41" si="27">IFERROR(L39/M39-1,"n.a.")</f>
        <v>n.a.</v>
      </c>
    </row>
    <row r="40" spans="1:14" x14ac:dyDescent="0.25">
      <c r="A40" s="36" t="s">
        <v>48</v>
      </c>
      <c r="B40" s="36" t="s">
        <v>34</v>
      </c>
      <c r="C40" s="9">
        <v>0</v>
      </c>
      <c r="D40" s="9">
        <v>0</v>
      </c>
      <c r="E40" s="9">
        <v>0</v>
      </c>
      <c r="F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19" t="str">
        <f t="shared" si="27"/>
        <v>n.a.</v>
      </c>
    </row>
    <row r="41" spans="1:14" x14ac:dyDescent="0.25">
      <c r="A41" s="36" t="s">
        <v>49</v>
      </c>
      <c r="B41" s="36" t="s">
        <v>34</v>
      </c>
      <c r="C41" s="9">
        <v>0</v>
      </c>
      <c r="D41" s="9">
        <v>55516.166269999994</v>
      </c>
      <c r="E41" s="9">
        <v>215752.98149968026</v>
      </c>
      <c r="F41" s="9">
        <v>20615.39659</v>
      </c>
      <c r="H41" s="9">
        <v>11960.044937142857</v>
      </c>
      <c r="I41" s="9">
        <v>929.10966999999994</v>
      </c>
      <c r="J41" s="9">
        <v>57827.015043448941</v>
      </c>
      <c r="K41" s="9">
        <v>1346.90967</v>
      </c>
      <c r="L41" s="9">
        <v>117199.80321553661</v>
      </c>
      <c r="M41" s="9">
        <v>7860.0011599999998</v>
      </c>
      <c r="N41" s="19">
        <f t="shared" si="27"/>
        <v>13.910914239042761</v>
      </c>
    </row>
    <row r="42" spans="1:14" x14ac:dyDescent="0.25">
      <c r="A42" s="40" t="s">
        <v>42</v>
      </c>
      <c r="B42" s="42" t="s">
        <v>34</v>
      </c>
      <c r="C42" s="14">
        <f>SUM(C39:C41)</f>
        <v>0</v>
      </c>
      <c r="D42" s="14">
        <f t="shared" ref="D42:F42" si="28">SUM(D39:D41)</f>
        <v>55516.166269999994</v>
      </c>
      <c r="E42" s="14">
        <f t="shared" si="28"/>
        <v>215752.98149968026</v>
      </c>
      <c r="F42" s="14">
        <f t="shared" si="28"/>
        <v>20615.39659</v>
      </c>
      <c r="G42" s="14"/>
      <c r="H42" s="14">
        <f t="shared" ref="H42" si="29">SUM(H39:H41)</f>
        <v>11960.044937142857</v>
      </c>
      <c r="I42" s="14">
        <f t="shared" ref="I42:K42" si="30">SUM(I39:I41)</f>
        <v>929.10966999999994</v>
      </c>
      <c r="J42" s="14">
        <f t="shared" si="30"/>
        <v>57827.015043448941</v>
      </c>
      <c r="K42" s="14">
        <f t="shared" si="30"/>
        <v>1346.90967</v>
      </c>
      <c r="L42" s="14">
        <f t="shared" ref="L42:M42" si="31">SUM(L39:L41)</f>
        <v>117199.80321553661</v>
      </c>
      <c r="M42" s="14">
        <f t="shared" si="31"/>
        <v>7860.0011599999998</v>
      </c>
      <c r="N42" s="20">
        <f>IFERROR(L42/M42-1,"n.a.")</f>
        <v>13.910914239042761</v>
      </c>
    </row>
    <row r="43" spans="1:14" x14ac:dyDescent="0.25">
      <c r="A43" s="36"/>
      <c r="B43" s="36"/>
      <c r="C43" s="13"/>
      <c r="D43" s="13"/>
      <c r="E43" s="13"/>
      <c r="F43" s="13"/>
      <c r="H43" s="13"/>
      <c r="I43" s="13"/>
      <c r="J43" s="13"/>
      <c r="K43" s="13"/>
      <c r="L43" s="13"/>
      <c r="M43" s="13"/>
      <c r="N43" s="22"/>
    </row>
    <row r="44" spans="1:14" x14ac:dyDescent="0.25">
      <c r="A44" s="40" t="s">
        <v>53</v>
      </c>
      <c r="B44" s="42" t="s">
        <v>34</v>
      </c>
      <c r="C44" s="14">
        <f>C31+C36+C42</f>
        <v>0</v>
      </c>
      <c r="D44" s="14">
        <f t="shared" ref="D44:F44" si="32">D31+D36+D42</f>
        <v>55516.166269999994</v>
      </c>
      <c r="E44" s="14">
        <f t="shared" si="32"/>
        <v>215752.98149968026</v>
      </c>
      <c r="F44" s="14">
        <f t="shared" si="32"/>
        <v>21727.99728</v>
      </c>
      <c r="H44" s="14">
        <f t="shared" ref="H44:K44" si="33">H31+H36+H42</f>
        <v>11991.453927142857</v>
      </c>
      <c r="I44" s="14">
        <f t="shared" si="33"/>
        <v>929.10966999999994</v>
      </c>
      <c r="J44" s="14">
        <f t="shared" si="33"/>
        <v>58599.704933448935</v>
      </c>
      <c r="K44" s="14">
        <f t="shared" si="33"/>
        <v>1346.90967</v>
      </c>
      <c r="L44" s="14">
        <f t="shared" ref="L44:M44" si="34">L31+L36+L42</f>
        <v>118640.5960955366</v>
      </c>
      <c r="M44" s="14">
        <f t="shared" si="34"/>
        <v>7940.6873999999998</v>
      </c>
      <c r="N44" s="20">
        <f>IFERROR(L44/M44-1,"n.a.")</f>
        <v>13.940847072702624</v>
      </c>
    </row>
    <row r="45" spans="1:14" x14ac:dyDescent="0.25">
      <c r="A45" s="6"/>
      <c r="C45" s="34"/>
      <c r="D45" s="34"/>
      <c r="E45" s="34"/>
      <c r="F45" s="34"/>
      <c r="H45" s="34"/>
      <c r="I45" s="34"/>
      <c r="J45" s="34"/>
      <c r="K45" s="34"/>
      <c r="L45" s="34"/>
      <c r="M45" s="34"/>
      <c r="N45" s="35"/>
    </row>
    <row r="46" spans="1:14" ht="16.5" x14ac:dyDescent="0.25">
      <c r="A46" s="27" t="s">
        <v>54</v>
      </c>
      <c r="B46" s="16"/>
      <c r="C46" s="1"/>
      <c r="D46" s="1"/>
      <c r="E46" s="1"/>
      <c r="F46" s="1"/>
      <c r="H46" s="1"/>
      <c r="I46" s="1"/>
      <c r="J46" s="1"/>
      <c r="K46" s="1"/>
      <c r="L46" s="1"/>
      <c r="M46" s="1"/>
      <c r="N46" s="17"/>
    </row>
    <row r="47" spans="1:14" x14ac:dyDescent="0.25">
      <c r="A47" s="7" t="s">
        <v>38</v>
      </c>
      <c r="B47" s="7"/>
      <c r="C47" s="7"/>
      <c r="D47" s="7"/>
      <c r="E47" s="7"/>
      <c r="F47" s="8"/>
      <c r="H47" s="8"/>
      <c r="I47" s="8"/>
      <c r="J47" s="8"/>
      <c r="K47" s="8"/>
      <c r="L47" s="8"/>
      <c r="M47" s="8"/>
      <c r="N47" s="18"/>
    </row>
    <row r="48" spans="1:14" x14ac:dyDescent="0.25">
      <c r="A48" s="36" t="s">
        <v>56</v>
      </c>
      <c r="B48" s="36" t="s">
        <v>34</v>
      </c>
      <c r="C48" s="9">
        <f t="shared" ref="C48:F51" si="35">+C8+C28</f>
        <v>46853.371397942188</v>
      </c>
      <c r="D48" s="9">
        <f t="shared" si="35"/>
        <v>43749.219364019053</v>
      </c>
      <c r="E48" s="9">
        <f t="shared" si="35"/>
        <v>70049.593030000004</v>
      </c>
      <c r="F48" s="9">
        <f t="shared" si="35"/>
        <v>46527.890660000005</v>
      </c>
      <c r="H48" s="9">
        <f t="shared" ref="H48:I51" si="36">+H8+H28</f>
        <v>13621.34059</v>
      </c>
      <c r="I48" s="9">
        <f t="shared" si="36"/>
        <v>13747.226381666336</v>
      </c>
      <c r="J48" s="9">
        <f t="shared" ref="J48:K48" si="37">+J8+J28</f>
        <v>24959</v>
      </c>
      <c r="K48" s="9">
        <f t="shared" si="37"/>
        <v>17391.830451666337</v>
      </c>
      <c r="L48" s="9">
        <f t="shared" ref="L48:M48" si="38">+L8+L28</f>
        <v>46805.022064869503</v>
      </c>
      <c r="M48" s="9">
        <f t="shared" si="38"/>
        <v>36822.858321666339</v>
      </c>
      <c r="N48" s="19">
        <f t="shared" ref="N48:N50" si="39">IFERROR(L48/M48-1,"n.a.")</f>
        <v>0.27108606442237315</v>
      </c>
    </row>
    <row r="49" spans="1:14" x14ac:dyDescent="0.25">
      <c r="A49" s="36" t="s">
        <v>40</v>
      </c>
      <c r="B49" s="36" t="s">
        <v>34</v>
      </c>
      <c r="C49" s="9">
        <f t="shared" si="35"/>
        <v>45029.922290000002</v>
      </c>
      <c r="D49" s="9">
        <f t="shared" si="35"/>
        <v>58281.282413248678</v>
      </c>
      <c r="E49" s="9">
        <f t="shared" si="35"/>
        <v>53140.924656234019</v>
      </c>
      <c r="F49" s="9">
        <f t="shared" si="35"/>
        <v>58922.193280000007</v>
      </c>
      <c r="H49" s="9">
        <f t="shared" si="36"/>
        <v>9.85501</v>
      </c>
      <c r="I49" s="9">
        <f t="shared" si="36"/>
        <v>11.16225</v>
      </c>
      <c r="J49" s="9">
        <f t="shared" ref="J49:K49" si="40">+J9+J29</f>
        <v>978.95026999999993</v>
      </c>
      <c r="K49" s="9">
        <f t="shared" si="40"/>
        <v>2061.9824799999992</v>
      </c>
      <c r="L49" s="9">
        <f t="shared" ref="L49:M49" si="41">+L9+L29</f>
        <v>25310.282310000006</v>
      </c>
      <c r="M49" s="9">
        <f t="shared" si="41"/>
        <v>22938.560290000005</v>
      </c>
      <c r="N49" s="19">
        <f t="shared" si="39"/>
        <v>0.10339454569142892</v>
      </c>
    </row>
    <row r="50" spans="1:14" x14ac:dyDescent="0.25">
      <c r="A50" s="36" t="s">
        <v>41</v>
      </c>
      <c r="B50" s="36" t="s">
        <v>34</v>
      </c>
      <c r="C50" s="9">
        <f t="shared" si="35"/>
        <v>107208.49840999999</v>
      </c>
      <c r="D50" s="9">
        <f t="shared" si="35"/>
        <v>101338.57857310497</v>
      </c>
      <c r="E50" s="9">
        <f t="shared" si="35"/>
        <v>123489.45153999998</v>
      </c>
      <c r="F50" s="9">
        <f t="shared" si="35"/>
        <v>126736.96609</v>
      </c>
      <c r="H50" s="9">
        <f t="shared" si="36"/>
        <v>31467.998310000003</v>
      </c>
      <c r="I50" s="9">
        <f t="shared" si="36"/>
        <v>30166.44255</v>
      </c>
      <c r="J50" s="9">
        <f t="shared" ref="J50:K50" si="42">+J10+J30</f>
        <v>59027.953890000004</v>
      </c>
      <c r="K50" s="9">
        <f t="shared" si="42"/>
        <v>60853.509189999997</v>
      </c>
      <c r="L50" s="9">
        <f t="shared" ref="L50:M50" si="43">+L10+L30</f>
        <v>102459.36717000001</v>
      </c>
      <c r="M50" s="9">
        <f t="shared" si="43"/>
        <v>94030.760209999993</v>
      </c>
      <c r="N50" s="19">
        <f t="shared" si="39"/>
        <v>8.9636699109698847E-2</v>
      </c>
    </row>
    <row r="51" spans="1:14" x14ac:dyDescent="0.25">
      <c r="A51" s="37" t="s">
        <v>42</v>
      </c>
      <c r="B51" s="42" t="s">
        <v>34</v>
      </c>
      <c r="C51" s="14">
        <f t="shared" si="35"/>
        <v>199091.79209794218</v>
      </c>
      <c r="D51" s="14">
        <f t="shared" si="35"/>
        <v>203369.08035037271</v>
      </c>
      <c r="E51" s="14">
        <f t="shared" si="35"/>
        <v>246679.96922623401</v>
      </c>
      <c r="F51" s="14">
        <f t="shared" si="35"/>
        <v>232187.05003000001</v>
      </c>
      <c r="G51" s="14"/>
      <c r="H51" s="14">
        <f t="shared" si="36"/>
        <v>45099.193910000002</v>
      </c>
      <c r="I51" s="14">
        <f t="shared" si="36"/>
        <v>43924.831181666334</v>
      </c>
      <c r="J51" s="14">
        <f t="shared" ref="J51:K51" si="44">+J11+J31</f>
        <v>84965.904160000006</v>
      </c>
      <c r="K51" s="14">
        <f t="shared" si="44"/>
        <v>80307.322121666337</v>
      </c>
      <c r="L51" s="14">
        <f t="shared" ref="L51:M51" si="45">+L11+L31</f>
        <v>174574.67154486952</v>
      </c>
      <c r="M51" s="14">
        <f t="shared" si="45"/>
        <v>153792.17882166634</v>
      </c>
      <c r="N51" s="20">
        <f>IFERROR(L51/M51-1,"n.a.")</f>
        <v>0.13513361266116175</v>
      </c>
    </row>
    <row r="52" spans="1:14" x14ac:dyDescent="0.25">
      <c r="A52" s="11"/>
      <c r="B52" s="11"/>
      <c r="C52" s="9"/>
      <c r="D52" s="9"/>
      <c r="E52" s="9"/>
      <c r="F52" s="9"/>
      <c r="H52" s="9"/>
      <c r="I52" s="9"/>
      <c r="J52" s="9"/>
      <c r="K52" s="9"/>
      <c r="L52" s="9"/>
      <c r="M52" s="9"/>
      <c r="N52" s="21"/>
    </row>
    <row r="53" spans="1:14" x14ac:dyDescent="0.25">
      <c r="A53" s="38" t="s">
        <v>43</v>
      </c>
      <c r="B53" s="36" t="s">
        <v>34</v>
      </c>
      <c r="C53" s="9"/>
      <c r="D53" s="9"/>
      <c r="E53" s="9"/>
      <c r="F53" s="9"/>
      <c r="H53" s="9"/>
      <c r="I53" s="9"/>
      <c r="J53" s="9"/>
      <c r="K53" s="9"/>
      <c r="L53" s="9"/>
      <c r="M53" s="9"/>
      <c r="N53" s="21"/>
    </row>
    <row r="54" spans="1:14" x14ac:dyDescent="0.25">
      <c r="A54" s="36" t="s">
        <v>44</v>
      </c>
      <c r="B54" s="36" t="s">
        <v>34</v>
      </c>
      <c r="C54" s="9">
        <f t="shared" ref="C54:F56" si="46">+C14+C34</f>
        <v>38795.603060000001</v>
      </c>
      <c r="D54" s="9">
        <f t="shared" si="46"/>
        <v>29941.440109999992</v>
      </c>
      <c r="E54" s="9">
        <f t="shared" si="46"/>
        <v>30156.255489999992</v>
      </c>
      <c r="F54" s="9">
        <f t="shared" si="46"/>
        <v>34632.531690000003</v>
      </c>
      <c r="H54" s="9">
        <f t="shared" ref="H54:I56" si="47">+H14+H34</f>
        <v>1351.5519899999999</v>
      </c>
      <c r="I54" s="9">
        <f t="shared" si="47"/>
        <v>23676.567569999996</v>
      </c>
      <c r="J54" s="9">
        <f t="shared" ref="J54:K54" si="48">+J14+J34</f>
        <v>7656.8099099999972</v>
      </c>
      <c r="K54" s="9">
        <f t="shared" si="48"/>
        <v>26101.435679999999</v>
      </c>
      <c r="L54" s="9">
        <f t="shared" ref="L54:M54" si="49">+L14+L34</f>
        <v>13193.541799999999</v>
      </c>
      <c r="M54" s="9">
        <f t="shared" si="49"/>
        <v>27868.779189999997</v>
      </c>
      <c r="N54" s="19">
        <f t="shared" ref="N54:N55" si="50">IFERROR(L54/M54-1,"n.a.")</f>
        <v>-0.52658343194544499</v>
      </c>
    </row>
    <row r="55" spans="1:14" x14ac:dyDescent="0.25">
      <c r="A55" s="36" t="s">
        <v>45</v>
      </c>
      <c r="B55" s="36" t="s">
        <v>34</v>
      </c>
      <c r="C55" s="9">
        <f t="shared" si="46"/>
        <v>46.486620000000002</v>
      </c>
      <c r="D55" s="9">
        <f t="shared" si="46"/>
        <v>10.89016</v>
      </c>
      <c r="E55" s="9">
        <f t="shared" si="46"/>
        <v>1274.6799899999999</v>
      </c>
      <c r="F55" s="9">
        <f t="shared" si="46"/>
        <v>2312.15074</v>
      </c>
      <c r="H55" s="9">
        <f t="shared" si="47"/>
        <v>0</v>
      </c>
      <c r="I55" s="9">
        <f t="shared" si="47"/>
        <v>227.26499999999999</v>
      </c>
      <c r="J55" s="9">
        <f t="shared" ref="J55:K55" si="51">+J15+J35</f>
        <v>28.56344</v>
      </c>
      <c r="K55" s="9">
        <f t="shared" si="51"/>
        <v>417.86500000000001</v>
      </c>
      <c r="L55" s="9">
        <f t="shared" ref="L55:M55" si="52">+L15+L35</f>
        <v>418.69857000000002</v>
      </c>
      <c r="M55" s="9">
        <f t="shared" si="52"/>
        <v>635.03</v>
      </c>
      <c r="N55" s="19">
        <f t="shared" si="50"/>
        <v>-0.34066332299261448</v>
      </c>
    </row>
    <row r="56" spans="1:14" x14ac:dyDescent="0.25">
      <c r="A56" s="40" t="s">
        <v>42</v>
      </c>
      <c r="B56" s="42" t="s">
        <v>34</v>
      </c>
      <c r="C56" s="14">
        <f t="shared" si="46"/>
        <v>38842.089680000005</v>
      </c>
      <c r="D56" s="14">
        <f t="shared" si="46"/>
        <v>29952.330269999991</v>
      </c>
      <c r="E56" s="14">
        <f t="shared" si="46"/>
        <v>31430.935479999993</v>
      </c>
      <c r="F56" s="14">
        <f t="shared" si="46"/>
        <v>36944.682430000001</v>
      </c>
      <c r="H56" s="14">
        <f t="shared" si="47"/>
        <v>1351.5519899999999</v>
      </c>
      <c r="I56" s="14">
        <f t="shared" si="47"/>
        <v>23903.832569999995</v>
      </c>
      <c r="J56" s="14">
        <f t="shared" ref="J56:K56" si="53">+J16+J36</f>
        <v>7685.3733499999971</v>
      </c>
      <c r="K56" s="14">
        <f t="shared" si="53"/>
        <v>26519.30068</v>
      </c>
      <c r="L56" s="14">
        <f t="shared" ref="L56:M56" si="54">+L16+L36</f>
        <v>13612.24037</v>
      </c>
      <c r="M56" s="14">
        <f t="shared" si="54"/>
        <v>28503.809189999996</v>
      </c>
      <c r="N56" s="20">
        <f>IFERROR(L56/M56-1,"n.a.")</f>
        <v>-0.52244135935432845</v>
      </c>
    </row>
    <row r="57" spans="1:14" x14ac:dyDescent="0.25">
      <c r="A57" s="36"/>
      <c r="B57" s="36"/>
      <c r="C57" s="9"/>
      <c r="D57" s="9"/>
      <c r="E57" s="9"/>
      <c r="F57" s="9"/>
      <c r="H57" s="9"/>
      <c r="I57" s="9"/>
      <c r="J57" s="9"/>
      <c r="K57" s="9"/>
      <c r="L57" s="9"/>
      <c r="M57" s="9"/>
      <c r="N57" s="21"/>
    </row>
    <row r="58" spans="1:14" x14ac:dyDescent="0.25">
      <c r="A58" s="40" t="s">
        <v>46</v>
      </c>
      <c r="B58" s="36" t="s">
        <v>34</v>
      </c>
      <c r="C58" s="9"/>
      <c r="D58" s="9"/>
      <c r="E58" s="9"/>
      <c r="F58" s="9"/>
      <c r="H58" s="9"/>
      <c r="I58" s="9"/>
      <c r="J58" s="9"/>
      <c r="K58" s="9"/>
      <c r="L58" s="9"/>
      <c r="M58" s="9"/>
      <c r="N58" s="21"/>
    </row>
    <row r="59" spans="1:14" x14ac:dyDescent="0.25">
      <c r="A59" s="36" t="s">
        <v>57</v>
      </c>
      <c r="B59" s="36" t="s">
        <v>34</v>
      </c>
      <c r="C59" s="9">
        <f t="shared" ref="C59:F62" si="55">+C19+C39</f>
        <v>31720.469429184945</v>
      </c>
      <c r="D59" s="9">
        <f t="shared" si="55"/>
        <v>24173.509732127142</v>
      </c>
      <c r="E59" s="9">
        <f t="shared" si="55"/>
        <v>0</v>
      </c>
      <c r="F59" s="9">
        <f t="shared" si="55"/>
        <v>0</v>
      </c>
      <c r="H59" s="9">
        <f t="shared" ref="H59:I62" si="56">+H19+H39</f>
        <v>0</v>
      </c>
      <c r="I59" s="9">
        <f t="shared" si="56"/>
        <v>0</v>
      </c>
      <c r="J59" s="9">
        <f t="shared" ref="J59:K59" si="57">+J19+J39</f>
        <v>2412.2715942740665</v>
      </c>
      <c r="K59" s="9">
        <f t="shared" si="57"/>
        <v>0</v>
      </c>
      <c r="L59" s="9">
        <f t="shared" ref="L59:M59" si="58">+L19+L39</f>
        <v>5060.4032994045665</v>
      </c>
      <c r="M59" s="9">
        <f t="shared" si="58"/>
        <v>0</v>
      </c>
      <c r="N59" s="19" t="str">
        <f t="shared" ref="N59:N61" si="59">IFERROR(L59/M59-1,"n.a.")</f>
        <v>n.a.</v>
      </c>
    </row>
    <row r="60" spans="1:14" x14ac:dyDescent="0.25">
      <c r="A60" s="36" t="s">
        <v>48</v>
      </c>
      <c r="B60" s="36" t="s">
        <v>34</v>
      </c>
      <c r="C60" s="9">
        <f t="shared" si="55"/>
        <v>0</v>
      </c>
      <c r="D60" s="9">
        <f t="shared" si="55"/>
        <v>0</v>
      </c>
      <c r="E60" s="9">
        <f t="shared" si="55"/>
        <v>3997.6014500000001</v>
      </c>
      <c r="F60" s="9">
        <f t="shared" si="55"/>
        <v>2988.3340899999998</v>
      </c>
      <c r="H60" s="9">
        <f t="shared" si="56"/>
        <v>333.11845999999997</v>
      </c>
      <c r="I60" s="9">
        <f t="shared" si="56"/>
        <v>1454.9456599999999</v>
      </c>
      <c r="J60" s="9">
        <f t="shared" ref="J60:K60" si="60">+J20+J40</f>
        <v>807.47916999999984</v>
      </c>
      <c r="K60" s="9">
        <f t="shared" si="60"/>
        <v>1715.1644099999999</v>
      </c>
      <c r="L60" s="9">
        <f t="shared" ref="L60:M60" si="61">+L20+L40</f>
        <v>2366.8858199999995</v>
      </c>
      <c r="M60" s="9">
        <f t="shared" si="61"/>
        <v>2159.80573</v>
      </c>
      <c r="N60" s="19">
        <f t="shared" si="59"/>
        <v>9.5879035379723421E-2</v>
      </c>
    </row>
    <row r="61" spans="1:14" x14ac:dyDescent="0.25">
      <c r="A61" s="36" t="s">
        <v>49</v>
      </c>
      <c r="B61" s="36" t="s">
        <v>34</v>
      </c>
      <c r="C61" s="9">
        <f t="shared" si="55"/>
        <v>9467.2300499999983</v>
      </c>
      <c r="D61" s="9">
        <f t="shared" si="55"/>
        <v>83436.018949999998</v>
      </c>
      <c r="E61" s="9">
        <f t="shared" si="55"/>
        <v>233886.91086968026</v>
      </c>
      <c r="F61" s="9">
        <f t="shared" si="55"/>
        <v>61533.636354999995</v>
      </c>
      <c r="H61" s="9">
        <f t="shared" si="56"/>
        <v>17943.214437142859</v>
      </c>
      <c r="I61" s="9">
        <f t="shared" si="56"/>
        <v>19181.884045000003</v>
      </c>
      <c r="J61" s="9">
        <f t="shared" ref="J61:K61" si="62">+J21+J41</f>
        <v>68705.864533448941</v>
      </c>
      <c r="K61" s="9">
        <f t="shared" si="62"/>
        <v>35854.353754999996</v>
      </c>
      <c r="L61" s="9">
        <f t="shared" ref="L61:M61" si="63">+L21+L41</f>
        <v>130462.24092553661</v>
      </c>
      <c r="M61" s="9">
        <f t="shared" si="63"/>
        <v>46868.608114999995</v>
      </c>
      <c r="N61" s="19">
        <f t="shared" si="59"/>
        <v>1.7835740418282873</v>
      </c>
    </row>
    <row r="62" spans="1:14" x14ac:dyDescent="0.25">
      <c r="A62" s="40" t="s">
        <v>42</v>
      </c>
      <c r="B62" s="42" t="s">
        <v>34</v>
      </c>
      <c r="C62" s="14">
        <f t="shared" si="55"/>
        <v>41187.699479184943</v>
      </c>
      <c r="D62" s="14">
        <f t="shared" si="55"/>
        <v>107609.52868212713</v>
      </c>
      <c r="E62" s="14">
        <f t="shared" si="55"/>
        <v>237884.51231968025</v>
      </c>
      <c r="F62" s="14">
        <f t="shared" si="55"/>
        <v>64521.970444999999</v>
      </c>
      <c r="G62" s="14"/>
      <c r="H62" s="14">
        <f t="shared" si="56"/>
        <v>18276.332897142856</v>
      </c>
      <c r="I62" s="14">
        <f t="shared" si="56"/>
        <v>20636.829705000004</v>
      </c>
      <c r="J62" s="14">
        <f t="shared" ref="J62:K62" si="64">+J22+J42</f>
        <v>71925.615297723009</v>
      </c>
      <c r="K62" s="14">
        <f t="shared" si="64"/>
        <v>37569.518164999994</v>
      </c>
      <c r="L62" s="14">
        <f t="shared" ref="L62:M62" si="65">+L22+L42</f>
        <v>137889.53004494117</v>
      </c>
      <c r="M62" s="14">
        <f t="shared" si="65"/>
        <v>49028.413844999995</v>
      </c>
      <c r="N62" s="20">
        <f>IFERROR(L62/M62-1,"n.a.")</f>
        <v>1.8124411791266501</v>
      </c>
    </row>
    <row r="63" spans="1:14" x14ac:dyDescent="0.25">
      <c r="A63" s="36"/>
      <c r="B63" s="36"/>
      <c r="C63" s="13"/>
      <c r="D63" s="13"/>
      <c r="E63" s="13"/>
      <c r="F63" s="13"/>
      <c r="H63" s="13"/>
      <c r="I63" s="13"/>
      <c r="J63" s="13"/>
      <c r="K63" s="13"/>
      <c r="L63" s="13"/>
      <c r="M63" s="13"/>
      <c r="N63" s="22"/>
    </row>
    <row r="64" spans="1:14" x14ac:dyDescent="0.25">
      <c r="A64" s="40" t="s">
        <v>55</v>
      </c>
      <c r="B64" s="42" t="s">
        <v>34</v>
      </c>
      <c r="C64" s="14">
        <f>+C24+C44</f>
        <v>279121.58125712711</v>
      </c>
      <c r="D64" s="14">
        <f>+D24+D44</f>
        <v>340930.93930249981</v>
      </c>
      <c r="E64" s="14">
        <f>+E24+E44</f>
        <v>515995.41702591424</v>
      </c>
      <c r="F64" s="14">
        <f>+F24+F44</f>
        <v>333653.70290500007</v>
      </c>
      <c r="H64" s="14">
        <f>+H24+H44</f>
        <v>64727.078797142858</v>
      </c>
      <c r="I64" s="14">
        <f>+I24+I44</f>
        <v>88465.493456666343</v>
      </c>
      <c r="J64" s="14">
        <f t="shared" ref="J64:K64" si="66">+J24+J44</f>
        <v>164576.89280772299</v>
      </c>
      <c r="K64" s="14">
        <f t="shared" si="66"/>
        <v>144396.14096666631</v>
      </c>
      <c r="L64" s="14">
        <f t="shared" ref="L64:M64" si="67">+L24+L44</f>
        <v>326076.44195981068</v>
      </c>
      <c r="M64" s="14">
        <f t="shared" si="67"/>
        <v>231324.40185666631</v>
      </c>
      <c r="N64" s="20">
        <f>IFERROR(L64/M64-1,"n.a.")</f>
        <v>0.40960676583465161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0CF70-BA63-4782-8B76-910196BB44BE}">
  <dimension ref="A1:M80"/>
  <sheetViews>
    <sheetView showGridLines="0" zoomScaleNormal="100" workbookViewId="0">
      <pane xSplit="2" ySplit="5" topLeftCell="F6" activePane="bottomRight" state="frozen"/>
      <selection pane="topRight" activeCell="C1" sqref="C1"/>
      <selection pane="bottomLeft" activeCell="A6" sqref="A6"/>
      <selection pane="bottomRight" activeCell="H49" sqref="H49"/>
    </sheetView>
  </sheetViews>
  <sheetFormatPr defaultRowHeight="15" x14ac:dyDescent="0.25"/>
  <cols>
    <col min="1" max="1" width="47" bestFit="1" customWidth="1"/>
    <col min="2" max="2" width="10.28515625" style="2" customWidth="1"/>
    <col min="3" max="5" width="18.42578125" customWidth="1"/>
    <col min="6" max="6" width="19.5703125" customWidth="1"/>
    <col min="7" max="7" width="0.85546875" customWidth="1"/>
    <col min="8" max="10" width="19.5703125" customWidth="1"/>
    <col min="11" max="11" width="19.5703125" style="23" customWidth="1"/>
  </cols>
  <sheetData>
    <row r="1" spans="1:11" ht="64.150000000000006" customHeight="1" x14ac:dyDescent="0.25"/>
    <row r="5" spans="1:11" ht="16.5" x14ac:dyDescent="0.25">
      <c r="A5" s="27" t="s">
        <v>83</v>
      </c>
      <c r="B5" s="16" t="s">
        <v>227</v>
      </c>
      <c r="C5" s="118" t="s">
        <v>77</v>
      </c>
      <c r="D5" s="118" t="s">
        <v>78</v>
      </c>
      <c r="E5" s="118" t="s">
        <v>79</v>
      </c>
      <c r="F5" s="118" t="s">
        <v>80</v>
      </c>
      <c r="H5" s="118" t="s">
        <v>81</v>
      </c>
      <c r="I5" s="120">
        <v>44469</v>
      </c>
      <c r="J5" s="120">
        <v>44561</v>
      </c>
      <c r="K5" s="77" t="s">
        <v>3</v>
      </c>
    </row>
    <row r="6" spans="1:11" ht="16.5" x14ac:dyDescent="0.25">
      <c r="A6" s="27" t="s">
        <v>51</v>
      </c>
      <c r="B6" s="16"/>
      <c r="C6" s="16"/>
      <c r="D6" s="16"/>
      <c r="E6" s="16"/>
      <c r="F6" s="16"/>
      <c r="H6" s="16"/>
      <c r="I6" s="16"/>
      <c r="J6" s="16"/>
      <c r="K6" s="16"/>
    </row>
    <row r="7" spans="1:11" x14ac:dyDescent="0.25">
      <c r="A7" s="24" t="s">
        <v>58</v>
      </c>
      <c r="B7" s="55" t="s">
        <v>34</v>
      </c>
      <c r="C7" s="9">
        <v>106595</v>
      </c>
      <c r="D7" s="9">
        <v>91221</v>
      </c>
      <c r="E7" s="9">
        <v>75673</v>
      </c>
      <c r="F7" s="9">
        <v>59894</v>
      </c>
      <c r="H7" s="9">
        <v>55939</v>
      </c>
      <c r="I7" s="9">
        <v>52007</v>
      </c>
      <c r="J7" s="9">
        <v>50707</v>
      </c>
      <c r="K7" s="19">
        <f>IFERROR(J7/I7-1,"n.a.")</f>
        <v>-2.4996635068356143E-2</v>
      </c>
    </row>
    <row r="8" spans="1:11" x14ac:dyDescent="0.25">
      <c r="A8" s="52" t="s">
        <v>59</v>
      </c>
      <c r="B8" s="46" t="s">
        <v>34</v>
      </c>
      <c r="C8" s="9">
        <v>25476</v>
      </c>
      <c r="D8" s="9">
        <v>18429</v>
      </c>
      <c r="E8" s="9">
        <v>0</v>
      </c>
      <c r="F8" s="9">
        <v>0</v>
      </c>
      <c r="H8" s="9">
        <v>0</v>
      </c>
      <c r="I8" s="9">
        <v>0</v>
      </c>
      <c r="J8" s="9">
        <v>0</v>
      </c>
      <c r="K8" s="19" t="str">
        <f t="shared" ref="K8:K17" si="0">IFERROR(J8/I8-1,"n.a.")</f>
        <v>n.a.</v>
      </c>
    </row>
    <row r="9" spans="1:11" x14ac:dyDescent="0.25">
      <c r="A9" s="52" t="s">
        <v>60</v>
      </c>
      <c r="B9" s="46" t="s">
        <v>34</v>
      </c>
      <c r="C9" s="9">
        <v>36317</v>
      </c>
      <c r="D9" s="9">
        <v>27417</v>
      </c>
      <c r="E9" s="9">
        <v>0</v>
      </c>
      <c r="F9" s="9">
        <v>0</v>
      </c>
      <c r="H9" s="9">
        <v>0</v>
      </c>
      <c r="I9" s="9">
        <v>0</v>
      </c>
      <c r="J9" s="9">
        <v>0</v>
      </c>
      <c r="K9" s="19" t="str">
        <f t="shared" si="0"/>
        <v>n.a.</v>
      </c>
    </row>
    <row r="10" spans="1:11" x14ac:dyDescent="0.25">
      <c r="A10" s="52" t="s">
        <v>61</v>
      </c>
      <c r="B10" s="46" t="s">
        <v>34</v>
      </c>
      <c r="C10" s="9">
        <v>99527</v>
      </c>
      <c r="D10" s="9">
        <v>72284</v>
      </c>
      <c r="E10" s="9">
        <v>52709</v>
      </c>
      <c r="F10" s="9">
        <v>71081</v>
      </c>
      <c r="H10" s="9">
        <v>84206</v>
      </c>
      <c r="I10" s="9">
        <v>89023</v>
      </c>
      <c r="J10" s="9">
        <v>90922</v>
      </c>
      <c r="K10" s="19">
        <f t="shared" si="0"/>
        <v>2.1331565999797908E-2</v>
      </c>
    </row>
    <row r="11" spans="1:11" x14ac:dyDescent="0.25">
      <c r="A11" s="53" t="s">
        <v>62</v>
      </c>
      <c r="B11" s="56" t="s">
        <v>34</v>
      </c>
      <c r="C11" s="9">
        <v>25424</v>
      </c>
      <c r="D11" s="9">
        <v>21835</v>
      </c>
      <c r="E11" s="9">
        <v>18242</v>
      </c>
      <c r="F11" s="9">
        <v>14656</v>
      </c>
      <c r="H11" s="9">
        <v>13756</v>
      </c>
      <c r="I11" s="9">
        <v>12859</v>
      </c>
      <c r="J11" s="9">
        <v>11964</v>
      </c>
      <c r="K11" s="19">
        <f t="shared" si="0"/>
        <v>-6.9601057625009677E-2</v>
      </c>
    </row>
    <row r="12" spans="1:11" x14ac:dyDescent="0.25">
      <c r="A12" s="11" t="s">
        <v>63</v>
      </c>
      <c r="B12" s="46" t="s">
        <v>34</v>
      </c>
      <c r="C12" s="9">
        <v>171399</v>
      </c>
      <c r="D12" s="9">
        <v>205442</v>
      </c>
      <c r="E12" s="9">
        <v>148389</v>
      </c>
      <c r="F12" s="9">
        <v>115764</v>
      </c>
      <c r="H12" s="9">
        <v>110105</v>
      </c>
      <c r="I12" s="9">
        <v>98804</v>
      </c>
      <c r="J12" s="9">
        <v>101590</v>
      </c>
      <c r="K12" s="19">
        <f t="shared" si="0"/>
        <v>2.8197238978179051E-2</v>
      </c>
    </row>
    <row r="13" spans="1:11" x14ac:dyDescent="0.25">
      <c r="A13" s="11" t="s">
        <v>64</v>
      </c>
      <c r="B13" s="46" t="s">
        <v>34</v>
      </c>
      <c r="C13" s="9">
        <v>211343</v>
      </c>
      <c r="D13" s="9">
        <v>221507</v>
      </c>
      <c r="E13" s="9">
        <v>167217</v>
      </c>
      <c r="F13" s="9">
        <v>16082</v>
      </c>
      <c r="H13" s="9">
        <v>12039</v>
      </c>
      <c r="I13" s="9">
        <v>12023</v>
      </c>
      <c r="J13" s="9">
        <v>11998</v>
      </c>
      <c r="K13" s="19">
        <f t="shared" si="0"/>
        <v>-2.0793479164933348E-3</v>
      </c>
    </row>
    <row r="14" spans="1:11" x14ac:dyDescent="0.25">
      <c r="A14" s="52" t="s">
        <v>65</v>
      </c>
      <c r="B14" s="46" t="s">
        <v>34</v>
      </c>
      <c r="C14" s="9">
        <v>0</v>
      </c>
      <c r="D14" s="9">
        <v>0</v>
      </c>
      <c r="E14" s="9">
        <v>0</v>
      </c>
      <c r="F14" s="9">
        <v>0</v>
      </c>
      <c r="H14" s="9">
        <v>0</v>
      </c>
      <c r="I14" s="9">
        <v>0</v>
      </c>
      <c r="J14" s="9">
        <v>0</v>
      </c>
      <c r="K14" s="19" t="str">
        <f t="shared" si="0"/>
        <v>n.a.</v>
      </c>
    </row>
    <row r="15" spans="1:11" x14ac:dyDescent="0.25">
      <c r="A15" s="52" t="s">
        <v>75</v>
      </c>
      <c r="B15" s="46" t="s">
        <v>34</v>
      </c>
      <c r="C15" s="9">
        <v>0</v>
      </c>
      <c r="D15" s="9">
        <v>0</v>
      </c>
      <c r="E15" s="9">
        <v>0</v>
      </c>
      <c r="F15" s="9">
        <v>0</v>
      </c>
      <c r="H15" s="9">
        <v>0</v>
      </c>
      <c r="I15" s="9">
        <v>0</v>
      </c>
      <c r="J15" s="9">
        <v>0</v>
      </c>
      <c r="K15" s="19" t="str">
        <f t="shared" si="0"/>
        <v>n.a.</v>
      </c>
    </row>
    <row r="16" spans="1:11" x14ac:dyDescent="0.25">
      <c r="A16" s="52" t="s">
        <v>66</v>
      </c>
      <c r="B16" s="46" t="s">
        <v>34</v>
      </c>
      <c r="C16" s="9">
        <v>130858</v>
      </c>
      <c r="D16" s="9">
        <v>99434</v>
      </c>
      <c r="E16" s="9">
        <v>484097</v>
      </c>
      <c r="F16" s="9">
        <v>473515</v>
      </c>
      <c r="H16" s="9">
        <v>479528</v>
      </c>
      <c r="I16" s="9">
        <v>465141</v>
      </c>
      <c r="J16" s="9">
        <v>474134</v>
      </c>
      <c r="K16" s="19">
        <f t="shared" si="0"/>
        <v>1.9333922402024362E-2</v>
      </c>
    </row>
    <row r="17" spans="1:11" x14ac:dyDescent="0.25">
      <c r="A17" s="52" t="s">
        <v>74</v>
      </c>
      <c r="B17" s="46" t="s">
        <v>34</v>
      </c>
      <c r="C17" s="9">
        <v>-363</v>
      </c>
      <c r="D17" s="9">
        <v>-231</v>
      </c>
      <c r="E17" s="9">
        <v>878</v>
      </c>
      <c r="F17" s="9">
        <v>-6617</v>
      </c>
      <c r="H17" s="9">
        <v>-28692</v>
      </c>
      <c r="I17" s="9">
        <v>-18234</v>
      </c>
      <c r="J17" s="9">
        <v>-27847</v>
      </c>
      <c r="K17" s="19">
        <f t="shared" si="0"/>
        <v>0.52720193045958097</v>
      </c>
    </row>
    <row r="18" spans="1:11" x14ac:dyDescent="0.25">
      <c r="A18" s="40" t="s">
        <v>70</v>
      </c>
      <c r="B18" s="51" t="s">
        <v>34</v>
      </c>
      <c r="C18" s="14">
        <f>SUM(C7:C17)</f>
        <v>806576</v>
      </c>
      <c r="D18" s="14">
        <f>SUM(D7:D17)</f>
        <v>757338</v>
      </c>
      <c r="E18" s="14">
        <f>SUM(E7:E17)</f>
        <v>947205</v>
      </c>
      <c r="F18" s="14">
        <f>SUM(F7:F17)</f>
        <v>744375</v>
      </c>
      <c r="H18" s="14">
        <f t="shared" ref="H18:I18" si="1">SUM(H7:H17)</f>
        <v>726881</v>
      </c>
      <c r="I18" s="14">
        <f t="shared" si="1"/>
        <v>711623</v>
      </c>
      <c r="J18" s="14">
        <f t="shared" ref="J18" si="2">SUM(J7:J17)</f>
        <v>713468</v>
      </c>
      <c r="K18" s="20">
        <f>IFERROR(J18/I18-1,"n.a.")</f>
        <v>2.5926649363496868E-3</v>
      </c>
    </row>
    <row r="19" spans="1:11" x14ac:dyDescent="0.25">
      <c r="A19" s="52"/>
      <c r="B19" s="46"/>
      <c r="C19" s="9"/>
      <c r="D19" s="9"/>
      <c r="E19" s="9"/>
      <c r="F19" s="9"/>
      <c r="H19" s="9"/>
      <c r="I19" s="9"/>
      <c r="J19" s="9"/>
      <c r="K19" s="19"/>
    </row>
    <row r="20" spans="1:11" x14ac:dyDescent="0.25">
      <c r="A20" s="52" t="s">
        <v>71</v>
      </c>
      <c r="B20" s="46" t="s">
        <v>34</v>
      </c>
      <c r="C20" s="9">
        <v>306029</v>
      </c>
      <c r="D20" s="9">
        <v>243315</v>
      </c>
      <c r="E20" s="9">
        <v>538296</v>
      </c>
      <c r="F20" s="9">
        <v>410876</v>
      </c>
      <c r="H20" s="9">
        <v>350401</v>
      </c>
      <c r="I20" s="9">
        <v>324182</v>
      </c>
      <c r="J20" s="9">
        <v>408925</v>
      </c>
      <c r="K20" s="19">
        <f>IFERROR(J20/I20-1,"n.a.")</f>
        <v>0.26140563017070662</v>
      </c>
    </row>
    <row r="21" spans="1:11" x14ac:dyDescent="0.25">
      <c r="A21" s="40" t="s">
        <v>72</v>
      </c>
      <c r="B21" s="51" t="s">
        <v>34</v>
      </c>
      <c r="C21" s="14">
        <f>C18-C20</f>
        <v>500547</v>
      </c>
      <c r="D21" s="14">
        <f>D18-D20</f>
        <v>514023</v>
      </c>
      <c r="E21" s="14">
        <f t="shared" ref="E21:I21" si="3">E18-E20</f>
        <v>408909</v>
      </c>
      <c r="F21" s="14">
        <f t="shared" si="3"/>
        <v>333499</v>
      </c>
      <c r="H21" s="14">
        <f t="shared" si="3"/>
        <v>376480</v>
      </c>
      <c r="I21" s="14">
        <f t="shared" si="3"/>
        <v>387441</v>
      </c>
      <c r="J21" s="14">
        <f t="shared" ref="J21" si="4">J18-J20</f>
        <v>304543</v>
      </c>
      <c r="K21" s="20">
        <f>IFERROR(J21/I21-1,"n.a.")</f>
        <v>-0.21396290015770147</v>
      </c>
    </row>
    <row r="22" spans="1:11" x14ac:dyDescent="0.25">
      <c r="A22" s="52"/>
      <c r="B22" s="46"/>
      <c r="C22" s="14"/>
      <c r="D22" s="14"/>
      <c r="E22" s="14"/>
      <c r="F22" s="14"/>
      <c r="H22" s="14"/>
      <c r="I22" s="14"/>
      <c r="J22" s="14"/>
      <c r="K22" s="19"/>
    </row>
    <row r="23" spans="1:11" x14ac:dyDescent="0.25">
      <c r="A23" s="39" t="s">
        <v>73</v>
      </c>
      <c r="B23" s="3" t="s">
        <v>82</v>
      </c>
      <c r="C23" s="92">
        <v>1.3395252201826719</v>
      </c>
      <c r="D23" s="92">
        <v>1.3408776025722202</v>
      </c>
      <c r="E23" s="92">
        <v>0.90779726964055796</v>
      </c>
      <c r="F23" s="92">
        <v>0.75301706412764047</v>
      </c>
      <c r="H23" s="92">
        <v>0.72884779209982054</v>
      </c>
      <c r="I23" s="92">
        <v>0.67160408366585223</v>
      </c>
      <c r="J23" s="92">
        <v>0.49367538780316078</v>
      </c>
      <c r="K23" s="20">
        <f>IFERROR(J23/I23-1,"n.a.")</f>
        <v>-0.26493093206267271</v>
      </c>
    </row>
    <row r="24" spans="1:11" x14ac:dyDescent="0.25">
      <c r="A24" s="54"/>
      <c r="B24" s="45"/>
      <c r="C24" s="9"/>
      <c r="D24" s="9"/>
      <c r="E24" s="9"/>
      <c r="F24" s="9"/>
      <c r="H24" s="9"/>
      <c r="I24" s="9"/>
      <c r="J24" s="9"/>
      <c r="K24" s="19"/>
    </row>
    <row r="25" spans="1:11" x14ac:dyDescent="0.25">
      <c r="A25" s="39" t="s">
        <v>67</v>
      </c>
      <c r="B25" s="3"/>
      <c r="C25" s="9"/>
      <c r="D25" s="9"/>
      <c r="E25" s="9"/>
      <c r="F25" s="9"/>
      <c r="H25" s="9"/>
      <c r="I25" s="9"/>
      <c r="J25" s="9"/>
      <c r="K25" s="19"/>
    </row>
    <row r="26" spans="1:11" x14ac:dyDescent="0.25">
      <c r="A26" s="54" t="s">
        <v>68</v>
      </c>
      <c r="B26" s="45" t="s">
        <v>34</v>
      </c>
      <c r="C26" s="9">
        <v>171401</v>
      </c>
      <c r="D26" s="9">
        <v>217300</v>
      </c>
      <c r="E26" s="9">
        <v>144483</v>
      </c>
      <c r="F26" s="9">
        <v>89924</v>
      </c>
      <c r="H26" s="9">
        <v>92600</v>
      </c>
      <c r="I26" s="9">
        <v>122923</v>
      </c>
      <c r="J26" s="9">
        <v>166473</v>
      </c>
      <c r="K26" s="19">
        <f t="shared" ref="K26:K27" si="5">IFERROR(J26/I26-1,"n.a.")</f>
        <v>0.35428682996672722</v>
      </c>
    </row>
    <row r="27" spans="1:11" x14ac:dyDescent="0.25">
      <c r="A27" s="52" t="s">
        <v>69</v>
      </c>
      <c r="B27" s="46" t="s">
        <v>34</v>
      </c>
      <c r="C27" s="9">
        <v>635175</v>
      </c>
      <c r="D27" s="9">
        <v>540038</v>
      </c>
      <c r="E27" s="9">
        <v>802722</v>
      </c>
      <c r="F27" s="9">
        <v>654451</v>
      </c>
      <c r="H27" s="9">
        <v>634281</v>
      </c>
      <c r="I27" s="9">
        <v>588700</v>
      </c>
      <c r="J27" s="9">
        <v>546995</v>
      </c>
      <c r="K27" s="19">
        <f t="shared" si="5"/>
        <v>-7.0842534397825729E-2</v>
      </c>
    </row>
    <row r="28" spans="1:11" x14ac:dyDescent="0.25">
      <c r="A28" s="52" t="s">
        <v>68</v>
      </c>
      <c r="B28" s="46" t="s">
        <v>19</v>
      </c>
      <c r="C28" s="26">
        <f>+C26/$C$18</f>
        <v>0.21250446331157882</v>
      </c>
      <c r="D28" s="26">
        <f>+D26/$D$18</f>
        <v>0.28692604887117773</v>
      </c>
      <c r="E28" s="26">
        <f>+E26/$E$18</f>
        <v>0.15253614581848701</v>
      </c>
      <c r="F28" s="26">
        <f>+F26/$F$18</f>
        <v>0.1208047019311503</v>
      </c>
      <c r="H28" s="26">
        <f>+H26/$H$18</f>
        <v>0.12739361738716518</v>
      </c>
      <c r="I28" s="26">
        <f>+I26/$I$18</f>
        <v>0.1727361257294944</v>
      </c>
      <c r="J28" s="26">
        <f>+J26/$J$18</f>
        <v>0.23332931540027024</v>
      </c>
      <c r="K28" s="31">
        <f>(I28-J28)*100</f>
        <v>-6.0593189670775844</v>
      </c>
    </row>
    <row r="29" spans="1:11" x14ac:dyDescent="0.25">
      <c r="A29" s="52" t="s">
        <v>69</v>
      </c>
      <c r="B29" s="46" t="s">
        <v>19</v>
      </c>
      <c r="C29" s="26">
        <f>+C27/$C$18</f>
        <v>0.7874955366884212</v>
      </c>
      <c r="D29" s="26">
        <f>+D27/$D$18</f>
        <v>0.71307395112882221</v>
      </c>
      <c r="E29" s="26">
        <f>+E27/$E$18</f>
        <v>0.84746385418151293</v>
      </c>
      <c r="F29" s="26">
        <f>+F27/$F$18</f>
        <v>0.87919529806884966</v>
      </c>
      <c r="H29" s="26">
        <f>+H27/$H$18</f>
        <v>0.87260638261283485</v>
      </c>
      <c r="I29" s="26">
        <f>+I27/$I$18</f>
        <v>0.82726387427050563</v>
      </c>
      <c r="J29" s="26">
        <f>+J27/$J$18</f>
        <v>0.76667068459972976</v>
      </c>
      <c r="K29" s="31">
        <f>(I29-J29)*100</f>
        <v>6.0593189670775871</v>
      </c>
    </row>
    <row r="30" spans="1:11" x14ac:dyDescent="0.25">
      <c r="A30" s="40"/>
      <c r="B30" s="46"/>
      <c r="C30" s="25"/>
      <c r="D30" s="25"/>
      <c r="E30" s="15"/>
      <c r="F30" s="15"/>
      <c r="H30" s="15"/>
      <c r="I30" s="15"/>
      <c r="J30" s="15"/>
      <c r="K30" s="15"/>
    </row>
    <row r="31" spans="1:11" ht="16.5" x14ac:dyDescent="0.25">
      <c r="A31" s="27" t="s">
        <v>52</v>
      </c>
      <c r="B31" s="16"/>
      <c r="C31" s="16"/>
      <c r="D31" s="16"/>
      <c r="E31" s="16"/>
      <c r="F31" s="16"/>
      <c r="H31" s="16"/>
      <c r="I31" s="16"/>
      <c r="J31" s="16"/>
      <c r="K31" s="16"/>
    </row>
    <row r="32" spans="1:11" x14ac:dyDescent="0.25">
      <c r="A32" s="24" t="s">
        <v>58</v>
      </c>
      <c r="B32" s="55" t="s">
        <v>34</v>
      </c>
      <c r="C32" s="9">
        <v>0</v>
      </c>
      <c r="D32" s="9">
        <f>D58-D7</f>
        <v>3895</v>
      </c>
      <c r="E32" s="9">
        <f t="shared" ref="E32:F32" si="6">E58-E7</f>
        <v>17640</v>
      </c>
      <c r="F32" s="9">
        <f t="shared" si="6"/>
        <v>17641</v>
      </c>
      <c r="H32" s="9">
        <f t="shared" ref="H32" si="7">H58-H7</f>
        <v>14495</v>
      </c>
      <c r="I32" s="9">
        <f t="shared" ref="I32:J32" si="8">I58-I7</f>
        <v>14703</v>
      </c>
      <c r="J32" s="9">
        <f t="shared" si="8"/>
        <v>11598</v>
      </c>
      <c r="K32" s="19">
        <f t="shared" ref="K32:K42" si="9">IFERROR(J32/I32-1,"n.a.")</f>
        <v>-0.21118139155274429</v>
      </c>
    </row>
    <row r="33" spans="1:13" x14ac:dyDescent="0.25">
      <c r="A33" s="52" t="s">
        <v>59</v>
      </c>
      <c r="B33" s="46" t="s">
        <v>34</v>
      </c>
      <c r="C33" s="9">
        <v>0</v>
      </c>
      <c r="D33" s="9">
        <f t="shared" ref="D33:F52" si="10">D59-D8</f>
        <v>0</v>
      </c>
      <c r="E33" s="9">
        <f t="shared" si="10"/>
        <v>0</v>
      </c>
      <c r="F33" s="9">
        <f t="shared" si="10"/>
        <v>0</v>
      </c>
      <c r="H33" s="9">
        <f t="shared" ref="H33" si="11">H59-H8</f>
        <v>0</v>
      </c>
      <c r="I33" s="9">
        <f t="shared" ref="I33:J33" si="12">I59-I8</f>
        <v>0</v>
      </c>
      <c r="J33" s="9">
        <f t="shared" si="12"/>
        <v>0</v>
      </c>
      <c r="K33" s="19" t="str">
        <f t="shared" si="9"/>
        <v>n.a.</v>
      </c>
    </row>
    <row r="34" spans="1:13" x14ac:dyDescent="0.25">
      <c r="A34" s="52" t="s">
        <v>60</v>
      </c>
      <c r="B34" s="46" t="s">
        <v>34</v>
      </c>
      <c r="C34" s="9">
        <v>0</v>
      </c>
      <c r="D34" s="9">
        <f t="shared" si="10"/>
        <v>0</v>
      </c>
      <c r="E34" s="9">
        <f t="shared" si="10"/>
        <v>0</v>
      </c>
      <c r="F34" s="9">
        <f t="shared" si="10"/>
        <v>0</v>
      </c>
      <c r="H34" s="9">
        <f t="shared" ref="H34" si="13">H60-H9</f>
        <v>0</v>
      </c>
      <c r="I34" s="9">
        <f t="shared" ref="I34:J34" si="14">I60-I9</f>
        <v>0</v>
      </c>
      <c r="J34" s="9">
        <f t="shared" si="14"/>
        <v>0</v>
      </c>
      <c r="K34" s="19" t="str">
        <f t="shared" si="9"/>
        <v>n.a.</v>
      </c>
    </row>
    <row r="35" spans="1:13" x14ac:dyDescent="0.25">
      <c r="A35" s="52" t="s">
        <v>61</v>
      </c>
      <c r="B35" s="46" t="s">
        <v>34</v>
      </c>
      <c r="C35" s="9">
        <v>0</v>
      </c>
      <c r="D35" s="9">
        <f t="shared" si="10"/>
        <v>0</v>
      </c>
      <c r="E35" s="9">
        <f t="shared" si="10"/>
        <v>7772</v>
      </c>
      <c r="F35" s="9">
        <f t="shared" si="10"/>
        <v>7772</v>
      </c>
      <c r="H35" s="9">
        <f t="shared" ref="H35" si="15">H61-H10</f>
        <v>6386</v>
      </c>
      <c r="I35" s="9">
        <f t="shared" ref="I35:J35" si="16">I61-I10</f>
        <v>6478</v>
      </c>
      <c r="J35" s="9">
        <f t="shared" si="16"/>
        <v>5110</v>
      </c>
      <c r="K35" s="19">
        <f t="shared" si="9"/>
        <v>-0.21117628897807961</v>
      </c>
    </row>
    <row r="36" spans="1:13" x14ac:dyDescent="0.25">
      <c r="A36" s="53" t="s">
        <v>62</v>
      </c>
      <c r="B36" s="56" t="s">
        <v>34</v>
      </c>
      <c r="C36" s="9">
        <v>0</v>
      </c>
      <c r="D36" s="9">
        <f t="shared" si="10"/>
        <v>0</v>
      </c>
      <c r="E36" s="9">
        <f t="shared" si="10"/>
        <v>0</v>
      </c>
      <c r="F36" s="9">
        <f t="shared" si="10"/>
        <v>0</v>
      </c>
      <c r="H36" s="9">
        <f t="shared" ref="H36" si="17">H62-H11</f>
        <v>0</v>
      </c>
      <c r="I36" s="9">
        <f t="shared" ref="I36:J36" si="18">I62-I11</f>
        <v>0</v>
      </c>
      <c r="J36" s="9">
        <f t="shared" si="18"/>
        <v>0</v>
      </c>
      <c r="K36" s="19" t="str">
        <f t="shared" si="9"/>
        <v>n.a.</v>
      </c>
    </row>
    <row r="37" spans="1:13" x14ac:dyDescent="0.25">
      <c r="A37" s="11" t="s">
        <v>63</v>
      </c>
      <c r="B37" s="46" t="s">
        <v>34</v>
      </c>
      <c r="C37" s="9">
        <v>0</v>
      </c>
      <c r="D37" s="9">
        <f t="shared" si="10"/>
        <v>0</v>
      </c>
      <c r="E37" s="9">
        <f t="shared" si="10"/>
        <v>102977</v>
      </c>
      <c r="F37" s="9">
        <f t="shared" si="10"/>
        <v>193452</v>
      </c>
      <c r="H37" s="9">
        <f t="shared" ref="H37" si="19">H63-H12</f>
        <v>122130</v>
      </c>
      <c r="I37" s="9">
        <f t="shared" ref="I37:J37" si="20">I63-I12</f>
        <v>220672</v>
      </c>
      <c r="J37" s="9">
        <f t="shared" si="20"/>
        <v>225956</v>
      </c>
      <c r="K37" s="19">
        <f t="shared" si="9"/>
        <v>2.3945040603248202E-2</v>
      </c>
    </row>
    <row r="38" spans="1:13" x14ac:dyDescent="0.25">
      <c r="A38" s="11" t="s">
        <v>64</v>
      </c>
      <c r="B38" s="46" t="s">
        <v>34</v>
      </c>
      <c r="C38" s="9">
        <v>0</v>
      </c>
      <c r="D38" s="9">
        <f t="shared" si="10"/>
        <v>0</v>
      </c>
      <c r="E38" s="9">
        <f t="shared" si="10"/>
        <v>0</v>
      </c>
      <c r="F38" s="9">
        <f t="shared" si="10"/>
        <v>0</v>
      </c>
      <c r="H38" s="9">
        <f t="shared" ref="H38" si="21">H64-H13</f>
        <v>0</v>
      </c>
      <c r="I38" s="9">
        <f t="shared" ref="I38:J38" si="22">I64-I13</f>
        <v>0</v>
      </c>
      <c r="J38" s="9">
        <f t="shared" si="22"/>
        <v>0</v>
      </c>
      <c r="K38" s="19" t="str">
        <f t="shared" si="9"/>
        <v>n.a.</v>
      </c>
    </row>
    <row r="39" spans="1:13" x14ac:dyDescent="0.25">
      <c r="A39" s="52" t="s">
        <v>65</v>
      </c>
      <c r="B39" s="46" t="s">
        <v>34</v>
      </c>
      <c r="C39" s="9">
        <v>0</v>
      </c>
      <c r="D39" s="9">
        <f t="shared" si="10"/>
        <v>1628</v>
      </c>
      <c r="E39" s="9">
        <f t="shared" si="10"/>
        <v>161</v>
      </c>
      <c r="F39" s="9">
        <f t="shared" si="10"/>
        <v>0</v>
      </c>
      <c r="H39" s="9">
        <f t="shared" ref="H39" si="23">H65-H14</f>
        <v>0</v>
      </c>
      <c r="I39" s="9">
        <f t="shared" ref="I39:J39" si="24">I65-I14</f>
        <v>0</v>
      </c>
      <c r="J39" s="9">
        <f t="shared" si="24"/>
        <v>0</v>
      </c>
      <c r="K39" s="19" t="str">
        <f t="shared" si="9"/>
        <v>n.a.</v>
      </c>
    </row>
    <row r="40" spans="1:13" x14ac:dyDescent="0.25">
      <c r="A40" s="52" t="s">
        <v>75</v>
      </c>
      <c r="B40" s="46" t="s">
        <v>34</v>
      </c>
      <c r="C40" s="9">
        <v>0</v>
      </c>
      <c r="D40" s="9">
        <f t="shared" si="10"/>
        <v>0</v>
      </c>
      <c r="E40" s="9">
        <f t="shared" si="10"/>
        <v>92850</v>
      </c>
      <c r="F40" s="9">
        <f t="shared" si="10"/>
        <v>0</v>
      </c>
      <c r="H40" s="9">
        <f t="shared" ref="H40" si="25">H66-H15</f>
        <v>0</v>
      </c>
      <c r="I40" s="9">
        <f t="shared" ref="I40:J40" si="26">I66-I15</f>
        <v>0</v>
      </c>
      <c r="J40" s="9">
        <f t="shared" si="26"/>
        <v>0</v>
      </c>
      <c r="K40" s="19" t="str">
        <f t="shared" si="9"/>
        <v>n.a.</v>
      </c>
    </row>
    <row r="41" spans="1:13" x14ac:dyDescent="0.25">
      <c r="A41" s="52" t="s">
        <v>66</v>
      </c>
      <c r="B41" s="46" t="s">
        <v>34</v>
      </c>
      <c r="C41" s="9">
        <v>0</v>
      </c>
      <c r="D41" s="9">
        <f t="shared" si="10"/>
        <v>208888</v>
      </c>
      <c r="E41" s="9">
        <f t="shared" si="10"/>
        <v>208735</v>
      </c>
      <c r="F41" s="9">
        <f t="shared" si="10"/>
        <v>456649</v>
      </c>
      <c r="H41" s="9">
        <f t="shared" ref="H41" si="27">H67-H16</f>
        <v>466331</v>
      </c>
      <c r="I41" s="9">
        <f t="shared" ref="I41:J41" si="28">I67-I16</f>
        <v>444451</v>
      </c>
      <c r="J41" s="9">
        <f t="shared" si="28"/>
        <v>430125</v>
      </c>
      <c r="K41" s="19">
        <f t="shared" si="9"/>
        <v>-3.223302456288768E-2</v>
      </c>
    </row>
    <row r="42" spans="1:13" x14ac:dyDescent="0.25">
      <c r="A42" s="52" t="s">
        <v>74</v>
      </c>
      <c r="B42" s="46" t="s">
        <v>34</v>
      </c>
      <c r="C42" s="9">
        <v>0</v>
      </c>
      <c r="D42" s="9">
        <f t="shared" si="10"/>
        <v>-375</v>
      </c>
      <c r="E42" s="9">
        <f t="shared" si="10"/>
        <v>-21362</v>
      </c>
      <c r="F42" s="9">
        <f t="shared" si="10"/>
        <v>-1151</v>
      </c>
      <c r="H42" s="9">
        <f t="shared" ref="H42" si="29">H68-H17</f>
        <v>1616</v>
      </c>
      <c r="I42" s="9">
        <f t="shared" ref="I42:J42" si="30">I68-I17</f>
        <v>-12151</v>
      </c>
      <c r="J42" s="9">
        <f t="shared" si="30"/>
        <v>-18622</v>
      </c>
      <c r="K42" s="19">
        <f t="shared" si="9"/>
        <v>0.53254876141881335</v>
      </c>
    </row>
    <row r="43" spans="1:13" x14ac:dyDescent="0.25">
      <c r="A43" s="40" t="s">
        <v>70</v>
      </c>
      <c r="B43" s="51" t="s">
        <v>34</v>
      </c>
      <c r="C43" s="14">
        <v>0</v>
      </c>
      <c r="D43" s="14">
        <f t="shared" si="10"/>
        <v>214036</v>
      </c>
      <c r="E43" s="14">
        <f t="shared" si="10"/>
        <v>408773</v>
      </c>
      <c r="F43" s="14">
        <f t="shared" si="10"/>
        <v>674363</v>
      </c>
      <c r="H43" s="14">
        <f t="shared" ref="H43" si="31">H69-H18</f>
        <v>610958</v>
      </c>
      <c r="I43" s="14">
        <f t="shared" ref="I43:J43" si="32">I69-I18</f>
        <v>674153</v>
      </c>
      <c r="J43" s="14">
        <f t="shared" si="32"/>
        <v>654167</v>
      </c>
      <c r="K43" s="20">
        <f>IFERROR(J43/I43-1,"n.a.")</f>
        <v>-2.9646089240869644E-2</v>
      </c>
    </row>
    <row r="44" spans="1:13" x14ac:dyDescent="0.25">
      <c r="A44" s="52"/>
      <c r="B44" s="46"/>
      <c r="C44" s="9"/>
      <c r="D44" s="9"/>
      <c r="E44" s="9"/>
      <c r="F44" s="9"/>
      <c r="H44" s="9"/>
      <c r="I44" s="9"/>
      <c r="J44" s="9"/>
      <c r="K44" s="19"/>
    </row>
    <row r="45" spans="1:13" x14ac:dyDescent="0.25">
      <c r="A45" s="52" t="s">
        <v>71</v>
      </c>
      <c r="B45" s="46" t="s">
        <v>34</v>
      </c>
      <c r="C45" s="9">
        <v>0</v>
      </c>
      <c r="D45" s="9">
        <f t="shared" si="10"/>
        <v>115200</v>
      </c>
      <c r="E45" s="9">
        <f t="shared" si="10"/>
        <v>134252</v>
      </c>
      <c r="F45" s="9">
        <f t="shared" si="10"/>
        <v>471967</v>
      </c>
      <c r="H45" s="9">
        <f t="shared" ref="H45" si="33">H71-H20</f>
        <v>513905</v>
      </c>
      <c r="I45" s="9">
        <f t="shared" ref="I45:J45" si="34">I71-I20</f>
        <v>263230</v>
      </c>
      <c r="J45" s="9">
        <f t="shared" si="34"/>
        <v>258080</v>
      </c>
      <c r="K45" s="19">
        <f>IFERROR(J45/I45-1,"n.a.")</f>
        <v>-1.9564639288834895E-2</v>
      </c>
    </row>
    <row r="46" spans="1:13" x14ac:dyDescent="0.25">
      <c r="A46" s="40" t="s">
        <v>72</v>
      </c>
      <c r="B46" s="51" t="s">
        <v>34</v>
      </c>
      <c r="C46" s="14">
        <v>0</v>
      </c>
      <c r="D46" s="14">
        <f t="shared" si="10"/>
        <v>98836</v>
      </c>
      <c r="E46" s="14">
        <f t="shared" si="10"/>
        <v>274521</v>
      </c>
      <c r="F46" s="14">
        <f t="shared" si="10"/>
        <v>202396</v>
      </c>
      <c r="H46" s="14">
        <f t="shared" ref="H46" si="35">H72-H21</f>
        <v>97053</v>
      </c>
      <c r="I46" s="14">
        <f>I43-I45</f>
        <v>410923</v>
      </c>
      <c r="J46" s="14">
        <f>J43-J45</f>
        <v>396087</v>
      </c>
      <c r="K46" s="20">
        <f>IFERROR(J46/I46-1,"n.a.")</f>
        <v>-3.6104087627122361E-2</v>
      </c>
    </row>
    <row r="47" spans="1:13" x14ac:dyDescent="0.25">
      <c r="A47" s="52"/>
      <c r="B47" s="46"/>
      <c r="C47" s="26"/>
      <c r="D47" s="14"/>
      <c r="E47" s="14"/>
      <c r="F47" s="14"/>
      <c r="H47" s="14"/>
      <c r="I47" s="14"/>
      <c r="J47" s="14"/>
      <c r="K47" s="19"/>
    </row>
    <row r="48" spans="1:13" x14ac:dyDescent="0.25">
      <c r="A48" s="39" t="s">
        <v>73</v>
      </c>
      <c r="B48" s="3" t="s">
        <v>82</v>
      </c>
      <c r="C48" s="93"/>
      <c r="D48" s="92"/>
      <c r="E48" s="92">
        <v>6.1833231975133458</v>
      </c>
      <c r="F48" s="92">
        <v>1.0505591363480802</v>
      </c>
      <c r="G48" s="94"/>
      <c r="H48" s="92">
        <v>0.36359582920798911</v>
      </c>
      <c r="I48" s="92">
        <v>1.3803143021560822</v>
      </c>
      <c r="J48" s="92">
        <v>1.1580499875653596</v>
      </c>
      <c r="K48" s="20">
        <f>IFERROR(J48/I48-1,"n.a.")</f>
        <v>-0.16102442338208101</v>
      </c>
      <c r="L48" s="29"/>
      <c r="M48" s="29"/>
    </row>
    <row r="49" spans="1:11" x14ac:dyDescent="0.25">
      <c r="A49" s="54"/>
      <c r="B49" s="45"/>
      <c r="C49" s="26"/>
      <c r="D49" s="9"/>
      <c r="E49" s="9"/>
      <c r="F49" s="9"/>
      <c r="H49" s="9"/>
      <c r="I49" s="9"/>
      <c r="J49" s="9"/>
      <c r="K49" s="19"/>
    </row>
    <row r="50" spans="1:11" x14ac:dyDescent="0.25">
      <c r="A50" s="39" t="s">
        <v>67</v>
      </c>
      <c r="B50" s="3"/>
      <c r="C50" s="26"/>
      <c r="D50" s="9"/>
      <c r="E50" s="9"/>
      <c r="F50" s="9"/>
      <c r="H50" s="9"/>
      <c r="I50" s="9"/>
      <c r="J50" s="9"/>
      <c r="K50" s="19"/>
    </row>
    <row r="51" spans="1:11" x14ac:dyDescent="0.25">
      <c r="A51" s="54" t="s">
        <v>68</v>
      </c>
      <c r="B51" s="45" t="s">
        <v>34</v>
      </c>
      <c r="C51" s="9">
        <v>0</v>
      </c>
      <c r="D51" s="9">
        <f t="shared" si="10"/>
        <v>1643</v>
      </c>
      <c r="E51" s="9">
        <f t="shared" si="10"/>
        <v>239497</v>
      </c>
      <c r="F51" s="9">
        <f t="shared" si="10"/>
        <v>200079</v>
      </c>
      <c r="H51" s="9">
        <f t="shared" ref="H51" si="36">H77-H26</f>
        <v>159182</v>
      </c>
      <c r="I51" s="9">
        <f t="shared" ref="I51:J51" si="37">I77-I26</f>
        <v>117315</v>
      </c>
      <c r="J51" s="9">
        <f t="shared" si="37"/>
        <v>128168</v>
      </c>
      <c r="K51" s="19">
        <f t="shared" ref="K51:K52" si="38">IFERROR(J51/I51-1,"n.a.")</f>
        <v>9.2511614030601264E-2</v>
      </c>
    </row>
    <row r="52" spans="1:11" x14ac:dyDescent="0.25">
      <c r="A52" s="52" t="s">
        <v>69</v>
      </c>
      <c r="B52" s="46" t="s">
        <v>34</v>
      </c>
      <c r="C52" s="9">
        <v>0</v>
      </c>
      <c r="D52" s="9">
        <f t="shared" si="10"/>
        <v>212393</v>
      </c>
      <c r="E52" s="9">
        <f t="shared" si="10"/>
        <v>169276</v>
      </c>
      <c r="F52" s="9">
        <f t="shared" si="10"/>
        <v>474284</v>
      </c>
      <c r="H52" s="9">
        <f t="shared" ref="H52" si="39">H78-H27</f>
        <v>451776</v>
      </c>
      <c r="I52" s="9">
        <f t="shared" ref="I52:J52" si="40">I78-I27</f>
        <v>556838</v>
      </c>
      <c r="J52" s="9">
        <f t="shared" si="40"/>
        <v>525999</v>
      </c>
      <c r="K52" s="19">
        <f t="shared" si="38"/>
        <v>-5.5382355370861891E-2</v>
      </c>
    </row>
    <row r="53" spans="1:11" x14ac:dyDescent="0.25">
      <c r="A53" s="52" t="s">
        <v>68</v>
      </c>
      <c r="B53" s="46" t="s">
        <v>19</v>
      </c>
      <c r="C53" s="10">
        <v>0</v>
      </c>
      <c r="D53" s="26">
        <f>+D51/$D$43</f>
        <v>7.6762787568446433E-3</v>
      </c>
      <c r="E53" s="26">
        <f>+E51/$E$43</f>
        <v>0.58589241461642527</v>
      </c>
      <c r="F53" s="26">
        <f>+F51/$F$43</f>
        <v>0.29669332392198267</v>
      </c>
      <c r="H53" s="26">
        <f t="shared" ref="H53:J54" si="41">+H51/$H$43</f>
        <v>0.26054491470772134</v>
      </c>
      <c r="I53" s="26">
        <f>+I51/$I$43</f>
        <v>0.1740183608172032</v>
      </c>
      <c r="J53" s="26">
        <f>+J51/$J$43</f>
        <v>0.19592550526088903</v>
      </c>
      <c r="K53" s="31">
        <f t="shared" ref="K53:K54" si="42">(I53-J53)*100</f>
        <v>-2.1907144443685826</v>
      </c>
    </row>
    <row r="54" spans="1:11" x14ac:dyDescent="0.25">
      <c r="A54" s="52" t="s">
        <v>69</v>
      </c>
      <c r="B54" s="46" t="s">
        <v>19</v>
      </c>
      <c r="C54" s="10">
        <v>0</v>
      </c>
      <c r="D54" s="26">
        <f>+D52/$D$43</f>
        <v>0.99232372124315538</v>
      </c>
      <c r="E54" s="26">
        <f>+E52/$E$43</f>
        <v>0.41410758538357473</v>
      </c>
      <c r="F54" s="26">
        <f>+F52/$F$43</f>
        <v>0.70330667607801733</v>
      </c>
      <c r="H54" s="26">
        <f t="shared" si="41"/>
        <v>0.73945508529227866</v>
      </c>
      <c r="I54" s="26">
        <f>+I52/$I$43</f>
        <v>0.82598163918279677</v>
      </c>
      <c r="J54" s="26">
        <f>+J52/$J$43</f>
        <v>0.80407449473911097</v>
      </c>
      <c r="K54" s="31">
        <f t="shared" si="42"/>
        <v>2.19071444436858</v>
      </c>
    </row>
    <row r="55" spans="1:11" x14ac:dyDescent="0.25">
      <c r="A55" s="52"/>
      <c r="B55" s="52"/>
      <c r="C55" s="26"/>
      <c r="D55" s="26"/>
      <c r="E55" s="15"/>
      <c r="F55" s="15"/>
      <c r="H55" s="15"/>
      <c r="I55" s="15"/>
      <c r="J55" s="15"/>
      <c r="K55" s="20"/>
    </row>
    <row r="56" spans="1:11" x14ac:dyDescent="0.25">
      <c r="A56" s="12"/>
      <c r="K56"/>
    </row>
    <row r="57" spans="1:11" ht="16.5" x14ac:dyDescent="0.25">
      <c r="A57" s="27" t="s">
        <v>54</v>
      </c>
      <c r="B57" s="16"/>
      <c r="C57" s="16"/>
      <c r="D57" s="16"/>
      <c r="E57" s="16"/>
      <c r="F57" s="16"/>
      <c r="H57" s="16"/>
      <c r="I57" s="16"/>
      <c r="J57" s="16"/>
      <c r="K57" s="16"/>
    </row>
    <row r="58" spans="1:11" x14ac:dyDescent="0.25">
      <c r="A58" s="24" t="s">
        <v>58</v>
      </c>
      <c r="B58" s="55" t="s">
        <v>34</v>
      </c>
      <c r="C58" s="9">
        <f>+C7</f>
        <v>106595</v>
      </c>
      <c r="D58" s="9">
        <v>95116</v>
      </c>
      <c r="E58" s="9">
        <v>93313</v>
      </c>
      <c r="F58" s="9">
        <v>77535</v>
      </c>
      <c r="H58" s="9">
        <v>70434</v>
      </c>
      <c r="I58" s="9">
        <v>66710</v>
      </c>
      <c r="J58" s="9">
        <v>62305</v>
      </c>
      <c r="K58" s="19">
        <f t="shared" ref="K58:K68" si="43">IFERROR(J58/I58-1,"n.a.")</f>
        <v>-6.6032079148553469E-2</v>
      </c>
    </row>
    <row r="59" spans="1:11" x14ac:dyDescent="0.25">
      <c r="A59" s="52" t="s">
        <v>59</v>
      </c>
      <c r="B59" s="46" t="s">
        <v>34</v>
      </c>
      <c r="C59" s="9">
        <f t="shared" ref="C59:C80" si="44">+C8</f>
        <v>25476</v>
      </c>
      <c r="D59" s="9">
        <v>18429</v>
      </c>
      <c r="E59" s="9">
        <v>0</v>
      </c>
      <c r="F59" s="9">
        <v>0</v>
      </c>
      <c r="H59" s="9">
        <v>0</v>
      </c>
      <c r="I59" s="9">
        <v>0</v>
      </c>
      <c r="J59" s="9">
        <v>0</v>
      </c>
      <c r="K59" s="19" t="str">
        <f t="shared" si="43"/>
        <v>n.a.</v>
      </c>
    </row>
    <row r="60" spans="1:11" x14ac:dyDescent="0.25">
      <c r="A60" s="52" t="s">
        <v>60</v>
      </c>
      <c r="B60" s="46" t="s">
        <v>34</v>
      </c>
      <c r="C60" s="9">
        <f t="shared" si="44"/>
        <v>36317</v>
      </c>
      <c r="D60" s="9">
        <v>27417</v>
      </c>
      <c r="E60" s="9">
        <v>0</v>
      </c>
      <c r="F60" s="9">
        <v>0</v>
      </c>
      <c r="H60" s="9">
        <v>0</v>
      </c>
      <c r="I60" s="9">
        <v>0</v>
      </c>
      <c r="J60" s="9">
        <v>0</v>
      </c>
      <c r="K60" s="19" t="str">
        <f t="shared" si="43"/>
        <v>n.a.</v>
      </c>
    </row>
    <row r="61" spans="1:11" x14ac:dyDescent="0.25">
      <c r="A61" s="52" t="s">
        <v>61</v>
      </c>
      <c r="B61" s="46" t="s">
        <v>34</v>
      </c>
      <c r="C61" s="9">
        <f t="shared" si="44"/>
        <v>99527</v>
      </c>
      <c r="D61" s="9">
        <v>72284</v>
      </c>
      <c r="E61" s="9">
        <v>60481</v>
      </c>
      <c r="F61" s="9">
        <v>78853</v>
      </c>
      <c r="H61" s="9">
        <v>90592</v>
      </c>
      <c r="I61" s="9">
        <v>95501</v>
      </c>
      <c r="J61" s="9">
        <v>96032</v>
      </c>
      <c r="K61" s="19">
        <f t="shared" si="43"/>
        <v>5.5601512026051125E-3</v>
      </c>
    </row>
    <row r="62" spans="1:11" x14ac:dyDescent="0.25">
      <c r="A62" s="53" t="s">
        <v>62</v>
      </c>
      <c r="B62" s="46" t="s">
        <v>34</v>
      </c>
      <c r="C62" s="9">
        <f t="shared" si="44"/>
        <v>25424</v>
      </c>
      <c r="D62" s="9">
        <v>21835</v>
      </c>
      <c r="E62" s="9">
        <v>18242</v>
      </c>
      <c r="F62" s="9">
        <v>14656</v>
      </c>
      <c r="H62" s="9">
        <v>13756</v>
      </c>
      <c r="I62" s="9">
        <v>12859</v>
      </c>
      <c r="J62" s="9">
        <v>11964</v>
      </c>
      <c r="K62" s="19">
        <f t="shared" si="43"/>
        <v>-6.9601057625009677E-2</v>
      </c>
    </row>
    <row r="63" spans="1:11" x14ac:dyDescent="0.25">
      <c r="A63" s="11" t="s">
        <v>63</v>
      </c>
      <c r="B63" s="46" t="s">
        <v>34</v>
      </c>
      <c r="C63" s="9">
        <f t="shared" si="44"/>
        <v>171399</v>
      </c>
      <c r="D63" s="9">
        <v>205442</v>
      </c>
      <c r="E63" s="9">
        <v>251366</v>
      </c>
      <c r="F63" s="9">
        <v>309216</v>
      </c>
      <c r="H63" s="9">
        <v>232235</v>
      </c>
      <c r="I63" s="9">
        <v>319476</v>
      </c>
      <c r="J63" s="9">
        <v>327546</v>
      </c>
      <c r="K63" s="19">
        <f t="shared" si="43"/>
        <v>2.5260113435751075E-2</v>
      </c>
    </row>
    <row r="64" spans="1:11" x14ac:dyDescent="0.25">
      <c r="A64" s="11" t="s">
        <v>64</v>
      </c>
      <c r="B64" s="46" t="s">
        <v>34</v>
      </c>
      <c r="C64" s="9">
        <f t="shared" si="44"/>
        <v>211343</v>
      </c>
      <c r="D64" s="9">
        <v>221507</v>
      </c>
      <c r="E64" s="9">
        <v>167217</v>
      </c>
      <c r="F64" s="9">
        <v>16082</v>
      </c>
      <c r="H64" s="9">
        <v>12039</v>
      </c>
      <c r="I64" s="9">
        <v>12023</v>
      </c>
      <c r="J64" s="9">
        <v>11998</v>
      </c>
      <c r="K64" s="19">
        <f t="shared" si="43"/>
        <v>-2.0793479164933348E-3</v>
      </c>
    </row>
    <row r="65" spans="1:11" x14ac:dyDescent="0.25">
      <c r="A65" s="52" t="s">
        <v>65</v>
      </c>
      <c r="B65" s="46" t="s">
        <v>34</v>
      </c>
      <c r="C65" s="9">
        <f t="shared" si="44"/>
        <v>0</v>
      </c>
      <c r="D65" s="9">
        <v>1628</v>
      </c>
      <c r="E65" s="9">
        <v>161</v>
      </c>
      <c r="F65" s="9">
        <v>0</v>
      </c>
      <c r="H65" s="9">
        <v>0</v>
      </c>
      <c r="I65" s="9">
        <v>0</v>
      </c>
      <c r="J65" s="9">
        <v>0</v>
      </c>
      <c r="K65" s="19" t="str">
        <f t="shared" si="43"/>
        <v>n.a.</v>
      </c>
    </row>
    <row r="66" spans="1:11" x14ac:dyDescent="0.25">
      <c r="A66" s="52" t="s">
        <v>75</v>
      </c>
      <c r="B66" s="46" t="s">
        <v>34</v>
      </c>
      <c r="C66" s="9">
        <f t="shared" si="44"/>
        <v>0</v>
      </c>
      <c r="D66" s="9"/>
      <c r="E66" s="9">
        <v>92850</v>
      </c>
      <c r="F66" s="9">
        <v>0</v>
      </c>
      <c r="H66" s="9">
        <v>0</v>
      </c>
      <c r="I66" s="9">
        <v>0</v>
      </c>
      <c r="J66" s="9">
        <v>0</v>
      </c>
      <c r="K66" s="19" t="str">
        <f t="shared" si="43"/>
        <v>n.a.</v>
      </c>
    </row>
    <row r="67" spans="1:11" x14ac:dyDescent="0.25">
      <c r="A67" s="52" t="s">
        <v>66</v>
      </c>
      <c r="B67" s="46" t="s">
        <v>34</v>
      </c>
      <c r="C67" s="9">
        <f t="shared" si="44"/>
        <v>130858</v>
      </c>
      <c r="D67" s="9">
        <v>308322</v>
      </c>
      <c r="E67" s="9">
        <v>692832</v>
      </c>
      <c r="F67" s="9">
        <v>930164</v>
      </c>
      <c r="H67" s="9">
        <v>945859</v>
      </c>
      <c r="I67" s="9">
        <v>909592</v>
      </c>
      <c r="J67" s="9">
        <v>904259</v>
      </c>
      <c r="K67" s="19">
        <f t="shared" si="43"/>
        <v>-5.8630682767658593E-3</v>
      </c>
    </row>
    <row r="68" spans="1:11" x14ac:dyDescent="0.25">
      <c r="A68" s="52" t="s">
        <v>74</v>
      </c>
      <c r="B68" s="46" t="s">
        <v>34</v>
      </c>
      <c r="C68" s="9">
        <f t="shared" si="44"/>
        <v>-363</v>
      </c>
      <c r="D68" s="9">
        <v>-606</v>
      </c>
      <c r="E68" s="9">
        <v>-20484</v>
      </c>
      <c r="F68" s="9">
        <v>-7768</v>
      </c>
      <c r="H68" s="9">
        <v>-27076</v>
      </c>
      <c r="I68" s="9">
        <v>-30385</v>
      </c>
      <c r="J68" s="9">
        <v>-46469</v>
      </c>
      <c r="K68" s="19">
        <f t="shared" si="43"/>
        <v>0.52934013493500087</v>
      </c>
    </row>
    <row r="69" spans="1:11" x14ac:dyDescent="0.25">
      <c r="A69" s="40" t="s">
        <v>70</v>
      </c>
      <c r="B69" s="51" t="s">
        <v>34</v>
      </c>
      <c r="C69" s="14">
        <f t="shared" si="44"/>
        <v>806576</v>
      </c>
      <c r="D69" s="14">
        <f>SUM(D58:D68)</f>
        <v>971374</v>
      </c>
      <c r="E69" s="14">
        <f>SUM(E58:E68)</f>
        <v>1355978</v>
      </c>
      <c r="F69" s="14">
        <f>SUM(F58:F68)</f>
        <v>1418738</v>
      </c>
      <c r="H69" s="14">
        <f t="shared" ref="H69" si="45">SUM(H58:H68)</f>
        <v>1337839</v>
      </c>
      <c r="I69" s="14">
        <f t="shared" ref="I69" si="46">SUM(I58:I68)</f>
        <v>1385776</v>
      </c>
      <c r="J69" s="14">
        <f t="shared" ref="J69" si="47">SUM(J58:J68)</f>
        <v>1367635</v>
      </c>
      <c r="K69" s="20">
        <f>IFERROR(J69/I69-1,"n.a.")</f>
        <v>-1.3090860283335837E-2</v>
      </c>
    </row>
    <row r="70" spans="1:11" x14ac:dyDescent="0.25">
      <c r="A70" s="52"/>
      <c r="B70" s="46"/>
      <c r="C70" s="9"/>
      <c r="D70" s="9"/>
      <c r="E70" s="9"/>
      <c r="F70" s="9"/>
      <c r="H70" s="9"/>
      <c r="I70" s="9"/>
      <c r="J70" s="9"/>
      <c r="K70" s="19"/>
    </row>
    <row r="71" spans="1:11" x14ac:dyDescent="0.25">
      <c r="A71" s="52" t="s">
        <v>71</v>
      </c>
      <c r="B71" s="46" t="s">
        <v>34</v>
      </c>
      <c r="C71" s="9">
        <f t="shared" si="44"/>
        <v>306029</v>
      </c>
      <c r="D71" s="9">
        <v>358515</v>
      </c>
      <c r="E71" s="9">
        <v>672548</v>
      </c>
      <c r="F71" s="9">
        <v>882843</v>
      </c>
      <c r="H71" s="9">
        <v>864306</v>
      </c>
      <c r="I71" s="9">
        <v>587412</v>
      </c>
      <c r="J71" s="9">
        <v>667005</v>
      </c>
      <c r="K71" s="19">
        <f>IFERROR(J71/I71-1,"n.a.")</f>
        <v>0.13549774264059988</v>
      </c>
    </row>
    <row r="72" spans="1:11" x14ac:dyDescent="0.25">
      <c r="A72" s="40" t="s">
        <v>72</v>
      </c>
      <c r="B72" s="51" t="s">
        <v>34</v>
      </c>
      <c r="C72" s="14">
        <f t="shared" si="44"/>
        <v>500547</v>
      </c>
      <c r="D72" s="14">
        <f>D69-D71</f>
        <v>612859</v>
      </c>
      <c r="E72" s="14">
        <f t="shared" ref="E72:J72" si="48">E69-E71</f>
        <v>683430</v>
      </c>
      <c r="F72" s="14">
        <f t="shared" si="48"/>
        <v>535895</v>
      </c>
      <c r="H72" s="14">
        <f t="shared" si="48"/>
        <v>473533</v>
      </c>
      <c r="I72" s="14">
        <f t="shared" si="48"/>
        <v>798364</v>
      </c>
      <c r="J72" s="14">
        <f t="shared" si="48"/>
        <v>700630</v>
      </c>
      <c r="K72" s="20">
        <f>IFERROR(J72/I72-1,"n.a.")</f>
        <v>-0.12241784449198612</v>
      </c>
    </row>
    <row r="73" spans="1:11" x14ac:dyDescent="0.25">
      <c r="A73" s="52"/>
      <c r="B73" s="46"/>
      <c r="C73" s="14"/>
      <c r="D73" s="14"/>
      <c r="E73" s="14"/>
      <c r="F73" s="14"/>
      <c r="H73" s="14"/>
      <c r="I73" s="14"/>
      <c r="J73" s="14"/>
      <c r="K73" s="19"/>
    </row>
    <row r="74" spans="1:11" x14ac:dyDescent="0.25">
      <c r="A74" s="39" t="s">
        <v>73</v>
      </c>
      <c r="B74" s="3"/>
      <c r="C74" s="92">
        <v>1.3395252201826719</v>
      </c>
      <c r="D74" s="92">
        <v>1.6355459436422335</v>
      </c>
      <c r="E74" s="92">
        <v>1.3811190071364361</v>
      </c>
      <c r="F74" s="92">
        <v>0.84321309856783599</v>
      </c>
      <c r="G74" s="94"/>
      <c r="H74" s="92">
        <v>0.6044072141154011</v>
      </c>
      <c r="I74" s="92">
        <v>0.91284219368089548</v>
      </c>
      <c r="J74" s="92">
        <v>0.73064531386831211</v>
      </c>
      <c r="K74" s="20">
        <f>IFERROR(J74/I74-1,"n.a.")</f>
        <v>-0.19959296477948996</v>
      </c>
    </row>
    <row r="75" spans="1:11" x14ac:dyDescent="0.25">
      <c r="A75" s="54"/>
      <c r="B75" s="45"/>
      <c r="C75" s="9"/>
      <c r="D75" s="9"/>
      <c r="E75" s="9"/>
      <c r="F75" s="9"/>
      <c r="H75" s="9"/>
      <c r="I75" s="9"/>
      <c r="J75" s="9"/>
      <c r="K75" s="19"/>
    </row>
    <row r="76" spans="1:11" x14ac:dyDescent="0.25">
      <c r="A76" s="39" t="s">
        <v>67</v>
      </c>
      <c r="B76" s="3"/>
      <c r="C76" s="9"/>
      <c r="D76" s="9"/>
      <c r="E76" s="9"/>
      <c r="F76" s="9"/>
      <c r="H76" s="9"/>
      <c r="I76" s="9"/>
      <c r="J76" s="9"/>
      <c r="K76" s="19"/>
    </row>
    <row r="77" spans="1:11" x14ac:dyDescent="0.25">
      <c r="A77" s="54" t="s">
        <v>68</v>
      </c>
      <c r="B77" s="46" t="s">
        <v>34</v>
      </c>
      <c r="C77" s="9">
        <f t="shared" si="44"/>
        <v>171401</v>
      </c>
      <c r="D77" s="9">
        <v>218943</v>
      </c>
      <c r="E77" s="82">
        <v>383980</v>
      </c>
      <c r="F77" s="82">
        <v>290003</v>
      </c>
      <c r="H77" s="9">
        <v>251782</v>
      </c>
      <c r="I77" s="9">
        <v>240238</v>
      </c>
      <c r="J77" s="9">
        <v>294641</v>
      </c>
      <c r="K77" s="19">
        <f t="shared" ref="K77:K78" si="49">IFERROR(J77/I77-1,"n.a.")</f>
        <v>0.22645459918913735</v>
      </c>
    </row>
    <row r="78" spans="1:11" x14ac:dyDescent="0.25">
      <c r="A78" s="52" t="s">
        <v>69</v>
      </c>
      <c r="B78" s="46" t="s">
        <v>34</v>
      </c>
      <c r="C78" s="9">
        <f t="shared" si="44"/>
        <v>635175</v>
      </c>
      <c r="D78" s="9">
        <v>752431</v>
      </c>
      <c r="E78" s="82">
        <v>971998</v>
      </c>
      <c r="F78" s="82">
        <v>1128735</v>
      </c>
      <c r="H78" s="9">
        <v>1086057</v>
      </c>
      <c r="I78" s="9">
        <v>1145538</v>
      </c>
      <c r="J78" s="9">
        <v>1072994</v>
      </c>
      <c r="K78" s="19">
        <f t="shared" si="49"/>
        <v>-6.3327449635018684E-2</v>
      </c>
    </row>
    <row r="79" spans="1:11" x14ac:dyDescent="0.25">
      <c r="A79" s="52" t="s">
        <v>68</v>
      </c>
      <c r="B79" s="46" t="s">
        <v>19</v>
      </c>
      <c r="C79" s="26">
        <f t="shared" si="44"/>
        <v>0.21250446331157882</v>
      </c>
      <c r="D79" s="26">
        <f>+D77/$D$69</f>
        <v>0.22539516190468348</v>
      </c>
      <c r="E79" s="26">
        <f>+E77/$E$69</f>
        <v>0.2831756857412141</v>
      </c>
      <c r="F79" s="26">
        <f>+F77/$F$69</f>
        <v>0.20440912980409351</v>
      </c>
      <c r="H79" s="26">
        <f>+H77/$H$69</f>
        <v>0.18820052338136353</v>
      </c>
      <c r="I79" s="26">
        <f>+I77/$I$69</f>
        <v>0.17335990809481475</v>
      </c>
      <c r="J79" s="26">
        <f>+J77/$J$69</f>
        <v>0.21543832967129387</v>
      </c>
      <c r="K79" s="31">
        <f t="shared" ref="K79:K80" si="50">(I79-J79)*100</f>
        <v>-4.2078421576479119</v>
      </c>
    </row>
    <row r="80" spans="1:11" x14ac:dyDescent="0.25">
      <c r="A80" s="52" t="s">
        <v>69</v>
      </c>
      <c r="B80" s="46" t="s">
        <v>19</v>
      </c>
      <c r="C80" s="26">
        <f t="shared" si="44"/>
        <v>0.7874955366884212</v>
      </c>
      <c r="D80" s="26">
        <f>+D78/$D$69</f>
        <v>0.77460483809531655</v>
      </c>
      <c r="E80" s="26">
        <f>+E78/$E$69</f>
        <v>0.7168243142587859</v>
      </c>
      <c r="F80" s="26">
        <f>+F78/$F$69</f>
        <v>0.79559087019590646</v>
      </c>
      <c r="H80" s="26">
        <f>+H78/$H$69</f>
        <v>0.8117994766186365</v>
      </c>
      <c r="I80" s="26">
        <f>+I78/$I$69</f>
        <v>0.82664009190518528</v>
      </c>
      <c r="J80" s="26">
        <f>+J78/$J$69</f>
        <v>0.78456167032870616</v>
      </c>
      <c r="K80" s="31">
        <f t="shared" si="50"/>
        <v>4.2078421576479119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A4855-624A-4024-86C8-73EAD6D7DB11}">
  <dimension ref="A1:O120"/>
  <sheetViews>
    <sheetView showGridLines="0" zoomScaleNormal="100" workbookViewId="0">
      <pane xSplit="2" ySplit="5" topLeftCell="I6" activePane="bottomRight" state="frozen"/>
      <selection pane="topRight" activeCell="C1" sqref="C1"/>
      <selection pane="bottomLeft" activeCell="A6" sqref="A6"/>
      <selection pane="bottomRight" activeCell="A83" sqref="A83"/>
    </sheetView>
  </sheetViews>
  <sheetFormatPr defaultRowHeight="15" x14ac:dyDescent="0.25"/>
  <cols>
    <col min="1" max="1" width="47" bestFit="1" customWidth="1"/>
    <col min="2" max="2" width="10.28515625" style="2" customWidth="1"/>
    <col min="3" max="5" width="18.42578125" customWidth="1"/>
    <col min="6" max="6" width="19.5703125" customWidth="1"/>
    <col min="7" max="7" width="0.85546875" customWidth="1"/>
    <col min="8" max="13" width="19.5703125" customWidth="1"/>
    <col min="14" max="14" width="19.5703125" style="23" customWidth="1"/>
  </cols>
  <sheetData>
    <row r="1" spans="1:14" ht="64.150000000000006" customHeight="1" x14ac:dyDescent="0.25"/>
    <row r="5" spans="1:14" ht="16.5" x14ac:dyDescent="0.25">
      <c r="A5" s="27" t="s">
        <v>84</v>
      </c>
      <c r="B5" s="16" t="s">
        <v>227</v>
      </c>
      <c r="C5" s="75" t="s">
        <v>10</v>
      </c>
      <c r="D5" s="75" t="s">
        <v>11</v>
      </c>
      <c r="E5" s="75" t="s">
        <v>2</v>
      </c>
      <c r="F5" s="75" t="s">
        <v>1</v>
      </c>
      <c r="H5" s="75" t="s">
        <v>229</v>
      </c>
      <c r="I5" s="75" t="s">
        <v>231</v>
      </c>
      <c r="J5" s="75" t="s">
        <v>230</v>
      </c>
      <c r="K5" s="75" t="s">
        <v>232</v>
      </c>
      <c r="L5" s="75" t="str">
        <f>+OPERACIONAL!L5</f>
        <v>9M22</v>
      </c>
      <c r="M5" s="75" t="str">
        <f>+OPERACIONAL!M5</f>
        <v>9M21</v>
      </c>
      <c r="N5" s="117" t="s">
        <v>3</v>
      </c>
    </row>
    <row r="6" spans="1:14" ht="16.5" x14ac:dyDescent="0.25">
      <c r="A6" s="27" t="s">
        <v>51</v>
      </c>
      <c r="B6" s="16"/>
      <c r="C6" s="16"/>
      <c r="D6" s="16"/>
      <c r="E6" s="16"/>
      <c r="F6" s="16"/>
      <c r="H6" s="16"/>
      <c r="I6" s="16"/>
      <c r="J6" s="16"/>
      <c r="K6" s="16"/>
      <c r="L6" s="16"/>
      <c r="M6" s="16"/>
      <c r="N6" s="16"/>
    </row>
    <row r="7" spans="1:14" x14ac:dyDescent="0.25">
      <c r="A7" s="57" t="s">
        <v>239</v>
      </c>
      <c r="B7" s="55" t="s">
        <v>34</v>
      </c>
      <c r="C7" s="9">
        <v>777897</v>
      </c>
      <c r="D7" s="9">
        <v>817004</v>
      </c>
      <c r="E7" s="9">
        <v>1032820</v>
      </c>
      <c r="F7" s="9">
        <v>1096306</v>
      </c>
      <c r="H7" s="9">
        <v>356499</v>
      </c>
      <c r="I7" s="9">
        <v>227210</v>
      </c>
      <c r="J7" s="9">
        <v>727148</v>
      </c>
      <c r="K7" s="9">
        <v>458643</v>
      </c>
      <c r="L7" s="9">
        <v>1154766</v>
      </c>
      <c r="M7" s="9">
        <v>805456</v>
      </c>
      <c r="N7" s="19">
        <f>IFERROR(L7/M7-1,"n.a.")</f>
        <v>0.43367980373850346</v>
      </c>
    </row>
    <row r="8" spans="1:14" x14ac:dyDescent="0.25">
      <c r="A8" s="36" t="s">
        <v>85</v>
      </c>
      <c r="B8" s="46" t="s">
        <v>34</v>
      </c>
      <c r="C8" s="9">
        <v>-588126</v>
      </c>
      <c r="D8" s="9">
        <v>-624778</v>
      </c>
      <c r="E8" s="9">
        <v>-789663</v>
      </c>
      <c r="F8" s="9">
        <v>-847996</v>
      </c>
      <c r="H8" s="9">
        <v>-230527</v>
      </c>
      <c r="I8" s="9">
        <v>-201159</v>
      </c>
      <c r="J8" s="9">
        <v>-442757</v>
      </c>
      <c r="K8" s="9">
        <v>-357310</v>
      </c>
      <c r="L8" s="9">
        <v>-707297</v>
      </c>
      <c r="M8" s="9">
        <v>-591646</v>
      </c>
      <c r="N8" s="19">
        <f t="shared" ref="N8:N9" si="0">IFERROR(L8/M8-1,"n.a.")</f>
        <v>0.19547330667324725</v>
      </c>
    </row>
    <row r="9" spans="1:14" x14ac:dyDescent="0.25">
      <c r="A9" s="36" t="s">
        <v>86</v>
      </c>
      <c r="B9" s="46" t="s">
        <v>34</v>
      </c>
      <c r="C9" s="9">
        <v>19758</v>
      </c>
      <c r="D9" s="9">
        <v>-6541</v>
      </c>
      <c r="E9" s="9">
        <v>-29871</v>
      </c>
      <c r="F9" s="9">
        <v>31640</v>
      </c>
      <c r="H9" s="9">
        <v>21966</v>
      </c>
      <c r="I9" s="9">
        <v>3258</v>
      </c>
      <c r="J9" s="9">
        <v>41606</v>
      </c>
      <c r="K9" s="9">
        <v>-488</v>
      </c>
      <c r="L9" s="9">
        <v>38240</v>
      </c>
      <c r="M9" s="9">
        <v>-19350</v>
      </c>
      <c r="N9" s="19">
        <f t="shared" si="0"/>
        <v>-2.9762273901808785</v>
      </c>
    </row>
    <row r="10" spans="1:14" s="29" customFormat="1" x14ac:dyDescent="0.25">
      <c r="A10" s="38" t="s">
        <v>87</v>
      </c>
      <c r="B10" s="51" t="s">
        <v>34</v>
      </c>
      <c r="C10" s="14">
        <f>SUM(C7:C9)</f>
        <v>209529</v>
      </c>
      <c r="D10" s="14">
        <f>SUM(D7:D9)</f>
        <v>185685</v>
      </c>
      <c r="E10" s="14">
        <f>SUM(E7:E9)</f>
        <v>213286</v>
      </c>
      <c r="F10" s="14">
        <f>SUM(F7:F9)</f>
        <v>279950</v>
      </c>
      <c r="G10"/>
      <c r="H10" s="14">
        <f>SUM(H7:H9)</f>
        <v>147938</v>
      </c>
      <c r="I10" s="14">
        <f>SUM(I7:I9)</f>
        <v>29309</v>
      </c>
      <c r="J10" s="14">
        <f t="shared" ref="J10:L10" si="1">SUM(J7:J9)</f>
        <v>325997</v>
      </c>
      <c r="K10" s="14">
        <f t="shared" si="1"/>
        <v>100845</v>
      </c>
      <c r="L10" s="14">
        <f t="shared" si="1"/>
        <v>485709</v>
      </c>
      <c r="M10" s="14">
        <f t="shared" ref="M10" si="2">SUM(M7:M9)</f>
        <v>194460</v>
      </c>
      <c r="N10" s="20">
        <f>IFERROR(L10/M10-1,"n.a.")</f>
        <v>1.4977321814254858</v>
      </c>
    </row>
    <row r="11" spans="1:14" x14ac:dyDescent="0.25">
      <c r="A11" s="36" t="s">
        <v>88</v>
      </c>
      <c r="B11" s="46" t="s">
        <v>34</v>
      </c>
      <c r="C11" s="9">
        <v>-47060</v>
      </c>
      <c r="D11" s="9">
        <v>-42517</v>
      </c>
      <c r="E11" s="9">
        <v>-53352</v>
      </c>
      <c r="F11" s="9">
        <v>-49392</v>
      </c>
      <c r="H11" s="9">
        <v>-14911</v>
      </c>
      <c r="I11" s="9">
        <v>-10394</v>
      </c>
      <c r="J11" s="9">
        <v>-31089</v>
      </c>
      <c r="K11" s="9">
        <v>-21816</v>
      </c>
      <c r="L11" s="9">
        <v>-46047</v>
      </c>
      <c r="M11" s="9">
        <v>-33920</v>
      </c>
      <c r="N11" s="19">
        <f t="shared" ref="N11:N14" si="3">IFERROR(L11/M11-1,"n.a.")</f>
        <v>0.35751768867924527</v>
      </c>
    </row>
    <row r="12" spans="1:14" x14ac:dyDescent="0.25">
      <c r="A12" s="36" t="s">
        <v>89</v>
      </c>
      <c r="B12" s="46" t="s">
        <v>34</v>
      </c>
      <c r="C12" s="9">
        <v>-44115</v>
      </c>
      <c r="D12" s="9">
        <v>-36222</v>
      </c>
      <c r="E12" s="9">
        <v>-42204</v>
      </c>
      <c r="F12" s="9">
        <v>-40741</v>
      </c>
      <c r="H12" s="9">
        <v>-14282</v>
      </c>
      <c r="I12" s="9">
        <v>-6809</v>
      </c>
      <c r="J12" s="9">
        <v>-23985</v>
      </c>
      <c r="K12" s="9">
        <v>-17850</v>
      </c>
      <c r="L12" s="9">
        <v>-38939</v>
      </c>
      <c r="M12" s="9">
        <v>-29700</v>
      </c>
      <c r="N12" s="19">
        <f t="shared" si="3"/>
        <v>0.31107744107744106</v>
      </c>
    </row>
    <row r="13" spans="1:14" x14ac:dyDescent="0.25">
      <c r="A13" s="36" t="s">
        <v>90</v>
      </c>
      <c r="B13" s="46" t="s">
        <v>34</v>
      </c>
      <c r="C13" s="9">
        <v>35981</v>
      </c>
      <c r="D13" s="9">
        <v>6001</v>
      </c>
      <c r="E13" s="9">
        <v>-3297</v>
      </c>
      <c r="F13" s="9">
        <v>-7464</v>
      </c>
      <c r="H13" s="9">
        <v>280</v>
      </c>
      <c r="I13" s="9">
        <v>-767</v>
      </c>
      <c r="J13" s="9">
        <v>394</v>
      </c>
      <c r="K13" s="9">
        <v>-1427</v>
      </c>
      <c r="L13" s="9">
        <v>-2167</v>
      </c>
      <c r="M13" s="9">
        <v>-1389</v>
      </c>
      <c r="N13" s="19">
        <f t="shared" si="3"/>
        <v>0.56011519078473726</v>
      </c>
    </row>
    <row r="14" spans="1:14" x14ac:dyDescent="0.25">
      <c r="A14" s="36" t="s">
        <v>91</v>
      </c>
      <c r="B14" s="46" t="s">
        <v>34</v>
      </c>
      <c r="C14" s="9">
        <v>0</v>
      </c>
      <c r="D14" s="9">
        <v>-7159</v>
      </c>
      <c r="E14" s="9">
        <v>76211</v>
      </c>
      <c r="F14" s="9">
        <v>176027</v>
      </c>
      <c r="H14" s="9">
        <v>66882</v>
      </c>
      <c r="I14" s="9">
        <v>7475</v>
      </c>
      <c r="J14" s="9">
        <v>113656</v>
      </c>
      <c r="K14" s="9">
        <v>34619</v>
      </c>
      <c r="L14" s="9">
        <v>187403</v>
      </c>
      <c r="M14" s="9">
        <v>82314</v>
      </c>
      <c r="N14" s="19">
        <f t="shared" si="3"/>
        <v>1.2766844036251426</v>
      </c>
    </row>
    <row r="15" spans="1:14" s="29" customFormat="1" x14ac:dyDescent="0.25">
      <c r="A15" s="38" t="s">
        <v>92</v>
      </c>
      <c r="B15" s="51" t="s">
        <v>34</v>
      </c>
      <c r="C15" s="14">
        <f>SUM(C10:C14)</f>
        <v>154335</v>
      </c>
      <c r="D15" s="14">
        <f>SUM(D10:D14)</f>
        <v>105788</v>
      </c>
      <c r="E15" s="14">
        <f>SUM(E10:E14)</f>
        <v>190644</v>
      </c>
      <c r="F15" s="14">
        <f>SUM(F10:F14)</f>
        <v>358380</v>
      </c>
      <c r="G15"/>
      <c r="H15" s="14">
        <f>SUM(H10:H14)</f>
        <v>185907</v>
      </c>
      <c r="I15" s="14">
        <f>SUM(I10:I14)</f>
        <v>18814</v>
      </c>
      <c r="J15" s="14">
        <f t="shared" ref="J15:L15" si="4">SUM(J10:J14)</f>
        <v>384973</v>
      </c>
      <c r="K15" s="14">
        <f t="shared" si="4"/>
        <v>94371</v>
      </c>
      <c r="L15" s="14">
        <f t="shared" si="4"/>
        <v>585959</v>
      </c>
      <c r="M15" s="14">
        <f t="shared" ref="M15" si="5">SUM(M10:M14)</f>
        <v>211765</v>
      </c>
      <c r="N15" s="20">
        <f>IFERROR(L15/M15-1,"n.a.")</f>
        <v>1.7670247680211557</v>
      </c>
    </row>
    <row r="16" spans="1:14" x14ac:dyDescent="0.25">
      <c r="A16" s="36" t="s">
        <v>93</v>
      </c>
      <c r="B16" s="46" t="s">
        <v>34</v>
      </c>
      <c r="C16" s="9">
        <v>-94437</v>
      </c>
      <c r="D16" s="9">
        <v>-91243</v>
      </c>
      <c r="E16" s="9">
        <v>-128398</v>
      </c>
      <c r="F16" s="9">
        <v>-145220</v>
      </c>
      <c r="H16" s="9">
        <v>-35736</v>
      </c>
      <c r="I16" s="9">
        <v>-34573</v>
      </c>
      <c r="J16" s="9">
        <v>-71859</v>
      </c>
      <c r="K16" s="9">
        <v>-62363</v>
      </c>
      <c r="L16" s="9">
        <v>-118020</v>
      </c>
      <c r="M16" s="9">
        <v>-96948</v>
      </c>
      <c r="N16" s="19">
        <f t="shared" ref="N16:N17" si="6">IFERROR(L16/M16-1,"n.a.")</f>
        <v>0.21735363287535581</v>
      </c>
    </row>
    <row r="17" spans="1:14" x14ac:dyDescent="0.25">
      <c r="A17" s="36" t="s">
        <v>94</v>
      </c>
      <c r="B17" s="46" t="s">
        <v>34</v>
      </c>
      <c r="C17" s="9">
        <v>19041</v>
      </c>
      <c r="D17" s="9">
        <v>19231</v>
      </c>
      <c r="E17" s="9">
        <v>27697</v>
      </c>
      <c r="F17" s="9">
        <v>44105</v>
      </c>
      <c r="H17" s="9">
        <v>15209</v>
      </c>
      <c r="I17" s="9">
        <v>9073</v>
      </c>
      <c r="J17" s="9">
        <v>25462</v>
      </c>
      <c r="K17" s="9">
        <v>13986</v>
      </c>
      <c r="L17" s="9">
        <v>44404</v>
      </c>
      <c r="M17" s="9">
        <v>26767</v>
      </c>
      <c r="N17" s="19">
        <f t="shared" si="6"/>
        <v>0.65890835730563757</v>
      </c>
    </row>
    <row r="18" spans="1:14" s="60" customFormat="1" ht="28.5" x14ac:dyDescent="0.25">
      <c r="A18" s="58" t="s">
        <v>95</v>
      </c>
      <c r="B18" s="59" t="s">
        <v>34</v>
      </c>
      <c r="C18" s="61">
        <f>SUM(C15:C17)</f>
        <v>78939</v>
      </c>
      <c r="D18" s="61">
        <f>SUM(D15:D17)</f>
        <v>33776</v>
      </c>
      <c r="E18" s="61">
        <f>SUM(E15:E17)</f>
        <v>89943</v>
      </c>
      <c r="F18" s="61">
        <f>SUM(F15:F17)</f>
        <v>257265</v>
      </c>
      <c r="G18"/>
      <c r="H18" s="61">
        <f>SUM(H15:H17)</f>
        <v>165380</v>
      </c>
      <c r="I18" s="61">
        <f>SUM(I15:I17)</f>
        <v>-6686</v>
      </c>
      <c r="J18" s="61">
        <f t="shared" ref="J18:L18" si="7">SUM(J15:J17)</f>
        <v>338576</v>
      </c>
      <c r="K18" s="61">
        <f t="shared" si="7"/>
        <v>45994</v>
      </c>
      <c r="L18" s="61">
        <f t="shared" si="7"/>
        <v>512343</v>
      </c>
      <c r="M18" s="61">
        <f t="shared" ref="M18" si="8">SUM(M15:M17)</f>
        <v>141584</v>
      </c>
      <c r="N18" s="20">
        <f>IFERROR(L18/M18-1,"n.a.")</f>
        <v>2.618650412475986</v>
      </c>
    </row>
    <row r="19" spans="1:14" x14ac:dyDescent="0.25">
      <c r="A19" s="36" t="s">
        <v>97</v>
      </c>
      <c r="B19" s="46" t="s">
        <v>34</v>
      </c>
      <c r="C19" s="9">
        <v>0</v>
      </c>
      <c r="D19" s="9">
        <v>0</v>
      </c>
      <c r="E19" s="9">
        <v>0</v>
      </c>
      <c r="F19" s="9">
        <v>-5181</v>
      </c>
      <c r="H19" s="9">
        <v>0</v>
      </c>
      <c r="I19" s="9">
        <v>0</v>
      </c>
      <c r="J19" s="9">
        <v>-28007</v>
      </c>
      <c r="K19" s="9">
        <v>0</v>
      </c>
      <c r="L19" s="9">
        <v>-30664</v>
      </c>
      <c r="M19" s="9">
        <v>-5180</v>
      </c>
      <c r="N19" s="19">
        <f t="shared" ref="N19:N20" si="9">IFERROR(L19/M19-1,"n.a.")</f>
        <v>4.9196911196911195</v>
      </c>
    </row>
    <row r="20" spans="1:14" x14ac:dyDescent="0.25">
      <c r="A20" s="36" t="s">
        <v>98</v>
      </c>
      <c r="B20" s="46" t="s">
        <v>34</v>
      </c>
      <c r="C20" s="9">
        <v>6827</v>
      </c>
      <c r="D20" s="9">
        <v>3447</v>
      </c>
      <c r="E20" s="9">
        <v>18420</v>
      </c>
      <c r="F20" s="9">
        <v>12879</v>
      </c>
      <c r="H20" s="9">
        <v>-23436</v>
      </c>
      <c r="I20" s="9">
        <v>8766</v>
      </c>
      <c r="J20" s="9">
        <v>-23625</v>
      </c>
      <c r="K20" s="9">
        <v>10369</v>
      </c>
      <c r="L20" s="9">
        <v>-41852</v>
      </c>
      <c r="M20" s="9">
        <v>12844</v>
      </c>
      <c r="N20" s="19">
        <f t="shared" si="9"/>
        <v>-4.2584864528184365</v>
      </c>
    </row>
    <row r="21" spans="1:14" s="29" customFormat="1" x14ac:dyDescent="0.25">
      <c r="A21" s="38" t="s">
        <v>96</v>
      </c>
      <c r="B21" s="51" t="s">
        <v>34</v>
      </c>
      <c r="C21" s="14">
        <f>SUM(C18:C20)</f>
        <v>85766</v>
      </c>
      <c r="D21" s="14">
        <f>SUM(D18:D20)</f>
        <v>37223</v>
      </c>
      <c r="E21" s="14">
        <f>SUM(E18:E20)</f>
        <v>108363</v>
      </c>
      <c r="F21" s="14">
        <f>SUM(F18:F20)</f>
        <v>264963</v>
      </c>
      <c r="G21"/>
      <c r="H21" s="14">
        <f>SUM(H18:H20)</f>
        <v>141944</v>
      </c>
      <c r="I21" s="14">
        <f>SUM(I18:I20)</f>
        <v>2080</v>
      </c>
      <c r="J21" s="14">
        <f t="shared" ref="J21:L21" si="10">SUM(J18:J20)</f>
        <v>286944</v>
      </c>
      <c r="K21" s="14">
        <f t="shared" si="10"/>
        <v>56363</v>
      </c>
      <c r="L21" s="14">
        <f t="shared" si="10"/>
        <v>439827</v>
      </c>
      <c r="M21" s="14">
        <f t="shared" ref="M21" si="11">SUM(M18:M20)</f>
        <v>149248</v>
      </c>
      <c r="N21" s="20">
        <f>IFERROR(L21/M21-1,"n.a.")</f>
        <v>1.9469540630360207</v>
      </c>
    </row>
    <row r="22" spans="1:14" x14ac:dyDescent="0.25">
      <c r="A22" s="11"/>
      <c r="B22" s="46"/>
      <c r="C22" s="9"/>
      <c r="D22" s="9"/>
      <c r="E22" s="9"/>
      <c r="F22" s="9"/>
      <c r="H22" s="9"/>
      <c r="I22" s="9"/>
      <c r="J22" s="9"/>
      <c r="K22" s="9"/>
      <c r="L22" s="9"/>
      <c r="M22" s="9"/>
      <c r="N22" s="20"/>
    </row>
    <row r="23" spans="1:14" s="29" customFormat="1" x14ac:dyDescent="0.25">
      <c r="A23" s="42" t="s">
        <v>99</v>
      </c>
      <c r="B23" s="51" t="s">
        <v>34</v>
      </c>
      <c r="C23" s="14">
        <v>101203.35777</v>
      </c>
      <c r="D23" s="14">
        <v>119488</v>
      </c>
      <c r="E23" s="14">
        <v>141296.87890009562</v>
      </c>
      <c r="F23" s="14">
        <v>144169.72188</v>
      </c>
      <c r="G23"/>
      <c r="H23" s="14">
        <v>91093.071795543219</v>
      </c>
      <c r="I23" s="14">
        <v>7205.4745129291641</v>
      </c>
      <c r="J23" s="14">
        <v>215664.52665929863</v>
      </c>
      <c r="K23" s="14">
        <v>56829.320611496129</v>
      </c>
      <c r="L23" s="14">
        <v>334741.34097999998</v>
      </c>
      <c r="M23" s="14">
        <v>141239.95315856696</v>
      </c>
      <c r="N23" s="20">
        <f>IFERROR(L23/M23-1,"n.a.")</f>
        <v>1.3700187765156882</v>
      </c>
    </row>
    <row r="24" spans="1:14" s="64" customFormat="1" x14ac:dyDescent="0.25">
      <c r="A24" s="62" t="s">
        <v>100</v>
      </c>
      <c r="B24" s="63" t="s">
        <v>34</v>
      </c>
      <c r="C24" s="91">
        <v>0.13009866058102809</v>
      </c>
      <c r="D24" s="91">
        <v>0.14625142594161106</v>
      </c>
      <c r="E24" s="91">
        <v>0.14434530152226513</v>
      </c>
      <c r="F24" s="91">
        <v>0.13520485927950915</v>
      </c>
      <c r="G24"/>
      <c r="H24" s="91">
        <v>0.25552125474557635</v>
      </c>
      <c r="I24" s="91">
        <v>3.1712840600894167E-2</v>
      </c>
      <c r="J24" s="91">
        <v>0.29658958927109563</v>
      </c>
      <c r="K24" s="91">
        <v>0.12390752853852807</v>
      </c>
      <c r="L24" s="91">
        <v>0.28987807138415922</v>
      </c>
      <c r="M24" s="91">
        <v>0.17535424469221367</v>
      </c>
      <c r="N24" s="31">
        <f>IFERROR(L24/M24-1,"n.a.")</f>
        <v>0.65309982597205307</v>
      </c>
    </row>
    <row r="25" spans="1:14" x14ac:dyDescent="0.25">
      <c r="A25" s="36" t="s">
        <v>101</v>
      </c>
      <c r="B25" s="46" t="s">
        <v>34</v>
      </c>
      <c r="C25" s="9">
        <v>134094.04936158747</v>
      </c>
      <c r="D25" s="9">
        <v>131146.54294718138</v>
      </c>
      <c r="E25" s="9">
        <v>131224</v>
      </c>
      <c r="F25" s="9">
        <v>139664</v>
      </c>
      <c r="H25" s="9">
        <v>27762</v>
      </c>
      <c r="I25" s="9">
        <v>35701</v>
      </c>
      <c r="J25" s="9">
        <v>45860.917690000002</v>
      </c>
      <c r="K25" s="9">
        <v>62290</v>
      </c>
      <c r="L25" s="9">
        <v>80088.917690000002</v>
      </c>
      <c r="M25" s="9">
        <v>96378</v>
      </c>
      <c r="N25" s="19">
        <f t="shared" ref="N25:N28" si="12">IFERROR(L25/M25-1,"n.a.")</f>
        <v>-0.16901245419079036</v>
      </c>
    </row>
    <row r="26" spans="1:14" x14ac:dyDescent="0.25">
      <c r="A26" s="36" t="s">
        <v>102</v>
      </c>
      <c r="B26" s="46" t="s">
        <v>34</v>
      </c>
      <c r="C26" s="9">
        <v>100219.72819999998</v>
      </c>
      <c r="D26" s="9">
        <v>82015.464019999999</v>
      </c>
      <c r="E26" s="9">
        <v>120725</v>
      </c>
      <c r="F26" s="9">
        <v>107724</v>
      </c>
      <c r="H26" s="9">
        <v>23686</v>
      </c>
      <c r="I26" s="9">
        <v>24338</v>
      </c>
      <c r="J26" s="9">
        <v>39139.067439999999</v>
      </c>
      <c r="K26" s="9">
        <v>48094</v>
      </c>
      <c r="L26" s="9">
        <v>68266.067439999999</v>
      </c>
      <c r="M26" s="9">
        <v>72932</v>
      </c>
      <c r="N26" s="19">
        <f t="shared" si="12"/>
        <v>-6.3976478911863088E-2</v>
      </c>
    </row>
    <row r="27" spans="1:14" x14ac:dyDescent="0.25">
      <c r="A27" s="36" t="s">
        <v>103</v>
      </c>
      <c r="B27" s="46" t="s">
        <v>34</v>
      </c>
      <c r="C27" s="9">
        <v>38157.799980000003</v>
      </c>
      <c r="D27" s="9">
        <v>50698.181572879279</v>
      </c>
      <c r="E27" s="9">
        <v>57195</v>
      </c>
      <c r="F27" s="9">
        <v>51326</v>
      </c>
      <c r="H27" s="9">
        <v>13585</v>
      </c>
      <c r="I27" s="9">
        <v>15224</v>
      </c>
      <c r="J27" s="9">
        <v>23706.074700000005</v>
      </c>
      <c r="K27" s="9">
        <v>23152</v>
      </c>
      <c r="L27" s="9">
        <v>38091.074700000005</v>
      </c>
      <c r="M27" s="9">
        <v>36632</v>
      </c>
      <c r="N27" s="19">
        <f t="shared" si="12"/>
        <v>3.983060438960484E-2</v>
      </c>
    </row>
    <row r="28" spans="1:14" x14ac:dyDescent="0.25">
      <c r="A28" s="36" t="s">
        <v>104</v>
      </c>
      <c r="B28" s="46" t="s">
        <v>34</v>
      </c>
      <c r="C28" s="9">
        <v>-205841.00905883237</v>
      </c>
      <c r="D28" s="9">
        <v>-199364.84877841437</v>
      </c>
      <c r="E28" s="9">
        <v>-246996.08243999994</v>
      </c>
      <c r="F28" s="9">
        <v>-232490.35146000003</v>
      </c>
      <c r="H28" s="9">
        <v>-43559.041940000003</v>
      </c>
      <c r="I28" s="9">
        <v>-40584.67325</v>
      </c>
      <c r="J28" s="9">
        <v>-84965.904160000006</v>
      </c>
      <c r="K28" s="9">
        <v>-80307.322121666337</v>
      </c>
      <c r="L28" s="9">
        <v>-259120.64193486952</v>
      </c>
      <c r="M28" s="9">
        <v>-170336.02327653585</v>
      </c>
      <c r="N28" s="19">
        <f t="shared" si="12"/>
        <v>0.52123219123293896</v>
      </c>
    </row>
    <row r="29" spans="1:14" s="29" customFormat="1" x14ac:dyDescent="0.25">
      <c r="A29" s="42" t="s">
        <v>105</v>
      </c>
      <c r="B29" s="51" t="s">
        <v>34</v>
      </c>
      <c r="C29" s="14">
        <f t="shared" ref="C29:F29" si="13">SUM(C23,C25:C28)</f>
        <v>167833.9262527551</v>
      </c>
      <c r="D29" s="14">
        <f t="shared" si="13"/>
        <v>183983.33976164629</v>
      </c>
      <c r="E29" s="14">
        <f t="shared" si="13"/>
        <v>203444.79646009565</v>
      </c>
      <c r="F29" s="14">
        <f t="shared" si="13"/>
        <v>210393.37041999993</v>
      </c>
      <c r="G29"/>
      <c r="H29" s="14">
        <f t="shared" ref="H29:J29" si="14">SUM(H23,H25:H28)</f>
        <v>112567.02985554322</v>
      </c>
      <c r="I29" s="14">
        <f t="shared" si="14"/>
        <v>41883.801262929155</v>
      </c>
      <c r="J29" s="14">
        <f t="shared" si="14"/>
        <v>239404.68232929861</v>
      </c>
      <c r="K29" s="14">
        <f t="shared" ref="K29:L29" si="15">SUM(K23,K25:K28)</f>
        <v>110057.9984898298</v>
      </c>
      <c r="L29" s="14">
        <f t="shared" si="15"/>
        <v>262066.7588751305</v>
      </c>
      <c r="M29" s="14">
        <f t="shared" ref="M29" si="16">SUM(M23,M25:M28)</f>
        <v>176845.92988203111</v>
      </c>
      <c r="N29" s="20">
        <f>IFERROR(L29/M29-1,"n.a.")</f>
        <v>0.48189307523191394</v>
      </c>
    </row>
    <row r="30" spans="1:14" s="64" customFormat="1" x14ac:dyDescent="0.25">
      <c r="A30" s="62" t="s">
        <v>106</v>
      </c>
      <c r="B30" s="63" t="s">
        <v>34</v>
      </c>
      <c r="C30" s="91">
        <v>0.21575340469593682</v>
      </c>
      <c r="D30" s="91">
        <v>0.22519270378314707</v>
      </c>
      <c r="E30" s="91">
        <v>0.20783403509522594</v>
      </c>
      <c r="F30" s="91">
        <v>0.1973105425330223</v>
      </c>
      <c r="G30"/>
      <c r="H30" s="91">
        <v>0.31575693018926626</v>
      </c>
      <c r="I30" s="91">
        <v>0.1843396032873956</v>
      </c>
      <c r="J30" s="91">
        <v>0.32923790250306484</v>
      </c>
      <c r="K30" s="91">
        <v>0.23996441347590561</v>
      </c>
      <c r="L30" s="91">
        <v>0.22694360491660692</v>
      </c>
      <c r="M30" s="91">
        <v>0.21956028565473068</v>
      </c>
      <c r="N30" s="31">
        <f>IFERROR(L30/M30-1,"n.a.")</f>
        <v>3.3627753944021066E-2</v>
      </c>
    </row>
    <row r="31" spans="1:14" x14ac:dyDescent="0.25">
      <c r="A31" s="36"/>
      <c r="B31" s="46"/>
      <c r="C31" s="9"/>
      <c r="D31" s="9"/>
      <c r="E31" s="9"/>
      <c r="F31" s="9"/>
      <c r="H31" s="9"/>
      <c r="I31" s="9"/>
      <c r="J31" s="9"/>
      <c r="K31" s="9"/>
      <c r="L31" s="9"/>
      <c r="M31" s="9"/>
      <c r="N31" s="19"/>
    </row>
    <row r="32" spans="1:14" s="29" customFormat="1" x14ac:dyDescent="0.25">
      <c r="A32" s="42" t="s">
        <v>107</v>
      </c>
      <c r="B32" s="51" t="s">
        <v>34</v>
      </c>
      <c r="C32" s="14">
        <v>373674.93531158753</v>
      </c>
      <c r="D32" s="14">
        <v>383348.18854006066</v>
      </c>
      <c r="E32" s="14">
        <v>450440.87890009559</v>
      </c>
      <c r="F32" s="14">
        <v>442883.72187999997</v>
      </c>
      <c r="G32"/>
      <c r="H32" s="14">
        <v>156126.07179554322</v>
      </c>
      <c r="I32" s="14">
        <v>82468.474512929155</v>
      </c>
      <c r="J32" s="14">
        <v>324370.58648929861</v>
      </c>
      <c r="K32" s="14">
        <v>190365.32061149611</v>
      </c>
      <c r="L32" s="14">
        <v>521187.40081000002</v>
      </c>
      <c r="M32" s="14">
        <v>347181.95315856696</v>
      </c>
      <c r="N32" s="20">
        <f>IFERROR(L32/M32-1,"n.a.")</f>
        <v>0.5011938151403863</v>
      </c>
    </row>
    <row r="33" spans="1:14" s="64" customFormat="1" x14ac:dyDescent="0.25">
      <c r="A33" s="62" t="s">
        <v>108</v>
      </c>
      <c r="B33" s="63" t="s">
        <v>34</v>
      </c>
      <c r="C33" s="91">
        <v>0.48036556936405145</v>
      </c>
      <c r="D33" s="91">
        <v>0.46921213181338239</v>
      </c>
      <c r="E33" s="91">
        <v>0.46015895743005264</v>
      </c>
      <c r="F33" s="91">
        <v>0.41534401615765026</v>
      </c>
      <c r="G33"/>
      <c r="H33" s="91">
        <v>0.43794252380944471</v>
      </c>
      <c r="I33" s="91">
        <v>0.36296146522128936</v>
      </c>
      <c r="J33" s="91">
        <v>0.44608606018210684</v>
      </c>
      <c r="K33" s="91">
        <v>0.41506208665889616</v>
      </c>
      <c r="L33" s="91">
        <v>0.45133594235542096</v>
      </c>
      <c r="M33" s="91">
        <v>0.43103829904658481</v>
      </c>
      <c r="N33" s="31">
        <f>IFERROR(L33/M33-1,"n.a.")</f>
        <v>4.7090115550596279E-2</v>
      </c>
    </row>
    <row r="34" spans="1:14" x14ac:dyDescent="0.25">
      <c r="A34" s="36" t="s">
        <v>109</v>
      </c>
      <c r="B34" s="46" t="s">
        <v>34</v>
      </c>
      <c r="C34" s="9">
        <v>0</v>
      </c>
      <c r="D34" s="9">
        <v>0</v>
      </c>
      <c r="E34" s="9">
        <v>55520.121099904391</v>
      </c>
      <c r="F34" s="9">
        <v>80324.083958569536</v>
      </c>
      <c r="H34" s="9">
        <v>18540.796441042909</v>
      </c>
      <c r="I34" s="9">
        <v>14274.849313189332</v>
      </c>
      <c r="J34" s="9">
        <v>38746.973005556327</v>
      </c>
      <c r="K34" s="9">
        <v>27682.780898642995</v>
      </c>
      <c r="L34" s="9">
        <v>72497.599780454155</v>
      </c>
      <c r="M34" s="9">
        <v>49934.758705881803</v>
      </c>
      <c r="N34" s="19">
        <f t="shared" ref="N34:N35" si="17">IFERROR(L34/M34-1,"n.a.")</f>
        <v>0.45184640237211515</v>
      </c>
    </row>
    <row r="35" spans="1:14" x14ac:dyDescent="0.25">
      <c r="A35" s="36" t="s">
        <v>110</v>
      </c>
      <c r="B35" s="46" t="s">
        <v>34</v>
      </c>
      <c r="C35" s="9">
        <v>33373.642229999998</v>
      </c>
      <c r="D35" s="9">
        <v>0</v>
      </c>
      <c r="E35" s="9">
        <v>0</v>
      </c>
      <c r="F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19" t="str">
        <f t="shared" si="17"/>
        <v>n.a.</v>
      </c>
    </row>
    <row r="36" spans="1:14" s="29" customFormat="1" x14ac:dyDescent="0.25">
      <c r="A36" s="42" t="s">
        <v>111</v>
      </c>
      <c r="B36" s="51" t="s">
        <v>34</v>
      </c>
      <c r="C36" s="14">
        <f t="shared" ref="C36:F36" si="18">SUM(C32:C35)</f>
        <v>407049.05790715688</v>
      </c>
      <c r="D36" s="14">
        <f t="shared" si="18"/>
        <v>383348.65775219246</v>
      </c>
      <c r="E36" s="14">
        <f t="shared" si="18"/>
        <v>505961.4601589574</v>
      </c>
      <c r="F36" s="14">
        <f t="shared" si="18"/>
        <v>523208.22118258569</v>
      </c>
      <c r="G36"/>
      <c r="H36" s="14">
        <f t="shared" ref="H36:J36" si="19">SUM(H32:H35)</f>
        <v>174667.30617910993</v>
      </c>
      <c r="I36" s="14">
        <f t="shared" si="19"/>
        <v>96743.686787583705</v>
      </c>
      <c r="J36" s="14">
        <f t="shared" si="19"/>
        <v>363118.00558091514</v>
      </c>
      <c r="K36" s="14">
        <f t="shared" ref="K36:L36" si="20">SUM(K32:K35)</f>
        <v>218048.51657222575</v>
      </c>
      <c r="L36" s="14">
        <f t="shared" si="20"/>
        <v>593685.45192639658</v>
      </c>
      <c r="M36" s="14">
        <f t="shared" ref="M36" si="21">SUM(M32:M35)</f>
        <v>397117.14290274784</v>
      </c>
      <c r="N36" s="20">
        <f>IFERROR(L36/M36-1,"n.a.")</f>
        <v>0.4949882233409082</v>
      </c>
    </row>
    <row r="37" spans="1:14" s="64" customFormat="1" x14ac:dyDescent="0.25">
      <c r="A37" s="62" t="s">
        <v>112</v>
      </c>
      <c r="B37" s="63" t="s">
        <v>34</v>
      </c>
      <c r="C37" s="91">
        <v>0.52326796162163824</v>
      </c>
      <c r="D37" s="91">
        <v>0.46921213181338239</v>
      </c>
      <c r="E37" s="91">
        <v>0.51687690253331819</v>
      </c>
      <c r="F37" s="91">
        <v>0.4906733316807349</v>
      </c>
      <c r="G37"/>
      <c r="H37" s="91">
        <v>0.48995051384880778</v>
      </c>
      <c r="I37" s="91">
        <v>0.4257881423622133</v>
      </c>
      <c r="J37" s="91">
        <v>0.49937228665258648</v>
      </c>
      <c r="K37" s="91">
        <v>0.47542010127733142</v>
      </c>
      <c r="L37" s="91">
        <v>0.51411714632267858</v>
      </c>
      <c r="M37" s="91">
        <v>0.49303401414659881</v>
      </c>
      <c r="N37" s="31">
        <f>IFERROR(L37/M37-1,"n.a.")</f>
        <v>4.2762023655858572E-2</v>
      </c>
    </row>
    <row r="38" spans="1:14" x14ac:dyDescent="0.25">
      <c r="A38" s="36" t="s">
        <v>113</v>
      </c>
      <c r="B38" s="46" t="s">
        <v>34</v>
      </c>
      <c r="C38" s="9">
        <v>-272471.57754158747</v>
      </c>
      <c r="D38" s="9">
        <v>-263860.18854006066</v>
      </c>
      <c r="E38" s="9">
        <v>-361657</v>
      </c>
      <c r="F38" s="9">
        <v>-372494.80583212432</v>
      </c>
      <c r="H38" s="9">
        <v>-77607.868236586131</v>
      </c>
      <c r="I38" s="9">
        <v>-88662.323826118489</v>
      </c>
      <c r="J38" s="9">
        <v>-133022.92806658614</v>
      </c>
      <c r="K38" s="9">
        <v>-157808.10151013912</v>
      </c>
      <c r="L38" s="9">
        <v>-233369.05982999998</v>
      </c>
      <c r="M38" s="9">
        <v>-248317</v>
      </c>
      <c r="N38" s="19">
        <f t="shared" ref="N38:N41" si="22">IFERROR(L38/M38-1,"n.a.")</f>
        <v>-6.0197006930657215E-2</v>
      </c>
    </row>
    <row r="39" spans="1:14" x14ac:dyDescent="0.25">
      <c r="A39" s="36" t="s">
        <v>114</v>
      </c>
      <c r="B39" s="46" t="s">
        <v>34</v>
      </c>
      <c r="C39" s="9">
        <v>-75396</v>
      </c>
      <c r="D39" s="9">
        <v>-72012</v>
      </c>
      <c r="E39" s="9">
        <v>-100701</v>
      </c>
      <c r="F39" s="9">
        <v>-101115</v>
      </c>
      <c r="H39" s="9">
        <v>-20527</v>
      </c>
      <c r="I39" s="9">
        <v>-25500</v>
      </c>
      <c r="J39" s="9">
        <v>-46397</v>
      </c>
      <c r="K39" s="9">
        <v>-48377</v>
      </c>
      <c r="L39" s="9">
        <v>-73616</v>
      </c>
      <c r="M39" s="9">
        <v>-70179</v>
      </c>
      <c r="N39" s="19">
        <f t="shared" si="22"/>
        <v>4.8974764530700154E-2</v>
      </c>
    </row>
    <row r="40" spans="1:14" x14ac:dyDescent="0.25">
      <c r="A40" s="36" t="s">
        <v>115</v>
      </c>
      <c r="B40" s="46" t="s">
        <v>34</v>
      </c>
      <c r="C40" s="9">
        <v>19758</v>
      </c>
      <c r="D40" s="9">
        <v>-6541</v>
      </c>
      <c r="E40" s="9">
        <v>-29871</v>
      </c>
      <c r="F40" s="9">
        <v>31640</v>
      </c>
      <c r="H40" s="9">
        <v>21966</v>
      </c>
      <c r="I40" s="9">
        <v>3258</v>
      </c>
      <c r="J40" s="9">
        <v>41606</v>
      </c>
      <c r="K40" s="9">
        <v>-488</v>
      </c>
      <c r="L40" s="9">
        <v>38240</v>
      </c>
      <c r="M40" s="9">
        <v>-19350</v>
      </c>
      <c r="N40" s="19">
        <f t="shared" si="22"/>
        <v>-2.9762273901808785</v>
      </c>
    </row>
    <row r="41" spans="1:14" x14ac:dyDescent="0.25">
      <c r="A41" s="36" t="s">
        <v>116</v>
      </c>
      <c r="B41" s="46" t="s">
        <v>34</v>
      </c>
      <c r="C41" s="9">
        <v>0</v>
      </c>
      <c r="D41" s="9">
        <v>-7159</v>
      </c>
      <c r="E41" s="9">
        <v>76211</v>
      </c>
      <c r="F41" s="9">
        <v>176027</v>
      </c>
      <c r="H41" s="9">
        <v>66882</v>
      </c>
      <c r="I41" s="9">
        <v>7475</v>
      </c>
      <c r="J41" s="9">
        <v>113656</v>
      </c>
      <c r="K41" s="9">
        <v>34619</v>
      </c>
      <c r="L41" s="9">
        <v>187403</v>
      </c>
      <c r="M41" s="9">
        <v>82313</v>
      </c>
      <c r="N41" s="19">
        <f t="shared" si="22"/>
        <v>1.2767120624931665</v>
      </c>
    </row>
    <row r="42" spans="1:14" s="29" customFormat="1" x14ac:dyDescent="0.25">
      <c r="A42" s="42" t="s">
        <v>117</v>
      </c>
      <c r="B42" s="51" t="s">
        <v>34</v>
      </c>
      <c r="C42" s="14">
        <f t="shared" ref="C42:F42" si="23">SUM(C36,C38:C41)</f>
        <v>78939.480365569412</v>
      </c>
      <c r="D42" s="14">
        <f t="shared" si="23"/>
        <v>33776.469212131808</v>
      </c>
      <c r="E42" s="14">
        <f t="shared" si="23"/>
        <v>89943.460158957401</v>
      </c>
      <c r="F42" s="14">
        <f t="shared" si="23"/>
        <v>257265.41535046138</v>
      </c>
      <c r="G42"/>
      <c r="H42" s="14">
        <f t="shared" ref="H42:J42" si="24">SUM(H36,H38:H41)</f>
        <v>165380.4379425238</v>
      </c>
      <c r="I42" s="14">
        <f t="shared" si="24"/>
        <v>-6685.6370385347836</v>
      </c>
      <c r="J42" s="14">
        <f t="shared" si="24"/>
        <v>338960.07751432899</v>
      </c>
      <c r="K42" s="14">
        <f t="shared" ref="K42:L42" si="25">SUM(K36,K38:K41)</f>
        <v>45994.415062086628</v>
      </c>
      <c r="L42" s="14">
        <f t="shared" si="25"/>
        <v>512343.39209639659</v>
      </c>
      <c r="M42" s="14">
        <f t="shared" ref="M42" si="26">SUM(M36,M38:M41)</f>
        <v>141584.14290274784</v>
      </c>
      <c r="N42" s="20">
        <f>IFERROR(L42/M42-1,"n.a.")</f>
        <v>2.6186495294767442</v>
      </c>
    </row>
    <row r="43" spans="1:14" x14ac:dyDescent="0.25">
      <c r="A43" s="36"/>
      <c r="B43" s="46"/>
      <c r="N43"/>
    </row>
    <row r="44" spans="1:14" ht="16.5" x14ac:dyDescent="0.25">
      <c r="A44" s="27" t="s">
        <v>52</v>
      </c>
      <c r="B44" s="16"/>
      <c r="C44" s="16"/>
      <c r="D44" s="16"/>
      <c r="E44" s="16"/>
      <c r="F44" s="16"/>
      <c r="H44" s="16"/>
      <c r="I44" s="16"/>
      <c r="J44" s="16"/>
      <c r="K44" s="16"/>
      <c r="L44" s="16"/>
      <c r="M44" s="16"/>
      <c r="N44" s="16"/>
    </row>
    <row r="45" spans="1:14" x14ac:dyDescent="0.25">
      <c r="A45" s="57" t="s">
        <v>239</v>
      </c>
      <c r="B45" s="55" t="s">
        <v>34</v>
      </c>
      <c r="C45" s="9"/>
      <c r="D45" s="9">
        <v>0</v>
      </c>
      <c r="E45" s="9">
        <v>154569</v>
      </c>
      <c r="F45" s="9">
        <v>592180</v>
      </c>
      <c r="H45" s="9">
        <v>184975</v>
      </c>
      <c r="I45" s="9">
        <f>+I83-I7</f>
        <v>93844</v>
      </c>
      <c r="J45" s="9">
        <f t="shared" ref="J45:K45" si="27">+J83-J7</f>
        <v>342272</v>
      </c>
      <c r="K45" s="9">
        <f t="shared" si="27"/>
        <v>236447</v>
      </c>
      <c r="L45" s="9">
        <f t="shared" ref="L45" si="28">+L83-L7</f>
        <v>683263</v>
      </c>
      <c r="M45" s="9">
        <f t="shared" ref="M45" si="29">+M83-M7</f>
        <v>396705</v>
      </c>
      <c r="N45" s="19">
        <f t="shared" ref="N45:N47" si="30">IFERROR(L45/M45-1,"n.a.")</f>
        <v>0.72234531956995762</v>
      </c>
    </row>
    <row r="46" spans="1:14" x14ac:dyDescent="0.25">
      <c r="A46" s="36" t="s">
        <v>85</v>
      </c>
      <c r="B46" s="46" t="s">
        <v>34</v>
      </c>
      <c r="C46" s="9"/>
      <c r="D46" s="9">
        <v>0</v>
      </c>
      <c r="E46" s="9">
        <v>-90733</v>
      </c>
      <c r="F46" s="9">
        <v>-376852</v>
      </c>
      <c r="H46" s="9">
        <v>-83422</v>
      </c>
      <c r="I46" s="9">
        <f t="shared" ref="I46:K58" si="31">+I84-I8</f>
        <v>-71669</v>
      </c>
      <c r="J46" s="9">
        <f t="shared" si="31"/>
        <v>-159493</v>
      </c>
      <c r="K46" s="9">
        <f t="shared" si="31"/>
        <v>-166431</v>
      </c>
      <c r="L46" s="9">
        <f t="shared" ref="L46" si="32">+L84-L8</f>
        <v>-379511</v>
      </c>
      <c r="M46" s="9">
        <f t="shared" ref="M46" si="33">+M84-M8</f>
        <v>-260554</v>
      </c>
      <c r="N46" s="19">
        <f t="shared" si="30"/>
        <v>0.45655411162369419</v>
      </c>
    </row>
    <row r="47" spans="1:14" x14ac:dyDescent="0.25">
      <c r="A47" s="36" t="s">
        <v>86</v>
      </c>
      <c r="B47" s="46" t="s">
        <v>34</v>
      </c>
      <c r="C47" s="9"/>
      <c r="D47" s="9">
        <v>0</v>
      </c>
      <c r="E47" s="9"/>
      <c r="F47" s="9"/>
      <c r="H47" s="9">
        <v>0</v>
      </c>
      <c r="I47" s="9">
        <f t="shared" si="31"/>
        <v>0</v>
      </c>
      <c r="J47" s="9">
        <f t="shared" si="31"/>
        <v>0</v>
      </c>
      <c r="K47" s="9">
        <f t="shared" si="31"/>
        <v>0</v>
      </c>
      <c r="L47" s="9">
        <f t="shared" ref="L47" si="34">+L85-L9</f>
        <v>0</v>
      </c>
      <c r="M47" s="9">
        <f t="shared" ref="M47" si="35">+M85-M9</f>
        <v>0</v>
      </c>
      <c r="N47" s="19" t="str">
        <f t="shared" si="30"/>
        <v>n.a.</v>
      </c>
    </row>
    <row r="48" spans="1:14" s="29" customFormat="1" x14ac:dyDescent="0.25">
      <c r="A48" s="38" t="s">
        <v>87</v>
      </c>
      <c r="B48" s="51" t="s">
        <v>34</v>
      </c>
      <c r="C48" s="14"/>
      <c r="D48" s="14">
        <f t="shared" ref="D48:I48" si="36">SUM(D45:D47)</f>
        <v>0</v>
      </c>
      <c r="E48" s="14">
        <f t="shared" si="36"/>
        <v>63836</v>
      </c>
      <c r="F48" s="14">
        <f t="shared" si="36"/>
        <v>215328</v>
      </c>
      <c r="G48"/>
      <c r="H48" s="14">
        <f t="shared" si="36"/>
        <v>101553</v>
      </c>
      <c r="I48" s="14">
        <f t="shared" si="36"/>
        <v>22175</v>
      </c>
      <c r="J48" s="14">
        <f t="shared" ref="J48:K48" si="37">SUM(J45:J47)</f>
        <v>182779</v>
      </c>
      <c r="K48" s="14">
        <f t="shared" si="37"/>
        <v>70016</v>
      </c>
      <c r="L48" s="14">
        <f t="shared" ref="L48" si="38">SUM(L45:L47)</f>
        <v>303752</v>
      </c>
      <c r="M48" s="14">
        <f t="shared" ref="M48" si="39">SUM(M45:M47)</f>
        <v>136151</v>
      </c>
      <c r="N48" s="20">
        <f>IFERROR(L48/M48-1,"n.a.")</f>
        <v>1.2309935292432668</v>
      </c>
    </row>
    <row r="49" spans="1:15" x14ac:dyDescent="0.25">
      <c r="A49" s="36" t="s">
        <v>88</v>
      </c>
      <c r="B49" s="46" t="s">
        <v>34</v>
      </c>
      <c r="C49" s="9"/>
      <c r="D49" s="9">
        <v>0</v>
      </c>
      <c r="E49" s="9">
        <v>-6543</v>
      </c>
      <c r="F49" s="9">
        <v>-28733</v>
      </c>
      <c r="H49" s="9">
        <v>-6741</v>
      </c>
      <c r="I49" s="9">
        <f t="shared" si="31"/>
        <v>-3531</v>
      </c>
      <c r="J49" s="9">
        <f t="shared" si="31"/>
        <v>-14179</v>
      </c>
      <c r="K49" s="9">
        <f t="shared" si="31"/>
        <v>-9162</v>
      </c>
      <c r="L49" s="9">
        <f t="shared" ref="L49" si="40">+L87-L11</f>
        <v>-27837</v>
      </c>
      <c r="M49" s="9">
        <f t="shared" ref="M49" si="41">+M87-M11</f>
        <v>-20406</v>
      </c>
      <c r="N49" s="19">
        <f t="shared" ref="N49:N51" si="42">IFERROR(L49/M49-1,"n.a.")</f>
        <v>0.36415760070567482</v>
      </c>
    </row>
    <row r="50" spans="1:15" x14ac:dyDescent="0.25">
      <c r="A50" s="36" t="s">
        <v>89</v>
      </c>
      <c r="B50" s="46" t="s">
        <v>34</v>
      </c>
      <c r="C50" s="9"/>
      <c r="D50" s="9">
        <v>-8116</v>
      </c>
      <c r="E50" s="9">
        <v>-15562</v>
      </c>
      <c r="F50" s="9">
        <v>-6951</v>
      </c>
      <c r="H50" s="9">
        <v>-2531</v>
      </c>
      <c r="I50" s="9">
        <f t="shared" si="31"/>
        <v>-1836</v>
      </c>
      <c r="J50" s="9">
        <f t="shared" si="31"/>
        <v>-4273</v>
      </c>
      <c r="K50" s="9">
        <f t="shared" si="31"/>
        <v>-3906</v>
      </c>
      <c r="L50" s="9">
        <f t="shared" ref="L50" si="43">+L88-L12</f>
        <v>-7444</v>
      </c>
      <c r="M50" s="9">
        <f t="shared" ref="M50" si="44">+M88-M12</f>
        <v>1207</v>
      </c>
      <c r="N50" s="19">
        <f t="shared" si="42"/>
        <v>-7.1673570836785414</v>
      </c>
    </row>
    <row r="51" spans="1:15" x14ac:dyDescent="0.25">
      <c r="A51" s="36" t="s">
        <v>90</v>
      </c>
      <c r="B51" s="46" t="s">
        <v>34</v>
      </c>
      <c r="C51" s="9"/>
      <c r="D51" s="9">
        <v>-520</v>
      </c>
      <c r="E51" s="9">
        <v>-240</v>
      </c>
      <c r="F51" s="9">
        <v>9396</v>
      </c>
      <c r="H51" s="9">
        <v>6536</v>
      </c>
      <c r="I51" s="9">
        <f t="shared" si="31"/>
        <v>1349</v>
      </c>
      <c r="J51" s="9">
        <f t="shared" si="31"/>
        <v>5296</v>
      </c>
      <c r="K51" s="9">
        <f t="shared" si="31"/>
        <v>1288</v>
      </c>
      <c r="L51" s="9">
        <f t="shared" ref="L51" si="45">+L89-L13</f>
        <v>3379</v>
      </c>
      <c r="M51" s="9">
        <f t="shared" ref="M51" si="46">+M89-M13</f>
        <v>5158</v>
      </c>
      <c r="N51" s="19">
        <f t="shared" si="42"/>
        <v>-0.34490112446684762</v>
      </c>
    </row>
    <row r="52" spans="1:15" x14ac:dyDescent="0.25">
      <c r="A52" s="36" t="s">
        <v>91</v>
      </c>
      <c r="B52" s="46" t="s">
        <v>34</v>
      </c>
      <c r="C52" s="9"/>
      <c r="D52" s="9"/>
      <c r="E52" s="9"/>
      <c r="F52" s="9"/>
      <c r="H52" s="9"/>
      <c r="I52" s="9"/>
      <c r="J52" s="9"/>
      <c r="K52" s="9"/>
      <c r="L52" s="9"/>
      <c r="M52" s="9"/>
      <c r="N52" s="19"/>
    </row>
    <row r="53" spans="1:15" s="29" customFormat="1" x14ac:dyDescent="0.25">
      <c r="A53" s="38" t="s">
        <v>92</v>
      </c>
      <c r="B53" s="51" t="s">
        <v>34</v>
      </c>
      <c r="C53" s="14"/>
      <c r="D53" s="14">
        <f t="shared" ref="D53:I53" si="47">SUM(D48:D52)</f>
        <v>-8636</v>
      </c>
      <c r="E53" s="14">
        <f t="shared" si="47"/>
        <v>41491</v>
      </c>
      <c r="F53" s="14">
        <f t="shared" si="47"/>
        <v>189040</v>
      </c>
      <c r="G53"/>
      <c r="H53" s="14">
        <f t="shared" si="47"/>
        <v>98817</v>
      </c>
      <c r="I53" s="14">
        <f t="shared" si="47"/>
        <v>18157</v>
      </c>
      <c r="J53" s="14">
        <f t="shared" ref="J53:K53" si="48">SUM(J48:J52)</f>
        <v>169623</v>
      </c>
      <c r="K53" s="14">
        <f t="shared" si="48"/>
        <v>58236</v>
      </c>
      <c r="L53" s="14">
        <f t="shared" ref="L53" si="49">SUM(L48:L52)</f>
        <v>271850</v>
      </c>
      <c r="M53" s="14">
        <f t="shared" ref="M53" si="50">SUM(M48:M52)</f>
        <v>122110</v>
      </c>
      <c r="N53" s="20">
        <f>IFERROR(L53/M53-1,"n.a.")</f>
        <v>1.2262713946441735</v>
      </c>
    </row>
    <row r="54" spans="1:15" x14ac:dyDescent="0.25">
      <c r="A54" s="36" t="s">
        <v>93</v>
      </c>
      <c r="B54" s="46" t="s">
        <v>34</v>
      </c>
      <c r="C54" s="9"/>
      <c r="D54" s="9">
        <v>-8599</v>
      </c>
      <c r="E54" s="9">
        <v>-42594</v>
      </c>
      <c r="F54" s="9">
        <v>-60090</v>
      </c>
      <c r="H54" s="9">
        <v>-18465</v>
      </c>
      <c r="I54" s="9">
        <f t="shared" si="31"/>
        <v>-19228</v>
      </c>
      <c r="J54" s="9">
        <f t="shared" si="31"/>
        <v>-37814</v>
      </c>
      <c r="K54" s="9">
        <f t="shared" si="31"/>
        <v>-46053</v>
      </c>
      <c r="L54" s="9">
        <f t="shared" ref="L54" si="51">+L92-L16</f>
        <v>-64689</v>
      </c>
      <c r="M54" s="9">
        <f t="shared" ref="M54" si="52">+M92-M16</f>
        <v>-52594</v>
      </c>
      <c r="N54" s="19">
        <f t="shared" ref="N54:N55" si="53">IFERROR(L54/M54-1,"n.a.")</f>
        <v>0.22996919800737725</v>
      </c>
    </row>
    <row r="55" spans="1:15" x14ac:dyDescent="0.25">
      <c r="A55" s="36" t="s">
        <v>94</v>
      </c>
      <c r="B55" s="46" t="s">
        <v>34</v>
      </c>
      <c r="C55" s="9"/>
      <c r="D55" s="9">
        <v>9044</v>
      </c>
      <c r="E55" s="9">
        <v>35532</v>
      </c>
      <c r="F55" s="9">
        <v>51706</v>
      </c>
      <c r="H55" s="9">
        <v>15125</v>
      </c>
      <c r="I55" s="9">
        <f t="shared" si="31"/>
        <v>13124</v>
      </c>
      <c r="J55" s="9">
        <f t="shared" si="31"/>
        <v>28815</v>
      </c>
      <c r="K55" s="9">
        <f t="shared" si="31"/>
        <v>35520</v>
      </c>
      <c r="L55" s="9">
        <f t="shared" ref="L55" si="54">+L93-L17</f>
        <v>43162</v>
      </c>
      <c r="M55" s="9">
        <f t="shared" ref="M55" si="55">+M93-M17</f>
        <v>43479</v>
      </c>
      <c r="N55" s="19">
        <f t="shared" si="53"/>
        <v>-7.2908760551070317E-3</v>
      </c>
    </row>
    <row r="56" spans="1:15" s="60" customFormat="1" ht="28.5" x14ac:dyDescent="0.25">
      <c r="A56" s="58" t="s">
        <v>95</v>
      </c>
      <c r="B56" s="59" t="s">
        <v>34</v>
      </c>
      <c r="C56" s="61"/>
      <c r="D56" s="61">
        <f t="shared" ref="D56:I56" si="56">SUM(D53:D55)</f>
        <v>-8191</v>
      </c>
      <c r="E56" s="61">
        <f t="shared" si="56"/>
        <v>34429</v>
      </c>
      <c r="F56" s="61">
        <f t="shared" si="56"/>
        <v>180656</v>
      </c>
      <c r="G56"/>
      <c r="H56" s="61">
        <f t="shared" si="56"/>
        <v>95477</v>
      </c>
      <c r="I56" s="61">
        <f t="shared" si="56"/>
        <v>12053</v>
      </c>
      <c r="J56" s="61">
        <f t="shared" ref="J56:K56" si="57">SUM(J53:J55)</f>
        <v>160624</v>
      </c>
      <c r="K56" s="61">
        <f t="shared" si="57"/>
        <v>47703</v>
      </c>
      <c r="L56" s="61">
        <f t="shared" ref="L56" si="58">SUM(L53:L55)</f>
        <v>250323</v>
      </c>
      <c r="M56" s="61">
        <f t="shared" ref="M56" si="59">SUM(M53:M55)</f>
        <v>112995</v>
      </c>
      <c r="N56" s="20">
        <f>IFERROR(L56/M56-1,"n.a.")</f>
        <v>1.2153458117615825</v>
      </c>
    </row>
    <row r="57" spans="1:15" x14ac:dyDescent="0.25">
      <c r="A57" s="36" t="s">
        <v>97</v>
      </c>
      <c r="B57" s="46" t="s">
        <v>34</v>
      </c>
      <c r="C57" s="9"/>
      <c r="D57" s="9">
        <v>0</v>
      </c>
      <c r="E57" s="9">
        <v>-1353</v>
      </c>
      <c r="F57" s="9">
        <v>-38065</v>
      </c>
      <c r="H57" s="9">
        <v>-18110</v>
      </c>
      <c r="I57" s="9">
        <f t="shared" si="31"/>
        <v>-2270</v>
      </c>
      <c r="J57" s="9">
        <f t="shared" si="31"/>
        <v>-28599</v>
      </c>
      <c r="K57" s="9">
        <f t="shared" si="31"/>
        <v>-11824</v>
      </c>
      <c r="L57" s="9">
        <f t="shared" ref="L57" si="60">+L95-L19</f>
        <v>-37670</v>
      </c>
      <c r="M57" s="9">
        <f t="shared" ref="M57" si="61">+M95-M19</f>
        <v>-23606</v>
      </c>
      <c r="N57" s="19">
        <f t="shared" ref="N57:N58" si="62">IFERROR(L57/M57-1,"n.a.")</f>
        <v>0.59578073371176821</v>
      </c>
    </row>
    <row r="58" spans="1:15" x14ac:dyDescent="0.25">
      <c r="A58" s="36" t="s">
        <v>98</v>
      </c>
      <c r="B58" s="46" t="s">
        <v>34</v>
      </c>
      <c r="C58" s="9"/>
      <c r="D58" s="9">
        <v>1032</v>
      </c>
      <c r="E58" s="9">
        <v>43135</v>
      </c>
      <c r="F58" s="9">
        <v>33436</v>
      </c>
      <c r="H58" s="9">
        <v>-10485</v>
      </c>
      <c r="I58" s="9">
        <f t="shared" si="31"/>
        <v>-2308</v>
      </c>
      <c r="J58" s="9">
        <f t="shared" si="31"/>
        <v>-18369</v>
      </c>
      <c r="K58" s="9">
        <f t="shared" si="31"/>
        <v>-1260</v>
      </c>
      <c r="L58" s="9">
        <f t="shared" ref="L58" si="63">+L96-L20</f>
        <v>-25250</v>
      </c>
      <c r="M58" s="9">
        <f t="shared" ref="M58" si="64">+M96-M20</f>
        <v>-7075</v>
      </c>
      <c r="N58" s="19">
        <f t="shared" si="62"/>
        <v>2.568904593639576</v>
      </c>
    </row>
    <row r="59" spans="1:15" s="29" customFormat="1" x14ac:dyDescent="0.25">
      <c r="A59" s="38" t="s">
        <v>96</v>
      </c>
      <c r="B59" s="51" t="s">
        <v>34</v>
      </c>
      <c r="C59" s="14"/>
      <c r="D59" s="14">
        <f t="shared" ref="D59:I59" si="65">SUM(D56:D58)</f>
        <v>-7159</v>
      </c>
      <c r="E59" s="14">
        <f t="shared" si="65"/>
        <v>76211</v>
      </c>
      <c r="F59" s="14">
        <f t="shared" si="65"/>
        <v>176027</v>
      </c>
      <c r="G59"/>
      <c r="H59" s="14">
        <f t="shared" si="65"/>
        <v>66882</v>
      </c>
      <c r="I59" s="14">
        <f t="shared" si="65"/>
        <v>7475</v>
      </c>
      <c r="J59" s="14">
        <f t="shared" ref="J59:K59" si="66">SUM(J56:J58)</f>
        <v>113656</v>
      </c>
      <c r="K59" s="14">
        <f t="shared" si="66"/>
        <v>34619</v>
      </c>
      <c r="L59" s="14">
        <f t="shared" ref="L59" si="67">SUM(L56:L58)</f>
        <v>187403</v>
      </c>
      <c r="M59" s="14">
        <f t="shared" ref="M59" si="68">SUM(M56:M58)</f>
        <v>82314</v>
      </c>
      <c r="N59" s="20">
        <f>IFERROR(L59/M59-1,"n.a.")</f>
        <v>1.2766844036251426</v>
      </c>
      <c r="O59" s="81"/>
    </row>
    <row r="60" spans="1:15" x14ac:dyDescent="0.25">
      <c r="A60" s="11"/>
      <c r="B60" s="46"/>
      <c r="C60" s="9"/>
      <c r="D60" s="9"/>
      <c r="E60" s="9"/>
      <c r="F60" s="9"/>
      <c r="H60" s="9"/>
      <c r="I60" s="9"/>
      <c r="J60" s="9"/>
      <c r="K60" s="9"/>
      <c r="L60" s="9"/>
      <c r="M60" s="9"/>
      <c r="N60" s="19"/>
    </row>
    <row r="61" spans="1:15" s="29" customFormat="1" x14ac:dyDescent="0.25">
      <c r="A61" s="42" t="s">
        <v>99</v>
      </c>
      <c r="B61" s="51" t="s">
        <v>34</v>
      </c>
      <c r="C61" s="14"/>
      <c r="D61" s="14"/>
      <c r="E61" s="14">
        <v>41491</v>
      </c>
      <c r="F61" s="14">
        <v>180503.50409999999</v>
      </c>
      <c r="G61"/>
      <c r="H61" s="14">
        <v>92352</v>
      </c>
      <c r="I61" s="14">
        <v>18157</v>
      </c>
      <c r="J61" s="14">
        <v>163158</v>
      </c>
      <c r="K61" s="14">
        <v>58236</v>
      </c>
      <c r="L61" s="14">
        <v>265416</v>
      </c>
      <c r="M61" s="14">
        <v>116227.60874</v>
      </c>
      <c r="N61" s="20">
        <f>IFERROR(L61/M61-1,"n.a.")</f>
        <v>1.2835882358530921</v>
      </c>
    </row>
    <row r="62" spans="1:15" s="64" customFormat="1" x14ac:dyDescent="0.25">
      <c r="A62" s="62" t="s">
        <v>100</v>
      </c>
      <c r="B62" s="63" t="s">
        <v>34</v>
      </c>
      <c r="C62" s="91"/>
      <c r="D62" s="91"/>
      <c r="E62" s="91">
        <v>0.28347236740522114</v>
      </c>
      <c r="F62" s="91">
        <v>0.31807681643887753</v>
      </c>
      <c r="G62"/>
      <c r="H62" s="91">
        <v>0.53578701259521833</v>
      </c>
      <c r="I62" s="91">
        <v>0.19348067004816505</v>
      </c>
      <c r="J62" s="91">
        <v>0.47669105272999251</v>
      </c>
      <c r="K62" s="91">
        <v>0.24629621014434525</v>
      </c>
      <c r="L62" s="91">
        <v>0.38845364083815453</v>
      </c>
      <c r="M62" s="91">
        <v>0.29298098783232962</v>
      </c>
      <c r="N62" s="31">
        <f>IFERROR(L62/M62-1,"n.a.")</f>
        <v>0.32586637690109455</v>
      </c>
    </row>
    <row r="63" spans="1:15" x14ac:dyDescent="0.25">
      <c r="A63" s="36" t="s">
        <v>101</v>
      </c>
      <c r="B63" s="46" t="s">
        <v>34</v>
      </c>
      <c r="C63" s="9"/>
      <c r="D63" s="9"/>
      <c r="E63" s="9">
        <v>2906</v>
      </c>
      <c r="F63" s="9">
        <v>12152</v>
      </c>
      <c r="H63" s="9">
        <v>3089</v>
      </c>
      <c r="I63" s="9">
        <v>3014</v>
      </c>
      <c r="J63" s="9">
        <v>6181.6628600000004</v>
      </c>
      <c r="K63" s="9">
        <v>6056.6803899999995</v>
      </c>
      <c r="L63" s="9">
        <v>9287.0141299999996</v>
      </c>
      <c r="M63" s="9">
        <v>9101.6324700000005</v>
      </c>
      <c r="N63" s="19">
        <f t="shared" ref="N63:N66" si="69">IFERROR(L63/M63-1,"n.a.")</f>
        <v>2.0367957134177717E-2</v>
      </c>
    </row>
    <row r="64" spans="1:15" x14ac:dyDescent="0.25">
      <c r="A64" s="36" t="s">
        <v>102</v>
      </c>
      <c r="B64" s="46" t="s">
        <v>34</v>
      </c>
      <c r="C64" s="9"/>
      <c r="D64" s="9"/>
      <c r="E64" s="9">
        <v>0</v>
      </c>
      <c r="F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19" t="str">
        <f t="shared" si="69"/>
        <v>n.a.</v>
      </c>
    </row>
    <row r="65" spans="1:14" x14ac:dyDescent="0.25">
      <c r="A65" s="36" t="s">
        <v>103</v>
      </c>
      <c r="B65" s="46" t="s">
        <v>34</v>
      </c>
      <c r="C65" s="9"/>
      <c r="D65" s="9"/>
      <c r="E65" s="9">
        <v>0</v>
      </c>
      <c r="F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19" t="str">
        <f t="shared" si="69"/>
        <v>n.a.</v>
      </c>
    </row>
    <row r="66" spans="1:14" x14ac:dyDescent="0.25">
      <c r="A66" s="36" t="s">
        <v>104</v>
      </c>
      <c r="B66" s="46" t="s">
        <v>34</v>
      </c>
      <c r="C66" s="9"/>
      <c r="D66" s="9"/>
      <c r="E66" s="9">
        <v>0</v>
      </c>
      <c r="F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19" t="str">
        <f t="shared" si="69"/>
        <v>n.a.</v>
      </c>
    </row>
    <row r="67" spans="1:14" s="29" customFormat="1" x14ac:dyDescent="0.25">
      <c r="A67" s="42" t="s">
        <v>105</v>
      </c>
      <c r="B67" s="51" t="s">
        <v>34</v>
      </c>
      <c r="C67" s="14"/>
      <c r="D67" s="14"/>
      <c r="E67" s="14">
        <f t="shared" ref="E67" si="70">SUM(E61,E63:E66)</f>
        <v>44397</v>
      </c>
      <c r="F67" s="14">
        <f t="shared" ref="F67" si="71">SUM(F61,F63:F66)</f>
        <v>192655.50409999999</v>
      </c>
      <c r="G67"/>
      <c r="H67" s="14">
        <f t="shared" ref="H67" si="72">SUM(H61,H63:H66)</f>
        <v>95441</v>
      </c>
      <c r="I67" s="14">
        <f t="shared" ref="I67:J67" si="73">SUM(I61,I63:I66)</f>
        <v>21171</v>
      </c>
      <c r="J67" s="14">
        <f t="shared" si="73"/>
        <v>169339.66286000001</v>
      </c>
      <c r="K67" s="14">
        <f t="shared" ref="K67:L67" si="74">SUM(K61,K63:K66)</f>
        <v>64292.680390000001</v>
      </c>
      <c r="L67" s="14">
        <f t="shared" si="74"/>
        <v>274703.01413000003</v>
      </c>
      <c r="M67" s="14">
        <f t="shared" ref="M67" si="75">SUM(M61,M63:M66)</f>
        <v>125329.24120999999</v>
      </c>
      <c r="N67" s="20">
        <f>IFERROR(L67/M67-1,"n.a.")</f>
        <v>1.1918509318165529</v>
      </c>
    </row>
    <row r="68" spans="1:14" s="64" customFormat="1" x14ac:dyDescent="0.25">
      <c r="A68" s="62" t="s">
        <v>106</v>
      </c>
      <c r="B68" s="63" t="s">
        <v>34</v>
      </c>
      <c r="C68" s="91"/>
      <c r="D68" s="91"/>
      <c r="E68" s="91">
        <v>0.30332656951361986</v>
      </c>
      <c r="F68" s="91">
        <v>0.33949063603555341</v>
      </c>
      <c r="G68"/>
      <c r="H68" s="91">
        <v>0.55370807637192732</v>
      </c>
      <c r="I68" s="91">
        <v>0.2255978006052598</v>
      </c>
      <c r="J68" s="91">
        <v>0.49475172628786468</v>
      </c>
      <c r="K68" s="91">
        <v>0.27191159283052863</v>
      </c>
      <c r="L68" s="91">
        <v>0.40204579222056519</v>
      </c>
      <c r="M68" s="91">
        <v>0.31592394691800246</v>
      </c>
      <c r="N68" s="31">
        <f>IFERROR(L68/M68-1,"n.a.")</f>
        <v>0.27260309369620384</v>
      </c>
    </row>
    <row r="69" spans="1:14" x14ac:dyDescent="0.25">
      <c r="A69" s="36"/>
      <c r="B69" s="46"/>
      <c r="C69" s="9"/>
      <c r="D69" s="9"/>
      <c r="E69" s="9"/>
      <c r="F69" s="9"/>
      <c r="H69" s="9"/>
      <c r="I69" s="9"/>
      <c r="J69" s="9"/>
      <c r="K69" s="9"/>
      <c r="L69" s="9"/>
      <c r="M69" s="9"/>
      <c r="N69" s="19"/>
    </row>
    <row r="70" spans="1:14" s="29" customFormat="1" x14ac:dyDescent="0.25">
      <c r="A70" s="42" t="s">
        <v>107</v>
      </c>
      <c r="B70" s="51" t="s">
        <v>34</v>
      </c>
      <c r="C70" s="14"/>
      <c r="D70" s="14"/>
      <c r="E70" s="14">
        <v>44397</v>
      </c>
      <c r="F70" s="14">
        <v>192655.50409999999</v>
      </c>
      <c r="G70"/>
      <c r="H70" s="14">
        <v>95441</v>
      </c>
      <c r="I70" s="14">
        <v>21171</v>
      </c>
      <c r="J70" s="14">
        <v>169339.66286000001</v>
      </c>
      <c r="K70" s="14">
        <v>64292.680390000001</v>
      </c>
      <c r="L70" s="14">
        <v>274703.01413000003</v>
      </c>
      <c r="M70" s="14">
        <v>125329.24121000001</v>
      </c>
      <c r="N70" s="20">
        <f>IFERROR(L70/M70-1,"n.a.")</f>
        <v>1.1918509318165529</v>
      </c>
    </row>
    <row r="71" spans="1:14" s="64" customFormat="1" x14ac:dyDescent="0.25">
      <c r="A71" s="62" t="s">
        <v>108</v>
      </c>
      <c r="B71" s="63" t="s">
        <v>34</v>
      </c>
      <c r="C71" s="91"/>
      <c r="D71" s="91"/>
      <c r="E71" s="91">
        <v>0.30332656951361986</v>
      </c>
      <c r="F71" s="91">
        <v>0.33949063603555341</v>
      </c>
      <c r="G71"/>
      <c r="H71" s="91">
        <v>0.55370807637192732</v>
      </c>
      <c r="I71" s="91">
        <v>0.2255978006052598</v>
      </c>
      <c r="J71" s="91">
        <v>0.49475172628786468</v>
      </c>
      <c r="K71" s="91">
        <v>0.27191159283052863</v>
      </c>
      <c r="L71" s="91">
        <v>0.40204579222056519</v>
      </c>
      <c r="M71" s="91">
        <v>0.31592394691800246</v>
      </c>
      <c r="N71" s="31">
        <f>IFERROR(L71/M71-1,"n.a.")</f>
        <v>0.27260309369620384</v>
      </c>
    </row>
    <row r="72" spans="1:14" x14ac:dyDescent="0.25">
      <c r="A72" s="36" t="s">
        <v>109</v>
      </c>
      <c r="B72" s="46" t="s">
        <v>34</v>
      </c>
      <c r="C72" s="9"/>
      <c r="D72" s="9"/>
      <c r="E72" s="9">
        <v>0</v>
      </c>
      <c r="F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19" t="str">
        <f t="shared" ref="N72:N73" si="76">IFERROR(L72/M72-1,"n.a.")</f>
        <v>n.a.</v>
      </c>
    </row>
    <row r="73" spans="1:14" x14ac:dyDescent="0.25">
      <c r="A73" s="36" t="s">
        <v>110</v>
      </c>
      <c r="B73" s="46" t="s">
        <v>34</v>
      </c>
      <c r="C73" s="9"/>
      <c r="D73" s="9"/>
      <c r="E73" s="9">
        <v>0</v>
      </c>
      <c r="F73" s="9">
        <v>8536.4958999999981</v>
      </c>
      <c r="H73" s="9">
        <v>6465</v>
      </c>
      <c r="I73" s="9">
        <v>0</v>
      </c>
      <c r="J73" s="9">
        <v>6465</v>
      </c>
      <c r="K73" s="9">
        <v>0</v>
      </c>
      <c r="L73" s="9">
        <v>6434</v>
      </c>
      <c r="M73" s="9">
        <v>5883.3912599999994</v>
      </c>
      <c r="N73" s="19">
        <f t="shared" si="76"/>
        <v>9.3586966371500546E-2</v>
      </c>
    </row>
    <row r="74" spans="1:14" s="29" customFormat="1" x14ac:dyDescent="0.25">
      <c r="A74" s="42" t="s">
        <v>111</v>
      </c>
      <c r="B74" s="51" t="s">
        <v>34</v>
      </c>
      <c r="C74" s="14"/>
      <c r="D74" s="14"/>
      <c r="E74" s="14">
        <f t="shared" ref="E74" si="77">SUM(E70:E73)</f>
        <v>44397.303326569512</v>
      </c>
      <c r="F74" s="14">
        <f t="shared" ref="F74" si="78">SUM(F70:F73)</f>
        <v>201192.33949063605</v>
      </c>
      <c r="G74"/>
      <c r="H74" s="14">
        <f t="shared" ref="H74" si="79">SUM(H70:H73)</f>
        <v>101906.55370807638</v>
      </c>
      <c r="I74" s="14">
        <f t="shared" ref="I74:J74" si="80">SUM(I70:I73)</f>
        <v>21171.225597800607</v>
      </c>
      <c r="J74" s="14">
        <f t="shared" si="80"/>
        <v>175805.15761172629</v>
      </c>
      <c r="K74" s="14">
        <f t="shared" ref="K74:L74" si="81">SUM(K70:K73)</f>
        <v>64292.952301592835</v>
      </c>
      <c r="L74" s="14">
        <f t="shared" si="81"/>
        <v>281137.41617579223</v>
      </c>
      <c r="M74" s="14">
        <f t="shared" ref="M74" si="82">SUM(M70:M73)</f>
        <v>131212.94839394692</v>
      </c>
      <c r="N74" s="20">
        <f>IFERROR(L74/M74-1,"n.a.")</f>
        <v>1.1426042141185633</v>
      </c>
    </row>
    <row r="75" spans="1:14" s="64" customFormat="1" x14ac:dyDescent="0.25">
      <c r="A75" s="62" t="s">
        <v>112</v>
      </c>
      <c r="B75" s="63" t="s">
        <v>34</v>
      </c>
      <c r="C75" s="91"/>
      <c r="D75" s="91"/>
      <c r="E75" s="91">
        <v>0.30332656951361986</v>
      </c>
      <c r="F75" s="91">
        <v>0.35453334367136341</v>
      </c>
      <c r="G75"/>
      <c r="H75" s="91">
        <v>0.59121525582042966</v>
      </c>
      <c r="I75" s="91">
        <v>0.2255978006052598</v>
      </c>
      <c r="J75" s="91">
        <v>0.51364021263790205</v>
      </c>
      <c r="K75" s="91">
        <v>0.27191159283052863</v>
      </c>
      <c r="L75" s="91">
        <v>0.41146237119527918</v>
      </c>
      <c r="M75" s="91">
        <v>0.33075451774231363</v>
      </c>
      <c r="N75" s="31">
        <f>IFERROR(L75/M75-1,"n.a.")</f>
        <v>0.24401134111142797</v>
      </c>
    </row>
    <row r="76" spans="1:14" x14ac:dyDescent="0.25">
      <c r="A76" s="36" t="s">
        <v>113</v>
      </c>
      <c r="B76" s="46" t="s">
        <v>34</v>
      </c>
      <c r="C76" s="9"/>
      <c r="D76" s="9"/>
      <c r="E76" s="9">
        <v>-2906</v>
      </c>
      <c r="F76" s="9">
        <v>-12152</v>
      </c>
      <c r="H76" s="9">
        <v>-3089</v>
      </c>
      <c r="I76" s="9">
        <v>-3014</v>
      </c>
      <c r="J76" s="9">
        <v>-6181.6628600000004</v>
      </c>
      <c r="K76" s="9">
        <v>-6056.6803899999995</v>
      </c>
      <c r="L76" s="9">
        <v>-9287.0141299999996</v>
      </c>
      <c r="M76" s="9">
        <v>-9101.6324700000005</v>
      </c>
      <c r="N76" s="19">
        <f t="shared" ref="N76:N79" si="83">IFERROR(L76/M76-1,"n.a.")</f>
        <v>2.0367957134177717E-2</v>
      </c>
    </row>
    <row r="77" spans="1:14" x14ac:dyDescent="0.25">
      <c r="A77" s="36" t="s">
        <v>114</v>
      </c>
      <c r="B77" s="46" t="s">
        <v>34</v>
      </c>
      <c r="C77" s="9"/>
      <c r="D77" s="9"/>
      <c r="E77" s="9">
        <v>-7062</v>
      </c>
      <c r="F77" s="9">
        <v>-8384</v>
      </c>
      <c r="H77" s="9">
        <v>-3340</v>
      </c>
      <c r="I77" s="9">
        <v>-6104</v>
      </c>
      <c r="J77" s="9">
        <v>-8999</v>
      </c>
      <c r="K77" s="9">
        <v>-10533</v>
      </c>
      <c r="L77" s="9">
        <v>-21527</v>
      </c>
      <c r="M77" s="9">
        <v>-9115</v>
      </c>
      <c r="N77" s="19">
        <f t="shared" si="83"/>
        <v>1.3617114646187605</v>
      </c>
    </row>
    <row r="78" spans="1:14" x14ac:dyDescent="0.25">
      <c r="A78" s="36" t="s">
        <v>115</v>
      </c>
      <c r="B78" s="46" t="s">
        <v>34</v>
      </c>
      <c r="C78" s="9"/>
      <c r="D78" s="9"/>
      <c r="E78" s="9">
        <v>0</v>
      </c>
      <c r="F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19" t="str">
        <f t="shared" si="83"/>
        <v>n.a.</v>
      </c>
    </row>
    <row r="79" spans="1:14" x14ac:dyDescent="0.25">
      <c r="A79" s="36" t="s">
        <v>116</v>
      </c>
      <c r="B79" s="46" t="s">
        <v>34</v>
      </c>
      <c r="C79" s="9"/>
      <c r="D79" s="9"/>
      <c r="E79" s="9">
        <v>0</v>
      </c>
      <c r="F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19" t="str">
        <f t="shared" si="83"/>
        <v>n.a.</v>
      </c>
    </row>
    <row r="80" spans="1:14" s="29" customFormat="1" x14ac:dyDescent="0.25">
      <c r="A80" s="42" t="s">
        <v>117</v>
      </c>
      <c r="B80" s="51" t="s">
        <v>34</v>
      </c>
      <c r="C80" s="14"/>
      <c r="D80" s="14"/>
      <c r="E80" s="14">
        <f t="shared" ref="E80" si="84">SUM(E74,E76:E79)</f>
        <v>34429.303326569512</v>
      </c>
      <c r="F80" s="14">
        <f t="shared" ref="F80" si="85">SUM(F74,F76:F79)</f>
        <v>180656.33949063605</v>
      </c>
      <c r="G80"/>
      <c r="H80" s="14">
        <f t="shared" ref="H80" si="86">SUM(H74,H76:H79)</f>
        <v>95477.553708076375</v>
      </c>
      <c r="I80" s="14">
        <f t="shared" ref="I80:J80" si="87">SUM(I74,I76:I79)</f>
        <v>12053.225597800607</v>
      </c>
      <c r="J80" s="14">
        <f t="shared" si="87"/>
        <v>160624.49475172628</v>
      </c>
      <c r="K80" s="14">
        <f t="shared" ref="K80:L80" si="88">SUM(K74,K76:K79)</f>
        <v>47703.271911592834</v>
      </c>
      <c r="L80" s="14">
        <f t="shared" si="88"/>
        <v>250323.4020457922</v>
      </c>
      <c r="M80" s="14">
        <f t="shared" ref="M80" si="89">SUM(M74,M76:M79)</f>
        <v>112996.31592394692</v>
      </c>
      <c r="N80" s="20">
        <f>IFERROR(L80/M80-1,"n.a.")</f>
        <v>1.2153235704983016</v>
      </c>
    </row>
    <row r="82" spans="1:14" ht="16.5" x14ac:dyDescent="0.25">
      <c r="A82" s="27" t="s">
        <v>54</v>
      </c>
      <c r="B82" s="16"/>
      <c r="C82" s="16"/>
      <c r="D82" s="16"/>
      <c r="E82" s="16"/>
      <c r="F82" s="16"/>
      <c r="H82" s="16"/>
      <c r="I82" s="16"/>
      <c r="J82" s="16"/>
      <c r="K82" s="16"/>
      <c r="L82" s="16"/>
      <c r="M82" s="16"/>
      <c r="N82" s="16"/>
    </row>
    <row r="83" spans="1:14" x14ac:dyDescent="0.25">
      <c r="A83" s="57" t="s">
        <v>239</v>
      </c>
      <c r="B83" s="55" t="s">
        <v>34</v>
      </c>
      <c r="C83" s="9">
        <v>777897</v>
      </c>
      <c r="D83" s="9">
        <v>817004</v>
      </c>
      <c r="E83" s="9">
        <v>1179187</v>
      </c>
      <c r="F83" s="9">
        <v>1663790</v>
      </c>
      <c r="H83" s="9">
        <v>528866</v>
      </c>
      <c r="I83" s="9">
        <v>321054</v>
      </c>
      <c r="J83" s="9">
        <v>1069420</v>
      </c>
      <c r="K83" s="9">
        <v>695090</v>
      </c>
      <c r="L83" s="9">
        <v>1838029</v>
      </c>
      <c r="M83" s="9">
        <v>1202161</v>
      </c>
      <c r="N83" s="19">
        <f t="shared" ref="N83:N85" si="90">IFERROR(L83/M83-1,"n.a.")</f>
        <v>0.52893747176958827</v>
      </c>
    </row>
    <row r="84" spans="1:14" x14ac:dyDescent="0.25">
      <c r="A84" s="36" t="s">
        <v>85</v>
      </c>
      <c r="B84" s="46" t="s">
        <v>34</v>
      </c>
      <c r="C84" s="9">
        <v>-588126</v>
      </c>
      <c r="D84" s="9">
        <v>-624778</v>
      </c>
      <c r="E84" s="9">
        <v>-872194</v>
      </c>
      <c r="F84" s="9">
        <v>-1200152</v>
      </c>
      <c r="H84" s="9">
        <v>-301341</v>
      </c>
      <c r="I84" s="9">
        <v>-272828</v>
      </c>
      <c r="J84" s="9">
        <v>-602250</v>
      </c>
      <c r="K84" s="9">
        <v>-523741</v>
      </c>
      <c r="L84" s="9">
        <v>-1086808</v>
      </c>
      <c r="M84" s="9">
        <v>-852200</v>
      </c>
      <c r="N84" s="19">
        <f t="shared" si="90"/>
        <v>0.27529687866697961</v>
      </c>
    </row>
    <row r="85" spans="1:14" x14ac:dyDescent="0.25">
      <c r="A85" s="36" t="s">
        <v>86</v>
      </c>
      <c r="B85" s="46" t="s">
        <v>34</v>
      </c>
      <c r="C85" s="9">
        <v>19758</v>
      </c>
      <c r="D85" s="9">
        <v>-6541</v>
      </c>
      <c r="E85" s="9">
        <v>-29871</v>
      </c>
      <c r="F85" s="9">
        <v>31640</v>
      </c>
      <c r="H85" s="9">
        <v>21966</v>
      </c>
      <c r="I85" s="9">
        <v>3258</v>
      </c>
      <c r="J85" s="9">
        <v>41606</v>
      </c>
      <c r="K85" s="9">
        <v>-488</v>
      </c>
      <c r="L85" s="9">
        <v>38240</v>
      </c>
      <c r="M85" s="9">
        <v>-19350</v>
      </c>
      <c r="N85" s="19">
        <f t="shared" si="90"/>
        <v>-2.9762273901808785</v>
      </c>
    </row>
    <row r="86" spans="1:14" s="29" customFormat="1" x14ac:dyDescent="0.25">
      <c r="A86" s="38" t="s">
        <v>87</v>
      </c>
      <c r="B86" s="51" t="s">
        <v>34</v>
      </c>
      <c r="C86" s="14">
        <f t="shared" ref="C86:F86" si="91">SUM(C83:C85)</f>
        <v>209529</v>
      </c>
      <c r="D86" s="14">
        <f t="shared" si="91"/>
        <v>185685</v>
      </c>
      <c r="E86" s="14">
        <f t="shared" si="91"/>
        <v>277122</v>
      </c>
      <c r="F86" s="14">
        <f t="shared" si="91"/>
        <v>495278</v>
      </c>
      <c r="G86"/>
      <c r="H86" s="14">
        <f>SUM(H83:H85)</f>
        <v>249491</v>
      </c>
      <c r="I86" s="14">
        <f>SUM(I83:I85)</f>
        <v>51484</v>
      </c>
      <c r="J86" s="14">
        <f t="shared" ref="J86:L86" si="92">SUM(J83:J85)</f>
        <v>508776</v>
      </c>
      <c r="K86" s="14">
        <f t="shared" si="92"/>
        <v>170861</v>
      </c>
      <c r="L86" s="14">
        <f t="shared" si="92"/>
        <v>789461</v>
      </c>
      <c r="M86" s="14">
        <f t="shared" ref="M86" si="93">SUM(M83:M85)</f>
        <v>330611</v>
      </c>
      <c r="N86" s="20">
        <f>IFERROR(L86/M86-1,"n.a.")</f>
        <v>1.3878848556158143</v>
      </c>
    </row>
    <row r="87" spans="1:14" x14ac:dyDescent="0.25">
      <c r="A87" s="36" t="s">
        <v>88</v>
      </c>
      <c r="B87" s="46" t="s">
        <v>34</v>
      </c>
      <c r="C87" s="9">
        <v>-47060</v>
      </c>
      <c r="D87" s="9">
        <v>-42517</v>
      </c>
      <c r="E87" s="9">
        <v>-59895</v>
      </c>
      <c r="F87" s="9">
        <v>-78125</v>
      </c>
      <c r="H87" s="9">
        <v>-21652</v>
      </c>
      <c r="I87" s="9">
        <v>-13925</v>
      </c>
      <c r="J87" s="9">
        <v>-45268</v>
      </c>
      <c r="K87" s="9">
        <v>-30978</v>
      </c>
      <c r="L87" s="9">
        <v>-73884</v>
      </c>
      <c r="M87" s="9">
        <v>-54326</v>
      </c>
      <c r="N87" s="19">
        <f t="shared" ref="N87:N90" si="94">IFERROR(L87/M87-1,"n.a.")</f>
        <v>0.3600117807311416</v>
      </c>
    </row>
    <row r="88" spans="1:14" x14ac:dyDescent="0.25">
      <c r="A88" s="36" t="s">
        <v>89</v>
      </c>
      <c r="B88" s="46" t="s">
        <v>34</v>
      </c>
      <c r="C88" s="9">
        <v>-44115</v>
      </c>
      <c r="D88" s="9">
        <v>-44338</v>
      </c>
      <c r="E88" s="9">
        <v>-57766</v>
      </c>
      <c r="F88" s="9">
        <v>-47692</v>
      </c>
      <c r="H88" s="9">
        <v>-16813</v>
      </c>
      <c r="I88" s="9">
        <v>-8645</v>
      </c>
      <c r="J88" s="9">
        <v>-28258</v>
      </c>
      <c r="K88" s="9">
        <v>-21756</v>
      </c>
      <c r="L88" s="9">
        <v>-46383</v>
      </c>
      <c r="M88" s="9">
        <v>-28493</v>
      </c>
      <c r="N88" s="19">
        <f t="shared" si="94"/>
        <v>0.62787351279261583</v>
      </c>
    </row>
    <row r="89" spans="1:14" x14ac:dyDescent="0.25">
      <c r="A89" s="36" t="s">
        <v>90</v>
      </c>
      <c r="B89" s="46" t="s">
        <v>34</v>
      </c>
      <c r="C89" s="9">
        <v>35981</v>
      </c>
      <c r="D89" s="9">
        <v>5481</v>
      </c>
      <c r="E89" s="9">
        <v>-3537</v>
      </c>
      <c r="F89" s="9">
        <v>1932</v>
      </c>
      <c r="H89" s="9">
        <v>6816</v>
      </c>
      <c r="I89" s="9">
        <v>582</v>
      </c>
      <c r="J89" s="9">
        <v>5690</v>
      </c>
      <c r="K89" s="9">
        <v>-139</v>
      </c>
      <c r="L89" s="9">
        <v>1212</v>
      </c>
      <c r="M89" s="9">
        <v>3769</v>
      </c>
      <c r="N89" s="19">
        <f t="shared" si="94"/>
        <v>-0.678429291589281</v>
      </c>
    </row>
    <row r="90" spans="1:14" x14ac:dyDescent="0.25">
      <c r="A90" s="36" t="s">
        <v>91</v>
      </c>
      <c r="B90" s="46" t="s">
        <v>34</v>
      </c>
      <c r="C90" s="9">
        <v>0</v>
      </c>
      <c r="D90" s="9">
        <v>0</v>
      </c>
      <c r="E90" s="9">
        <v>0</v>
      </c>
      <c r="F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19" t="str">
        <f t="shared" si="94"/>
        <v>n.a.</v>
      </c>
    </row>
    <row r="91" spans="1:14" s="29" customFormat="1" x14ac:dyDescent="0.25">
      <c r="A91" s="38" t="s">
        <v>92</v>
      </c>
      <c r="B91" s="51" t="s">
        <v>34</v>
      </c>
      <c r="C91" s="14">
        <f t="shared" ref="C91:F91" si="95">SUM(C86:C90)</f>
        <v>154335</v>
      </c>
      <c r="D91" s="14">
        <f t="shared" si="95"/>
        <v>104311</v>
      </c>
      <c r="E91" s="14">
        <f t="shared" si="95"/>
        <v>155924</v>
      </c>
      <c r="F91" s="14">
        <f t="shared" si="95"/>
        <v>371393</v>
      </c>
      <c r="G91"/>
      <c r="H91" s="14">
        <f>SUM(H86:H90)</f>
        <v>217842</v>
      </c>
      <c r="I91" s="14">
        <f>SUM(I86:I90)</f>
        <v>29496</v>
      </c>
      <c r="J91" s="14">
        <f t="shared" ref="J91:L91" si="96">SUM(J86:J90)</f>
        <v>440940</v>
      </c>
      <c r="K91" s="14">
        <f t="shared" si="96"/>
        <v>117988</v>
      </c>
      <c r="L91" s="14">
        <f t="shared" si="96"/>
        <v>670406</v>
      </c>
      <c r="M91" s="14">
        <f t="shared" ref="M91" si="97">SUM(M86:M90)</f>
        <v>251561</v>
      </c>
      <c r="N91" s="20">
        <f>IFERROR(L91/M91-1,"n.a.")</f>
        <v>1.6649838408974365</v>
      </c>
    </row>
    <row r="92" spans="1:14" x14ac:dyDescent="0.25">
      <c r="A92" s="36" t="s">
        <v>93</v>
      </c>
      <c r="B92" s="46" t="s">
        <v>34</v>
      </c>
      <c r="C92" s="9">
        <v>-94437</v>
      </c>
      <c r="D92" s="9">
        <v>-111237</v>
      </c>
      <c r="E92" s="9">
        <v>-170992</v>
      </c>
      <c r="F92" s="9">
        <v>-205310</v>
      </c>
      <c r="H92" s="9">
        <v>-54201</v>
      </c>
      <c r="I92" s="9">
        <v>-53801</v>
      </c>
      <c r="J92" s="9">
        <v>-109673</v>
      </c>
      <c r="K92" s="9">
        <v>-108416</v>
      </c>
      <c r="L92" s="9">
        <v>-182709</v>
      </c>
      <c r="M92" s="9">
        <v>-149542</v>
      </c>
      <c r="N92" s="19">
        <f t="shared" ref="N92:N93" si="98">IFERROR(L92/M92-1,"n.a.")</f>
        <v>0.22179053376308988</v>
      </c>
    </row>
    <row r="93" spans="1:14" x14ac:dyDescent="0.25">
      <c r="A93" s="36" t="s">
        <v>94</v>
      </c>
      <c r="B93" s="46" t="s">
        <v>34</v>
      </c>
      <c r="C93" s="9">
        <v>19041</v>
      </c>
      <c r="D93" s="9">
        <v>39670</v>
      </c>
      <c r="E93" s="9">
        <v>63229</v>
      </c>
      <c r="F93" s="9">
        <v>95811</v>
      </c>
      <c r="H93" s="9">
        <v>30334</v>
      </c>
      <c r="I93" s="9">
        <v>22197</v>
      </c>
      <c r="J93" s="9">
        <v>54277</v>
      </c>
      <c r="K93" s="9">
        <v>49506</v>
      </c>
      <c r="L93" s="9">
        <v>87566</v>
      </c>
      <c r="M93" s="9">
        <v>70246</v>
      </c>
      <c r="N93" s="19">
        <f t="shared" si="98"/>
        <v>0.24656208182672312</v>
      </c>
    </row>
    <row r="94" spans="1:14" s="60" customFormat="1" ht="28.5" x14ac:dyDescent="0.25">
      <c r="A94" s="58" t="s">
        <v>95</v>
      </c>
      <c r="B94" s="59" t="s">
        <v>34</v>
      </c>
      <c r="C94" s="61">
        <f t="shared" ref="C94:F94" si="99">SUM(C91:C93)</f>
        <v>78939</v>
      </c>
      <c r="D94" s="61">
        <f t="shared" si="99"/>
        <v>32744</v>
      </c>
      <c r="E94" s="61">
        <f t="shared" si="99"/>
        <v>48161</v>
      </c>
      <c r="F94" s="61">
        <f t="shared" si="99"/>
        <v>261894</v>
      </c>
      <c r="G94"/>
      <c r="H94" s="61">
        <f>SUM(H91:H93)</f>
        <v>193975</v>
      </c>
      <c r="I94" s="61">
        <f>SUM(I91:I93)</f>
        <v>-2108</v>
      </c>
      <c r="J94" s="61">
        <f t="shared" ref="J94:L94" si="100">SUM(J91:J93)</f>
        <v>385544</v>
      </c>
      <c r="K94" s="61">
        <f t="shared" si="100"/>
        <v>59078</v>
      </c>
      <c r="L94" s="61">
        <f t="shared" si="100"/>
        <v>575263</v>
      </c>
      <c r="M94" s="61">
        <f t="shared" ref="M94" si="101">SUM(M91:M93)</f>
        <v>172265</v>
      </c>
      <c r="N94" s="20">
        <f>IFERROR(L94/M94-1,"n.a.")</f>
        <v>2.3394073085072415</v>
      </c>
    </row>
    <row r="95" spans="1:14" x14ac:dyDescent="0.25">
      <c r="A95" s="36" t="s">
        <v>97</v>
      </c>
      <c r="B95" s="46" t="s">
        <v>34</v>
      </c>
      <c r="C95" s="9">
        <v>0</v>
      </c>
      <c r="D95" s="9">
        <v>0</v>
      </c>
      <c r="E95" s="9">
        <v>-1353</v>
      </c>
      <c r="F95" s="9">
        <v>-43246</v>
      </c>
      <c r="H95" s="9">
        <v>-18110</v>
      </c>
      <c r="I95" s="9">
        <v>-2270</v>
      </c>
      <c r="J95" s="9">
        <v>-56606</v>
      </c>
      <c r="K95" s="9">
        <v>-11824</v>
      </c>
      <c r="L95" s="9">
        <v>-68334</v>
      </c>
      <c r="M95" s="9">
        <v>-28786</v>
      </c>
      <c r="N95" s="19">
        <f t="shared" ref="N95:N96" si="102">IFERROR(L95/M95-1,"n.a.")</f>
        <v>1.3738622941707774</v>
      </c>
    </row>
    <row r="96" spans="1:14" x14ac:dyDescent="0.25">
      <c r="A96" s="36" t="s">
        <v>98</v>
      </c>
      <c r="B96" s="46" t="s">
        <v>34</v>
      </c>
      <c r="C96" s="9">
        <v>6827</v>
      </c>
      <c r="D96" s="9">
        <v>4479</v>
      </c>
      <c r="E96" s="9">
        <v>61555</v>
      </c>
      <c r="F96" s="9">
        <v>46315</v>
      </c>
      <c r="H96" s="9">
        <v>-33921</v>
      </c>
      <c r="I96" s="9">
        <v>6458</v>
      </c>
      <c r="J96" s="9">
        <v>-41994</v>
      </c>
      <c r="K96" s="9">
        <v>9109</v>
      </c>
      <c r="L96" s="9">
        <v>-67102</v>
      </c>
      <c r="M96" s="9">
        <v>5769</v>
      </c>
      <c r="N96" s="19">
        <f t="shared" si="102"/>
        <v>-12.631478592477032</v>
      </c>
    </row>
    <row r="97" spans="1:14" s="29" customFormat="1" x14ac:dyDescent="0.25">
      <c r="A97" s="38" t="s">
        <v>96</v>
      </c>
      <c r="B97" s="51" t="s">
        <v>34</v>
      </c>
      <c r="C97" s="14">
        <f t="shared" ref="C97:F97" si="103">SUM(C94:C96)</f>
        <v>85766</v>
      </c>
      <c r="D97" s="14">
        <f t="shared" si="103"/>
        <v>37223</v>
      </c>
      <c r="E97" s="14">
        <f t="shared" si="103"/>
        <v>108363</v>
      </c>
      <c r="F97" s="14">
        <f t="shared" si="103"/>
        <v>264963</v>
      </c>
      <c r="G97"/>
      <c r="H97" s="14">
        <f>SUM(H94:H96)</f>
        <v>141944</v>
      </c>
      <c r="I97" s="14">
        <f>SUM(I94:I96)</f>
        <v>2080</v>
      </c>
      <c r="J97" s="14">
        <f t="shared" ref="J97:L97" si="104">SUM(J94:J96)</f>
        <v>286944</v>
      </c>
      <c r="K97" s="14">
        <f t="shared" si="104"/>
        <v>56363</v>
      </c>
      <c r="L97" s="14">
        <f t="shared" si="104"/>
        <v>439827</v>
      </c>
      <c r="M97" s="14">
        <f t="shared" ref="M97" si="105">SUM(M94:M96)</f>
        <v>149248</v>
      </c>
      <c r="N97" s="20">
        <f>IFERROR(L97/M97-1,"n.a.")</f>
        <v>1.9469540630360207</v>
      </c>
    </row>
    <row r="98" spans="1:14" x14ac:dyDescent="0.25">
      <c r="A98" s="11"/>
      <c r="B98" s="46"/>
      <c r="C98" s="9"/>
      <c r="D98" s="9"/>
      <c r="E98" s="9"/>
      <c r="F98" s="9"/>
      <c r="H98" s="9"/>
      <c r="I98" s="9"/>
      <c r="J98" s="9"/>
      <c r="K98" s="9"/>
      <c r="L98" s="9"/>
      <c r="M98" s="9"/>
      <c r="N98" s="19"/>
    </row>
    <row r="99" spans="1:14" s="29" customFormat="1" x14ac:dyDescent="0.25">
      <c r="A99" s="42" t="s">
        <v>99</v>
      </c>
      <c r="B99" s="51" t="s">
        <v>34</v>
      </c>
      <c r="C99" s="14">
        <v>101203.35777</v>
      </c>
      <c r="D99" s="14">
        <v>110852</v>
      </c>
      <c r="E99" s="14">
        <v>182787.87890009562</v>
      </c>
      <c r="F99" s="14">
        <v>324673.22598000005</v>
      </c>
      <c r="G99"/>
      <c r="H99" s="14">
        <v>183445.07179554322</v>
      </c>
      <c r="I99" s="14">
        <v>25362.474512929162</v>
      </c>
      <c r="J99" s="14">
        <v>378822.52665929863</v>
      </c>
      <c r="K99" s="14">
        <v>115065.32061149614</v>
      </c>
      <c r="L99" s="14">
        <v>600157.34097999998</v>
      </c>
      <c r="M99" s="14">
        <v>257466.56189856696</v>
      </c>
      <c r="N99" s="20">
        <f>IFERROR(L99/M99-1,"n.a.")</f>
        <v>1.3310108176938389</v>
      </c>
    </row>
    <row r="100" spans="1:14" s="64" customFormat="1" x14ac:dyDescent="0.25">
      <c r="A100" s="62" t="s">
        <v>100</v>
      </c>
      <c r="B100" s="63" t="s">
        <v>34</v>
      </c>
      <c r="C100" s="91">
        <v>0.13009866058102809</v>
      </c>
      <c r="D100" s="91">
        <v>0.13568109825655689</v>
      </c>
      <c r="E100" s="91">
        <v>0.16244229927284304</v>
      </c>
      <c r="F100" s="91">
        <v>0.19872399221943626</v>
      </c>
      <c r="G100"/>
      <c r="H100" s="91">
        <v>0.34686493704557153</v>
      </c>
      <c r="I100" s="91">
        <v>7.9300059857519783E-2</v>
      </c>
      <c r="J100" s="91">
        <v>0.35423175801770923</v>
      </c>
      <c r="K100" s="91">
        <v>0.16583238503883133</v>
      </c>
      <c r="L100" s="91">
        <v>0.32652223712465905</v>
      </c>
      <c r="M100" s="91">
        <v>0.21438803162698397</v>
      </c>
      <c r="N100" s="31">
        <f>IFERROR(L100/M100-1,"n.a.")</f>
        <v>0.523043215830157</v>
      </c>
    </row>
    <row r="101" spans="1:14" x14ac:dyDescent="0.25">
      <c r="A101" s="36" t="s">
        <v>101</v>
      </c>
      <c r="B101" s="46" t="s">
        <v>34</v>
      </c>
      <c r="C101" s="9">
        <v>134094.04936158747</v>
      </c>
      <c r="D101" s="9">
        <v>131146.54294718138</v>
      </c>
      <c r="E101" s="9">
        <v>134130</v>
      </c>
      <c r="F101" s="9">
        <v>151816</v>
      </c>
      <c r="H101" s="9">
        <v>30851</v>
      </c>
      <c r="I101" s="9">
        <v>38715</v>
      </c>
      <c r="J101" s="9">
        <v>52042.580549999999</v>
      </c>
      <c r="K101" s="9">
        <v>68346.680389999994</v>
      </c>
      <c r="L101" s="9">
        <v>89375.931819999998</v>
      </c>
      <c r="M101" s="9">
        <v>105479.63247</v>
      </c>
      <c r="N101" s="19">
        <f t="shared" ref="N101:N104" si="106">IFERROR(L101/M101-1,"n.a.")</f>
        <v>-0.1526711865874214</v>
      </c>
    </row>
    <row r="102" spans="1:14" x14ac:dyDescent="0.25">
      <c r="A102" s="36" t="s">
        <v>102</v>
      </c>
      <c r="B102" s="46" t="s">
        <v>34</v>
      </c>
      <c r="C102" s="9">
        <v>100219.72819999998</v>
      </c>
      <c r="D102" s="9">
        <v>82015.464019999999</v>
      </c>
      <c r="E102" s="9">
        <v>120725</v>
      </c>
      <c r="F102" s="9">
        <v>107724</v>
      </c>
      <c r="H102" s="9">
        <v>23686</v>
      </c>
      <c r="I102" s="9">
        <v>24338</v>
      </c>
      <c r="J102" s="9">
        <v>39139.067439999999</v>
      </c>
      <c r="K102" s="9">
        <v>48094</v>
      </c>
      <c r="L102" s="9">
        <v>68266.067439999999</v>
      </c>
      <c r="M102" s="9">
        <v>72932</v>
      </c>
      <c r="N102" s="19">
        <f t="shared" si="106"/>
        <v>-6.3976478911863088E-2</v>
      </c>
    </row>
    <row r="103" spans="1:14" x14ac:dyDescent="0.25">
      <c r="A103" s="36" t="s">
        <v>103</v>
      </c>
      <c r="B103" s="46" t="s">
        <v>34</v>
      </c>
      <c r="C103" s="9">
        <v>38157.799980000003</v>
      </c>
      <c r="D103" s="9">
        <v>50698.181572879279</v>
      </c>
      <c r="E103" s="9">
        <v>57195</v>
      </c>
      <c r="F103" s="9">
        <v>51326</v>
      </c>
      <c r="H103" s="9">
        <v>13585</v>
      </c>
      <c r="I103" s="9">
        <v>15224</v>
      </c>
      <c r="J103" s="9">
        <v>23706.074700000005</v>
      </c>
      <c r="K103" s="9">
        <v>23152</v>
      </c>
      <c r="L103" s="9">
        <v>38091.074700000005</v>
      </c>
      <c r="M103" s="9">
        <v>36632</v>
      </c>
      <c r="N103" s="19">
        <f t="shared" si="106"/>
        <v>3.983060438960484E-2</v>
      </c>
    </row>
    <row r="104" spans="1:14" x14ac:dyDescent="0.25">
      <c r="A104" s="36" t="s">
        <v>104</v>
      </c>
      <c r="B104" s="46" t="s">
        <v>34</v>
      </c>
      <c r="C104" s="9">
        <v>-205841.00905883237</v>
      </c>
      <c r="D104" s="9">
        <v>-199364.84877841437</v>
      </c>
      <c r="E104" s="9">
        <v>-246996.08243999994</v>
      </c>
      <c r="F104" s="9">
        <v>-232490.35146000003</v>
      </c>
      <c r="H104" s="9">
        <v>-43559.041940000003</v>
      </c>
      <c r="I104" s="9">
        <v>-40584.67325</v>
      </c>
      <c r="J104" s="9">
        <v>-253062.08243999994</v>
      </c>
      <c r="K104" s="9">
        <v>-368089.08243999997</v>
      </c>
      <c r="L104" s="9">
        <v>-253062.08243999994</v>
      </c>
      <c r="M104" s="9">
        <v>-368089.08243999997</v>
      </c>
      <c r="N104" s="19">
        <f t="shared" si="106"/>
        <v>-0.31249772266405074</v>
      </c>
    </row>
    <row r="105" spans="1:14" s="29" customFormat="1" x14ac:dyDescent="0.25">
      <c r="A105" s="42" t="s">
        <v>105</v>
      </c>
      <c r="B105" s="51" t="s">
        <v>34</v>
      </c>
      <c r="C105" s="14">
        <f>SUM(C99,C101:C104)</f>
        <v>167833.9262527551</v>
      </c>
      <c r="D105" s="14">
        <f t="shared" ref="D105:F105" si="107">SUM(D99,D101:D104)</f>
        <v>175347.33976164629</v>
      </c>
      <c r="E105" s="14">
        <f t="shared" si="107"/>
        <v>247841.79646009565</v>
      </c>
      <c r="F105" s="14">
        <f t="shared" si="107"/>
        <v>403048.87452000007</v>
      </c>
      <c r="G105"/>
      <c r="H105" s="14">
        <f t="shared" ref="H105:J105" si="108">SUM(H99,H101:H104)</f>
        <v>208008.02985554322</v>
      </c>
      <c r="I105" s="14">
        <f t="shared" si="108"/>
        <v>63054.801262929155</v>
      </c>
      <c r="J105" s="14">
        <f t="shared" si="108"/>
        <v>240648.16690929871</v>
      </c>
      <c r="K105" s="14">
        <f t="shared" ref="K105:L105" si="109">SUM(K99,K101:K104)</f>
        <v>-113431.08143850384</v>
      </c>
      <c r="L105" s="14">
        <f t="shared" si="109"/>
        <v>542828.33250000002</v>
      </c>
      <c r="M105" s="14">
        <f t="shared" ref="M105" si="110">SUM(M99,M101:M104)</f>
        <v>104421.111928567</v>
      </c>
      <c r="N105" s="20">
        <f>IFERROR(L105/M105-1,"n.a.")</f>
        <v>4.1984538612396811</v>
      </c>
    </row>
    <row r="106" spans="1:14" s="64" customFormat="1" x14ac:dyDescent="0.25">
      <c r="A106" s="62" t="s">
        <v>106</v>
      </c>
      <c r="B106" s="63" t="s">
        <v>34</v>
      </c>
      <c r="C106" s="91">
        <v>0.21575340469593682</v>
      </c>
      <c r="D106" s="91">
        <v>0.2146223760980929</v>
      </c>
      <c r="E106" s="91">
        <v>0.22025525716010069</v>
      </c>
      <c r="F106" s="91">
        <v>0.24669567736114753</v>
      </c>
      <c r="G106"/>
      <c r="H106" s="91">
        <v>0.39330951480250803</v>
      </c>
      <c r="I106" s="91">
        <v>0.19715148503768007</v>
      </c>
      <c r="J106" s="91">
        <v>0.22502680603439126</v>
      </c>
      <c r="K106" s="91">
        <v>-0.16347711606342707</v>
      </c>
      <c r="L106" s="91">
        <v>0.29533175619100677</v>
      </c>
      <c r="M106" s="91">
        <v>8.6949685743991978E-2</v>
      </c>
      <c r="N106" s="31">
        <f>IFERROR(L106/M106-1,"n.a.")</f>
        <v>2.3965822149209264</v>
      </c>
    </row>
    <row r="107" spans="1:14" x14ac:dyDescent="0.25">
      <c r="A107" s="36"/>
      <c r="B107" s="46"/>
      <c r="C107" s="9"/>
      <c r="D107" s="9"/>
      <c r="E107" s="9"/>
      <c r="F107" s="9"/>
      <c r="H107" s="9"/>
      <c r="I107" s="9"/>
      <c r="J107" s="9"/>
      <c r="K107" s="9"/>
      <c r="L107" s="9"/>
      <c r="M107" s="9"/>
      <c r="N107" s="19"/>
    </row>
    <row r="108" spans="1:14" s="29" customFormat="1" x14ac:dyDescent="0.25">
      <c r="A108" s="42" t="s">
        <v>107</v>
      </c>
      <c r="B108" s="51" t="s">
        <v>34</v>
      </c>
      <c r="C108" s="14">
        <v>373674.93531158753</v>
      </c>
      <c r="D108" s="14">
        <v>374712.18854006066</v>
      </c>
      <c r="E108" s="14">
        <v>494837.87890009559</v>
      </c>
      <c r="F108" s="14">
        <v>635539.2259800001</v>
      </c>
      <c r="G108"/>
      <c r="H108" s="14">
        <v>251567.07179554322</v>
      </c>
      <c r="I108" s="14">
        <v>103639.47451292916</v>
      </c>
      <c r="J108" s="14">
        <v>493710.24934929865</v>
      </c>
      <c r="K108" s="14">
        <v>254658.00100149613</v>
      </c>
      <c r="L108" s="14">
        <v>795890.41493999993</v>
      </c>
      <c r="M108" s="14">
        <v>472510.19436856697</v>
      </c>
      <c r="N108" s="20">
        <f>IFERROR(L108/M108-1,"n.a.")</f>
        <v>0.68438781729054132</v>
      </c>
    </row>
    <row r="109" spans="1:14" s="64" customFormat="1" x14ac:dyDescent="0.25">
      <c r="A109" s="62" t="s">
        <v>108</v>
      </c>
      <c r="B109" s="63" t="s">
        <v>34</v>
      </c>
      <c r="C109" s="91">
        <v>0.48036556936405145</v>
      </c>
      <c r="D109" s="91">
        <v>0.45864180412832822</v>
      </c>
      <c r="E109" s="91">
        <v>0.43975893423306273</v>
      </c>
      <c r="F109" s="91">
        <v>0.38899694244137029</v>
      </c>
      <c r="G109"/>
      <c r="H109" s="91">
        <v>0.47567261233572061</v>
      </c>
      <c r="I109" s="91">
        <v>0.32404632001847966</v>
      </c>
      <c r="J109" s="91">
        <v>0.46166169451599809</v>
      </c>
      <c r="K109" s="91">
        <v>0.36701365320907958</v>
      </c>
      <c r="L109" s="91">
        <v>0.43301298017604722</v>
      </c>
      <c r="M109" s="91">
        <v>0.39345121070234212</v>
      </c>
      <c r="N109" s="31">
        <f>IFERROR(L109/M109-1,"n.a.")</f>
        <v>0.10055063600664527</v>
      </c>
    </row>
    <row r="110" spans="1:14" x14ac:dyDescent="0.25">
      <c r="A110" s="36" t="s">
        <v>109</v>
      </c>
      <c r="B110" s="46" t="s">
        <v>34</v>
      </c>
      <c r="C110" s="9">
        <v>0</v>
      </c>
      <c r="D110" s="9">
        <v>0</v>
      </c>
      <c r="E110" s="9">
        <v>55520.121099904391</v>
      </c>
      <c r="F110" s="9">
        <v>80324.083958569536</v>
      </c>
      <c r="H110" s="9">
        <v>18540.796441042909</v>
      </c>
      <c r="I110" s="9">
        <v>14274.849313189332</v>
      </c>
      <c r="J110" s="9">
        <v>38746.973005556327</v>
      </c>
      <c r="K110" s="9">
        <v>27682.780898642995</v>
      </c>
      <c r="L110" s="9">
        <v>72497.599780454155</v>
      </c>
      <c r="M110" s="9">
        <v>49934.758705881803</v>
      </c>
      <c r="N110" s="19">
        <f t="shared" ref="N110:N111" si="111">IFERROR(L110/M110-1,"n.a.")</f>
        <v>0.45184640237211515</v>
      </c>
    </row>
    <row r="111" spans="1:14" x14ac:dyDescent="0.25">
      <c r="A111" s="36" t="s">
        <v>110</v>
      </c>
      <c r="B111" s="46" t="s">
        <v>34</v>
      </c>
      <c r="C111" s="9">
        <v>33373.642229999998</v>
      </c>
      <c r="D111" s="9">
        <v>0</v>
      </c>
      <c r="E111" s="9">
        <v>0</v>
      </c>
      <c r="F111" s="9">
        <v>8536.4958999999981</v>
      </c>
      <c r="H111" s="9">
        <v>6465</v>
      </c>
      <c r="I111" s="9">
        <v>0</v>
      </c>
      <c r="J111" s="9">
        <v>6465</v>
      </c>
      <c r="K111" s="9">
        <v>0</v>
      </c>
      <c r="L111" s="9">
        <v>6434</v>
      </c>
      <c r="M111" s="9">
        <v>5883.3912599999994</v>
      </c>
      <c r="N111" s="19">
        <f t="shared" si="111"/>
        <v>9.3586966371500546E-2</v>
      </c>
    </row>
    <row r="112" spans="1:14" s="29" customFormat="1" x14ac:dyDescent="0.25">
      <c r="A112" s="42" t="s">
        <v>111</v>
      </c>
      <c r="B112" s="51" t="s">
        <v>34</v>
      </c>
      <c r="C112" s="14">
        <f>SUM(C108:C111)</f>
        <v>407049.05790715688</v>
      </c>
      <c r="D112" s="14">
        <f t="shared" ref="D112:F112" si="112">SUM(D108:D111)</f>
        <v>374712.64718186477</v>
      </c>
      <c r="E112" s="14">
        <f t="shared" si="112"/>
        <v>550358.4397589342</v>
      </c>
      <c r="F112" s="14">
        <f t="shared" si="112"/>
        <v>724400.19483551208</v>
      </c>
      <c r="G112"/>
      <c r="H112" s="14">
        <f t="shared" ref="H112:J112" si="113">SUM(H108:H111)</f>
        <v>276573.34390919848</v>
      </c>
      <c r="I112" s="14">
        <f t="shared" si="113"/>
        <v>117914.64787243851</v>
      </c>
      <c r="J112" s="14">
        <f t="shared" si="113"/>
        <v>538922.68401654949</v>
      </c>
      <c r="K112" s="14">
        <f t="shared" ref="K112" si="114">SUM(K108:K111)</f>
        <v>282341.14891379233</v>
      </c>
      <c r="L112" s="14">
        <f t="shared" ref="L112:M112" si="115">SUM(L108:L111)</f>
        <v>874822.44773343427</v>
      </c>
      <c r="M112" s="14">
        <f t="shared" si="115"/>
        <v>528328.73778565938</v>
      </c>
      <c r="N112" s="20">
        <f>IFERROR(L112/M112-1,"n.a.")</f>
        <v>0.65582976122026859</v>
      </c>
    </row>
    <row r="113" spans="1:14" s="64" customFormat="1" x14ac:dyDescent="0.25">
      <c r="A113" s="62" t="s">
        <v>112</v>
      </c>
      <c r="B113" s="63" t="s">
        <v>34</v>
      </c>
      <c r="C113" s="91">
        <v>0.52326796162163824</v>
      </c>
      <c r="D113" s="91">
        <v>0.45864180412832822</v>
      </c>
      <c r="E113" s="91">
        <v>0.48909927442216511</v>
      </c>
      <c r="F113" s="91">
        <v>0.44338617988812157</v>
      </c>
      <c r="G113"/>
      <c r="H113" s="91">
        <v>0.52295452579024948</v>
      </c>
      <c r="I113" s="91">
        <v>0.36867904717670413</v>
      </c>
      <c r="J113" s="91">
        <v>0.50393879145224041</v>
      </c>
      <c r="K113" s="91">
        <v>0.40691013597671821</v>
      </c>
      <c r="L113" s="91">
        <v>0.47595658976025629</v>
      </c>
      <c r="M113" s="91">
        <v>0.43993003580491863</v>
      </c>
      <c r="N113" s="31">
        <f>IFERROR(L113/M113-1,"n.a.")</f>
        <v>8.1891553254420657E-2</v>
      </c>
    </row>
    <row r="114" spans="1:14" x14ac:dyDescent="0.25">
      <c r="A114" s="36" t="s">
        <v>113</v>
      </c>
      <c r="B114" s="46" t="s">
        <v>34</v>
      </c>
      <c r="C114" s="9">
        <v>-272471.57754158747</v>
      </c>
      <c r="D114" s="9">
        <v>-263860.18854006066</v>
      </c>
      <c r="E114" s="9">
        <v>-364563</v>
      </c>
      <c r="F114" s="9">
        <v>-384646.80583212432</v>
      </c>
      <c r="H114" s="9">
        <v>-80696.868236586131</v>
      </c>
      <c r="I114" s="9">
        <v>-91676.323826118489</v>
      </c>
      <c r="J114" s="9">
        <v>-139204.59092658613</v>
      </c>
      <c r="K114" s="9">
        <v>-163864.78190013912</v>
      </c>
      <c r="L114" s="9">
        <v>-242656.07396000001</v>
      </c>
      <c r="M114" s="9">
        <v>-257418.63247000001</v>
      </c>
      <c r="N114" s="19">
        <f t="shared" ref="N114:N117" si="116">IFERROR(L114/M114-1,"n.a.")</f>
        <v>-5.734844586947474E-2</v>
      </c>
    </row>
    <row r="115" spans="1:14" x14ac:dyDescent="0.25">
      <c r="A115" s="36" t="s">
        <v>114</v>
      </c>
      <c r="B115" s="46" t="s">
        <v>34</v>
      </c>
      <c r="C115" s="9">
        <v>-75396</v>
      </c>
      <c r="D115" s="9">
        <v>-71567</v>
      </c>
      <c r="E115" s="9">
        <v>-107763</v>
      </c>
      <c r="F115" s="9">
        <v>-109499</v>
      </c>
      <c r="H115" s="9">
        <v>-23867</v>
      </c>
      <c r="I115" s="9">
        <v>-31604</v>
      </c>
      <c r="J115" s="9">
        <v>-55396</v>
      </c>
      <c r="K115" s="9">
        <v>-58910</v>
      </c>
      <c r="L115" s="9">
        <v>-95143</v>
      </c>
      <c r="M115" s="9">
        <v>-79294</v>
      </c>
      <c r="N115" s="19">
        <f t="shared" si="116"/>
        <v>0.19987640931218009</v>
      </c>
    </row>
    <row r="116" spans="1:14" x14ac:dyDescent="0.25">
      <c r="A116" s="36" t="s">
        <v>115</v>
      </c>
      <c r="B116" s="46" t="s">
        <v>34</v>
      </c>
      <c r="C116" s="9">
        <v>19758</v>
      </c>
      <c r="D116" s="9">
        <v>-6541</v>
      </c>
      <c r="E116" s="9">
        <v>-29871</v>
      </c>
      <c r="F116" s="9">
        <v>31640</v>
      </c>
      <c r="H116" s="9">
        <v>21966</v>
      </c>
      <c r="I116" s="9">
        <v>3258</v>
      </c>
      <c r="J116" s="9">
        <v>41606</v>
      </c>
      <c r="K116" s="9">
        <v>-488</v>
      </c>
      <c r="L116" s="9">
        <v>38240</v>
      </c>
      <c r="M116" s="9">
        <v>-19350</v>
      </c>
      <c r="N116" s="19">
        <f t="shared" si="116"/>
        <v>-2.9762273901808785</v>
      </c>
    </row>
    <row r="117" spans="1:14" x14ac:dyDescent="0.25">
      <c r="A117" s="36" t="s">
        <v>116</v>
      </c>
      <c r="B117" s="46" t="s">
        <v>34</v>
      </c>
      <c r="C117" s="9">
        <v>0</v>
      </c>
      <c r="D117" s="9">
        <v>0</v>
      </c>
      <c r="E117" s="9">
        <v>0</v>
      </c>
      <c r="F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19" t="str">
        <f t="shared" si="116"/>
        <v>n.a.</v>
      </c>
    </row>
    <row r="118" spans="1:14" s="29" customFormat="1" x14ac:dyDescent="0.25">
      <c r="A118" s="42" t="s">
        <v>117</v>
      </c>
      <c r="B118" s="51" t="s">
        <v>34</v>
      </c>
      <c r="C118" s="14">
        <f>SUM(C112,C114:C117)</f>
        <v>78939.480365569412</v>
      </c>
      <c r="D118" s="14">
        <f t="shared" ref="D118:F118" si="117">SUM(D112,D114:D117)</f>
        <v>32744.458641804114</v>
      </c>
      <c r="E118" s="14">
        <f t="shared" si="117"/>
        <v>48161.439758934197</v>
      </c>
      <c r="F118" s="14">
        <f t="shared" si="117"/>
        <v>261894.38900338777</v>
      </c>
      <c r="G118"/>
      <c r="H118" s="14">
        <f t="shared" ref="H118:J118" si="118">SUM(H112,H114:H117)</f>
        <v>193975.47567261235</v>
      </c>
      <c r="I118" s="14">
        <f t="shared" si="118"/>
        <v>-2107.67595367998</v>
      </c>
      <c r="J118" s="14">
        <f t="shared" si="118"/>
        <v>385928.09308996337</v>
      </c>
      <c r="K118" s="14">
        <f t="shared" ref="K118:L118" si="119">SUM(K112,K114:K117)</f>
        <v>59078.367013653216</v>
      </c>
      <c r="L118" s="14">
        <f t="shared" si="119"/>
        <v>575263.3737734342</v>
      </c>
      <c r="M118" s="14">
        <f t="shared" ref="M118" si="120">SUM(M112,M114:M117)</f>
        <v>172266.10531565937</v>
      </c>
      <c r="N118" s="20">
        <f>IFERROR(L118/M118-1,"n.a.")</f>
        <v>2.3393880515225272</v>
      </c>
    </row>
    <row r="120" spans="1:14" x14ac:dyDescent="0.25">
      <c r="C120" s="90"/>
      <c r="D120" s="90"/>
      <c r="E120" s="90"/>
      <c r="F120" s="90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I48:M48 I56:M5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22557-95EF-4D5F-B9E2-4D8410757922}">
  <dimension ref="A1:K214"/>
  <sheetViews>
    <sheetView showGridLines="0" zoomScaleNormal="100" workbookViewId="0">
      <pane xSplit="2" ySplit="5" topLeftCell="H6" activePane="bottomRight" state="frozen"/>
      <selection pane="topRight" activeCell="C1" sqref="C1"/>
      <selection pane="bottomLeft" activeCell="A6" sqref="A6"/>
      <selection pane="bottomRight" activeCell="J222" sqref="J222"/>
    </sheetView>
  </sheetViews>
  <sheetFormatPr defaultRowHeight="15" x14ac:dyDescent="0.25"/>
  <cols>
    <col min="1" max="1" width="47" bestFit="1" customWidth="1"/>
    <col min="2" max="2" width="10.28515625" style="2" customWidth="1"/>
    <col min="3" max="5" width="18.42578125" customWidth="1"/>
    <col min="6" max="6" width="19.5703125" customWidth="1"/>
    <col min="7" max="7" width="0.85546875" customWidth="1"/>
    <col min="8" max="10" width="19.5703125" customWidth="1"/>
    <col min="11" max="11" width="19.5703125" style="23" customWidth="1"/>
  </cols>
  <sheetData>
    <row r="1" spans="1:11" ht="64.150000000000006" customHeight="1" x14ac:dyDescent="0.25"/>
    <row r="5" spans="1:11" ht="16.5" x14ac:dyDescent="0.25">
      <c r="A5" s="27" t="s">
        <v>118</v>
      </c>
      <c r="B5" s="16" t="s">
        <v>227</v>
      </c>
      <c r="C5" s="118" t="s">
        <v>77</v>
      </c>
      <c r="D5" s="118" t="s">
        <v>78</v>
      </c>
      <c r="E5" s="118" t="s">
        <v>79</v>
      </c>
      <c r="F5" s="118" t="s">
        <v>80</v>
      </c>
      <c r="H5" s="118" t="s">
        <v>81</v>
      </c>
      <c r="I5" s="120">
        <v>44469</v>
      </c>
      <c r="J5" s="120">
        <v>44561</v>
      </c>
      <c r="K5" s="77" t="s">
        <v>3</v>
      </c>
    </row>
    <row r="6" spans="1:11" ht="16.5" x14ac:dyDescent="0.25">
      <c r="A6" s="27" t="s">
        <v>51</v>
      </c>
      <c r="B6" s="16"/>
      <c r="C6" s="16"/>
      <c r="D6" s="16"/>
      <c r="E6" s="16"/>
      <c r="F6" s="16"/>
      <c r="H6" s="16"/>
      <c r="I6" s="16"/>
      <c r="J6" s="16"/>
      <c r="K6" s="16"/>
    </row>
    <row r="7" spans="1:11" x14ac:dyDescent="0.25">
      <c r="A7" s="65" t="s">
        <v>119</v>
      </c>
      <c r="B7" s="55"/>
      <c r="C7" s="9"/>
      <c r="D7" s="9"/>
      <c r="E7" s="9"/>
      <c r="F7" s="9"/>
      <c r="H7" s="9"/>
      <c r="I7" s="9"/>
      <c r="J7" s="9"/>
      <c r="K7" s="19"/>
    </row>
    <row r="8" spans="1:11" x14ac:dyDescent="0.25">
      <c r="A8" s="42" t="s">
        <v>120</v>
      </c>
      <c r="B8" s="46"/>
      <c r="C8" s="9"/>
      <c r="D8" s="9"/>
      <c r="E8" s="9"/>
      <c r="F8" s="9"/>
      <c r="H8" s="9"/>
      <c r="I8" s="9"/>
      <c r="J8" s="9"/>
      <c r="K8" s="19"/>
    </row>
    <row r="9" spans="1:11" x14ac:dyDescent="0.25">
      <c r="A9" s="66" t="s">
        <v>121</v>
      </c>
      <c r="B9" s="46" t="s">
        <v>34</v>
      </c>
      <c r="C9" s="9">
        <v>10440</v>
      </c>
      <c r="D9" s="9">
        <v>34278</v>
      </c>
      <c r="E9" s="9">
        <v>314225</v>
      </c>
      <c r="F9" s="9">
        <v>400284</v>
      </c>
      <c r="H9" s="9">
        <v>343023</v>
      </c>
      <c r="I9" s="9">
        <v>316612</v>
      </c>
      <c r="J9" s="9">
        <v>400417</v>
      </c>
      <c r="K9" s="19">
        <f>IFERROR(J9/I9-1,"n.a.")</f>
        <v>0.26469306280242066</v>
      </c>
    </row>
    <row r="10" spans="1:11" x14ac:dyDescent="0.25">
      <c r="A10" s="66" t="s">
        <v>122</v>
      </c>
      <c r="B10" s="46" t="s">
        <v>34</v>
      </c>
      <c r="C10" s="9">
        <v>290443</v>
      </c>
      <c r="D10" s="9">
        <v>204222</v>
      </c>
      <c r="E10" s="9">
        <v>219706</v>
      </c>
      <c r="F10" s="9">
        <v>4558</v>
      </c>
      <c r="H10" s="9">
        <v>1471</v>
      </c>
      <c r="I10" s="9">
        <v>1608</v>
      </c>
      <c r="J10" s="9">
        <v>1792</v>
      </c>
      <c r="K10" s="19">
        <f t="shared" ref="K10:K19" si="0">IFERROR(J10/I10-1,"n.a.")</f>
        <v>0.11442786069651745</v>
      </c>
    </row>
    <row r="11" spans="1:11" x14ac:dyDescent="0.25">
      <c r="A11" s="66" t="s">
        <v>74</v>
      </c>
      <c r="B11" s="46" t="s">
        <v>34</v>
      </c>
      <c r="C11" s="9">
        <v>363</v>
      </c>
      <c r="D11" s="9">
        <v>231</v>
      </c>
      <c r="E11" s="9">
        <v>0</v>
      </c>
      <c r="F11" s="9">
        <v>0</v>
      </c>
      <c r="H11" s="9">
        <v>632</v>
      </c>
      <c r="I11" s="9">
        <v>0</v>
      </c>
      <c r="J11" s="9">
        <v>0</v>
      </c>
      <c r="K11" s="19" t="str">
        <f t="shared" si="0"/>
        <v>n.a.</v>
      </c>
    </row>
    <row r="12" spans="1:11" x14ac:dyDescent="0.25">
      <c r="A12" s="66" t="s">
        <v>123</v>
      </c>
      <c r="B12" s="46" t="s">
        <v>34</v>
      </c>
      <c r="C12" s="9">
        <v>16758</v>
      </c>
      <c r="D12" s="9">
        <v>37284</v>
      </c>
      <c r="E12" s="9">
        <v>12107</v>
      </c>
      <c r="F12" s="9">
        <v>20122</v>
      </c>
      <c r="H12" s="9">
        <v>41229</v>
      </c>
      <c r="I12" s="9">
        <v>48028</v>
      </c>
      <c r="J12" s="9">
        <v>64497</v>
      </c>
      <c r="K12" s="19">
        <f t="shared" si="0"/>
        <v>0.34290413925210284</v>
      </c>
    </row>
    <row r="13" spans="1:11" x14ac:dyDescent="0.25">
      <c r="A13" s="66" t="s">
        <v>124</v>
      </c>
      <c r="B13" s="46" t="s">
        <v>34</v>
      </c>
      <c r="C13" s="9">
        <v>22697</v>
      </c>
      <c r="D13" s="9">
        <v>29944</v>
      </c>
      <c r="E13" s="9">
        <v>53580</v>
      </c>
      <c r="F13" s="9">
        <v>62912</v>
      </c>
      <c r="H13" s="9">
        <v>146988</v>
      </c>
      <c r="I13" s="9">
        <v>325487</v>
      </c>
      <c r="J13" s="9">
        <v>296261</v>
      </c>
      <c r="K13" s="19">
        <f t="shared" si="0"/>
        <v>-8.9791604580213624E-2</v>
      </c>
    </row>
    <row r="14" spans="1:11" x14ac:dyDescent="0.25">
      <c r="A14" s="66" t="s">
        <v>125</v>
      </c>
      <c r="B14" s="46" t="s">
        <v>34</v>
      </c>
      <c r="C14" s="9">
        <v>0</v>
      </c>
      <c r="D14" s="9">
        <v>0</v>
      </c>
      <c r="E14" s="9">
        <v>6402</v>
      </c>
      <c r="F14" s="9">
        <v>8254</v>
      </c>
      <c r="H14" s="9">
        <v>9174</v>
      </c>
      <c r="I14" s="9">
        <v>9163</v>
      </c>
      <c r="J14" s="9">
        <v>9364</v>
      </c>
      <c r="K14" s="19">
        <f t="shared" si="0"/>
        <v>2.1936047146131177E-2</v>
      </c>
    </row>
    <row r="15" spans="1:11" x14ac:dyDescent="0.25">
      <c r="A15" s="66" t="s">
        <v>126</v>
      </c>
      <c r="B15" s="46" t="s">
        <v>34</v>
      </c>
      <c r="C15" s="9">
        <v>195352</v>
      </c>
      <c r="D15" s="9">
        <v>192720</v>
      </c>
      <c r="E15" s="9">
        <v>156122</v>
      </c>
      <c r="F15" s="9">
        <v>207365</v>
      </c>
      <c r="H15" s="9">
        <v>230644</v>
      </c>
      <c r="I15" s="9">
        <v>242445</v>
      </c>
      <c r="J15" s="9">
        <v>243591</v>
      </c>
      <c r="K15" s="19">
        <f t="shared" si="0"/>
        <v>4.7268452638742353E-3</v>
      </c>
    </row>
    <row r="16" spans="1:11" x14ac:dyDescent="0.25">
      <c r="A16" s="66" t="s">
        <v>233</v>
      </c>
      <c r="B16" s="46" t="s">
        <v>34</v>
      </c>
      <c r="C16" s="9">
        <v>0</v>
      </c>
      <c r="D16" s="9">
        <v>0</v>
      </c>
      <c r="E16" s="9">
        <v>0</v>
      </c>
      <c r="F16" s="9">
        <v>3675</v>
      </c>
      <c r="H16" s="9">
        <v>0</v>
      </c>
      <c r="I16" s="9">
        <v>3409</v>
      </c>
      <c r="J16" s="9">
        <v>1116</v>
      </c>
      <c r="K16" s="19">
        <f t="shared" si="0"/>
        <v>-0.67263127016720448</v>
      </c>
    </row>
    <row r="17" spans="1:11" x14ac:dyDescent="0.25">
      <c r="A17" s="66" t="s">
        <v>127</v>
      </c>
      <c r="B17" s="46" t="s">
        <v>34</v>
      </c>
      <c r="C17" s="9">
        <v>54574</v>
      </c>
      <c r="D17" s="9">
        <v>26073</v>
      </c>
      <c r="E17" s="9">
        <v>12856</v>
      </c>
      <c r="F17" s="9">
        <v>8803</v>
      </c>
      <c r="H17" s="9">
        <v>12319</v>
      </c>
      <c r="I17" s="9">
        <v>8282</v>
      </c>
      <c r="J17" s="9">
        <v>6980</v>
      </c>
      <c r="K17" s="19">
        <f t="shared" si="0"/>
        <v>-0.15720840376720602</v>
      </c>
    </row>
    <row r="18" spans="1:11" x14ac:dyDescent="0.25">
      <c r="A18" s="66" t="s">
        <v>128</v>
      </c>
      <c r="B18" s="46" t="s">
        <v>34</v>
      </c>
      <c r="C18" s="9">
        <v>35741</v>
      </c>
      <c r="D18" s="9">
        <v>46537</v>
      </c>
      <c r="E18" s="9">
        <v>9238</v>
      </c>
      <c r="F18" s="9">
        <v>8025</v>
      </c>
      <c r="H18" s="9">
        <v>14854</v>
      </c>
      <c r="I18" s="9">
        <v>14578</v>
      </c>
      <c r="J18" s="9">
        <v>17718</v>
      </c>
      <c r="K18" s="19">
        <f t="shared" si="0"/>
        <v>0.21539305803265196</v>
      </c>
    </row>
    <row r="19" spans="1:11" x14ac:dyDescent="0.25">
      <c r="A19" s="66" t="s">
        <v>129</v>
      </c>
      <c r="B19" s="46" t="s">
        <v>34</v>
      </c>
      <c r="C19" s="9"/>
      <c r="D19" s="9"/>
      <c r="E19" s="9">
        <v>727</v>
      </c>
      <c r="F19" s="9">
        <v>272</v>
      </c>
      <c r="H19" s="9">
        <v>300</v>
      </c>
      <c r="I19" s="9">
        <v>130</v>
      </c>
      <c r="J19" s="9">
        <v>171</v>
      </c>
      <c r="K19" s="19">
        <f t="shared" si="0"/>
        <v>0.31538461538461537</v>
      </c>
    </row>
    <row r="20" spans="1:11" s="29" customFormat="1" x14ac:dyDescent="0.25">
      <c r="A20" s="42" t="s">
        <v>130</v>
      </c>
      <c r="B20" s="51" t="s">
        <v>34</v>
      </c>
      <c r="C20" s="14">
        <f t="shared" ref="C20:E20" si="1">SUM(C9:C19)</f>
        <v>626368</v>
      </c>
      <c r="D20" s="14">
        <f t="shared" si="1"/>
        <v>571289</v>
      </c>
      <c r="E20" s="14">
        <f t="shared" si="1"/>
        <v>784963</v>
      </c>
      <c r="F20" s="14">
        <f>SUM(F9:F19)</f>
        <v>724270</v>
      </c>
      <c r="H20" s="14">
        <f>SUM(H9:H19)</f>
        <v>800634</v>
      </c>
      <c r="I20" s="14">
        <f>SUM(I9:I19)</f>
        <v>969742</v>
      </c>
      <c r="J20" s="14">
        <f>SUM(J9:J19)</f>
        <v>1041907</v>
      </c>
      <c r="K20" s="20">
        <f>IFERROR(J20/I20-1,"n.a.")</f>
        <v>7.4416700524469359E-2</v>
      </c>
    </row>
    <row r="21" spans="1:11" x14ac:dyDescent="0.25">
      <c r="A21" s="52"/>
      <c r="B21" s="46"/>
      <c r="C21" s="9"/>
      <c r="D21" s="9"/>
      <c r="E21" s="9"/>
      <c r="F21" s="9"/>
      <c r="H21" s="9"/>
      <c r="I21" s="9"/>
      <c r="J21" s="9"/>
      <c r="K21" s="19"/>
    </row>
    <row r="22" spans="1:11" x14ac:dyDescent="0.25">
      <c r="A22" s="42" t="s">
        <v>131</v>
      </c>
      <c r="B22" s="46"/>
      <c r="C22" s="9"/>
      <c r="D22" s="9"/>
      <c r="E22" s="9"/>
      <c r="F22" s="9"/>
      <c r="H22" s="9"/>
      <c r="I22" s="9"/>
      <c r="J22" s="9"/>
      <c r="K22" s="19"/>
    </row>
    <row r="23" spans="1:11" x14ac:dyDescent="0.25">
      <c r="A23" s="66" t="s">
        <v>122</v>
      </c>
      <c r="B23" s="46" t="s">
        <v>34</v>
      </c>
      <c r="C23" s="9">
        <v>5146</v>
      </c>
      <c r="D23" s="9">
        <v>4815</v>
      </c>
      <c r="E23" s="9">
        <v>4365</v>
      </c>
      <c r="F23" s="9">
        <v>6034</v>
      </c>
      <c r="H23" s="9">
        <v>5907</v>
      </c>
      <c r="I23" s="9">
        <v>5962</v>
      </c>
      <c r="J23" s="9">
        <v>6716</v>
      </c>
      <c r="K23" s="19">
        <f t="shared" ref="K23:K33" si="2">IFERROR(J23/I23-1,"n.a.")</f>
        <v>0.12646762831264668</v>
      </c>
    </row>
    <row r="24" spans="1:11" x14ac:dyDescent="0.25">
      <c r="A24" s="66" t="s">
        <v>74</v>
      </c>
      <c r="B24" s="46" t="s">
        <v>34</v>
      </c>
      <c r="C24" s="9">
        <v>0</v>
      </c>
      <c r="D24" s="9">
        <v>0</v>
      </c>
      <c r="E24" s="9">
        <v>0</v>
      </c>
      <c r="F24" s="9">
        <v>11046</v>
      </c>
      <c r="H24" s="9">
        <v>15381</v>
      </c>
      <c r="I24" s="9">
        <v>20547</v>
      </c>
      <c r="J24" s="9">
        <v>28165</v>
      </c>
      <c r="K24" s="19">
        <f t="shared" si="2"/>
        <v>0.37075972161386095</v>
      </c>
    </row>
    <row r="25" spans="1:11" x14ac:dyDescent="0.25">
      <c r="A25" s="66" t="s">
        <v>125</v>
      </c>
      <c r="B25" s="46" t="s">
        <v>34</v>
      </c>
      <c r="C25" s="9">
        <v>0</v>
      </c>
      <c r="D25" s="9">
        <v>0</v>
      </c>
      <c r="E25" s="9">
        <v>23158</v>
      </c>
      <c r="F25" s="9">
        <v>25075</v>
      </c>
      <c r="H25" s="9">
        <v>28060</v>
      </c>
      <c r="I25" s="9">
        <v>24959</v>
      </c>
      <c r="J25" s="9">
        <v>25686</v>
      </c>
      <c r="K25" s="19">
        <f t="shared" si="2"/>
        <v>2.9127769542048876E-2</v>
      </c>
    </row>
    <row r="26" spans="1:11" x14ac:dyDescent="0.25">
      <c r="A26" s="66" t="s">
        <v>127</v>
      </c>
      <c r="B26" s="46" t="s">
        <v>34</v>
      </c>
      <c r="C26" s="9">
        <v>10250</v>
      </c>
      <c r="D26" s="9">
        <v>11947</v>
      </c>
      <c r="E26" s="9">
        <v>9066</v>
      </c>
      <c r="F26" s="9">
        <v>6629</v>
      </c>
      <c r="H26" s="9">
        <v>5530</v>
      </c>
      <c r="I26" s="9">
        <v>4675</v>
      </c>
      <c r="J26" s="9">
        <v>4225</v>
      </c>
      <c r="K26" s="19">
        <f t="shared" si="2"/>
        <v>-9.6256684491978661E-2</v>
      </c>
    </row>
    <row r="27" spans="1:11" x14ac:dyDescent="0.25">
      <c r="A27" s="66" t="s">
        <v>132</v>
      </c>
      <c r="B27" s="46" t="s">
        <v>34</v>
      </c>
      <c r="C27" s="9">
        <v>14014</v>
      </c>
      <c r="D27" s="9">
        <v>18368</v>
      </c>
      <c r="E27" s="9">
        <v>17599</v>
      </c>
      <c r="F27" s="9">
        <v>8888</v>
      </c>
      <c r="H27" s="9">
        <v>8243</v>
      </c>
      <c r="I27" s="9">
        <v>7967</v>
      </c>
      <c r="J27" s="9">
        <v>7696</v>
      </c>
      <c r="K27" s="19">
        <f t="shared" si="2"/>
        <v>-3.4015313166813055E-2</v>
      </c>
    </row>
    <row r="28" spans="1:11" x14ac:dyDescent="0.25">
      <c r="A28" s="66" t="s">
        <v>133</v>
      </c>
      <c r="B28" s="46" t="s">
        <v>34</v>
      </c>
      <c r="C28" s="9">
        <v>12279</v>
      </c>
      <c r="D28" s="9">
        <v>15726</v>
      </c>
      <c r="E28" s="9">
        <v>34146</v>
      </c>
      <c r="F28" s="9">
        <v>47025</v>
      </c>
      <c r="H28" s="9">
        <v>23589</v>
      </c>
      <c r="I28" s="9">
        <v>23400</v>
      </c>
      <c r="J28" s="9">
        <v>5173</v>
      </c>
      <c r="K28" s="19">
        <f t="shared" si="2"/>
        <v>-0.77893162393162396</v>
      </c>
    </row>
    <row r="29" spans="1:11" x14ac:dyDescent="0.25">
      <c r="A29" s="66" t="s">
        <v>128</v>
      </c>
      <c r="B29" s="46" t="s">
        <v>34</v>
      </c>
      <c r="C29" s="9">
        <v>7905</v>
      </c>
      <c r="D29" s="9">
        <v>10058</v>
      </c>
      <c r="E29" s="9">
        <v>35</v>
      </c>
      <c r="F29" s="9">
        <v>56</v>
      </c>
      <c r="H29" s="9">
        <v>53</v>
      </c>
      <c r="I29" s="9">
        <v>50</v>
      </c>
      <c r="J29" s="9">
        <v>47</v>
      </c>
      <c r="K29" s="19">
        <f t="shared" si="2"/>
        <v>-6.0000000000000053E-2</v>
      </c>
    </row>
    <row r="30" spans="1:11" x14ac:dyDescent="0.25">
      <c r="A30" s="66" t="s">
        <v>134</v>
      </c>
      <c r="B30" s="46" t="s">
        <v>34</v>
      </c>
      <c r="C30" s="9">
        <v>0</v>
      </c>
      <c r="D30" s="9">
        <v>4552</v>
      </c>
      <c r="E30" s="9">
        <v>104427</v>
      </c>
      <c r="F30" s="9">
        <v>280508</v>
      </c>
      <c r="H30" s="9">
        <v>347390</v>
      </c>
      <c r="I30" s="9">
        <v>394164</v>
      </c>
      <c r="J30" s="9">
        <v>460451</v>
      </c>
      <c r="K30" s="19">
        <f t="shared" si="2"/>
        <v>0.16817111659106354</v>
      </c>
    </row>
    <row r="31" spans="1:11" x14ac:dyDescent="0.25">
      <c r="A31" s="66" t="s">
        <v>135</v>
      </c>
      <c r="B31" s="46" t="s">
        <v>34</v>
      </c>
      <c r="C31" s="9">
        <v>890862</v>
      </c>
      <c r="D31" s="9">
        <v>908746</v>
      </c>
      <c r="E31" s="9">
        <v>887430</v>
      </c>
      <c r="F31" s="9">
        <v>855771</v>
      </c>
      <c r="H31" s="9">
        <v>821288</v>
      </c>
      <c r="I31" s="9">
        <v>785845</v>
      </c>
      <c r="J31" s="9">
        <v>791929</v>
      </c>
      <c r="K31" s="19">
        <f t="shared" si="2"/>
        <v>7.7419847425381771E-3</v>
      </c>
    </row>
    <row r="32" spans="1:11" x14ac:dyDescent="0.25">
      <c r="A32" s="66" t="s">
        <v>136</v>
      </c>
      <c r="B32" s="46" t="s">
        <v>34</v>
      </c>
      <c r="C32" s="9">
        <v>0</v>
      </c>
      <c r="D32" s="9">
        <v>0</v>
      </c>
      <c r="E32" s="9">
        <v>394787</v>
      </c>
      <c r="F32" s="9">
        <v>377753</v>
      </c>
      <c r="H32" s="9">
        <v>396893</v>
      </c>
      <c r="I32" s="9">
        <v>397035</v>
      </c>
      <c r="J32" s="9">
        <v>378138</v>
      </c>
      <c r="K32" s="19">
        <f t="shared" si="2"/>
        <v>-4.7595300162454168E-2</v>
      </c>
    </row>
    <row r="33" spans="1:11" x14ac:dyDescent="0.25">
      <c r="A33" s="66" t="s">
        <v>137</v>
      </c>
      <c r="B33" s="46" t="s">
        <v>34</v>
      </c>
      <c r="C33" s="9">
        <v>2721</v>
      </c>
      <c r="D33" s="9">
        <v>3298</v>
      </c>
      <c r="E33" s="9">
        <v>2622</v>
      </c>
      <c r="F33" s="9">
        <v>2058</v>
      </c>
      <c r="H33" s="9">
        <v>1835</v>
      </c>
      <c r="I33" s="9">
        <v>1990</v>
      </c>
      <c r="J33" s="9">
        <v>1778</v>
      </c>
      <c r="K33" s="19">
        <f t="shared" si="2"/>
        <v>-0.10653266331658295</v>
      </c>
    </row>
    <row r="34" spans="1:11" s="29" customFormat="1" x14ac:dyDescent="0.25">
      <c r="A34" s="42" t="s">
        <v>138</v>
      </c>
      <c r="B34" s="51" t="s">
        <v>34</v>
      </c>
      <c r="C34" s="14">
        <f t="shared" ref="C34:E34" si="3">SUM(C23:C33)</f>
        <v>943177</v>
      </c>
      <c r="D34" s="14">
        <f t="shared" si="3"/>
        <v>977510</v>
      </c>
      <c r="E34" s="14">
        <f t="shared" si="3"/>
        <v>1477635</v>
      </c>
      <c r="F34" s="14">
        <f>SUM(F23:F33)</f>
        <v>1620843</v>
      </c>
      <c r="H34" s="14">
        <f>SUM(H23:H33)</f>
        <v>1654169</v>
      </c>
      <c r="I34" s="14">
        <f>SUM(I23:I33)</f>
        <v>1666594</v>
      </c>
      <c r="J34" s="14">
        <f>SUM(J23:J33)</f>
        <v>1710004</v>
      </c>
      <c r="K34" s="20">
        <f>IFERROR(J34/I34-1,"n.a.")</f>
        <v>2.6047135655114628E-2</v>
      </c>
    </row>
    <row r="35" spans="1:11" x14ac:dyDescent="0.25">
      <c r="A35" s="52"/>
      <c r="B35" s="46"/>
      <c r="C35" s="9"/>
      <c r="D35" s="9"/>
      <c r="E35" s="9"/>
      <c r="F35" s="9"/>
      <c r="H35" s="9"/>
      <c r="I35" s="9"/>
      <c r="J35" s="9"/>
      <c r="K35" s="19"/>
    </row>
    <row r="36" spans="1:11" s="29" customFormat="1" x14ac:dyDescent="0.25">
      <c r="A36" s="40" t="s">
        <v>139</v>
      </c>
      <c r="B36" s="51" t="s">
        <v>34</v>
      </c>
      <c r="C36" s="14">
        <f t="shared" ref="C36:E36" si="4">C20+C34</f>
        <v>1569545</v>
      </c>
      <c r="D36" s="14">
        <f t="shared" ref="D36" si="5">D20+D34</f>
        <v>1548799</v>
      </c>
      <c r="E36" s="14">
        <f t="shared" si="4"/>
        <v>2262598</v>
      </c>
      <c r="F36" s="14">
        <f>F20+F34</f>
        <v>2345113</v>
      </c>
      <c r="H36" s="14">
        <f>H20+H34</f>
        <v>2454803</v>
      </c>
      <c r="I36" s="14">
        <f>I20+I34</f>
        <v>2636336</v>
      </c>
      <c r="J36" s="14">
        <f>J20+J34</f>
        <v>2751911</v>
      </c>
      <c r="K36" s="20">
        <f>IFERROR(J36/I36-1,"n.a.")</f>
        <v>4.383925265975197E-2</v>
      </c>
    </row>
    <row r="37" spans="1:11" x14ac:dyDescent="0.25">
      <c r="A37" s="52"/>
      <c r="B37" s="46"/>
      <c r="C37" s="9"/>
      <c r="D37" s="9"/>
      <c r="E37" s="9"/>
      <c r="F37" s="9"/>
      <c r="H37" s="9"/>
      <c r="I37" s="9"/>
      <c r="J37" s="9"/>
      <c r="K37" s="19"/>
    </row>
    <row r="38" spans="1:11" x14ac:dyDescent="0.25">
      <c r="A38" s="40" t="s">
        <v>140</v>
      </c>
      <c r="B38" s="46"/>
      <c r="C38" s="9"/>
      <c r="D38" s="9"/>
      <c r="E38" s="9"/>
      <c r="F38" s="9"/>
      <c r="H38" s="9"/>
      <c r="I38" s="9"/>
      <c r="J38" s="9"/>
      <c r="K38" s="19"/>
    </row>
    <row r="39" spans="1:11" x14ac:dyDescent="0.25">
      <c r="A39" s="42" t="s">
        <v>120</v>
      </c>
      <c r="B39" s="46"/>
      <c r="C39" s="9"/>
      <c r="D39" s="9"/>
      <c r="E39" s="9"/>
      <c r="F39" s="9"/>
      <c r="H39" s="9"/>
      <c r="I39" s="9"/>
      <c r="J39" s="9"/>
      <c r="K39" s="19"/>
    </row>
    <row r="40" spans="1:11" x14ac:dyDescent="0.25">
      <c r="A40" s="66" t="s">
        <v>142</v>
      </c>
      <c r="B40" s="46" t="s">
        <v>34</v>
      </c>
      <c r="C40" s="9">
        <v>45144</v>
      </c>
      <c r="D40" s="9">
        <v>63825</v>
      </c>
      <c r="E40" s="9">
        <v>70010</v>
      </c>
      <c r="F40" s="9">
        <v>91147</v>
      </c>
      <c r="H40" s="9">
        <v>130088</v>
      </c>
      <c r="I40" s="9">
        <v>175355</v>
      </c>
      <c r="J40" s="9">
        <v>133017</v>
      </c>
      <c r="K40" s="19">
        <f t="shared" ref="K40:K51" si="6">IFERROR(J40/I40-1,"n.a.")</f>
        <v>-0.24144164694476922</v>
      </c>
    </row>
    <row r="41" spans="1:11" x14ac:dyDescent="0.25">
      <c r="A41" s="66" t="s">
        <v>143</v>
      </c>
      <c r="B41" s="46" t="s">
        <v>34</v>
      </c>
      <c r="C41" s="9">
        <v>0</v>
      </c>
      <c r="D41" s="9">
        <v>0</v>
      </c>
      <c r="E41" s="9">
        <v>16016</v>
      </c>
      <c r="F41" s="9">
        <v>23415</v>
      </c>
      <c r="H41" s="9">
        <v>25726</v>
      </c>
      <c r="I41" s="9">
        <v>31911</v>
      </c>
      <c r="J41" s="9">
        <v>32214</v>
      </c>
      <c r="K41" s="19">
        <f t="shared" si="6"/>
        <v>9.49515840932591E-3</v>
      </c>
    </row>
    <row r="42" spans="1:11" x14ac:dyDescent="0.25">
      <c r="A42" s="66" t="s">
        <v>144</v>
      </c>
      <c r="B42" s="46" t="s">
        <v>34</v>
      </c>
      <c r="C42" s="9">
        <v>0</v>
      </c>
      <c r="D42" s="9">
        <v>0</v>
      </c>
      <c r="E42" s="9">
        <v>67571</v>
      </c>
      <c r="F42" s="9">
        <v>76105</v>
      </c>
      <c r="H42" s="9">
        <v>75081</v>
      </c>
      <c r="I42" s="9">
        <v>71995</v>
      </c>
      <c r="J42" s="9">
        <v>71474</v>
      </c>
      <c r="K42" s="19">
        <f t="shared" si="6"/>
        <v>-7.2366136537259651E-3</v>
      </c>
    </row>
    <row r="43" spans="1:11" x14ac:dyDescent="0.25">
      <c r="A43" s="66" t="s">
        <v>145</v>
      </c>
      <c r="B43" s="46" t="s">
        <v>34</v>
      </c>
      <c r="C43" s="9">
        <v>104080</v>
      </c>
      <c r="D43" s="9">
        <v>197212</v>
      </c>
      <c r="E43" s="9">
        <v>119326</v>
      </c>
      <c r="F43" s="9">
        <v>62816</v>
      </c>
      <c r="H43" s="9">
        <v>55844</v>
      </c>
      <c r="I43" s="9">
        <v>54913</v>
      </c>
      <c r="J43" s="9">
        <v>58068</v>
      </c>
      <c r="K43" s="19">
        <f t="shared" si="6"/>
        <v>5.7454518966364887E-2</v>
      </c>
    </row>
    <row r="44" spans="1:11" x14ac:dyDescent="0.25">
      <c r="A44" s="66" t="s">
        <v>66</v>
      </c>
      <c r="B44" s="46" t="s">
        <v>34</v>
      </c>
      <c r="C44" s="9">
        <v>67684</v>
      </c>
      <c r="D44" s="9">
        <v>20319</v>
      </c>
      <c r="E44" s="9">
        <v>24279</v>
      </c>
      <c r="F44" s="9">
        <v>22679</v>
      </c>
      <c r="H44" s="9">
        <v>65448</v>
      </c>
      <c r="I44" s="9">
        <v>65697</v>
      </c>
      <c r="J44" s="9">
        <v>108087</v>
      </c>
      <c r="K44" s="19">
        <f t="shared" si="6"/>
        <v>0.64523494223480515</v>
      </c>
    </row>
    <row r="45" spans="1:11" x14ac:dyDescent="0.25">
      <c r="A45" s="66" t="s">
        <v>74</v>
      </c>
      <c r="B45" s="46" t="s">
        <v>34</v>
      </c>
      <c r="C45" s="9">
        <v>0</v>
      </c>
      <c r="D45" s="9">
        <v>0</v>
      </c>
      <c r="E45" s="9">
        <v>878</v>
      </c>
      <c r="F45" s="9">
        <v>4429</v>
      </c>
      <c r="H45" s="9">
        <v>0</v>
      </c>
      <c r="I45" s="9">
        <v>2313</v>
      </c>
      <c r="J45" s="9">
        <v>318</v>
      </c>
      <c r="K45" s="19">
        <f t="shared" si="6"/>
        <v>-0.86251621271076528</v>
      </c>
    </row>
    <row r="46" spans="1:11" x14ac:dyDescent="0.25">
      <c r="A46" s="66" t="s">
        <v>146</v>
      </c>
      <c r="B46" s="46" t="s">
        <v>34</v>
      </c>
      <c r="C46" s="9">
        <v>21742</v>
      </c>
      <c r="D46" s="9">
        <v>20893</v>
      </c>
      <c r="E46" s="9">
        <v>29501</v>
      </c>
      <c r="F46" s="9">
        <v>38033</v>
      </c>
      <c r="H46" s="9">
        <v>30023</v>
      </c>
      <c r="I46" s="9">
        <v>31874</v>
      </c>
      <c r="J46" s="9">
        <v>30138</v>
      </c>
      <c r="K46" s="19">
        <f t="shared" si="6"/>
        <v>-5.4464453786785438E-2</v>
      </c>
    </row>
    <row r="47" spans="1:11" x14ac:dyDescent="0.25">
      <c r="A47" s="66" t="s">
        <v>234</v>
      </c>
      <c r="B47" s="46" t="s">
        <v>34</v>
      </c>
      <c r="C47" s="9">
        <v>0</v>
      </c>
      <c r="D47" s="9">
        <v>0</v>
      </c>
      <c r="E47" s="9">
        <v>0</v>
      </c>
      <c r="F47" s="9">
        <v>25</v>
      </c>
      <c r="H47" s="9">
        <v>0</v>
      </c>
      <c r="I47" s="9">
        <v>15662</v>
      </c>
      <c r="J47" s="9">
        <v>1652</v>
      </c>
      <c r="K47" s="19">
        <f t="shared" si="6"/>
        <v>-0.89452177244285536</v>
      </c>
    </row>
    <row r="48" spans="1:11" x14ac:dyDescent="0.25">
      <c r="A48" s="66" t="s">
        <v>147</v>
      </c>
      <c r="B48" s="46" t="s">
        <v>34</v>
      </c>
      <c r="C48" s="9">
        <v>9301</v>
      </c>
      <c r="D48" s="9">
        <v>19387</v>
      </c>
      <c r="E48" s="9">
        <v>8721</v>
      </c>
      <c r="F48" s="9">
        <v>11064</v>
      </c>
      <c r="H48" s="9">
        <v>14308</v>
      </c>
      <c r="I48" s="9">
        <v>12977</v>
      </c>
      <c r="J48" s="9">
        <v>16764</v>
      </c>
      <c r="K48" s="19">
        <f t="shared" si="6"/>
        <v>0.29182399630114819</v>
      </c>
    </row>
    <row r="49" spans="1:11" x14ac:dyDescent="0.25">
      <c r="A49" s="66" t="s">
        <v>148</v>
      </c>
      <c r="B49" s="46" t="s">
        <v>34</v>
      </c>
      <c r="C49" s="9">
        <v>27797</v>
      </c>
      <c r="D49" s="9">
        <v>0</v>
      </c>
      <c r="E49" s="9">
        <v>8097</v>
      </c>
      <c r="F49" s="9">
        <v>17462</v>
      </c>
      <c r="H49" s="9">
        <v>0</v>
      </c>
      <c r="I49" s="9">
        <v>16870</v>
      </c>
      <c r="J49" s="9">
        <v>23335</v>
      </c>
      <c r="K49" s="19">
        <f t="shared" si="6"/>
        <v>0.38322465915826909</v>
      </c>
    </row>
    <row r="50" spans="1:11" x14ac:dyDescent="0.25">
      <c r="A50" s="66" t="s">
        <v>141</v>
      </c>
      <c r="B50" s="46" t="s">
        <v>34</v>
      </c>
      <c r="C50" s="9">
        <v>0</v>
      </c>
      <c r="D50" s="9">
        <v>0</v>
      </c>
      <c r="E50" s="9">
        <v>0</v>
      </c>
      <c r="F50" s="9">
        <v>26819</v>
      </c>
      <c r="G50" s="90">
        <f>+F45-F11-F24</f>
        <v>-6617</v>
      </c>
      <c r="H50" s="9">
        <v>0</v>
      </c>
      <c r="I50" s="9">
        <v>214138</v>
      </c>
      <c r="J50" s="9">
        <v>214138</v>
      </c>
      <c r="K50" s="19">
        <f t="shared" si="6"/>
        <v>0</v>
      </c>
    </row>
    <row r="51" spans="1:11" x14ac:dyDescent="0.25">
      <c r="A51" s="66" t="s">
        <v>149</v>
      </c>
      <c r="B51" s="46" t="s">
        <v>34</v>
      </c>
      <c r="C51" s="9">
        <v>14840</v>
      </c>
      <c r="D51" s="9">
        <v>16415</v>
      </c>
      <c r="E51" s="9">
        <v>19692</v>
      </c>
      <c r="F51" s="9">
        <v>9221</v>
      </c>
      <c r="G51" s="90">
        <f>+E45-E24-E12</f>
        <v>-11229</v>
      </c>
      <c r="H51" s="9">
        <v>5000</v>
      </c>
      <c r="I51" s="9">
        <v>4401</v>
      </c>
      <c r="J51" s="9">
        <v>13744</v>
      </c>
      <c r="K51" s="19">
        <f t="shared" si="6"/>
        <v>2.1229266075891844</v>
      </c>
    </row>
    <row r="52" spans="1:11" s="29" customFormat="1" x14ac:dyDescent="0.25">
      <c r="A52" s="42" t="s">
        <v>150</v>
      </c>
      <c r="B52" s="51" t="s">
        <v>34</v>
      </c>
      <c r="C52" s="14">
        <f t="shared" ref="C52:E52" si="7">SUM(C40:C51)</f>
        <v>290588</v>
      </c>
      <c r="D52" s="14">
        <f t="shared" si="7"/>
        <v>338051</v>
      </c>
      <c r="E52" s="14">
        <f t="shared" si="7"/>
        <v>364091</v>
      </c>
      <c r="F52" s="14">
        <f>SUM(F40:F51)</f>
        <v>383215</v>
      </c>
      <c r="H52" s="14">
        <f>SUM(H40:H51)</f>
        <v>401518</v>
      </c>
      <c r="I52" s="14">
        <f>SUM(I40:I51)</f>
        <v>698106</v>
      </c>
      <c r="J52" s="14">
        <f>SUM(J40:J51)</f>
        <v>702949</v>
      </c>
      <c r="K52" s="20">
        <f>IFERROR(J52/I52-1,"n.a.")</f>
        <v>6.9373418936380382E-3</v>
      </c>
    </row>
    <row r="53" spans="1:11" x14ac:dyDescent="0.25">
      <c r="A53" s="52"/>
      <c r="B53" s="46"/>
      <c r="C53" s="9"/>
      <c r="D53" s="9"/>
      <c r="E53" s="9"/>
      <c r="F53" s="9"/>
      <c r="H53" s="9"/>
      <c r="I53" s="9"/>
      <c r="J53" s="9"/>
      <c r="K53" s="19"/>
    </row>
    <row r="54" spans="1:11" x14ac:dyDescent="0.25">
      <c r="A54" s="42" t="s">
        <v>131</v>
      </c>
      <c r="B54" s="46"/>
      <c r="C54" s="9"/>
      <c r="D54" s="9"/>
      <c r="E54" s="9"/>
      <c r="F54" s="9"/>
      <c r="H54" s="9"/>
      <c r="I54" s="9"/>
      <c r="J54" s="9"/>
      <c r="K54" s="19"/>
    </row>
    <row r="55" spans="1:11" x14ac:dyDescent="0.25">
      <c r="A55" s="66" t="s">
        <v>143</v>
      </c>
      <c r="B55" s="46" t="s">
        <v>34</v>
      </c>
      <c r="C55" s="9">
        <v>0</v>
      </c>
      <c r="D55" s="9">
        <v>0</v>
      </c>
      <c r="E55" s="9">
        <v>54081</v>
      </c>
      <c r="F55" s="9">
        <v>63483</v>
      </c>
      <c r="H55" s="9">
        <v>91255</v>
      </c>
      <c r="I55" s="9">
        <v>102501</v>
      </c>
      <c r="J55" s="9">
        <v>104225</v>
      </c>
      <c r="K55" s="19">
        <f t="shared" ref="K55:K62" si="8">IFERROR(J55/I55-1,"n.a.")</f>
        <v>1.6819348103920939E-2</v>
      </c>
    </row>
    <row r="56" spans="1:11" x14ac:dyDescent="0.25">
      <c r="A56" s="66" t="s">
        <v>144</v>
      </c>
      <c r="B56" s="46" t="s">
        <v>34</v>
      </c>
      <c r="C56" s="9">
        <v>0</v>
      </c>
      <c r="D56" s="9">
        <v>0</v>
      </c>
      <c r="E56" s="9">
        <v>268966</v>
      </c>
      <c r="F56" s="9">
        <v>262343</v>
      </c>
      <c r="H56" s="9">
        <v>260821</v>
      </c>
      <c r="I56" s="9">
        <v>249187</v>
      </c>
      <c r="J56" s="9">
        <v>237243</v>
      </c>
      <c r="K56" s="19">
        <f t="shared" si="8"/>
        <v>-4.7931874455729995E-2</v>
      </c>
    </row>
    <row r="57" spans="1:11" x14ac:dyDescent="0.25">
      <c r="A57" s="66" t="s">
        <v>145</v>
      </c>
      <c r="B57" s="46" t="s">
        <v>34</v>
      </c>
      <c r="C57" s="9">
        <v>572001</v>
      </c>
      <c r="D57" s="9">
        <v>460923</v>
      </c>
      <c r="E57" s="9">
        <v>342904</v>
      </c>
      <c r="F57" s="9">
        <v>214661</v>
      </c>
      <c r="H57" s="9">
        <v>220201</v>
      </c>
      <c r="I57" s="9">
        <v>209803</v>
      </c>
      <c r="J57" s="9">
        <v>209113</v>
      </c>
      <c r="K57" s="19">
        <f t="shared" si="8"/>
        <v>-3.2887994928575415E-3</v>
      </c>
    </row>
    <row r="58" spans="1:11" x14ac:dyDescent="0.25">
      <c r="A58" s="66" t="s">
        <v>66</v>
      </c>
      <c r="B58" s="46" t="s">
        <v>34</v>
      </c>
      <c r="C58" s="9">
        <v>63174</v>
      </c>
      <c r="D58" s="9">
        <v>79115</v>
      </c>
      <c r="E58" s="9">
        <v>459818</v>
      </c>
      <c r="F58" s="9">
        <v>450836</v>
      </c>
      <c r="H58" s="9">
        <v>414080</v>
      </c>
      <c r="I58" s="9">
        <v>399444</v>
      </c>
      <c r="J58" s="9">
        <v>366047</v>
      </c>
      <c r="K58" s="19">
        <f t="shared" si="8"/>
        <v>-8.3608716115400439E-2</v>
      </c>
    </row>
    <row r="59" spans="1:11" x14ac:dyDescent="0.25">
      <c r="A59" s="66" t="s">
        <v>74</v>
      </c>
      <c r="B59" s="46" t="s">
        <v>34</v>
      </c>
      <c r="C59" s="9">
        <v>0</v>
      </c>
      <c r="D59" s="9">
        <v>0</v>
      </c>
      <c r="E59" s="9">
        <v>0</v>
      </c>
      <c r="F59" s="9">
        <v>0</v>
      </c>
      <c r="H59" s="9">
        <v>0</v>
      </c>
      <c r="I59" s="9">
        <v>0</v>
      </c>
      <c r="J59" s="9">
        <v>0</v>
      </c>
      <c r="K59" s="19" t="str">
        <f t="shared" si="8"/>
        <v>n.a.</v>
      </c>
    </row>
    <row r="60" spans="1:11" x14ac:dyDescent="0.25">
      <c r="A60" s="66" t="s">
        <v>146</v>
      </c>
      <c r="B60" s="46" t="s">
        <v>34</v>
      </c>
      <c r="C60" s="9">
        <v>6352</v>
      </c>
      <c r="D60" s="9">
        <v>4285</v>
      </c>
      <c r="E60" s="9">
        <v>7792</v>
      </c>
      <c r="F60" s="9">
        <v>7006</v>
      </c>
      <c r="H60" s="9">
        <v>10143</v>
      </c>
      <c r="I60" s="9">
        <v>7309</v>
      </c>
      <c r="J60" s="9">
        <v>11048</v>
      </c>
      <c r="K60" s="19">
        <f t="shared" si="8"/>
        <v>0.51156108906827202</v>
      </c>
    </row>
    <row r="61" spans="1:11" x14ac:dyDescent="0.25">
      <c r="A61" s="66" t="s">
        <v>147</v>
      </c>
      <c r="B61" s="46" t="s">
        <v>34</v>
      </c>
      <c r="C61" s="9">
        <v>0</v>
      </c>
      <c r="D61" s="9">
        <v>0</v>
      </c>
      <c r="E61" s="9">
        <v>0</v>
      </c>
      <c r="F61" s="9">
        <v>0</v>
      </c>
      <c r="H61" s="9">
        <v>0</v>
      </c>
      <c r="I61" s="9">
        <v>0</v>
      </c>
      <c r="J61" s="9">
        <v>40137</v>
      </c>
      <c r="K61" s="19" t="str">
        <f t="shared" si="8"/>
        <v>n.a.</v>
      </c>
    </row>
    <row r="62" spans="1:11" x14ac:dyDescent="0.25">
      <c r="A62" s="66" t="s">
        <v>151</v>
      </c>
      <c r="B62" s="46" t="s">
        <v>34</v>
      </c>
      <c r="C62" s="9">
        <v>44766</v>
      </c>
      <c r="D62" s="9">
        <v>39739</v>
      </c>
      <c r="E62" s="9">
        <v>58512</v>
      </c>
      <c r="F62" s="9">
        <v>57968</v>
      </c>
      <c r="H62" s="9">
        <v>58697</v>
      </c>
      <c r="I62" s="9">
        <v>60883</v>
      </c>
      <c r="J62" s="9">
        <v>26769</v>
      </c>
      <c r="K62" s="19">
        <f t="shared" si="8"/>
        <v>-0.56032061494998597</v>
      </c>
    </row>
    <row r="63" spans="1:11" s="29" customFormat="1" x14ac:dyDescent="0.25">
      <c r="A63" s="42" t="s">
        <v>152</v>
      </c>
      <c r="B63" s="51" t="s">
        <v>34</v>
      </c>
      <c r="C63" s="14">
        <f t="shared" ref="C63:E63" si="9">SUM(C55:C62)</f>
        <v>686293</v>
      </c>
      <c r="D63" s="14">
        <f t="shared" si="9"/>
        <v>584062</v>
      </c>
      <c r="E63" s="14">
        <f t="shared" si="9"/>
        <v>1192073</v>
      </c>
      <c r="F63" s="14">
        <f>SUM(F55:F62)</f>
        <v>1056297</v>
      </c>
      <c r="H63" s="14">
        <f>SUM(H55:H62)</f>
        <v>1055197</v>
      </c>
      <c r="I63" s="14">
        <f>SUM(I55:I62)</f>
        <v>1029127</v>
      </c>
      <c r="J63" s="14">
        <f>SUM(J55:J62)</f>
        <v>994582</v>
      </c>
      <c r="K63" s="20">
        <f>IFERROR(J63/I63-1,"n.a.")</f>
        <v>-3.3567285670281666E-2</v>
      </c>
    </row>
    <row r="64" spans="1:11" x14ac:dyDescent="0.25">
      <c r="A64" s="52"/>
      <c r="B64" s="46"/>
      <c r="C64" s="9"/>
      <c r="D64" s="9"/>
      <c r="E64" s="9"/>
      <c r="F64" s="9"/>
      <c r="H64" s="9"/>
      <c r="I64" s="9"/>
      <c r="J64" s="9"/>
      <c r="K64" s="19"/>
    </row>
    <row r="65" spans="1:11" s="29" customFormat="1" x14ac:dyDescent="0.25">
      <c r="A65" s="40" t="s">
        <v>153</v>
      </c>
      <c r="B65" s="51" t="s">
        <v>34</v>
      </c>
      <c r="C65" s="14">
        <f t="shared" ref="C65:E65" si="10">C52+C63</f>
        <v>976881</v>
      </c>
      <c r="D65" s="14">
        <f t="shared" ref="D65" si="11">D52+D63</f>
        <v>922113</v>
      </c>
      <c r="E65" s="14">
        <f t="shared" si="10"/>
        <v>1556164</v>
      </c>
      <c r="F65" s="14">
        <f>F52+F63</f>
        <v>1439512</v>
      </c>
      <c r="H65" s="14">
        <f>H52+H63</f>
        <v>1456715</v>
      </c>
      <c r="I65" s="14">
        <f>I52+I63</f>
        <v>1727233</v>
      </c>
      <c r="J65" s="14">
        <f>J52+J63</f>
        <v>1697531</v>
      </c>
      <c r="K65" s="20">
        <f>IFERROR(J65/I65-1,"n.a.")</f>
        <v>-1.7196290251517921E-2</v>
      </c>
    </row>
    <row r="66" spans="1:11" x14ac:dyDescent="0.25">
      <c r="A66" s="52"/>
      <c r="B66" s="46"/>
      <c r="C66" s="9"/>
      <c r="D66" s="9"/>
      <c r="E66" s="9"/>
      <c r="F66" s="9"/>
      <c r="H66" s="9"/>
      <c r="I66" s="9"/>
      <c r="J66" s="9"/>
      <c r="K66" s="19"/>
    </row>
    <row r="67" spans="1:11" x14ac:dyDescent="0.25">
      <c r="A67" s="40" t="s">
        <v>154</v>
      </c>
      <c r="B67" s="46"/>
      <c r="C67" s="9"/>
      <c r="D67" s="9"/>
      <c r="E67" s="9"/>
      <c r="F67" s="9"/>
      <c r="H67" s="9"/>
      <c r="I67" s="9"/>
      <c r="J67" s="9"/>
      <c r="K67" s="19"/>
    </row>
    <row r="68" spans="1:11" x14ac:dyDescent="0.25">
      <c r="A68" s="52" t="s">
        <v>155</v>
      </c>
      <c r="B68" s="46" t="s">
        <v>34</v>
      </c>
      <c r="C68" s="9">
        <v>460877</v>
      </c>
      <c r="D68" s="9">
        <v>472588</v>
      </c>
      <c r="E68" s="9">
        <v>472588</v>
      </c>
      <c r="F68" s="9">
        <v>472588</v>
      </c>
      <c r="H68" s="9">
        <v>472588</v>
      </c>
      <c r="I68" s="9">
        <v>472588</v>
      </c>
      <c r="J68" s="9">
        <v>472588</v>
      </c>
      <c r="K68" s="19">
        <f t="shared" ref="K68:K70" si="12">IFERROR(J68/I68-1,"n.a.")</f>
        <v>0</v>
      </c>
    </row>
    <row r="69" spans="1:11" x14ac:dyDescent="0.25">
      <c r="A69" s="52" t="s">
        <v>156</v>
      </c>
      <c r="B69" s="46" t="s">
        <v>34</v>
      </c>
      <c r="C69" s="9">
        <v>131787</v>
      </c>
      <c r="D69" s="9">
        <v>154098</v>
      </c>
      <c r="E69" s="9">
        <v>233846</v>
      </c>
      <c r="F69" s="9">
        <v>433013</v>
      </c>
      <c r="H69" s="9">
        <v>408274</v>
      </c>
      <c r="I69" s="9">
        <v>324597</v>
      </c>
      <c r="J69" s="9">
        <v>354571</v>
      </c>
      <c r="K69" s="19">
        <f t="shared" si="12"/>
        <v>9.2342196631515439E-2</v>
      </c>
    </row>
    <row r="70" spans="1:11" x14ac:dyDescent="0.25">
      <c r="A70" s="52" t="s">
        <v>157</v>
      </c>
      <c r="B70" s="46" t="s">
        <v>34</v>
      </c>
      <c r="C70" s="9">
        <v>0</v>
      </c>
      <c r="D70" s="9">
        <v>0</v>
      </c>
      <c r="E70" s="9">
        <v>0</v>
      </c>
      <c r="F70" s="9">
        <v>0</v>
      </c>
      <c r="H70" s="9">
        <v>117226</v>
      </c>
      <c r="I70" s="9">
        <v>111918</v>
      </c>
      <c r="J70" s="9">
        <v>227221</v>
      </c>
      <c r="K70" s="19">
        <f t="shared" si="12"/>
        <v>1.0302453582086883</v>
      </c>
    </row>
    <row r="71" spans="1:11" s="29" customFormat="1" x14ac:dyDescent="0.25">
      <c r="A71" s="40" t="s">
        <v>158</v>
      </c>
      <c r="B71" s="51" t="s">
        <v>34</v>
      </c>
      <c r="C71" s="14">
        <f t="shared" ref="C71:E71" si="13">SUM(C68:C70)</f>
        <v>592664</v>
      </c>
      <c r="D71" s="14">
        <f t="shared" si="13"/>
        <v>626686</v>
      </c>
      <c r="E71" s="14">
        <f t="shared" si="13"/>
        <v>706434</v>
      </c>
      <c r="F71" s="14">
        <f>SUM(F68:F70)</f>
        <v>905601</v>
      </c>
      <c r="H71" s="14">
        <f>SUM(H68:H70)</f>
        <v>998088</v>
      </c>
      <c r="I71" s="14">
        <f>SUM(I68:I70)</f>
        <v>909103</v>
      </c>
      <c r="J71" s="14">
        <f>SUM(J68:J70)</f>
        <v>1054380</v>
      </c>
      <c r="K71" s="20">
        <f>IFERROR(J71/I71-1,"n.a.")</f>
        <v>0.15980257462575742</v>
      </c>
    </row>
    <row r="72" spans="1:11" x14ac:dyDescent="0.25">
      <c r="A72" s="52"/>
      <c r="B72" s="46"/>
      <c r="C72" s="9"/>
      <c r="D72" s="9"/>
      <c r="E72" s="9"/>
      <c r="F72" s="9"/>
      <c r="H72" s="9"/>
      <c r="I72" s="9"/>
      <c r="J72" s="9"/>
      <c r="K72" s="19"/>
    </row>
    <row r="73" spans="1:11" s="29" customFormat="1" x14ac:dyDescent="0.25">
      <c r="A73" s="40" t="s">
        <v>159</v>
      </c>
      <c r="B73" s="51" t="s">
        <v>34</v>
      </c>
      <c r="C73" s="14">
        <f t="shared" ref="C73:E73" si="14">C71+C65</f>
        <v>1569545</v>
      </c>
      <c r="D73" s="14">
        <f t="shared" ref="D73" si="15">D71+D65</f>
        <v>1548799</v>
      </c>
      <c r="E73" s="14">
        <f t="shared" si="14"/>
        <v>2262598</v>
      </c>
      <c r="F73" s="14">
        <f>F71+F65</f>
        <v>2345113</v>
      </c>
      <c r="H73" s="14">
        <f>H71+H65</f>
        <v>2454803</v>
      </c>
      <c r="I73" s="14">
        <f>I71+I65</f>
        <v>2636336</v>
      </c>
      <c r="J73" s="14">
        <f>J71+J65</f>
        <v>2751911</v>
      </c>
      <c r="K73" s="20">
        <f>IFERROR(J73/I73-1,"n.a.")</f>
        <v>4.383925265975197E-2</v>
      </c>
    </row>
    <row r="74" spans="1:11" s="87" customFormat="1" x14ac:dyDescent="0.25">
      <c r="A74" s="84" t="s">
        <v>160</v>
      </c>
      <c r="B74" s="85"/>
      <c r="C74" s="86">
        <f t="shared" ref="C74:F74" si="16">C73-C36</f>
        <v>0</v>
      </c>
      <c r="D74" s="86">
        <f t="shared" si="16"/>
        <v>0</v>
      </c>
      <c r="E74" s="86">
        <f t="shared" si="16"/>
        <v>0</v>
      </c>
      <c r="F74" s="86">
        <f t="shared" si="16"/>
        <v>0</v>
      </c>
      <c r="H74" s="86">
        <f>H73-H36</f>
        <v>0</v>
      </c>
      <c r="I74" s="86"/>
      <c r="J74" s="86"/>
      <c r="K74" s="88"/>
    </row>
    <row r="76" spans="1:11" ht="16.5" x14ac:dyDescent="0.25">
      <c r="A76" s="27" t="s">
        <v>52</v>
      </c>
      <c r="B76" s="16"/>
      <c r="C76" s="16"/>
      <c r="D76" s="16"/>
      <c r="E76" s="16"/>
      <c r="F76" s="16"/>
      <c r="H76" s="16"/>
      <c r="I76" s="16"/>
      <c r="J76" s="16"/>
      <c r="K76" s="16"/>
    </row>
    <row r="77" spans="1:11" x14ac:dyDescent="0.25">
      <c r="A77" s="65" t="s">
        <v>119</v>
      </c>
      <c r="B77" s="55"/>
      <c r="C77" s="9"/>
      <c r="D77" s="9"/>
      <c r="E77" s="9"/>
      <c r="F77" s="9"/>
      <c r="H77" s="9"/>
      <c r="I77" s="9"/>
      <c r="J77" s="9"/>
      <c r="K77" s="9"/>
    </row>
    <row r="78" spans="1:11" x14ac:dyDescent="0.25">
      <c r="A78" s="42" t="s">
        <v>120</v>
      </c>
      <c r="B78" s="46"/>
      <c r="C78" s="9"/>
      <c r="D78" s="9"/>
      <c r="E78" s="9"/>
      <c r="F78" s="9"/>
      <c r="H78" s="9"/>
      <c r="I78" s="9"/>
      <c r="J78" s="9"/>
      <c r="K78" s="9"/>
    </row>
    <row r="79" spans="1:11" x14ac:dyDescent="0.25">
      <c r="A79" s="66" t="s">
        <v>121</v>
      </c>
      <c r="B79" s="46" t="s">
        <v>34</v>
      </c>
      <c r="C79" s="9"/>
      <c r="D79" s="9">
        <v>101</v>
      </c>
      <c r="E79" s="9">
        <f>+E149-E9</f>
        <v>356</v>
      </c>
      <c r="F79" s="9">
        <v>471967</v>
      </c>
      <c r="H79" s="9">
        <v>513905</v>
      </c>
      <c r="I79" s="9">
        <v>263230</v>
      </c>
      <c r="J79" s="9">
        <v>258080</v>
      </c>
      <c r="K79" s="19">
        <f>IFERROR(J79/I79-1,"n.a.")</f>
        <v>-1.9564639288834895E-2</v>
      </c>
    </row>
    <row r="80" spans="1:11" x14ac:dyDescent="0.25">
      <c r="A80" s="66" t="s">
        <v>122</v>
      </c>
      <c r="B80" s="46" t="s">
        <v>34</v>
      </c>
      <c r="C80" s="9"/>
      <c r="D80" s="9">
        <v>115099</v>
      </c>
      <c r="E80" s="9">
        <f>+E150-E10</f>
        <v>133896</v>
      </c>
      <c r="F80" s="9">
        <v>0</v>
      </c>
      <c r="H80" s="9">
        <v>0</v>
      </c>
      <c r="I80" s="9">
        <v>0</v>
      </c>
      <c r="J80" s="9">
        <v>0</v>
      </c>
      <c r="K80" s="19" t="str">
        <f t="shared" ref="K80:K89" si="17">IFERROR(J80/I80-1,"n.a.")</f>
        <v>n.a.</v>
      </c>
    </row>
    <row r="81" spans="1:11" x14ac:dyDescent="0.25">
      <c r="A81" s="66" t="s">
        <v>74</v>
      </c>
      <c r="B81" s="46" t="s">
        <v>34</v>
      </c>
      <c r="C81" s="9"/>
      <c r="D81" s="9">
        <v>375</v>
      </c>
      <c r="E81" s="9">
        <f>+E151-E11</f>
        <v>21362</v>
      </c>
      <c r="F81" s="9">
        <v>28</v>
      </c>
      <c r="H81" s="9">
        <v>885</v>
      </c>
      <c r="I81" s="9">
        <v>875</v>
      </c>
      <c r="J81" s="9">
        <v>32</v>
      </c>
      <c r="K81" s="19">
        <f t="shared" si="17"/>
        <v>-0.96342857142857141</v>
      </c>
    </row>
    <row r="82" spans="1:11" x14ac:dyDescent="0.25">
      <c r="A82" s="66" t="s">
        <v>123</v>
      </c>
      <c r="B82" s="46" t="s">
        <v>34</v>
      </c>
      <c r="C82" s="9"/>
      <c r="D82" s="9">
        <v>0</v>
      </c>
      <c r="E82" s="9">
        <v>678</v>
      </c>
      <c r="F82" s="9">
        <v>46466</v>
      </c>
      <c r="H82" s="9">
        <v>43242</v>
      </c>
      <c r="I82" s="9">
        <v>39347</v>
      </c>
      <c r="J82" s="9">
        <v>54561</v>
      </c>
      <c r="K82" s="19">
        <f t="shared" si="17"/>
        <v>0.38666226141764293</v>
      </c>
    </row>
    <row r="83" spans="1:11" x14ac:dyDescent="0.25">
      <c r="A83" s="66" t="s">
        <v>124</v>
      </c>
      <c r="B83" s="46" t="s">
        <v>34</v>
      </c>
      <c r="C83" s="9"/>
      <c r="D83" s="9">
        <v>0</v>
      </c>
      <c r="E83" s="9">
        <f>+E153-E13</f>
        <v>68378</v>
      </c>
      <c r="F83" s="9">
        <v>101745</v>
      </c>
      <c r="H83" s="9">
        <v>43635</v>
      </c>
      <c r="I83" s="9">
        <v>458404</v>
      </c>
      <c r="J83" s="9">
        <v>411802</v>
      </c>
      <c r="K83" s="19">
        <f t="shared" si="17"/>
        <v>-0.10166141656704564</v>
      </c>
    </row>
    <row r="84" spans="1:11" x14ac:dyDescent="0.25">
      <c r="A84" s="66" t="s">
        <v>125</v>
      </c>
      <c r="B84" s="46" t="s">
        <v>34</v>
      </c>
      <c r="C84" s="9"/>
      <c r="D84" s="9"/>
      <c r="E84" s="9">
        <f>+E154-E14</f>
        <v>0</v>
      </c>
      <c r="F84" s="9">
        <v>0</v>
      </c>
      <c r="H84" s="9"/>
      <c r="I84" s="9">
        <v>0</v>
      </c>
      <c r="J84" s="9">
        <v>0</v>
      </c>
      <c r="K84" s="19" t="str">
        <f t="shared" si="17"/>
        <v>n.a.</v>
      </c>
    </row>
    <row r="85" spans="1:11" x14ac:dyDescent="0.25">
      <c r="A85" s="66" t="s">
        <v>126</v>
      </c>
      <c r="B85" s="46" t="s">
        <v>34</v>
      </c>
      <c r="C85" s="9"/>
      <c r="D85" s="9">
        <v>0</v>
      </c>
      <c r="E85" s="9">
        <f>+E155-E15</f>
        <v>0</v>
      </c>
      <c r="F85" s="9">
        <v>0</v>
      </c>
      <c r="H85" s="9"/>
      <c r="I85" s="9">
        <v>0</v>
      </c>
      <c r="J85" s="9">
        <v>0</v>
      </c>
      <c r="K85" s="19" t="str">
        <f t="shared" si="17"/>
        <v>n.a.</v>
      </c>
    </row>
    <row r="86" spans="1:11" x14ac:dyDescent="0.25">
      <c r="A86" s="66" t="s">
        <v>235</v>
      </c>
      <c r="B86" s="46" t="s">
        <v>34</v>
      </c>
      <c r="C86" s="9"/>
      <c r="D86" s="9"/>
      <c r="E86" s="9">
        <f>+E156-E16</f>
        <v>0</v>
      </c>
      <c r="F86" s="9">
        <v>0</v>
      </c>
      <c r="H86" s="9"/>
      <c r="I86" s="9">
        <v>913</v>
      </c>
      <c r="J86" s="9">
        <v>914</v>
      </c>
      <c r="K86" s="19">
        <f t="shared" si="17"/>
        <v>1.0952902519167917E-3</v>
      </c>
    </row>
    <row r="87" spans="1:11" x14ac:dyDescent="0.25">
      <c r="A87" s="66" t="s">
        <v>127</v>
      </c>
      <c r="B87" s="46" t="s">
        <v>34</v>
      </c>
      <c r="C87" s="9"/>
      <c r="D87" s="9">
        <v>890</v>
      </c>
      <c r="E87" s="9">
        <v>24339</v>
      </c>
      <c r="F87" s="9">
        <v>21404</v>
      </c>
      <c r="H87" s="9">
        <v>15713</v>
      </c>
      <c r="I87" s="9">
        <v>44158</v>
      </c>
      <c r="J87" s="9">
        <v>40061</v>
      </c>
      <c r="K87" s="19">
        <f t="shared" si="17"/>
        <v>-9.2780470129987802E-2</v>
      </c>
    </row>
    <row r="88" spans="1:11" x14ac:dyDescent="0.25">
      <c r="A88" s="66" t="s">
        <v>128</v>
      </c>
      <c r="B88" s="46" t="s">
        <v>34</v>
      </c>
      <c r="C88" s="9"/>
      <c r="D88" s="9">
        <v>286</v>
      </c>
      <c r="E88" s="9">
        <v>2328</v>
      </c>
      <c r="F88" s="9">
        <v>3895</v>
      </c>
      <c r="H88" s="9">
        <v>12950</v>
      </c>
      <c r="I88" s="9">
        <v>26701</v>
      </c>
      <c r="J88" s="9">
        <v>15484</v>
      </c>
      <c r="K88" s="19">
        <f t="shared" si="17"/>
        <v>-0.42009662559454697</v>
      </c>
    </row>
    <row r="89" spans="1:11" x14ac:dyDescent="0.25">
      <c r="A89" s="66" t="s">
        <v>129</v>
      </c>
      <c r="B89" s="46" t="s">
        <v>34</v>
      </c>
      <c r="C89" s="9"/>
      <c r="D89" s="9"/>
      <c r="E89" s="9">
        <f>+E159-E19</f>
        <v>0</v>
      </c>
      <c r="F89" s="9">
        <v>0</v>
      </c>
      <c r="H89" s="9">
        <v>0</v>
      </c>
      <c r="I89" s="9">
        <v>0</v>
      </c>
      <c r="J89" s="9">
        <v>0</v>
      </c>
      <c r="K89" s="19" t="str">
        <f t="shared" si="17"/>
        <v>n.a.</v>
      </c>
    </row>
    <row r="90" spans="1:11" x14ac:dyDescent="0.25">
      <c r="A90" s="42" t="s">
        <v>130</v>
      </c>
      <c r="B90" s="51" t="s">
        <v>34</v>
      </c>
      <c r="C90" s="14"/>
      <c r="D90" s="14">
        <f>SUM(D79:D89)</f>
        <v>116751</v>
      </c>
      <c r="E90" s="14">
        <f>SUM(E79:E89)</f>
        <v>251337</v>
      </c>
      <c r="F90" s="14">
        <f>SUM(F79:F89)</f>
        <v>645505</v>
      </c>
      <c r="H90" s="14">
        <f>SUM(H79:H89)</f>
        <v>630330</v>
      </c>
      <c r="I90" s="14">
        <f>SUM(I79:I89)</f>
        <v>833628</v>
      </c>
      <c r="J90" s="14">
        <f>SUM(J79:J89)</f>
        <v>780934</v>
      </c>
      <c r="K90" s="20">
        <f>IFERROR(J90/I90-1,"n.a.")</f>
        <v>-6.321044878530957E-2</v>
      </c>
    </row>
    <row r="91" spans="1:11" x14ac:dyDescent="0.25">
      <c r="A91" s="52"/>
      <c r="B91" s="46"/>
      <c r="C91" s="9"/>
      <c r="D91" s="9"/>
      <c r="E91" s="9"/>
      <c r="F91" s="9"/>
      <c r="H91" s="9"/>
      <c r="I91" s="9"/>
      <c r="J91" s="9"/>
      <c r="K91" s="19"/>
    </row>
    <row r="92" spans="1:11" x14ac:dyDescent="0.25">
      <c r="A92" s="42" t="s">
        <v>131</v>
      </c>
      <c r="B92" s="46"/>
      <c r="C92" s="9"/>
      <c r="D92" s="9"/>
      <c r="E92" s="9"/>
      <c r="F92" s="9"/>
      <c r="H92" s="9"/>
      <c r="I92" s="9"/>
      <c r="J92" s="9"/>
      <c r="K92" s="19"/>
    </row>
    <row r="93" spans="1:11" x14ac:dyDescent="0.25">
      <c r="A93" s="66" t="s">
        <v>122</v>
      </c>
      <c r="B93" s="46" t="s">
        <v>34</v>
      </c>
      <c r="C93" s="9"/>
      <c r="D93" s="9"/>
      <c r="E93" s="9">
        <f>+E163-E23</f>
        <v>0</v>
      </c>
      <c r="F93" s="9">
        <v>0</v>
      </c>
      <c r="H93" s="9">
        <v>0</v>
      </c>
      <c r="I93" s="9">
        <v>0</v>
      </c>
      <c r="J93" s="9">
        <v>0</v>
      </c>
      <c r="K93" s="19" t="str">
        <f t="shared" ref="K93:K103" si="18">IFERROR(J93/I93-1,"n.a.")</f>
        <v>n.a.</v>
      </c>
    </row>
    <row r="94" spans="1:11" x14ac:dyDescent="0.25">
      <c r="A94" s="66" t="s">
        <v>74</v>
      </c>
      <c r="B94" s="46" t="s">
        <v>34</v>
      </c>
      <c r="C94" s="9"/>
      <c r="D94" s="9"/>
      <c r="E94" s="9">
        <f t="shared" ref="E94:E103" si="19">+E164-E24</f>
        <v>0</v>
      </c>
      <c r="F94" s="9">
        <v>1123</v>
      </c>
      <c r="H94" s="9">
        <v>5361</v>
      </c>
      <c r="I94" s="9">
        <v>11420</v>
      </c>
      <c r="J94" s="9">
        <v>20203</v>
      </c>
      <c r="K94" s="19">
        <f t="shared" si="18"/>
        <v>0.76908931698774086</v>
      </c>
    </row>
    <row r="95" spans="1:11" x14ac:dyDescent="0.25">
      <c r="A95" s="66" t="s">
        <v>125</v>
      </c>
      <c r="B95" s="46" t="s">
        <v>34</v>
      </c>
      <c r="C95" s="9"/>
      <c r="D95" s="9"/>
      <c r="E95" s="9">
        <f t="shared" si="19"/>
        <v>0</v>
      </c>
      <c r="F95" s="9">
        <v>0</v>
      </c>
      <c r="H95" s="9">
        <v>0</v>
      </c>
      <c r="I95" s="9">
        <v>0</v>
      </c>
      <c r="J95" s="9">
        <v>0</v>
      </c>
      <c r="K95" s="19" t="str">
        <f t="shared" si="18"/>
        <v>n.a.</v>
      </c>
    </row>
    <row r="96" spans="1:11" x14ac:dyDescent="0.25">
      <c r="A96" s="66" t="s">
        <v>127</v>
      </c>
      <c r="B96" s="46" t="s">
        <v>34</v>
      </c>
      <c r="C96" s="9"/>
      <c r="D96" s="9">
        <v>3954</v>
      </c>
      <c r="E96" s="9">
        <f t="shared" si="19"/>
        <v>14131</v>
      </c>
      <c r="F96" s="9">
        <v>28384</v>
      </c>
      <c r="H96" s="9">
        <v>39962</v>
      </c>
      <c r="I96" s="9">
        <v>39223</v>
      </c>
      <c r="J96" s="9">
        <v>44717</v>
      </c>
      <c r="K96" s="19">
        <f t="shared" si="18"/>
        <v>0.14007087678148022</v>
      </c>
    </row>
    <row r="97" spans="1:11" x14ac:dyDescent="0.25">
      <c r="A97" s="66" t="s">
        <v>132</v>
      </c>
      <c r="B97" s="46" t="s">
        <v>34</v>
      </c>
      <c r="C97" s="9"/>
      <c r="D97" s="9">
        <v>7578</v>
      </c>
      <c r="E97" s="9">
        <v>8945</v>
      </c>
      <c r="F97" s="9">
        <v>9295</v>
      </c>
      <c r="H97" s="9">
        <v>9328</v>
      </c>
      <c r="I97" s="9">
        <v>11659</v>
      </c>
      <c r="J97" s="9">
        <v>11204</v>
      </c>
      <c r="K97" s="19">
        <f t="shared" si="18"/>
        <v>-3.9025645424135891E-2</v>
      </c>
    </row>
    <row r="98" spans="1:11" x14ac:dyDescent="0.25">
      <c r="A98" s="66" t="s">
        <v>133</v>
      </c>
      <c r="B98" s="46" t="s">
        <v>34</v>
      </c>
      <c r="C98" s="9"/>
      <c r="D98" s="9"/>
      <c r="E98" s="9">
        <f t="shared" si="19"/>
        <v>43135</v>
      </c>
      <c r="F98" s="9">
        <v>76571</v>
      </c>
      <c r="H98" s="9">
        <v>66086</v>
      </c>
      <c r="I98" s="9">
        <v>58202</v>
      </c>
      <c r="J98" s="9">
        <v>51321</v>
      </c>
      <c r="K98" s="19">
        <f t="shared" si="18"/>
        <v>-0.11822617779457756</v>
      </c>
    </row>
    <row r="99" spans="1:11" x14ac:dyDescent="0.25">
      <c r="A99" s="66" t="s">
        <v>128</v>
      </c>
      <c r="B99" s="46" t="s">
        <v>34</v>
      </c>
      <c r="C99" s="9"/>
      <c r="D99" s="9"/>
      <c r="E99" s="9">
        <f t="shared" si="19"/>
        <v>0</v>
      </c>
      <c r="F99" s="9">
        <v>2</v>
      </c>
      <c r="H99" s="9">
        <v>2</v>
      </c>
      <c r="I99" s="9">
        <v>1</v>
      </c>
      <c r="J99" s="9">
        <v>38737</v>
      </c>
      <c r="K99" s="19">
        <f t="shared" si="18"/>
        <v>38736</v>
      </c>
    </row>
    <row r="100" spans="1:11" x14ac:dyDescent="0.25">
      <c r="A100" s="66" t="s">
        <v>134</v>
      </c>
      <c r="B100" s="46" t="s">
        <v>34</v>
      </c>
      <c r="C100" s="9"/>
      <c r="D100" s="9"/>
      <c r="E100" s="9">
        <v>0</v>
      </c>
      <c r="F100" s="9">
        <v>0</v>
      </c>
      <c r="H100" s="9">
        <v>0</v>
      </c>
      <c r="I100" s="9">
        <v>0</v>
      </c>
      <c r="J100" s="9">
        <v>0</v>
      </c>
      <c r="K100" s="19" t="str">
        <f t="shared" si="18"/>
        <v>n.a.</v>
      </c>
    </row>
    <row r="101" spans="1:11" x14ac:dyDescent="0.25">
      <c r="A101" s="66" t="s">
        <v>135</v>
      </c>
      <c r="B101" s="46" t="s">
        <v>34</v>
      </c>
      <c r="C101" s="9"/>
      <c r="D101" s="9">
        <v>117430</v>
      </c>
      <c r="E101" s="9">
        <f t="shared" si="19"/>
        <v>256402</v>
      </c>
      <c r="F101" s="9">
        <v>261935</v>
      </c>
      <c r="H101" s="9">
        <v>278580</v>
      </c>
      <c r="I101" s="9">
        <v>327233</v>
      </c>
      <c r="J101" s="9">
        <v>343818</v>
      </c>
      <c r="K101" s="19">
        <f t="shared" si="18"/>
        <v>5.0682541186249486E-2</v>
      </c>
    </row>
    <row r="102" spans="1:11" x14ac:dyDescent="0.25">
      <c r="A102" s="66" t="s">
        <v>136</v>
      </c>
      <c r="B102" s="46" t="s">
        <v>34</v>
      </c>
      <c r="C102" s="9"/>
      <c r="D102" s="9"/>
      <c r="E102" s="9">
        <f t="shared" si="19"/>
        <v>0</v>
      </c>
      <c r="F102" s="9">
        <v>0</v>
      </c>
      <c r="H102" s="9">
        <v>0</v>
      </c>
      <c r="I102" s="9">
        <v>0</v>
      </c>
      <c r="J102" s="9">
        <v>4465</v>
      </c>
      <c r="K102" s="19" t="str">
        <f t="shared" si="18"/>
        <v>n.a.</v>
      </c>
    </row>
    <row r="103" spans="1:11" x14ac:dyDescent="0.25">
      <c r="A103" s="66" t="s">
        <v>137</v>
      </c>
      <c r="B103" s="46" t="s">
        <v>34</v>
      </c>
      <c r="C103" s="9"/>
      <c r="D103" s="9"/>
      <c r="E103" s="9">
        <f t="shared" si="19"/>
        <v>184</v>
      </c>
      <c r="F103" s="9">
        <v>145</v>
      </c>
      <c r="H103" s="9">
        <v>135</v>
      </c>
      <c r="I103" s="9">
        <v>169</v>
      </c>
      <c r="J103" s="9">
        <v>481</v>
      </c>
      <c r="K103" s="19">
        <f t="shared" si="18"/>
        <v>1.8461538461538463</v>
      </c>
    </row>
    <row r="104" spans="1:11" x14ac:dyDescent="0.25">
      <c r="A104" s="42" t="s">
        <v>138</v>
      </c>
      <c r="B104" s="51" t="s">
        <v>34</v>
      </c>
      <c r="C104" s="14"/>
      <c r="D104" s="14">
        <f>SUM(D93:D103)</f>
        <v>128962</v>
      </c>
      <c r="E104" s="14">
        <f>SUM(E93:E103)</f>
        <v>322797</v>
      </c>
      <c r="F104" s="14">
        <f>SUM(F93:F103)</f>
        <v>377455</v>
      </c>
      <c r="H104" s="14">
        <f>SUM(H93:H103)</f>
        <v>399454</v>
      </c>
      <c r="I104" s="14">
        <f>SUM(I93:I103)</f>
        <v>447907</v>
      </c>
      <c r="J104" s="14">
        <f>SUM(J93:J103)</f>
        <v>514946</v>
      </c>
      <c r="K104" s="20">
        <f>IFERROR(J104/I104-1,"n.a.")</f>
        <v>0.14967169524030655</v>
      </c>
    </row>
    <row r="105" spans="1:11" x14ac:dyDescent="0.25">
      <c r="A105" s="52"/>
      <c r="B105" s="46"/>
      <c r="C105" s="9"/>
      <c r="D105" s="9"/>
      <c r="E105" s="9"/>
      <c r="F105" s="9"/>
      <c r="H105" s="9"/>
      <c r="I105" s="9"/>
      <c r="J105" s="9"/>
      <c r="K105" s="19"/>
    </row>
    <row r="106" spans="1:11" x14ac:dyDescent="0.25">
      <c r="A106" s="40" t="s">
        <v>139</v>
      </c>
      <c r="B106" s="51" t="s">
        <v>34</v>
      </c>
      <c r="C106" s="14"/>
      <c r="D106" s="14">
        <f>D104+D90</f>
        <v>245713</v>
      </c>
      <c r="E106" s="14">
        <f>E104+E90</f>
        <v>574134</v>
      </c>
      <c r="F106" s="14">
        <f>F104+F90</f>
        <v>1022960</v>
      </c>
      <c r="H106" s="14">
        <f>H104+H90</f>
        <v>1029784</v>
      </c>
      <c r="I106" s="14">
        <f>I104+I90</f>
        <v>1281535</v>
      </c>
      <c r="J106" s="14">
        <f>J104+J90</f>
        <v>1295880</v>
      </c>
      <c r="K106" s="20">
        <f>IFERROR(J106/I106-1,"n.a.")</f>
        <v>1.1193607665807015E-2</v>
      </c>
    </row>
    <row r="107" spans="1:11" x14ac:dyDescent="0.25">
      <c r="A107" s="52"/>
      <c r="B107" s="46"/>
      <c r="C107" s="9"/>
      <c r="D107" s="9"/>
      <c r="E107" s="9"/>
      <c r="F107" s="9"/>
      <c r="H107" s="9"/>
      <c r="I107" s="9"/>
      <c r="J107" s="9"/>
      <c r="K107" s="19"/>
    </row>
    <row r="108" spans="1:11" x14ac:dyDescent="0.25">
      <c r="A108" s="40" t="s">
        <v>140</v>
      </c>
      <c r="B108" s="46"/>
      <c r="C108" s="9"/>
      <c r="D108" s="9"/>
      <c r="E108" s="9"/>
      <c r="F108" s="9"/>
      <c r="H108" s="9"/>
      <c r="I108" s="9"/>
      <c r="J108" s="9"/>
      <c r="K108" s="19"/>
    </row>
    <row r="109" spans="1:11" x14ac:dyDescent="0.25">
      <c r="A109" s="42" t="s">
        <v>120</v>
      </c>
      <c r="B109" s="46"/>
      <c r="C109" s="9"/>
      <c r="D109" s="9"/>
      <c r="E109" s="9"/>
      <c r="F109" s="9"/>
      <c r="H109" s="9"/>
      <c r="I109" s="9"/>
      <c r="J109" s="9"/>
      <c r="K109" s="19"/>
    </row>
    <row r="110" spans="1:11" x14ac:dyDescent="0.25">
      <c r="A110" s="66" t="s">
        <v>142</v>
      </c>
      <c r="B110" s="46" t="s">
        <v>34</v>
      </c>
      <c r="C110" s="9"/>
      <c r="D110" s="9">
        <v>15396</v>
      </c>
      <c r="E110" s="9">
        <v>11601</v>
      </c>
      <c r="F110" s="9">
        <v>26875</v>
      </c>
      <c r="H110" s="9">
        <v>29949</v>
      </c>
      <c r="I110" s="9">
        <v>152480</v>
      </c>
      <c r="J110" s="9">
        <v>97964</v>
      </c>
      <c r="K110" s="19">
        <f t="shared" ref="K110:K121" si="20">IFERROR(J110/I110-1,"n.a.")</f>
        <v>-0.35752885624344177</v>
      </c>
    </row>
    <row r="111" spans="1:11" x14ac:dyDescent="0.25">
      <c r="A111" s="66" t="s">
        <v>143</v>
      </c>
      <c r="B111" s="46" t="s">
        <v>34</v>
      </c>
      <c r="C111" s="9"/>
      <c r="D111" s="9"/>
      <c r="E111" s="9">
        <v>0</v>
      </c>
      <c r="F111" s="9"/>
      <c r="H111" s="9">
        <v>0</v>
      </c>
      <c r="I111" s="9">
        <v>0</v>
      </c>
      <c r="J111" s="9">
        <v>662</v>
      </c>
      <c r="K111" s="19" t="str">
        <f t="shared" si="20"/>
        <v>n.a.</v>
      </c>
    </row>
    <row r="112" spans="1:11" x14ac:dyDescent="0.25">
      <c r="A112" s="66" t="s">
        <v>144</v>
      </c>
      <c r="B112" s="46" t="s">
        <v>34</v>
      </c>
      <c r="C112" s="9"/>
      <c r="D112" s="9"/>
      <c r="E112" s="9">
        <v>0</v>
      </c>
      <c r="F112" s="9">
        <v>0</v>
      </c>
      <c r="H112" s="9">
        <v>0</v>
      </c>
      <c r="I112" s="9">
        <v>0</v>
      </c>
      <c r="J112" s="9">
        <v>0</v>
      </c>
      <c r="K112" s="19" t="str">
        <f t="shared" si="20"/>
        <v>n.a.</v>
      </c>
    </row>
    <row r="113" spans="1:11" x14ac:dyDescent="0.25">
      <c r="A113" s="66" t="s">
        <v>145</v>
      </c>
      <c r="B113" s="46" t="s">
        <v>34</v>
      </c>
      <c r="C113" s="9"/>
      <c r="D113" s="9">
        <v>1529</v>
      </c>
      <c r="E113" s="9">
        <v>196400</v>
      </c>
      <c r="F113" s="9">
        <v>122198</v>
      </c>
      <c r="H113" s="9">
        <v>50511</v>
      </c>
      <c r="I113" s="9">
        <v>9785</v>
      </c>
      <c r="J113" s="9">
        <v>14762</v>
      </c>
      <c r="K113" s="19">
        <f t="shared" si="20"/>
        <v>0.50863566683699535</v>
      </c>
    </row>
    <row r="114" spans="1:11" x14ac:dyDescent="0.25">
      <c r="A114" s="66" t="s">
        <v>66</v>
      </c>
      <c r="B114" s="46" t="s">
        <v>34</v>
      </c>
      <c r="C114" s="9"/>
      <c r="D114" s="9">
        <v>489</v>
      </c>
      <c r="E114" s="9">
        <v>64459</v>
      </c>
      <c r="F114" s="9">
        <v>77909</v>
      </c>
      <c r="H114" s="9">
        <v>109556</v>
      </c>
      <c r="I114" s="9">
        <v>108261</v>
      </c>
      <c r="J114" s="9">
        <v>111825</v>
      </c>
      <c r="K114" s="19">
        <f t="shared" si="20"/>
        <v>3.2920442264527283E-2</v>
      </c>
    </row>
    <row r="115" spans="1:11" x14ac:dyDescent="0.25">
      <c r="A115" s="66" t="s">
        <v>74</v>
      </c>
      <c r="B115" s="46" t="s">
        <v>34</v>
      </c>
      <c r="C115" s="9"/>
      <c r="D115" s="9"/>
      <c r="E115" s="9">
        <v>0</v>
      </c>
      <c r="F115" s="9">
        <v>0</v>
      </c>
      <c r="H115" s="9">
        <v>2217</v>
      </c>
      <c r="I115" s="9">
        <v>144</v>
      </c>
      <c r="J115" s="9">
        <v>1613</v>
      </c>
      <c r="K115" s="19">
        <f t="shared" si="20"/>
        <v>10.201388888888889</v>
      </c>
    </row>
    <row r="116" spans="1:11" x14ac:dyDescent="0.25">
      <c r="A116" s="66" t="s">
        <v>146</v>
      </c>
      <c r="B116" s="46" t="s">
        <v>34</v>
      </c>
      <c r="C116" s="9"/>
      <c r="D116" s="9">
        <v>946</v>
      </c>
      <c r="E116" s="9">
        <v>2926</v>
      </c>
      <c r="F116" s="9">
        <v>3809</v>
      </c>
      <c r="H116" s="9">
        <v>2669</v>
      </c>
      <c r="I116" s="9">
        <v>3382</v>
      </c>
      <c r="J116" s="9">
        <v>3335</v>
      </c>
      <c r="K116" s="19">
        <f t="shared" si="20"/>
        <v>-1.3897102306327569E-2</v>
      </c>
    </row>
    <row r="117" spans="1:11" x14ac:dyDescent="0.25">
      <c r="A117" s="66" t="s">
        <v>234</v>
      </c>
      <c r="B117" s="46" t="s">
        <v>34</v>
      </c>
      <c r="C117" s="9"/>
      <c r="D117" s="9"/>
      <c r="E117" s="9">
        <v>0</v>
      </c>
      <c r="F117" s="9">
        <v>0</v>
      </c>
      <c r="H117" s="9">
        <v>0</v>
      </c>
      <c r="I117" s="9">
        <v>15900</v>
      </c>
      <c r="J117" s="9">
        <v>17055</v>
      </c>
      <c r="K117" s="19">
        <f t="shared" si="20"/>
        <v>7.2641509433962304E-2</v>
      </c>
    </row>
    <row r="118" spans="1:11" x14ac:dyDescent="0.25">
      <c r="A118" s="66" t="s">
        <v>147</v>
      </c>
      <c r="B118" s="46" t="s">
        <v>34</v>
      </c>
      <c r="C118" s="9"/>
      <c r="D118" s="9">
        <v>229</v>
      </c>
      <c r="E118" s="9">
        <v>9617</v>
      </c>
      <c r="F118" s="9">
        <v>17332</v>
      </c>
      <c r="H118" s="9">
        <v>21685</v>
      </c>
      <c r="I118" s="9">
        <v>7326</v>
      </c>
      <c r="J118" s="9">
        <v>11564</v>
      </c>
      <c r="K118" s="19">
        <f t="shared" si="20"/>
        <v>0.57848757848757848</v>
      </c>
    </row>
    <row r="119" spans="1:11" x14ac:dyDescent="0.25">
      <c r="A119" s="66" t="s">
        <v>148</v>
      </c>
      <c r="B119" s="46" t="s">
        <v>34</v>
      </c>
      <c r="C119" s="9"/>
      <c r="D119" s="9"/>
      <c r="E119" s="9">
        <v>5241</v>
      </c>
      <c r="F119" s="9">
        <v>0</v>
      </c>
      <c r="H119" s="9">
        <v>0</v>
      </c>
      <c r="I119" s="9">
        <v>0</v>
      </c>
      <c r="J119" s="9">
        <v>6341</v>
      </c>
      <c r="K119" s="19" t="str">
        <f t="shared" si="20"/>
        <v>n.a.</v>
      </c>
    </row>
    <row r="120" spans="1:11" x14ac:dyDescent="0.25">
      <c r="A120" s="66" t="s">
        <v>141</v>
      </c>
      <c r="B120" s="46" t="s">
        <v>34</v>
      </c>
      <c r="C120" s="9"/>
      <c r="D120" s="9"/>
      <c r="E120" s="9">
        <v>0</v>
      </c>
      <c r="F120" s="9">
        <v>0</v>
      </c>
      <c r="H120" s="9">
        <v>0</v>
      </c>
      <c r="I120" s="9">
        <v>0</v>
      </c>
      <c r="J120" s="9">
        <v>0</v>
      </c>
      <c r="K120" s="19" t="str">
        <f t="shared" si="20"/>
        <v>n.a.</v>
      </c>
    </row>
    <row r="121" spans="1:11" x14ac:dyDescent="0.25">
      <c r="A121" s="66" t="s">
        <v>149</v>
      </c>
      <c r="B121" s="46" t="s">
        <v>34</v>
      </c>
      <c r="C121" s="9"/>
      <c r="D121" s="9">
        <v>1597</v>
      </c>
      <c r="E121" s="9">
        <v>0</v>
      </c>
      <c r="F121" s="9">
        <v>7523</v>
      </c>
      <c r="H121" s="9">
        <v>5187</v>
      </c>
      <c r="I121" s="9">
        <v>8876</v>
      </c>
      <c r="J121" s="9">
        <v>7377</v>
      </c>
      <c r="K121" s="19">
        <f t="shared" si="20"/>
        <v>-0.16888237945020279</v>
      </c>
    </row>
    <row r="122" spans="1:11" x14ac:dyDescent="0.25">
      <c r="A122" s="42" t="s">
        <v>150</v>
      </c>
      <c r="B122" s="51" t="s">
        <v>34</v>
      </c>
      <c r="C122" s="14"/>
      <c r="D122" s="14">
        <f>SUM(D110:D121)</f>
        <v>20186</v>
      </c>
      <c r="E122" s="14">
        <f>SUM(E110:E121)</f>
        <v>290244</v>
      </c>
      <c r="F122" s="14">
        <f>SUM(F110:F121)</f>
        <v>255646</v>
      </c>
      <c r="H122" s="14">
        <f>SUM(H110:H121)</f>
        <v>221774</v>
      </c>
      <c r="I122" s="14">
        <f>SUM(I110:I121)</f>
        <v>306154</v>
      </c>
      <c r="J122" s="14">
        <f>SUM(J110:J121)</f>
        <v>272498</v>
      </c>
      <c r="K122" s="20">
        <f>IFERROR(J122/I122-1,"n.a.")</f>
        <v>-0.10993160304944571</v>
      </c>
    </row>
    <row r="123" spans="1:11" x14ac:dyDescent="0.25">
      <c r="A123" s="52"/>
      <c r="B123" s="46"/>
      <c r="C123" s="9"/>
      <c r="D123" s="9"/>
      <c r="E123" s="9"/>
      <c r="F123" s="9"/>
      <c r="H123" s="9"/>
      <c r="I123" s="9"/>
      <c r="J123" s="9"/>
      <c r="K123" s="19"/>
    </row>
    <row r="124" spans="1:11" x14ac:dyDescent="0.25">
      <c r="A124" s="42" t="s">
        <v>131</v>
      </c>
      <c r="B124" s="46"/>
      <c r="C124" s="9"/>
      <c r="D124" s="9"/>
      <c r="E124" s="9"/>
      <c r="F124" s="9"/>
      <c r="H124" s="9"/>
      <c r="I124" s="9"/>
      <c r="J124" s="9"/>
      <c r="K124" s="19"/>
    </row>
    <row r="125" spans="1:11" x14ac:dyDescent="0.25">
      <c r="A125" s="66" t="s">
        <v>143</v>
      </c>
      <c r="B125" s="46" t="s">
        <v>34</v>
      </c>
      <c r="C125" s="9"/>
      <c r="D125" s="9"/>
      <c r="E125" s="9">
        <v>0</v>
      </c>
      <c r="F125" s="9">
        <v>0</v>
      </c>
      <c r="H125" s="9">
        <v>0</v>
      </c>
      <c r="I125" s="9">
        <v>0</v>
      </c>
      <c r="J125" s="9">
        <v>3803</v>
      </c>
      <c r="K125" s="19" t="str">
        <f t="shared" ref="K125:K132" si="21">IFERROR(J125/I125-1,"n.a.")</f>
        <v>n.a.</v>
      </c>
    </row>
    <row r="126" spans="1:11" x14ac:dyDescent="0.25">
      <c r="A126" s="66" t="s">
        <v>144</v>
      </c>
      <c r="B126" s="46" t="s">
        <v>34</v>
      </c>
      <c r="C126" s="9"/>
      <c r="D126" s="9"/>
      <c r="E126" s="9">
        <v>0</v>
      </c>
      <c r="F126" s="9">
        <v>0</v>
      </c>
      <c r="H126" s="9">
        <v>0</v>
      </c>
      <c r="I126" s="9">
        <v>0</v>
      </c>
      <c r="J126" s="9">
        <v>0</v>
      </c>
      <c r="K126" s="19" t="str">
        <f t="shared" si="21"/>
        <v>n.a.</v>
      </c>
    </row>
    <row r="127" spans="1:11" x14ac:dyDescent="0.25">
      <c r="A127" s="66" t="s">
        <v>145</v>
      </c>
      <c r="B127" s="46" t="s">
        <v>34</v>
      </c>
      <c r="C127" s="9"/>
      <c r="D127" s="9">
        <v>3994</v>
      </c>
      <c r="E127" s="9">
        <v>25000</v>
      </c>
      <c r="F127" s="9">
        <v>96667</v>
      </c>
      <c r="H127" s="9">
        <v>92500</v>
      </c>
      <c r="I127" s="9">
        <v>232068</v>
      </c>
      <c r="J127" s="9">
        <v>227902</v>
      </c>
      <c r="K127" s="19">
        <f t="shared" si="21"/>
        <v>-1.7951634865642774E-2</v>
      </c>
    </row>
    <row r="128" spans="1:11" x14ac:dyDescent="0.25">
      <c r="A128" s="66" t="s">
        <v>66</v>
      </c>
      <c r="B128" s="46" t="s">
        <v>34</v>
      </c>
      <c r="C128" s="9"/>
      <c r="D128" s="9">
        <v>208399</v>
      </c>
      <c r="E128" s="9">
        <v>144276</v>
      </c>
      <c r="F128" s="9">
        <v>378740</v>
      </c>
      <c r="H128" s="9">
        <v>356775</v>
      </c>
      <c r="I128" s="9">
        <v>336190</v>
      </c>
      <c r="J128" s="9">
        <v>318300</v>
      </c>
      <c r="K128" s="19">
        <f t="shared" si="21"/>
        <v>-5.3213956393705963E-2</v>
      </c>
    </row>
    <row r="129" spans="1:11" x14ac:dyDescent="0.25">
      <c r="A129" s="66" t="s">
        <v>74</v>
      </c>
      <c r="B129" s="46" t="s">
        <v>34</v>
      </c>
      <c r="C129" s="9"/>
      <c r="D129" s="9"/>
      <c r="E129" s="9">
        <v>0</v>
      </c>
      <c r="F129" s="9">
        <v>0</v>
      </c>
      <c r="H129" s="9">
        <v>284</v>
      </c>
      <c r="I129" s="9">
        <v>0</v>
      </c>
      <c r="J129" s="9">
        <v>0</v>
      </c>
      <c r="K129" s="19" t="str">
        <f t="shared" si="21"/>
        <v>n.a.</v>
      </c>
    </row>
    <row r="130" spans="1:11" x14ac:dyDescent="0.25">
      <c r="A130" s="66" t="s">
        <v>146</v>
      </c>
      <c r="B130" s="46" t="s">
        <v>34</v>
      </c>
      <c r="C130" s="9"/>
      <c r="D130" s="9"/>
      <c r="E130" s="9">
        <v>201</v>
      </c>
      <c r="F130" s="9">
        <v>841</v>
      </c>
      <c r="H130" s="9">
        <v>1204</v>
      </c>
      <c r="I130" s="9">
        <v>762</v>
      </c>
      <c r="J130" s="9">
        <v>1410</v>
      </c>
      <c r="K130" s="19">
        <f t="shared" si="21"/>
        <v>0.85039370078740162</v>
      </c>
    </row>
    <row r="131" spans="1:11" x14ac:dyDescent="0.25">
      <c r="A131" s="66" t="s">
        <v>147</v>
      </c>
      <c r="B131" s="46" t="s">
        <v>34</v>
      </c>
      <c r="C131" s="9"/>
      <c r="D131" s="9"/>
      <c r="E131" s="9">
        <v>0</v>
      </c>
      <c r="F131" s="9">
        <v>2641</v>
      </c>
      <c r="H131" s="9">
        <v>2152</v>
      </c>
      <c r="I131" s="9">
        <v>1663</v>
      </c>
      <c r="J131" s="9">
        <v>1173</v>
      </c>
      <c r="K131" s="19">
        <f t="shared" si="21"/>
        <v>-0.29464822609741426</v>
      </c>
    </row>
    <row r="132" spans="1:11" x14ac:dyDescent="0.25">
      <c r="A132" s="66" t="s">
        <v>151</v>
      </c>
      <c r="B132" s="46" t="s">
        <v>34</v>
      </c>
      <c r="C132" s="9"/>
      <c r="D132" s="9">
        <v>8582</v>
      </c>
      <c r="E132" s="9">
        <v>9986</v>
      </c>
      <c r="F132" s="9">
        <v>7917</v>
      </c>
      <c r="H132" s="9">
        <v>7705</v>
      </c>
      <c r="I132" s="9">
        <v>10534</v>
      </c>
      <c r="J132" s="9">
        <v>10343</v>
      </c>
      <c r="K132" s="19">
        <f t="shared" si="21"/>
        <v>-1.813176381241699E-2</v>
      </c>
    </row>
    <row r="133" spans="1:11" x14ac:dyDescent="0.25">
      <c r="A133" s="42" t="s">
        <v>152</v>
      </c>
      <c r="B133" s="51" t="s">
        <v>34</v>
      </c>
      <c r="C133" s="14"/>
      <c r="D133" s="14">
        <f>SUM(D125:D132)</f>
        <v>220975</v>
      </c>
      <c r="E133" s="14">
        <f>SUM(E125:E132)</f>
        <v>179463</v>
      </c>
      <c r="F133" s="14">
        <f>SUM(F125:F132)</f>
        <v>486806</v>
      </c>
      <c r="H133" s="14">
        <f>SUM(H125:H132)</f>
        <v>460620</v>
      </c>
      <c r="I133" s="14">
        <f>SUM(I125:I132)</f>
        <v>581217</v>
      </c>
      <c r="J133" s="14">
        <f>SUM(J125:J132)</f>
        <v>562931</v>
      </c>
      <c r="K133" s="20">
        <f>IFERROR(J133/I133-1,"n.a.")</f>
        <v>-3.1461571151566448E-2</v>
      </c>
    </row>
    <row r="134" spans="1:11" x14ac:dyDescent="0.25">
      <c r="A134" s="52"/>
      <c r="B134" s="46" t="s">
        <v>34</v>
      </c>
      <c r="C134" s="9"/>
      <c r="D134" s="9"/>
      <c r="E134" s="9"/>
      <c r="F134" s="9"/>
      <c r="H134" s="9"/>
      <c r="I134" s="9"/>
      <c r="J134" s="9"/>
      <c r="K134" s="19"/>
    </row>
    <row r="135" spans="1:11" x14ac:dyDescent="0.25">
      <c r="A135" s="40" t="s">
        <v>153</v>
      </c>
      <c r="B135" s="51" t="s">
        <v>34</v>
      </c>
      <c r="C135" s="14"/>
      <c r="D135" s="14">
        <f>+D133+D122</f>
        <v>241161</v>
      </c>
      <c r="E135" s="14">
        <f t="shared" ref="E135:I135" si="22">+E133+E122</f>
        <v>469707</v>
      </c>
      <c r="F135" s="14">
        <f t="shared" si="22"/>
        <v>742452</v>
      </c>
      <c r="H135" s="14">
        <f t="shared" si="22"/>
        <v>682394</v>
      </c>
      <c r="I135" s="14">
        <f t="shared" si="22"/>
        <v>887371</v>
      </c>
      <c r="J135" s="14">
        <f t="shared" ref="J135" si="23">+J133+J122</f>
        <v>835429</v>
      </c>
      <c r="K135" s="20">
        <f>IFERROR(J135/I135-1,"n.a.")</f>
        <v>-5.8534705326182657E-2</v>
      </c>
    </row>
    <row r="136" spans="1:11" x14ac:dyDescent="0.25">
      <c r="A136" s="52"/>
      <c r="B136" s="46"/>
      <c r="C136" s="9"/>
      <c r="D136" s="9"/>
      <c r="E136" s="9"/>
      <c r="F136" s="9"/>
      <c r="H136" s="9"/>
      <c r="I136" s="9"/>
      <c r="J136" s="9"/>
      <c r="K136" s="19"/>
    </row>
    <row r="137" spans="1:11" x14ac:dyDescent="0.25">
      <c r="A137" s="40" t="s">
        <v>154</v>
      </c>
      <c r="B137" s="46"/>
      <c r="C137" s="9"/>
      <c r="D137" s="9"/>
      <c r="E137" s="9"/>
      <c r="F137" s="9"/>
      <c r="H137" s="9"/>
      <c r="I137" s="9"/>
      <c r="J137" s="9"/>
      <c r="K137" s="19"/>
    </row>
    <row r="138" spans="1:11" x14ac:dyDescent="0.25">
      <c r="A138" s="52" t="s">
        <v>155</v>
      </c>
      <c r="B138" s="46" t="s">
        <v>34</v>
      </c>
      <c r="C138" s="9"/>
      <c r="D138" s="9">
        <v>289471</v>
      </c>
      <c r="E138" s="9">
        <v>313135</v>
      </c>
      <c r="F138" s="9">
        <v>314569</v>
      </c>
      <c r="H138" s="9">
        <v>314569</v>
      </c>
      <c r="I138" s="9">
        <v>314569</v>
      </c>
      <c r="J138" s="9">
        <v>314569</v>
      </c>
      <c r="K138" s="19">
        <f t="shared" ref="K138:K140" si="24">IFERROR(J138/I138-1,"n.a.")</f>
        <v>0</v>
      </c>
    </row>
    <row r="139" spans="1:11" x14ac:dyDescent="0.25">
      <c r="A139" s="52" t="s">
        <v>156</v>
      </c>
      <c r="B139" s="46" t="s">
        <v>34</v>
      </c>
      <c r="C139" s="9"/>
      <c r="D139" s="9"/>
      <c r="E139" s="9">
        <v>9686</v>
      </c>
      <c r="F139" s="9">
        <v>38920</v>
      </c>
      <c r="H139" s="9">
        <v>50218</v>
      </c>
      <c r="I139" s="9">
        <v>59998</v>
      </c>
      <c r="J139" s="9">
        <v>80511</v>
      </c>
      <c r="K139" s="19">
        <f t="shared" si="24"/>
        <v>0.34189472982432756</v>
      </c>
    </row>
    <row r="140" spans="1:11" x14ac:dyDescent="0.25">
      <c r="A140" s="52" t="s">
        <v>157</v>
      </c>
      <c r="B140" s="46" t="s">
        <v>34</v>
      </c>
      <c r="C140" s="9"/>
      <c r="D140" s="9">
        <v>-284919</v>
      </c>
      <c r="E140" s="9">
        <v>-218394</v>
      </c>
      <c r="F140" s="9">
        <v>-72981</v>
      </c>
      <c r="H140" s="9">
        <v>-17397</v>
      </c>
      <c r="I140" s="9">
        <v>19597</v>
      </c>
      <c r="J140" s="9">
        <v>65371</v>
      </c>
      <c r="K140" s="19">
        <f t="shared" si="24"/>
        <v>2.3357656784201661</v>
      </c>
    </row>
    <row r="141" spans="1:11" s="29" customFormat="1" x14ac:dyDescent="0.25">
      <c r="A141" s="40" t="s">
        <v>158</v>
      </c>
      <c r="B141" s="51" t="s">
        <v>34</v>
      </c>
      <c r="C141" s="14"/>
      <c r="D141" s="14">
        <f>SUM(D138:D140)</f>
        <v>4552</v>
      </c>
      <c r="E141" s="14">
        <f>SUM(E138:E140)</f>
        <v>104427</v>
      </c>
      <c r="F141" s="14">
        <f>SUM(F138:F140)</f>
        <v>280508</v>
      </c>
      <c r="H141" s="14">
        <f>SUM(H138:H140)</f>
        <v>347390</v>
      </c>
      <c r="I141" s="14">
        <f>SUM(I138:I140)</f>
        <v>394164</v>
      </c>
      <c r="J141" s="14">
        <f>SUM(J138:J140)</f>
        <v>460451</v>
      </c>
      <c r="K141" s="20">
        <f>IFERROR(J141/I141-1,"n.a.")</f>
        <v>0.16817111659106354</v>
      </c>
    </row>
    <row r="142" spans="1:11" x14ac:dyDescent="0.25">
      <c r="A142" s="52"/>
      <c r="B142" s="46"/>
      <c r="C142" s="9"/>
      <c r="D142" s="9"/>
      <c r="E142" s="9"/>
      <c r="F142" s="9"/>
      <c r="H142" s="9"/>
      <c r="I142" s="9"/>
      <c r="J142" s="9"/>
      <c r="K142" s="19"/>
    </row>
    <row r="143" spans="1:11" x14ac:dyDescent="0.25">
      <c r="A143" s="40" t="s">
        <v>159</v>
      </c>
      <c r="B143" s="51" t="s">
        <v>34</v>
      </c>
      <c r="C143" s="14"/>
      <c r="D143" s="14">
        <f>+D141+D135</f>
        <v>245713</v>
      </c>
      <c r="E143" s="14">
        <f>+E141+E135</f>
        <v>574134</v>
      </c>
      <c r="F143" s="14">
        <f>+F141+F135</f>
        <v>1022960</v>
      </c>
      <c r="H143" s="14">
        <f>+H141+H135</f>
        <v>1029784</v>
      </c>
      <c r="I143" s="14">
        <f>+I141+I135</f>
        <v>1281535</v>
      </c>
      <c r="J143" s="14">
        <f>+J141+J135</f>
        <v>1295880</v>
      </c>
      <c r="K143" s="20">
        <f>IFERROR(J143/I143-1,"n.a.")</f>
        <v>1.1193607665807015E-2</v>
      </c>
    </row>
    <row r="144" spans="1:11" s="87" customFormat="1" x14ac:dyDescent="0.25">
      <c r="A144" s="84" t="s">
        <v>160</v>
      </c>
      <c r="B144" s="85"/>
      <c r="C144" s="86"/>
      <c r="D144" s="86">
        <f>+D143-D106</f>
        <v>0</v>
      </c>
      <c r="E144" s="86">
        <f t="shared" ref="E144:F144" si="25">+E143-E106</f>
        <v>0</v>
      </c>
      <c r="F144" s="86">
        <f t="shared" si="25"/>
        <v>0</v>
      </c>
      <c r="H144" s="86">
        <f t="shared" ref="H144" si="26">+H143-H106</f>
        <v>0</v>
      </c>
      <c r="I144" s="86"/>
      <c r="J144" s="86"/>
      <c r="K144" s="89"/>
    </row>
    <row r="146" spans="1:11" ht="16.5" x14ac:dyDescent="0.25">
      <c r="A146" s="27" t="s">
        <v>54</v>
      </c>
      <c r="B146" s="16"/>
      <c r="C146" s="16"/>
      <c r="D146" s="16"/>
      <c r="E146" s="16"/>
      <c r="F146" s="16"/>
      <c r="H146" s="16"/>
      <c r="I146" s="16"/>
      <c r="J146" s="16"/>
      <c r="K146" s="16"/>
    </row>
    <row r="147" spans="1:11" x14ac:dyDescent="0.25">
      <c r="A147" s="65" t="s">
        <v>119</v>
      </c>
      <c r="B147" s="55"/>
      <c r="C147" s="9"/>
      <c r="D147" s="9"/>
      <c r="E147" s="9"/>
      <c r="F147" s="9"/>
      <c r="H147" s="9"/>
      <c r="I147" s="9"/>
      <c r="J147" s="9"/>
      <c r="K147" s="9"/>
    </row>
    <row r="148" spans="1:11" x14ac:dyDescent="0.25">
      <c r="A148" s="42" t="s">
        <v>120</v>
      </c>
      <c r="B148" s="46"/>
      <c r="C148" s="9"/>
      <c r="D148" s="9"/>
      <c r="E148" s="9"/>
      <c r="F148" s="9"/>
      <c r="H148" s="9"/>
      <c r="I148" s="9"/>
      <c r="J148" s="9"/>
      <c r="K148" s="9"/>
    </row>
    <row r="149" spans="1:11" x14ac:dyDescent="0.25">
      <c r="A149" s="66" t="s">
        <v>121</v>
      </c>
      <c r="B149" s="46" t="s">
        <v>34</v>
      </c>
      <c r="C149" s="9">
        <v>10440</v>
      </c>
      <c r="D149" s="9">
        <v>34379</v>
      </c>
      <c r="E149" s="9">
        <v>314581</v>
      </c>
      <c r="F149" s="9">
        <v>872251</v>
      </c>
      <c r="H149" s="9">
        <v>856928</v>
      </c>
      <c r="I149" s="9">
        <v>579842</v>
      </c>
      <c r="J149" s="9">
        <v>658497</v>
      </c>
      <c r="K149" s="19">
        <f>IFERROR(J149/I149-1,"n.a.")</f>
        <v>0.13564902163003034</v>
      </c>
    </row>
    <row r="150" spans="1:11" x14ac:dyDescent="0.25">
      <c r="A150" s="66" t="s">
        <v>122</v>
      </c>
      <c r="B150" s="46" t="s">
        <v>34</v>
      </c>
      <c r="C150" s="9">
        <v>290443</v>
      </c>
      <c r="D150" s="9">
        <v>319321</v>
      </c>
      <c r="E150" s="9">
        <v>353602</v>
      </c>
      <c r="F150" s="9">
        <v>4558</v>
      </c>
      <c r="H150" s="9">
        <v>1471</v>
      </c>
      <c r="I150" s="9">
        <v>1608</v>
      </c>
      <c r="J150" s="9">
        <v>1792</v>
      </c>
      <c r="K150" s="19">
        <f t="shared" ref="K150:K159" si="27">IFERROR(J150/I150-1,"n.a.")</f>
        <v>0.11442786069651745</v>
      </c>
    </row>
    <row r="151" spans="1:11" x14ac:dyDescent="0.25">
      <c r="A151" s="66" t="s">
        <v>74</v>
      </c>
      <c r="B151" s="46" t="s">
        <v>34</v>
      </c>
      <c r="C151" s="9">
        <v>363</v>
      </c>
      <c r="D151" s="9">
        <v>606</v>
      </c>
      <c r="E151" s="9">
        <v>21362</v>
      </c>
      <c r="F151" s="9">
        <v>28</v>
      </c>
      <c r="H151" s="9">
        <v>1517</v>
      </c>
      <c r="I151" s="9">
        <v>875</v>
      </c>
      <c r="J151" s="9">
        <v>32</v>
      </c>
      <c r="K151" s="19">
        <f t="shared" si="27"/>
        <v>-0.96342857142857141</v>
      </c>
    </row>
    <row r="152" spans="1:11" x14ac:dyDescent="0.25">
      <c r="A152" s="66" t="s">
        <v>123</v>
      </c>
      <c r="B152" s="46" t="s">
        <v>34</v>
      </c>
      <c r="C152" s="9">
        <v>16758</v>
      </c>
      <c r="D152" s="9">
        <v>37284</v>
      </c>
      <c r="E152" s="9">
        <v>10479</v>
      </c>
      <c r="F152" s="9">
        <v>56313</v>
      </c>
      <c r="H152" s="9">
        <v>71118</v>
      </c>
      <c r="I152" s="9">
        <v>67783</v>
      </c>
      <c r="J152" s="9">
        <v>91824</v>
      </c>
      <c r="K152" s="19">
        <f t="shared" si="27"/>
        <v>0.35467595119720285</v>
      </c>
    </row>
    <row r="153" spans="1:11" x14ac:dyDescent="0.25">
      <c r="A153" s="66" t="s">
        <v>124</v>
      </c>
      <c r="B153" s="46" t="s">
        <v>34</v>
      </c>
      <c r="C153" s="9">
        <v>22697</v>
      </c>
      <c r="D153" s="9">
        <v>29944</v>
      </c>
      <c r="E153" s="9">
        <v>121958</v>
      </c>
      <c r="F153" s="9">
        <v>164657</v>
      </c>
      <c r="H153" s="9">
        <v>190623</v>
      </c>
      <c r="I153" s="9">
        <v>783891</v>
      </c>
      <c r="J153" s="9">
        <v>708063</v>
      </c>
      <c r="K153" s="19">
        <f t="shared" si="27"/>
        <v>-9.673283658059606E-2</v>
      </c>
    </row>
    <row r="154" spans="1:11" x14ac:dyDescent="0.25">
      <c r="A154" s="66" t="s">
        <v>125</v>
      </c>
      <c r="B154" s="46" t="s">
        <v>34</v>
      </c>
      <c r="C154" s="9">
        <v>0</v>
      </c>
      <c r="D154" s="9">
        <v>0</v>
      </c>
      <c r="E154" s="9">
        <v>6402</v>
      </c>
      <c r="F154" s="9">
        <v>8254</v>
      </c>
      <c r="H154" s="9">
        <v>9174</v>
      </c>
      <c r="I154" s="9">
        <v>9163</v>
      </c>
      <c r="J154" s="9">
        <v>9364</v>
      </c>
      <c r="K154" s="19">
        <f t="shared" si="27"/>
        <v>2.1936047146131177E-2</v>
      </c>
    </row>
    <row r="155" spans="1:11" x14ac:dyDescent="0.25">
      <c r="A155" s="66" t="s">
        <v>126</v>
      </c>
      <c r="B155" s="46" t="s">
        <v>34</v>
      </c>
      <c r="C155" s="9">
        <v>195352</v>
      </c>
      <c r="D155" s="9">
        <v>192720</v>
      </c>
      <c r="E155" s="9">
        <v>156122</v>
      </c>
      <c r="F155" s="9">
        <v>207365</v>
      </c>
      <c r="H155" s="9">
        <v>230644</v>
      </c>
      <c r="I155" s="9">
        <v>242445</v>
      </c>
      <c r="J155" s="9">
        <v>243591</v>
      </c>
      <c r="K155" s="19">
        <f t="shared" si="27"/>
        <v>4.7268452638742353E-3</v>
      </c>
    </row>
    <row r="156" spans="1:11" x14ac:dyDescent="0.25">
      <c r="A156" s="66" t="s">
        <v>233</v>
      </c>
      <c r="B156" s="46" t="s">
        <v>34</v>
      </c>
      <c r="C156" s="9">
        <v>0</v>
      </c>
      <c r="D156" s="9">
        <v>0</v>
      </c>
      <c r="E156" s="9">
        <v>0</v>
      </c>
      <c r="F156" s="9">
        <v>4620</v>
      </c>
      <c r="H156" s="9">
        <v>0</v>
      </c>
      <c r="I156" s="9">
        <v>4322</v>
      </c>
      <c r="J156" s="9">
        <v>2030</v>
      </c>
      <c r="K156" s="19">
        <f t="shared" si="27"/>
        <v>-0.53031004164738549</v>
      </c>
    </row>
    <row r="157" spans="1:11" x14ac:dyDescent="0.25">
      <c r="A157" s="66" t="s">
        <v>127</v>
      </c>
      <c r="B157" s="46" t="s">
        <v>34</v>
      </c>
      <c r="C157" s="9">
        <v>54574</v>
      </c>
      <c r="D157" s="9">
        <v>26963</v>
      </c>
      <c r="E157" s="9">
        <v>37195</v>
      </c>
      <c r="F157" s="9">
        <v>29262</v>
      </c>
      <c r="H157" s="9">
        <v>28032</v>
      </c>
      <c r="I157" s="9">
        <v>52440</v>
      </c>
      <c r="J157" s="9">
        <v>47041</v>
      </c>
      <c r="K157" s="19">
        <f t="shared" si="27"/>
        <v>-0.10295575896262399</v>
      </c>
    </row>
    <row r="158" spans="1:11" x14ac:dyDescent="0.25">
      <c r="A158" s="66" t="s">
        <v>128</v>
      </c>
      <c r="B158" s="46" t="s">
        <v>34</v>
      </c>
      <c r="C158" s="9">
        <v>35741</v>
      </c>
      <c r="D158" s="9">
        <v>45246</v>
      </c>
      <c r="E158" s="9">
        <v>7662</v>
      </c>
      <c r="F158" s="9">
        <v>7561</v>
      </c>
      <c r="H158" s="9">
        <v>23383</v>
      </c>
      <c r="I158" s="9">
        <v>36888</v>
      </c>
      <c r="J158" s="9">
        <v>22442</v>
      </c>
      <c r="K158" s="19">
        <f t="shared" si="27"/>
        <v>-0.39161787031012796</v>
      </c>
    </row>
    <row r="159" spans="1:11" x14ac:dyDescent="0.25">
      <c r="A159" s="66" t="s">
        <v>129</v>
      </c>
      <c r="B159" s="46" t="s">
        <v>34</v>
      </c>
      <c r="C159" s="9">
        <v>0</v>
      </c>
      <c r="D159" s="9">
        <v>0</v>
      </c>
      <c r="E159" s="9">
        <v>727</v>
      </c>
      <c r="F159" s="9">
        <v>272</v>
      </c>
      <c r="H159" s="9">
        <v>300</v>
      </c>
      <c r="I159" s="9">
        <v>130</v>
      </c>
      <c r="J159" s="9">
        <v>171</v>
      </c>
      <c r="K159" s="19">
        <f t="shared" si="27"/>
        <v>0.31538461538461537</v>
      </c>
    </row>
    <row r="160" spans="1:11" x14ac:dyDescent="0.25">
      <c r="A160" s="42" t="s">
        <v>130</v>
      </c>
      <c r="B160" s="51" t="s">
        <v>34</v>
      </c>
      <c r="C160" s="14">
        <f t="shared" ref="C160" si="28">SUM(C149:C159)</f>
        <v>626368</v>
      </c>
      <c r="D160" s="14">
        <f t="shared" ref="D160" si="29">SUM(D149:D159)</f>
        <v>686463</v>
      </c>
      <c r="E160" s="14">
        <f t="shared" ref="E160" si="30">SUM(E149:E159)</f>
        <v>1030090</v>
      </c>
      <c r="F160" s="14">
        <f>SUM(F149:F159)</f>
        <v>1355141</v>
      </c>
      <c r="H160" s="14">
        <f>SUM(H149:H159)</f>
        <v>1413190</v>
      </c>
      <c r="I160" s="14">
        <f>SUM(I149:I159)</f>
        <v>1779387</v>
      </c>
      <c r="J160" s="14">
        <f>SUM(J149:J159)</f>
        <v>1784847</v>
      </c>
      <c r="K160" s="20">
        <f>IFERROR(J160/I160-1,"n.a.")</f>
        <v>3.0684724570877453E-3</v>
      </c>
    </row>
    <row r="161" spans="1:11" x14ac:dyDescent="0.25">
      <c r="A161" s="52"/>
      <c r="B161" s="46"/>
      <c r="C161" s="9"/>
      <c r="D161" s="9"/>
      <c r="E161" s="9"/>
      <c r="F161" s="9"/>
      <c r="H161" s="9"/>
      <c r="I161" s="9"/>
      <c r="J161" s="9"/>
      <c r="K161" s="19"/>
    </row>
    <row r="162" spans="1:11" x14ac:dyDescent="0.25">
      <c r="A162" s="42" t="s">
        <v>131</v>
      </c>
      <c r="B162" s="46"/>
      <c r="C162" s="9"/>
      <c r="D162" s="9"/>
      <c r="E162" s="9"/>
      <c r="F162" s="9"/>
      <c r="H162" s="9"/>
      <c r="I162" s="9"/>
      <c r="J162" s="9"/>
      <c r="K162" s="19"/>
    </row>
    <row r="163" spans="1:11" x14ac:dyDescent="0.25">
      <c r="A163" s="66" t="s">
        <v>122</v>
      </c>
      <c r="B163" s="46" t="s">
        <v>34</v>
      </c>
      <c r="C163" s="9">
        <v>5146</v>
      </c>
      <c r="D163" s="9">
        <v>4815</v>
      </c>
      <c r="E163" s="9">
        <v>4365</v>
      </c>
      <c r="F163" s="9">
        <v>6034</v>
      </c>
      <c r="H163" s="9">
        <v>5907</v>
      </c>
      <c r="I163" s="9">
        <v>5962</v>
      </c>
      <c r="J163" s="9">
        <v>6716</v>
      </c>
      <c r="K163" s="19">
        <f t="shared" ref="K163:K173" si="31">IFERROR(J163/I163-1,"n.a.")</f>
        <v>0.12646762831264668</v>
      </c>
    </row>
    <row r="164" spans="1:11" x14ac:dyDescent="0.25">
      <c r="A164" s="66" t="s">
        <v>74</v>
      </c>
      <c r="B164" s="46" t="s">
        <v>34</v>
      </c>
      <c r="C164" s="9">
        <v>0</v>
      </c>
      <c r="D164" s="9">
        <v>0</v>
      </c>
      <c r="E164" s="9">
        <v>0</v>
      </c>
      <c r="F164" s="9">
        <v>12169</v>
      </c>
      <c r="H164" s="9">
        <v>20742</v>
      </c>
      <c r="I164" s="9">
        <v>31967</v>
      </c>
      <c r="J164" s="9">
        <v>48368</v>
      </c>
      <c r="K164" s="19">
        <f t="shared" si="31"/>
        <v>0.51306034347921292</v>
      </c>
    </row>
    <row r="165" spans="1:11" x14ac:dyDescent="0.25">
      <c r="A165" s="66" t="s">
        <v>125</v>
      </c>
      <c r="B165" s="46" t="s">
        <v>34</v>
      </c>
      <c r="C165" s="9">
        <v>0</v>
      </c>
      <c r="D165" s="9">
        <v>0</v>
      </c>
      <c r="E165" s="9">
        <v>23158</v>
      </c>
      <c r="F165" s="9">
        <v>25075</v>
      </c>
      <c r="H165" s="9">
        <v>28060</v>
      </c>
      <c r="I165" s="9">
        <v>24959</v>
      </c>
      <c r="J165" s="9">
        <v>25686</v>
      </c>
      <c r="K165" s="19">
        <f t="shared" si="31"/>
        <v>2.9127769542048876E-2</v>
      </c>
    </row>
    <row r="166" spans="1:11" x14ac:dyDescent="0.25">
      <c r="A166" s="66" t="s">
        <v>127</v>
      </c>
      <c r="B166" s="46" t="s">
        <v>34</v>
      </c>
      <c r="C166" s="9">
        <v>10250</v>
      </c>
      <c r="D166" s="9">
        <v>15901</v>
      </c>
      <c r="E166" s="9">
        <v>23197</v>
      </c>
      <c r="F166" s="9">
        <v>35013</v>
      </c>
      <c r="H166" s="9">
        <v>45492</v>
      </c>
      <c r="I166" s="9">
        <v>43898</v>
      </c>
      <c r="J166" s="9">
        <v>48942</v>
      </c>
      <c r="K166" s="19">
        <f t="shared" si="31"/>
        <v>0.11490272905371546</v>
      </c>
    </row>
    <row r="167" spans="1:11" x14ac:dyDescent="0.25">
      <c r="A167" s="66" t="s">
        <v>132</v>
      </c>
      <c r="B167" s="46" t="s">
        <v>34</v>
      </c>
      <c r="C167" s="9">
        <v>14014</v>
      </c>
      <c r="D167" s="9">
        <v>29392</v>
      </c>
      <c r="E167" s="9">
        <v>28752</v>
      </c>
      <c r="F167" s="9">
        <v>20547</v>
      </c>
      <c r="H167" s="9">
        <v>19936</v>
      </c>
      <c r="I167" s="9">
        <v>19626</v>
      </c>
      <c r="J167" s="9">
        <v>18900</v>
      </c>
      <c r="K167" s="19">
        <f t="shared" si="31"/>
        <v>-3.6991745643534135E-2</v>
      </c>
    </row>
    <row r="168" spans="1:11" x14ac:dyDescent="0.25">
      <c r="A168" s="66" t="s">
        <v>133</v>
      </c>
      <c r="B168" s="46" t="s">
        <v>34</v>
      </c>
      <c r="C168" s="9">
        <v>12279</v>
      </c>
      <c r="D168" s="9">
        <v>15726</v>
      </c>
      <c r="E168" s="9">
        <v>77281</v>
      </c>
      <c r="F168" s="9">
        <v>123596</v>
      </c>
      <c r="H168" s="9">
        <v>89675</v>
      </c>
      <c r="I168" s="9">
        <v>81602</v>
      </c>
      <c r="J168" s="9">
        <v>56494</v>
      </c>
      <c r="K168" s="19">
        <f t="shared" si="31"/>
        <v>-0.30768853704566068</v>
      </c>
    </row>
    <row r="169" spans="1:11" x14ac:dyDescent="0.25">
      <c r="A169" s="66" t="s">
        <v>128</v>
      </c>
      <c r="B169" s="46" t="s">
        <v>34</v>
      </c>
      <c r="C169" s="9">
        <v>7905</v>
      </c>
      <c r="D169" s="9">
        <v>10058</v>
      </c>
      <c r="E169" s="9">
        <v>35</v>
      </c>
      <c r="F169" s="9">
        <v>58</v>
      </c>
      <c r="H169" s="9">
        <v>55</v>
      </c>
      <c r="I169" s="9">
        <v>51</v>
      </c>
      <c r="J169" s="9">
        <v>48</v>
      </c>
      <c r="K169" s="19">
        <f t="shared" si="31"/>
        <v>-5.8823529411764719E-2</v>
      </c>
    </row>
    <row r="170" spans="1:11" x14ac:dyDescent="0.25">
      <c r="A170" s="66" t="s">
        <v>134</v>
      </c>
      <c r="B170" s="46" t="s">
        <v>34</v>
      </c>
      <c r="C170" s="9">
        <v>0</v>
      </c>
      <c r="D170" s="9">
        <v>0</v>
      </c>
      <c r="E170" s="9">
        <v>0</v>
      </c>
      <c r="F170" s="9">
        <v>0</v>
      </c>
      <c r="H170" s="9">
        <v>0</v>
      </c>
      <c r="I170" s="9">
        <v>0</v>
      </c>
      <c r="J170" s="9">
        <v>0</v>
      </c>
      <c r="K170" s="19" t="str">
        <f t="shared" si="31"/>
        <v>n.a.</v>
      </c>
    </row>
    <row r="171" spans="1:11" x14ac:dyDescent="0.25">
      <c r="A171" s="66" t="s">
        <v>135</v>
      </c>
      <c r="B171" s="46" t="s">
        <v>34</v>
      </c>
      <c r="C171" s="9">
        <v>890862</v>
      </c>
      <c r="D171" s="9">
        <v>1026176</v>
      </c>
      <c r="E171" s="9">
        <v>1143832</v>
      </c>
      <c r="F171" s="9">
        <v>1117706</v>
      </c>
      <c r="H171" s="9">
        <v>1099868</v>
      </c>
      <c r="I171" s="9">
        <v>1113078</v>
      </c>
      <c r="J171" s="9">
        <v>1174483</v>
      </c>
      <c r="K171" s="19">
        <f t="shared" si="31"/>
        <v>5.5166843653364772E-2</v>
      </c>
    </row>
    <row r="172" spans="1:11" x14ac:dyDescent="0.25">
      <c r="A172" s="66" t="s">
        <v>136</v>
      </c>
      <c r="B172" s="46" t="s">
        <v>34</v>
      </c>
      <c r="C172" s="9">
        <v>0</v>
      </c>
      <c r="D172" s="9">
        <v>0</v>
      </c>
      <c r="E172" s="9">
        <v>394787</v>
      </c>
      <c r="F172" s="9">
        <v>377753</v>
      </c>
      <c r="H172" s="9">
        <v>396893</v>
      </c>
      <c r="I172" s="9">
        <v>397035</v>
      </c>
      <c r="J172" s="9">
        <v>382603</v>
      </c>
      <c r="K172" s="19">
        <f t="shared" si="31"/>
        <v>-3.6349440225672769E-2</v>
      </c>
    </row>
    <row r="173" spans="1:11" x14ac:dyDescent="0.25">
      <c r="A173" s="66" t="s">
        <v>137</v>
      </c>
      <c r="B173" s="46" t="s">
        <v>34</v>
      </c>
      <c r="C173" s="9">
        <v>2721</v>
      </c>
      <c r="D173" s="9">
        <v>3298</v>
      </c>
      <c r="E173" s="9">
        <v>2806</v>
      </c>
      <c r="F173" s="9">
        <v>2203</v>
      </c>
      <c r="H173" s="9">
        <v>1970</v>
      </c>
      <c r="I173" s="9">
        <v>2159</v>
      </c>
      <c r="J173" s="9">
        <v>2259</v>
      </c>
      <c r="K173" s="19">
        <f t="shared" si="31"/>
        <v>4.6317739694302862E-2</v>
      </c>
    </row>
    <row r="174" spans="1:11" x14ac:dyDescent="0.25">
      <c r="A174" s="42" t="s">
        <v>138</v>
      </c>
      <c r="B174" s="51" t="s">
        <v>34</v>
      </c>
      <c r="C174" s="14">
        <f t="shared" ref="C174" si="32">SUM(C163:C173)</f>
        <v>943177</v>
      </c>
      <c r="D174" s="14">
        <f t="shared" ref="D174" si="33">SUM(D163:D173)</f>
        <v>1105366</v>
      </c>
      <c r="E174" s="14">
        <f t="shared" ref="E174" si="34">SUM(E163:E173)</f>
        <v>1698213</v>
      </c>
      <c r="F174" s="14">
        <f>SUM(F163:F173)</f>
        <v>1720154</v>
      </c>
      <c r="H174" s="14">
        <f>SUM(H163:H173)</f>
        <v>1708598</v>
      </c>
      <c r="I174" s="14">
        <f>SUM(I163:I173)</f>
        <v>1720337</v>
      </c>
      <c r="J174" s="14">
        <f>SUM(J163:J173)</f>
        <v>1764499</v>
      </c>
      <c r="K174" s="20">
        <f>IFERROR(J174/I174-1,"n.a.")</f>
        <v>2.567055175817301E-2</v>
      </c>
    </row>
    <row r="175" spans="1:11" x14ac:dyDescent="0.25">
      <c r="A175" s="52"/>
      <c r="B175" s="46"/>
      <c r="C175" s="9"/>
      <c r="D175" s="9"/>
      <c r="E175" s="9"/>
      <c r="F175" s="9"/>
      <c r="H175" s="9"/>
      <c r="I175" s="9"/>
      <c r="J175" s="9"/>
      <c r="K175" s="19"/>
    </row>
    <row r="176" spans="1:11" x14ac:dyDescent="0.25">
      <c r="A176" s="40" t="s">
        <v>139</v>
      </c>
      <c r="B176" s="51" t="s">
        <v>34</v>
      </c>
      <c r="C176" s="14">
        <f t="shared" ref="C176:E176" si="35">C160+C174</f>
        <v>1569545</v>
      </c>
      <c r="D176" s="14">
        <f t="shared" si="35"/>
        <v>1791829</v>
      </c>
      <c r="E176" s="14">
        <f t="shared" si="35"/>
        <v>2728303</v>
      </c>
      <c r="F176" s="14">
        <f>F160+F174</f>
        <v>3075295</v>
      </c>
      <c r="H176" s="14">
        <f>H160+H174</f>
        <v>3121788</v>
      </c>
      <c r="I176" s="14">
        <f>I160+I174</f>
        <v>3499724</v>
      </c>
      <c r="J176" s="14">
        <f>J160+J174</f>
        <v>3549346</v>
      </c>
      <c r="K176" s="20">
        <f>IFERROR(J176/I176-1,"n.a.")</f>
        <v>1.41788323879255E-2</v>
      </c>
    </row>
    <row r="177" spans="1:11" x14ac:dyDescent="0.25">
      <c r="A177" s="52"/>
      <c r="B177" s="46"/>
      <c r="C177" s="9"/>
      <c r="D177" s="9"/>
      <c r="E177" s="9"/>
      <c r="F177" s="9"/>
      <c r="H177" s="9"/>
      <c r="I177" s="9"/>
      <c r="J177" s="9"/>
      <c r="K177" s="19"/>
    </row>
    <row r="178" spans="1:11" x14ac:dyDescent="0.25">
      <c r="A178" s="40" t="s">
        <v>140</v>
      </c>
      <c r="B178" s="46"/>
      <c r="C178" s="9"/>
      <c r="D178" s="9"/>
      <c r="E178" s="9"/>
      <c r="F178" s="9"/>
      <c r="H178" s="9"/>
      <c r="I178" s="9"/>
      <c r="J178" s="9"/>
      <c r="K178" s="19"/>
    </row>
    <row r="179" spans="1:11" x14ac:dyDescent="0.25">
      <c r="A179" s="42" t="s">
        <v>120</v>
      </c>
      <c r="B179" s="46"/>
      <c r="C179" s="9"/>
      <c r="D179" s="9"/>
      <c r="E179" s="9"/>
      <c r="F179" s="9"/>
      <c r="H179" s="9"/>
      <c r="I179" s="9"/>
      <c r="J179" s="9"/>
      <c r="K179" s="19"/>
    </row>
    <row r="180" spans="1:11" x14ac:dyDescent="0.25">
      <c r="A180" s="66" t="s">
        <v>142</v>
      </c>
      <c r="B180" s="46" t="s">
        <v>34</v>
      </c>
      <c r="C180" s="9">
        <v>45144</v>
      </c>
      <c r="D180" s="9">
        <v>79221</v>
      </c>
      <c r="E180" s="9">
        <v>79305</v>
      </c>
      <c r="F180" s="9">
        <v>107747</v>
      </c>
      <c r="H180" s="9">
        <v>146684</v>
      </c>
      <c r="I180" s="9">
        <v>308243</v>
      </c>
      <c r="J180" s="9">
        <v>203747</v>
      </c>
      <c r="K180" s="19">
        <f t="shared" ref="K180:K191" si="36">IFERROR(J180/I180-1,"n.a.")</f>
        <v>-0.33900526532638209</v>
      </c>
    </row>
    <row r="181" spans="1:11" x14ac:dyDescent="0.25">
      <c r="A181" s="66" t="s">
        <v>143</v>
      </c>
      <c r="B181" s="46" t="s">
        <v>34</v>
      </c>
      <c r="C181" s="9">
        <v>0</v>
      </c>
      <c r="D181" s="9">
        <v>0</v>
      </c>
      <c r="E181" s="9">
        <v>16016</v>
      </c>
      <c r="F181" s="9">
        <v>23415</v>
      </c>
      <c r="H181" s="9">
        <v>25726</v>
      </c>
      <c r="I181" s="9">
        <v>31911</v>
      </c>
      <c r="J181" s="9">
        <v>32876</v>
      </c>
      <c r="K181" s="19">
        <f t="shared" si="36"/>
        <v>3.0240355990097445E-2</v>
      </c>
    </row>
    <row r="182" spans="1:11" x14ac:dyDescent="0.25">
      <c r="A182" s="66" t="s">
        <v>144</v>
      </c>
      <c r="B182" s="46" t="s">
        <v>34</v>
      </c>
      <c r="C182" s="9">
        <v>0</v>
      </c>
      <c r="D182" s="9">
        <v>0</v>
      </c>
      <c r="E182" s="9">
        <v>67571</v>
      </c>
      <c r="F182" s="9">
        <v>76105</v>
      </c>
      <c r="H182" s="9">
        <v>75081</v>
      </c>
      <c r="I182" s="9">
        <v>71995</v>
      </c>
      <c r="J182" s="9">
        <v>71474</v>
      </c>
      <c r="K182" s="19">
        <f t="shared" si="36"/>
        <v>-7.2366136537259651E-3</v>
      </c>
    </row>
    <row r="183" spans="1:11" x14ac:dyDescent="0.25">
      <c r="A183" s="66" t="s">
        <v>145</v>
      </c>
      <c r="B183" s="46" t="s">
        <v>34</v>
      </c>
      <c r="C183" s="9">
        <v>104080</v>
      </c>
      <c r="D183" s="9">
        <v>198741</v>
      </c>
      <c r="E183" s="9">
        <v>315726</v>
      </c>
      <c r="F183" s="9">
        <v>185014</v>
      </c>
      <c r="H183" s="9">
        <v>106355</v>
      </c>
      <c r="I183" s="9">
        <v>64698</v>
      </c>
      <c r="J183" s="9">
        <v>72830</v>
      </c>
      <c r="K183" s="19">
        <f t="shared" si="36"/>
        <v>0.12569167516770219</v>
      </c>
    </row>
    <row r="184" spans="1:11" x14ac:dyDescent="0.25">
      <c r="A184" s="66" t="s">
        <v>66</v>
      </c>
      <c r="B184" s="46" t="s">
        <v>34</v>
      </c>
      <c r="C184" s="9">
        <v>67684</v>
      </c>
      <c r="D184" s="9">
        <v>20808</v>
      </c>
      <c r="E184" s="9">
        <v>88738</v>
      </c>
      <c r="F184" s="9">
        <v>100588</v>
      </c>
      <c r="H184" s="9">
        <v>175004</v>
      </c>
      <c r="I184" s="9">
        <v>173958</v>
      </c>
      <c r="J184" s="9">
        <v>219912</v>
      </c>
      <c r="K184" s="19">
        <f t="shared" si="36"/>
        <v>0.26416721277549748</v>
      </c>
    </row>
    <row r="185" spans="1:11" x14ac:dyDescent="0.25">
      <c r="A185" s="66" t="s">
        <v>74</v>
      </c>
      <c r="B185" s="46" t="s">
        <v>34</v>
      </c>
      <c r="C185" s="9">
        <v>0</v>
      </c>
      <c r="D185" s="9">
        <v>0</v>
      </c>
      <c r="E185" s="9">
        <v>878</v>
      </c>
      <c r="F185" s="9">
        <v>4429</v>
      </c>
      <c r="H185" s="9">
        <v>2217</v>
      </c>
      <c r="I185" s="9">
        <v>2457</v>
      </c>
      <c r="J185" s="9">
        <v>1931</v>
      </c>
      <c r="K185" s="19">
        <f t="shared" si="36"/>
        <v>-0.21408221408221406</v>
      </c>
    </row>
    <row r="186" spans="1:11" x14ac:dyDescent="0.25">
      <c r="A186" s="66" t="s">
        <v>146</v>
      </c>
      <c r="B186" s="46" t="s">
        <v>34</v>
      </c>
      <c r="C186" s="9">
        <v>21742</v>
      </c>
      <c r="D186" s="9">
        <v>21839</v>
      </c>
      <c r="E186" s="9">
        <v>32427</v>
      </c>
      <c r="F186" s="9">
        <v>41842</v>
      </c>
      <c r="H186" s="9">
        <v>32692</v>
      </c>
      <c r="I186" s="9">
        <v>35256</v>
      </c>
      <c r="J186" s="9">
        <v>33473</v>
      </c>
      <c r="K186" s="19">
        <f t="shared" si="36"/>
        <v>-5.0572952121624715E-2</v>
      </c>
    </row>
    <row r="187" spans="1:11" x14ac:dyDescent="0.25">
      <c r="A187" s="66" t="s">
        <v>234</v>
      </c>
      <c r="B187" s="46" t="s">
        <v>34</v>
      </c>
      <c r="C187" s="9">
        <v>0</v>
      </c>
      <c r="D187" s="9">
        <v>0</v>
      </c>
      <c r="E187" s="9">
        <v>0</v>
      </c>
      <c r="F187" s="9">
        <v>10797</v>
      </c>
      <c r="H187" s="9">
        <v>0</v>
      </c>
      <c r="I187" s="9">
        <v>31562</v>
      </c>
      <c r="J187" s="9">
        <v>18707</v>
      </c>
      <c r="K187" s="19">
        <f t="shared" si="36"/>
        <v>-0.40729358088841017</v>
      </c>
    </row>
    <row r="188" spans="1:11" x14ac:dyDescent="0.25">
      <c r="A188" s="66" t="s">
        <v>147</v>
      </c>
      <c r="B188" s="46" t="s">
        <v>34</v>
      </c>
      <c r="C188" s="9">
        <v>9301</v>
      </c>
      <c r="D188" s="9">
        <v>19616</v>
      </c>
      <c r="E188" s="9">
        <v>18338</v>
      </c>
      <c r="F188" s="9">
        <v>17624</v>
      </c>
      <c r="H188" s="9">
        <v>35993</v>
      </c>
      <c r="I188" s="9">
        <v>20303</v>
      </c>
      <c r="J188" s="9">
        <v>28328</v>
      </c>
      <c r="K188" s="19">
        <f t="shared" si="36"/>
        <v>0.39526178397281186</v>
      </c>
    </row>
    <row r="189" spans="1:11" x14ac:dyDescent="0.25">
      <c r="A189" s="66" t="s">
        <v>148</v>
      </c>
      <c r="B189" s="46" t="s">
        <v>34</v>
      </c>
      <c r="C189" s="9">
        <v>27797</v>
      </c>
      <c r="D189" s="9">
        <v>0</v>
      </c>
      <c r="E189" s="9">
        <v>8097</v>
      </c>
      <c r="F189" s="9">
        <v>17462</v>
      </c>
      <c r="H189" s="9">
        <v>0</v>
      </c>
      <c r="I189" s="9">
        <v>16870</v>
      </c>
      <c r="J189" s="9">
        <v>23335</v>
      </c>
      <c r="K189" s="19">
        <f t="shared" si="36"/>
        <v>0.38322465915826909</v>
      </c>
    </row>
    <row r="190" spans="1:11" x14ac:dyDescent="0.25">
      <c r="A190" s="66" t="s">
        <v>141</v>
      </c>
      <c r="B190" s="46" t="s">
        <v>34</v>
      </c>
      <c r="C190" s="9">
        <v>0</v>
      </c>
      <c r="D190" s="9">
        <v>0</v>
      </c>
      <c r="E190" s="9">
        <v>0</v>
      </c>
      <c r="F190" s="9">
        <v>26819</v>
      </c>
      <c r="H190" s="9">
        <v>0</v>
      </c>
      <c r="I190" s="9">
        <v>214138</v>
      </c>
      <c r="J190" s="9">
        <v>214138</v>
      </c>
      <c r="K190" s="19">
        <f t="shared" si="36"/>
        <v>0</v>
      </c>
    </row>
    <row r="191" spans="1:11" x14ac:dyDescent="0.25">
      <c r="A191" s="66" t="s">
        <v>149</v>
      </c>
      <c r="B191" s="46" t="s">
        <v>34</v>
      </c>
      <c r="C191" s="9">
        <v>14840</v>
      </c>
      <c r="D191" s="9">
        <v>16435</v>
      </c>
      <c r="E191" s="9">
        <v>21029</v>
      </c>
      <c r="F191" s="9">
        <v>12385</v>
      </c>
      <c r="H191" s="9">
        <v>5766</v>
      </c>
      <c r="I191" s="9">
        <v>8886</v>
      </c>
      <c r="J191" s="9">
        <v>16702</v>
      </c>
      <c r="K191" s="19">
        <f t="shared" si="36"/>
        <v>0.87958586540625694</v>
      </c>
    </row>
    <row r="192" spans="1:11" x14ac:dyDescent="0.25">
      <c r="A192" s="42" t="s">
        <v>150</v>
      </c>
      <c r="B192" s="51" t="s">
        <v>34</v>
      </c>
      <c r="C192" s="14">
        <f t="shared" ref="C192" si="37">SUM(C180:C191)</f>
        <v>290588</v>
      </c>
      <c r="D192" s="14">
        <f t="shared" ref="D192" si="38">SUM(D180:D191)</f>
        <v>356660</v>
      </c>
      <c r="E192" s="14">
        <f t="shared" ref="E192" si="39">SUM(E180:E191)</f>
        <v>648125</v>
      </c>
      <c r="F192" s="14">
        <f>SUM(F180:F191)</f>
        <v>624227</v>
      </c>
      <c r="H192" s="14">
        <f>SUM(H180:H191)</f>
        <v>605518</v>
      </c>
      <c r="I192" s="14">
        <f>SUM(I180:I191)</f>
        <v>980277</v>
      </c>
      <c r="J192" s="14">
        <f>SUM(J180:J191)</f>
        <v>937453</v>
      </c>
      <c r="K192" s="20">
        <f>IFERROR(J192/I192-1,"n.a.")</f>
        <v>-4.3685611311904737E-2</v>
      </c>
    </row>
    <row r="193" spans="1:11" x14ac:dyDescent="0.25">
      <c r="A193" s="52"/>
      <c r="B193" s="46"/>
      <c r="C193" s="9"/>
      <c r="D193" s="9"/>
      <c r="E193" s="9"/>
      <c r="F193" s="9"/>
      <c r="H193" s="9"/>
      <c r="I193" s="9"/>
      <c r="J193" s="9"/>
      <c r="K193" s="19"/>
    </row>
    <row r="194" spans="1:11" x14ac:dyDescent="0.25">
      <c r="A194" s="42" t="s">
        <v>131</v>
      </c>
      <c r="B194" s="46"/>
      <c r="C194" s="9"/>
      <c r="D194" s="9"/>
      <c r="E194" s="9"/>
      <c r="F194" s="9"/>
      <c r="H194" s="9"/>
      <c r="I194" s="9"/>
      <c r="J194" s="9"/>
      <c r="K194" s="19"/>
    </row>
    <row r="195" spans="1:11" x14ac:dyDescent="0.25">
      <c r="A195" s="66" t="s">
        <v>143</v>
      </c>
      <c r="B195" s="46" t="s">
        <v>34</v>
      </c>
      <c r="C195" s="9">
        <v>0</v>
      </c>
      <c r="D195" s="9">
        <v>0</v>
      </c>
      <c r="E195" s="9">
        <v>54081</v>
      </c>
      <c r="F195" s="9">
        <v>63483</v>
      </c>
      <c r="H195" s="9">
        <v>91255</v>
      </c>
      <c r="I195" s="9">
        <v>102501</v>
      </c>
      <c r="J195" s="9">
        <v>108028</v>
      </c>
      <c r="K195" s="19">
        <f t="shared" ref="K195:K202" si="40">IFERROR(J195/I195-1,"n.a.")</f>
        <v>5.3921425156827629E-2</v>
      </c>
    </row>
    <row r="196" spans="1:11" x14ac:dyDescent="0.25">
      <c r="A196" s="66" t="s">
        <v>144</v>
      </c>
      <c r="B196" s="46" t="s">
        <v>34</v>
      </c>
      <c r="C196" s="9">
        <v>0</v>
      </c>
      <c r="D196" s="9">
        <v>0</v>
      </c>
      <c r="E196" s="9">
        <v>268966</v>
      </c>
      <c r="F196" s="9">
        <v>262343</v>
      </c>
      <c r="H196" s="9">
        <v>260821</v>
      </c>
      <c r="I196" s="9">
        <v>249187</v>
      </c>
      <c r="J196" s="9">
        <v>237243</v>
      </c>
      <c r="K196" s="19">
        <f t="shared" si="40"/>
        <v>-4.7931874455729995E-2</v>
      </c>
    </row>
    <row r="197" spans="1:11" x14ac:dyDescent="0.25">
      <c r="A197" s="66" t="s">
        <v>145</v>
      </c>
      <c r="B197" s="46" t="s">
        <v>34</v>
      </c>
      <c r="C197" s="9">
        <v>572001</v>
      </c>
      <c r="D197" s="9">
        <v>464917</v>
      </c>
      <c r="E197" s="9">
        <v>367904</v>
      </c>
      <c r="F197" s="9">
        <v>311328</v>
      </c>
      <c r="H197" s="9">
        <v>312701</v>
      </c>
      <c r="I197" s="9">
        <v>441871</v>
      </c>
      <c r="J197" s="9">
        <v>437015</v>
      </c>
      <c r="K197" s="19">
        <f t="shared" si="40"/>
        <v>-1.0989632720861953E-2</v>
      </c>
    </row>
    <row r="198" spans="1:11" x14ac:dyDescent="0.25">
      <c r="A198" s="66" t="s">
        <v>66</v>
      </c>
      <c r="B198" s="46" t="s">
        <v>34</v>
      </c>
      <c r="C198" s="9">
        <v>63174</v>
      </c>
      <c r="D198" s="9">
        <v>287514</v>
      </c>
      <c r="E198" s="9">
        <v>604094</v>
      </c>
      <c r="F198" s="9">
        <v>829576</v>
      </c>
      <c r="H198" s="9">
        <v>770855</v>
      </c>
      <c r="I198" s="9">
        <v>735634</v>
      </c>
      <c r="J198" s="9">
        <v>684347</v>
      </c>
      <c r="K198" s="19">
        <f t="shared" si="40"/>
        <v>-6.9718093508456702E-2</v>
      </c>
    </row>
    <row r="199" spans="1:11" x14ac:dyDescent="0.25">
      <c r="A199" s="66" t="s">
        <v>74</v>
      </c>
      <c r="B199" s="46" t="s">
        <v>34</v>
      </c>
      <c r="C199" s="9">
        <v>0</v>
      </c>
      <c r="D199" s="9">
        <v>0</v>
      </c>
      <c r="E199" s="9">
        <v>0</v>
      </c>
      <c r="F199" s="9">
        <v>0</v>
      </c>
      <c r="H199" s="9">
        <v>284</v>
      </c>
      <c r="I199" s="9">
        <v>0</v>
      </c>
      <c r="J199" s="9">
        <v>0</v>
      </c>
      <c r="K199" s="19" t="str">
        <f t="shared" si="40"/>
        <v>n.a.</v>
      </c>
    </row>
    <row r="200" spans="1:11" x14ac:dyDescent="0.25">
      <c r="A200" s="66" t="s">
        <v>146</v>
      </c>
      <c r="B200" s="46" t="s">
        <v>34</v>
      </c>
      <c r="C200" s="9">
        <v>6352</v>
      </c>
      <c r="D200" s="9">
        <v>4285</v>
      </c>
      <c r="E200" s="9">
        <v>7993</v>
      </c>
      <c r="F200" s="9">
        <v>7847</v>
      </c>
      <c r="H200" s="9">
        <v>11347</v>
      </c>
      <c r="I200" s="9">
        <v>8071</v>
      </c>
      <c r="J200" s="9">
        <v>12458</v>
      </c>
      <c r="K200" s="19">
        <f t="shared" si="40"/>
        <v>0.54355098500805354</v>
      </c>
    </row>
    <row r="201" spans="1:11" x14ac:dyDescent="0.25">
      <c r="A201" s="66" t="s">
        <v>147</v>
      </c>
      <c r="B201" s="46" t="s">
        <v>34</v>
      </c>
      <c r="C201" s="9">
        <v>0</v>
      </c>
      <c r="D201" s="9">
        <v>0</v>
      </c>
      <c r="E201" s="9">
        <v>0</v>
      </c>
      <c r="F201" s="9">
        <v>2641</v>
      </c>
      <c r="H201" s="9">
        <v>2152</v>
      </c>
      <c r="I201" s="9">
        <v>1663</v>
      </c>
      <c r="J201" s="9">
        <v>41310</v>
      </c>
      <c r="K201" s="19">
        <f t="shared" si="40"/>
        <v>23.840649428743234</v>
      </c>
    </row>
    <row r="202" spans="1:11" x14ac:dyDescent="0.25">
      <c r="A202" s="66" t="s">
        <v>151</v>
      </c>
      <c r="B202" s="46" t="s">
        <v>34</v>
      </c>
      <c r="C202" s="9">
        <v>44766</v>
      </c>
      <c r="D202" s="9">
        <v>51767</v>
      </c>
      <c r="E202" s="9">
        <v>70706</v>
      </c>
      <c r="F202" s="9">
        <v>68249</v>
      </c>
      <c r="H202" s="9">
        <v>68767</v>
      </c>
      <c r="I202" s="9">
        <v>71417</v>
      </c>
      <c r="J202" s="9">
        <v>37112</v>
      </c>
      <c r="K202" s="19">
        <f t="shared" si="40"/>
        <v>-0.48034781634624812</v>
      </c>
    </row>
    <row r="203" spans="1:11" x14ac:dyDescent="0.25">
      <c r="A203" s="42" t="s">
        <v>152</v>
      </c>
      <c r="B203" s="51" t="s">
        <v>34</v>
      </c>
      <c r="C203" s="14">
        <f t="shared" ref="C203" si="41">SUM(C195:C202)</f>
        <v>686293</v>
      </c>
      <c r="D203" s="14">
        <f t="shared" ref="D203" si="42">SUM(D195:D202)</f>
        <v>808483</v>
      </c>
      <c r="E203" s="14">
        <f t="shared" ref="E203" si="43">SUM(E195:E202)</f>
        <v>1373744</v>
      </c>
      <c r="F203" s="14">
        <f>SUM(F195:F202)</f>
        <v>1545467</v>
      </c>
      <c r="H203" s="14">
        <f>SUM(H195:H202)</f>
        <v>1518182</v>
      </c>
      <c r="I203" s="14">
        <f>SUM(I195:I202)</f>
        <v>1610344</v>
      </c>
      <c r="J203" s="14">
        <f>SUM(J195:J202)</f>
        <v>1557513</v>
      </c>
      <c r="K203" s="20">
        <f>IFERROR(J203/I203-1,"n.a.")</f>
        <v>-3.2807275960912707E-2</v>
      </c>
    </row>
    <row r="204" spans="1:11" x14ac:dyDescent="0.25">
      <c r="A204" s="52"/>
      <c r="B204" s="46" t="s">
        <v>34</v>
      </c>
      <c r="C204" s="9"/>
      <c r="D204" s="9"/>
      <c r="E204" s="9"/>
      <c r="F204" s="9"/>
      <c r="H204" s="9"/>
      <c r="I204" s="9"/>
      <c r="J204" s="9"/>
      <c r="K204" s="19"/>
    </row>
    <row r="205" spans="1:11" x14ac:dyDescent="0.25">
      <c r="A205" s="40" t="s">
        <v>153</v>
      </c>
      <c r="B205" s="51" t="s">
        <v>34</v>
      </c>
      <c r="C205" s="14">
        <f t="shared" ref="C205:E205" si="44">C192+C203</f>
        <v>976881</v>
      </c>
      <c r="D205" s="14">
        <f t="shared" si="44"/>
        <v>1165143</v>
      </c>
      <c r="E205" s="14">
        <f t="shared" si="44"/>
        <v>2021869</v>
      </c>
      <c r="F205" s="14">
        <f>F192+F203</f>
        <v>2169694</v>
      </c>
      <c r="H205" s="14">
        <f>H192+H203</f>
        <v>2123700</v>
      </c>
      <c r="I205" s="14">
        <f>I192+I203</f>
        <v>2590621</v>
      </c>
      <c r="J205" s="14">
        <f>J192+J203</f>
        <v>2494966</v>
      </c>
      <c r="K205" s="20">
        <f>IFERROR(J205/I205-1,"n.a.")</f>
        <v>-3.6923579327118872E-2</v>
      </c>
    </row>
    <row r="206" spans="1:11" x14ac:dyDescent="0.25">
      <c r="A206" s="52"/>
      <c r="B206" s="46"/>
      <c r="C206" s="9"/>
      <c r="D206" s="9"/>
      <c r="E206" s="9"/>
      <c r="F206" s="9"/>
      <c r="H206" s="9"/>
      <c r="I206" s="9"/>
      <c r="J206" s="9"/>
      <c r="K206" s="19"/>
    </row>
    <row r="207" spans="1:11" x14ac:dyDescent="0.25">
      <c r="A207" s="40" t="s">
        <v>154</v>
      </c>
      <c r="B207" s="46"/>
      <c r="C207" s="9"/>
      <c r="D207" s="9"/>
      <c r="E207" s="9"/>
      <c r="F207" s="9"/>
      <c r="H207" s="9"/>
      <c r="I207" s="9"/>
      <c r="J207" s="9"/>
      <c r="K207" s="19"/>
    </row>
    <row r="208" spans="1:11" x14ac:dyDescent="0.25">
      <c r="A208" s="52" t="s">
        <v>155</v>
      </c>
      <c r="B208" s="46" t="s">
        <v>34</v>
      </c>
      <c r="C208" s="9">
        <v>460877</v>
      </c>
      <c r="D208" s="9">
        <v>472588</v>
      </c>
      <c r="E208" s="9">
        <v>472588</v>
      </c>
      <c r="F208" s="9">
        <v>472588</v>
      </c>
      <c r="H208" s="9">
        <v>472588</v>
      </c>
      <c r="I208" s="9">
        <v>472588</v>
      </c>
      <c r="J208" s="9">
        <v>472588</v>
      </c>
      <c r="K208" s="19">
        <f t="shared" ref="K208:K210" si="45">IFERROR(J208/I208-1,"n.a.")</f>
        <v>0</v>
      </c>
    </row>
    <row r="209" spans="1:11" x14ac:dyDescent="0.25">
      <c r="A209" s="52" t="s">
        <v>156</v>
      </c>
      <c r="B209" s="46" t="s">
        <v>34</v>
      </c>
      <c r="C209" s="9">
        <v>131787</v>
      </c>
      <c r="D209" s="9">
        <v>154098</v>
      </c>
      <c r="E209" s="9">
        <v>233846</v>
      </c>
      <c r="F209" s="9">
        <v>433013</v>
      </c>
      <c r="H209" s="9">
        <v>408274</v>
      </c>
      <c r="I209" s="9">
        <v>324597</v>
      </c>
      <c r="J209" s="9">
        <v>354571</v>
      </c>
      <c r="K209" s="19">
        <f t="shared" si="45"/>
        <v>9.2342196631515439E-2</v>
      </c>
    </row>
    <row r="210" spans="1:11" x14ac:dyDescent="0.25">
      <c r="A210" s="52" t="s">
        <v>157</v>
      </c>
      <c r="B210" s="46" t="s">
        <v>34</v>
      </c>
      <c r="C210" s="9"/>
      <c r="D210" s="9"/>
      <c r="E210" s="9">
        <v>0</v>
      </c>
      <c r="F210" s="9">
        <v>0</v>
      </c>
      <c r="H210" s="9">
        <v>117226</v>
      </c>
      <c r="I210" s="9">
        <v>111918</v>
      </c>
      <c r="J210" s="9">
        <v>227221</v>
      </c>
      <c r="K210" s="19">
        <f t="shared" si="45"/>
        <v>1.0302453582086883</v>
      </c>
    </row>
    <row r="211" spans="1:11" s="29" customFormat="1" x14ac:dyDescent="0.25">
      <c r="A211" s="40" t="s">
        <v>158</v>
      </c>
      <c r="B211" s="51" t="s">
        <v>34</v>
      </c>
      <c r="C211" s="14">
        <f t="shared" ref="C211" si="46">SUM(C208:C210)</f>
        <v>592664</v>
      </c>
      <c r="D211" s="14">
        <f t="shared" ref="D211" si="47">SUM(D208:D210)</f>
        <v>626686</v>
      </c>
      <c r="E211" s="14">
        <f t="shared" ref="E211" si="48">SUM(E208:E210)</f>
        <v>706434</v>
      </c>
      <c r="F211" s="14">
        <f>SUM(F208:F210)</f>
        <v>905601</v>
      </c>
      <c r="H211" s="14">
        <f>SUM(H208:H210)</f>
        <v>998088</v>
      </c>
      <c r="I211" s="14">
        <f>SUM(I208:I210)</f>
        <v>909103</v>
      </c>
      <c r="J211" s="14">
        <f>SUM(J208:J210)</f>
        <v>1054380</v>
      </c>
      <c r="K211" s="20">
        <f>IFERROR(J211/I211-1,"n.a.")</f>
        <v>0.15980257462575742</v>
      </c>
    </row>
    <row r="212" spans="1:11" x14ac:dyDescent="0.25">
      <c r="A212" s="52"/>
      <c r="B212" s="46"/>
      <c r="C212" s="9"/>
      <c r="D212" s="9"/>
      <c r="E212" s="9"/>
      <c r="F212" s="9"/>
      <c r="H212" s="9"/>
      <c r="I212" s="9"/>
      <c r="J212" s="9"/>
      <c r="K212" s="19"/>
    </row>
    <row r="213" spans="1:11" x14ac:dyDescent="0.25">
      <c r="A213" s="40" t="s">
        <v>159</v>
      </c>
      <c r="B213" s="51" t="s">
        <v>34</v>
      </c>
      <c r="C213" s="14">
        <f t="shared" ref="C213:E213" si="49">C211+C205</f>
        <v>1569545</v>
      </c>
      <c r="D213" s="14">
        <f t="shared" si="49"/>
        <v>1791829</v>
      </c>
      <c r="E213" s="14">
        <f t="shared" si="49"/>
        <v>2728303</v>
      </c>
      <c r="F213" s="14">
        <f>F211+F205</f>
        <v>3075295</v>
      </c>
      <c r="H213" s="14">
        <f>H211+H205</f>
        <v>3121788</v>
      </c>
      <c r="I213" s="14">
        <f>I211+I205</f>
        <v>3499724</v>
      </c>
      <c r="J213" s="14">
        <f>J211+J205</f>
        <v>3549346</v>
      </c>
      <c r="K213" s="20">
        <f>IFERROR(J213/I213-1,"n.a.")</f>
        <v>1.41788323879255E-2</v>
      </c>
    </row>
    <row r="214" spans="1:11" s="87" customFormat="1" x14ac:dyDescent="0.25">
      <c r="A214" s="84" t="s">
        <v>160</v>
      </c>
      <c r="B214" s="85"/>
      <c r="C214" s="86">
        <f t="shared" ref="C214" si="50">C213-C176</f>
        <v>0</v>
      </c>
      <c r="D214" s="86">
        <f t="shared" ref="D214" si="51">D213-D176</f>
        <v>0</v>
      </c>
      <c r="E214" s="86">
        <f t="shared" ref="E214" si="52">E213-E176</f>
        <v>0</v>
      </c>
      <c r="F214" s="86">
        <f t="shared" ref="F214" si="53">F213-F176</f>
        <v>0</v>
      </c>
      <c r="H214" s="86">
        <f>H213-H176</f>
        <v>0</v>
      </c>
      <c r="I214" s="86"/>
      <c r="J214" s="86"/>
      <c r="K214" s="86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62CE5-C6EF-4757-BDE2-B416715ADB88}">
  <dimension ref="A1:N230"/>
  <sheetViews>
    <sheetView showGridLines="0" zoomScaleNormal="100" workbookViewId="0">
      <pane xSplit="2" ySplit="5" topLeftCell="J6" activePane="bottomRight" state="frozen"/>
      <selection pane="topRight" activeCell="C1" sqref="C1"/>
      <selection pane="bottomLeft" activeCell="A6" sqref="A6"/>
      <selection pane="bottomRight" activeCell="N50" sqref="N50"/>
    </sheetView>
  </sheetViews>
  <sheetFormatPr defaultRowHeight="15" x14ac:dyDescent="0.25"/>
  <cols>
    <col min="1" max="1" width="59.28515625" style="70" customWidth="1"/>
    <col min="2" max="2" width="10.28515625" style="2" customWidth="1"/>
    <col min="3" max="5" width="18.42578125" customWidth="1"/>
    <col min="6" max="6" width="19.5703125" customWidth="1"/>
    <col min="7" max="7" width="0.85546875" customWidth="1"/>
    <col min="8" max="13" width="19.5703125" customWidth="1"/>
    <col min="14" max="14" width="19.5703125" style="23" customWidth="1"/>
  </cols>
  <sheetData>
    <row r="1" spans="1:14" ht="64.150000000000006" customHeight="1" x14ac:dyDescent="0.25"/>
    <row r="5" spans="1:14" ht="16.5" x14ac:dyDescent="0.25">
      <c r="A5" s="67" t="s">
        <v>161</v>
      </c>
      <c r="B5" s="16" t="s">
        <v>227</v>
      </c>
      <c r="C5" s="75" t="s">
        <v>10</v>
      </c>
      <c r="D5" s="75" t="s">
        <v>11</v>
      </c>
      <c r="E5" s="75" t="s">
        <v>2</v>
      </c>
      <c r="F5" s="75" t="s">
        <v>1</v>
      </c>
      <c r="H5" s="75" t="s">
        <v>229</v>
      </c>
      <c r="I5" s="75" t="s">
        <v>231</v>
      </c>
      <c r="J5" s="75" t="s">
        <v>230</v>
      </c>
      <c r="K5" s="75" t="s">
        <v>232</v>
      </c>
      <c r="L5" s="75" t="str">
        <f>+OPERACIONAL!L5</f>
        <v>9M22</v>
      </c>
      <c r="M5" s="75" t="str">
        <f>+OPERACIONAL!M5</f>
        <v>9M21</v>
      </c>
      <c r="N5" s="117" t="s">
        <v>3</v>
      </c>
    </row>
    <row r="6" spans="1:14" ht="16.5" x14ac:dyDescent="0.25">
      <c r="A6" s="67" t="s">
        <v>51</v>
      </c>
      <c r="B6" s="16"/>
      <c r="C6" s="16"/>
      <c r="D6" s="16"/>
      <c r="E6" s="16"/>
      <c r="F6" s="16"/>
      <c r="H6" s="16"/>
      <c r="I6" s="16"/>
      <c r="J6" s="16"/>
      <c r="K6" s="16"/>
      <c r="L6" s="16"/>
      <c r="M6" s="16"/>
      <c r="N6" s="16"/>
    </row>
    <row r="7" spans="1:14" x14ac:dyDescent="0.25">
      <c r="A7" s="68" t="s">
        <v>162</v>
      </c>
      <c r="B7" s="55"/>
      <c r="C7" s="9"/>
      <c r="D7" s="9"/>
      <c r="E7" s="9"/>
      <c r="F7" s="9"/>
      <c r="H7" s="9"/>
      <c r="I7" s="9"/>
      <c r="J7" s="9"/>
      <c r="K7" s="9"/>
      <c r="L7" s="9"/>
      <c r="M7" s="9"/>
      <c r="N7" s="19"/>
    </row>
    <row r="8" spans="1:14" ht="28.5" x14ac:dyDescent="0.25">
      <c r="A8" s="69" t="s">
        <v>163</v>
      </c>
      <c r="B8" s="46" t="s">
        <v>34</v>
      </c>
      <c r="C8" s="9">
        <v>78939</v>
      </c>
      <c r="D8" s="9">
        <v>33776</v>
      </c>
      <c r="E8" s="9">
        <v>89943</v>
      </c>
      <c r="F8" s="9">
        <v>257265</v>
      </c>
      <c r="H8" s="9">
        <v>165380</v>
      </c>
      <c r="I8" s="9">
        <v>-6686</v>
      </c>
      <c r="J8" s="9">
        <v>338576</v>
      </c>
      <c r="K8" s="9">
        <v>45994</v>
      </c>
      <c r="L8" s="9">
        <v>512343</v>
      </c>
      <c r="M8" s="9">
        <v>141584</v>
      </c>
      <c r="N8" s="19">
        <f>IFERROR(L8/M8-1,"n.a.")</f>
        <v>2.618650412475986</v>
      </c>
    </row>
    <row r="9" spans="1:14" x14ac:dyDescent="0.25">
      <c r="A9" s="71" t="s">
        <v>164</v>
      </c>
      <c r="B9" s="46"/>
      <c r="C9" s="9"/>
      <c r="D9" s="9"/>
      <c r="E9" s="9"/>
      <c r="F9" s="9"/>
      <c r="H9" s="9"/>
      <c r="I9" s="9"/>
      <c r="J9" s="9"/>
      <c r="K9" s="9"/>
      <c r="L9" s="9"/>
      <c r="M9" s="9"/>
      <c r="N9" s="19"/>
    </row>
    <row r="10" spans="1:14" x14ac:dyDescent="0.25">
      <c r="A10" s="72" t="s">
        <v>165</v>
      </c>
      <c r="B10" s="46" t="s">
        <v>34</v>
      </c>
      <c r="C10" s="9">
        <v>-19758</v>
      </c>
      <c r="D10" s="9">
        <v>6541</v>
      </c>
      <c r="E10" s="9">
        <v>29871</v>
      </c>
      <c r="F10" s="9">
        <v>-31640</v>
      </c>
      <c r="H10" s="9">
        <v>-21966</v>
      </c>
      <c r="I10" s="9">
        <v>-3258</v>
      </c>
      <c r="J10" s="9">
        <v>-41606</v>
      </c>
      <c r="K10" s="9">
        <v>488</v>
      </c>
      <c r="L10" s="9">
        <v>-38240</v>
      </c>
      <c r="M10" s="9">
        <v>19350</v>
      </c>
      <c r="N10" s="19">
        <f t="shared" ref="N10:N25" si="0">IFERROR(L10/M10-1,"n.a.")</f>
        <v>-2.9762273901808785</v>
      </c>
    </row>
    <row r="11" spans="1:14" x14ac:dyDescent="0.25">
      <c r="A11" s="72" t="s">
        <v>166</v>
      </c>
      <c r="B11" s="46" t="s">
        <v>34</v>
      </c>
      <c r="C11" s="9">
        <v>632</v>
      </c>
      <c r="D11" s="9">
        <v>0</v>
      </c>
      <c r="E11" s="9">
        <v>100</v>
      </c>
      <c r="F11" s="9">
        <v>73</v>
      </c>
      <c r="H11" s="9">
        <v>-737</v>
      </c>
      <c r="I11" s="9">
        <v>119</v>
      </c>
      <c r="J11" s="9">
        <v>-737</v>
      </c>
      <c r="K11" s="9">
        <v>-355</v>
      </c>
      <c r="L11" s="9">
        <v>563</v>
      </c>
      <c r="M11" s="9">
        <v>-575</v>
      </c>
      <c r="N11" s="19">
        <f t="shared" si="0"/>
        <v>-1.9791304347826086</v>
      </c>
    </row>
    <row r="12" spans="1:14" x14ac:dyDescent="0.25">
      <c r="A12" s="72" t="s">
        <v>167</v>
      </c>
      <c r="B12" s="46" t="s">
        <v>34</v>
      </c>
      <c r="C12" s="9">
        <v>88555</v>
      </c>
      <c r="D12" s="9">
        <v>82015</v>
      </c>
      <c r="E12" s="9">
        <v>120725</v>
      </c>
      <c r="F12" s="9">
        <v>107724</v>
      </c>
      <c r="H12" s="9">
        <v>23686</v>
      </c>
      <c r="I12" s="9">
        <v>24338</v>
      </c>
      <c r="J12" s="9">
        <v>39139</v>
      </c>
      <c r="K12" s="9">
        <v>48094</v>
      </c>
      <c r="L12" s="9">
        <v>68266</v>
      </c>
      <c r="M12" s="9">
        <v>72932</v>
      </c>
      <c r="N12" s="19">
        <f t="shared" si="0"/>
        <v>-6.3977403608841077E-2</v>
      </c>
    </row>
    <row r="13" spans="1:14" x14ac:dyDescent="0.25">
      <c r="A13" s="72" t="s">
        <v>168</v>
      </c>
      <c r="B13" s="46" t="s">
        <v>34</v>
      </c>
      <c r="C13" s="9"/>
      <c r="D13" s="9"/>
      <c r="E13" s="9">
        <v>414</v>
      </c>
      <c r="F13" s="9">
        <v>213</v>
      </c>
      <c r="H13" s="9">
        <v>1058</v>
      </c>
      <c r="I13" s="9">
        <v>623</v>
      </c>
      <c r="J13" s="9">
        <v>1093</v>
      </c>
      <c r="K13" s="9">
        <v>610</v>
      </c>
      <c r="L13" s="9">
        <v>617</v>
      </c>
      <c r="M13" s="9">
        <v>923</v>
      </c>
      <c r="N13" s="19">
        <f t="shared" si="0"/>
        <v>-0.33152762730227514</v>
      </c>
    </row>
    <row r="14" spans="1:14" ht="28.5" x14ac:dyDescent="0.25">
      <c r="A14" s="72" t="s">
        <v>169</v>
      </c>
      <c r="B14" s="46" t="s">
        <v>34</v>
      </c>
      <c r="C14" s="9">
        <v>183974</v>
      </c>
      <c r="D14" s="9">
        <v>181851</v>
      </c>
      <c r="E14" s="9">
        <v>240932</v>
      </c>
      <c r="F14" s="9">
        <v>264771</v>
      </c>
      <c r="H14" s="9">
        <v>53922</v>
      </c>
      <c r="I14" s="9">
        <v>64324</v>
      </c>
      <c r="J14" s="9">
        <v>93884</v>
      </c>
      <c r="K14" s="9">
        <v>109714</v>
      </c>
      <c r="L14" s="9">
        <v>165103</v>
      </c>
      <c r="M14" s="9">
        <v>175385</v>
      </c>
      <c r="N14" s="19">
        <f t="shared" si="0"/>
        <v>-5.8625310032214828E-2</v>
      </c>
    </row>
    <row r="15" spans="1:14" x14ac:dyDescent="0.25">
      <c r="A15" s="72" t="s">
        <v>170</v>
      </c>
      <c r="B15" s="46" t="s">
        <v>34</v>
      </c>
      <c r="C15" s="9">
        <v>-3985</v>
      </c>
      <c r="D15" s="9">
        <v>-33</v>
      </c>
      <c r="E15" s="9">
        <v>1100</v>
      </c>
      <c r="F15" s="9">
        <v>3206</v>
      </c>
      <c r="H15" s="9">
        <v>-770</v>
      </c>
      <c r="I15" s="9">
        <v>2480</v>
      </c>
      <c r="J15" s="9">
        <v>453</v>
      </c>
      <c r="K15" s="9">
        <v>2937</v>
      </c>
      <c r="L15" s="9">
        <v>-2383</v>
      </c>
      <c r="M15" s="9">
        <v>3083</v>
      </c>
      <c r="N15" s="19">
        <f t="shared" si="0"/>
        <v>-1.7729484268569575</v>
      </c>
    </row>
    <row r="16" spans="1:14" x14ac:dyDescent="0.25">
      <c r="A16" s="72" t="s">
        <v>74</v>
      </c>
      <c r="B16" s="46" t="s">
        <v>34</v>
      </c>
      <c r="C16" s="9">
        <v>-547</v>
      </c>
      <c r="D16" s="9">
        <v>132</v>
      </c>
      <c r="E16" s="9">
        <v>1109</v>
      </c>
      <c r="F16" s="9">
        <v>2879</v>
      </c>
      <c r="H16" s="9">
        <v>-2997</v>
      </c>
      <c r="I16" s="9">
        <v>1330</v>
      </c>
      <c r="J16" s="9">
        <v>-3867</v>
      </c>
      <c r="K16" s="9">
        <v>3264</v>
      </c>
      <c r="L16" s="9">
        <v>-8994</v>
      </c>
      <c r="M16" s="9">
        <v>-1926</v>
      </c>
      <c r="N16" s="19">
        <f t="shared" si="0"/>
        <v>3.6697819314641746</v>
      </c>
    </row>
    <row r="17" spans="1:14" x14ac:dyDescent="0.25">
      <c r="A17" s="72" t="s">
        <v>171</v>
      </c>
      <c r="B17" s="46" t="s">
        <v>34</v>
      </c>
      <c r="C17" s="9">
        <v>69991</v>
      </c>
      <c r="D17" s="9">
        <v>65721</v>
      </c>
      <c r="E17" s="9">
        <v>60641</v>
      </c>
      <c r="F17" s="9">
        <v>50951</v>
      </c>
      <c r="H17" s="9">
        <v>14945</v>
      </c>
      <c r="I17" s="9">
        <v>8316</v>
      </c>
      <c r="J17" s="9">
        <v>33579</v>
      </c>
      <c r="K17" s="9">
        <v>20436</v>
      </c>
      <c r="L17" s="9">
        <v>56672</v>
      </c>
      <c r="M17" s="9">
        <v>35803</v>
      </c>
      <c r="N17" s="19">
        <f t="shared" si="0"/>
        <v>0.58288411585621325</v>
      </c>
    </row>
    <row r="18" spans="1:14" x14ac:dyDescent="0.25">
      <c r="A18" s="72" t="s">
        <v>172</v>
      </c>
      <c r="B18" s="46" t="s">
        <v>34</v>
      </c>
      <c r="C18" s="9"/>
      <c r="D18" s="9"/>
      <c r="E18" s="9">
        <v>39156</v>
      </c>
      <c r="F18" s="9">
        <v>39719</v>
      </c>
      <c r="H18" s="9">
        <v>10286</v>
      </c>
      <c r="I18" s="9">
        <v>9788</v>
      </c>
      <c r="J18" s="9">
        <v>21006</v>
      </c>
      <c r="K18" s="9">
        <v>19411</v>
      </c>
      <c r="L18" s="9">
        <v>32674</v>
      </c>
      <c r="M18" s="9">
        <v>28739</v>
      </c>
      <c r="N18" s="19">
        <f t="shared" si="0"/>
        <v>0.13692195274713814</v>
      </c>
    </row>
    <row r="19" spans="1:14" x14ac:dyDescent="0.25">
      <c r="A19" s="72" t="s">
        <v>173</v>
      </c>
      <c r="B19" s="46" t="s">
        <v>34</v>
      </c>
      <c r="C19" s="9"/>
      <c r="D19" s="9"/>
      <c r="E19" s="9">
        <v>-377.49735999999996</v>
      </c>
      <c r="F19" s="9">
        <v>-416</v>
      </c>
      <c r="H19" s="9">
        <v>36</v>
      </c>
      <c r="I19" s="9">
        <v>-56</v>
      </c>
      <c r="J19" s="9">
        <v>76</v>
      </c>
      <c r="K19" s="9">
        <v>-142</v>
      </c>
      <c r="L19" s="9">
        <v>123</v>
      </c>
      <c r="M19" s="9">
        <v>-295</v>
      </c>
      <c r="N19" s="19">
        <f t="shared" si="0"/>
        <v>-1.4169491525423727</v>
      </c>
    </row>
    <row r="20" spans="1:14" x14ac:dyDescent="0.25">
      <c r="A20" s="72" t="s">
        <v>174</v>
      </c>
      <c r="B20" s="46" t="s">
        <v>34</v>
      </c>
      <c r="C20" s="9">
        <v>12966</v>
      </c>
      <c r="D20" s="9">
        <v>10867</v>
      </c>
      <c r="E20" s="9">
        <v>18972</v>
      </c>
      <c r="F20" s="9">
        <v>24713</v>
      </c>
      <c r="H20" s="9">
        <v>6892</v>
      </c>
      <c r="I20" s="9">
        <v>4148</v>
      </c>
      <c r="J20" s="9">
        <v>9272</v>
      </c>
      <c r="K20" s="9">
        <v>8275</v>
      </c>
      <c r="L20" s="9">
        <v>17901</v>
      </c>
      <c r="M20" s="9">
        <v>15356</v>
      </c>
      <c r="N20" s="19">
        <f t="shared" si="0"/>
        <v>0.16573326387079979</v>
      </c>
    </row>
    <row r="21" spans="1:14" x14ac:dyDescent="0.25">
      <c r="A21" s="72" t="s">
        <v>175</v>
      </c>
      <c r="B21" s="46" t="s">
        <v>34</v>
      </c>
      <c r="C21" s="9">
        <v>31067</v>
      </c>
      <c r="D21" s="9">
        <v>26125</v>
      </c>
      <c r="E21" s="9">
        <v>35328</v>
      </c>
      <c r="F21" s="9">
        <v>18021</v>
      </c>
      <c r="H21" s="9">
        <v>2774</v>
      </c>
      <c r="I21" s="9">
        <v>6870</v>
      </c>
      <c r="J21" s="9">
        <v>9905</v>
      </c>
      <c r="K21" s="9">
        <v>9374</v>
      </c>
      <c r="L21" s="9">
        <v>4853</v>
      </c>
      <c r="M21" s="9">
        <v>11996</v>
      </c>
      <c r="N21" s="19">
        <f t="shared" si="0"/>
        <v>-0.5954484828276092</v>
      </c>
    </row>
    <row r="22" spans="1:14" x14ac:dyDescent="0.25">
      <c r="A22" s="72" t="s">
        <v>176</v>
      </c>
      <c r="B22" s="46" t="s">
        <v>34</v>
      </c>
      <c r="C22" s="9"/>
      <c r="D22" s="9">
        <v>207</v>
      </c>
      <c r="E22" s="9">
        <v>373</v>
      </c>
      <c r="F22" s="9">
        <v>204</v>
      </c>
      <c r="H22" s="9">
        <v>-5</v>
      </c>
      <c r="I22" s="9">
        <v>1633</v>
      </c>
      <c r="J22" s="9">
        <v>-4</v>
      </c>
      <c r="K22" s="9">
        <v>1590</v>
      </c>
      <c r="L22" s="9">
        <v>10</v>
      </c>
      <c r="M22" s="9">
        <v>1418</v>
      </c>
      <c r="N22" s="19">
        <f t="shared" si="0"/>
        <v>-0.99294781382228492</v>
      </c>
    </row>
    <row r="23" spans="1:14" x14ac:dyDescent="0.25">
      <c r="A23" s="72" t="s">
        <v>177</v>
      </c>
      <c r="B23" s="46" t="s">
        <v>34</v>
      </c>
      <c r="C23" s="9"/>
      <c r="D23" s="9"/>
      <c r="E23" s="9"/>
      <c r="F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9" t="str">
        <f t="shared" si="0"/>
        <v>n.a.</v>
      </c>
    </row>
    <row r="24" spans="1:14" ht="28.5" x14ac:dyDescent="0.25">
      <c r="A24" s="72" t="s">
        <v>178</v>
      </c>
      <c r="B24" s="46" t="s">
        <v>34</v>
      </c>
      <c r="C24" s="9"/>
      <c r="D24" s="9">
        <v>7159</v>
      </c>
      <c r="E24" s="9">
        <v>-76211</v>
      </c>
      <c r="F24" s="9">
        <v>-176027</v>
      </c>
      <c r="H24" s="9">
        <v>-66882</v>
      </c>
      <c r="I24" s="9">
        <v>-7475</v>
      </c>
      <c r="J24" s="9">
        <v>-113656</v>
      </c>
      <c r="K24" s="9">
        <v>-34619</v>
      </c>
      <c r="L24" s="9">
        <v>-187403</v>
      </c>
      <c r="M24" s="9">
        <v>-82314</v>
      </c>
      <c r="N24" s="19">
        <f t="shared" si="0"/>
        <v>1.2766844036251426</v>
      </c>
    </row>
    <row r="25" spans="1:14" x14ac:dyDescent="0.25">
      <c r="A25" s="72" t="s">
        <v>211</v>
      </c>
      <c r="B25" s="46" t="s">
        <v>34</v>
      </c>
      <c r="C25" s="9">
        <v>866</v>
      </c>
      <c r="D25" s="9">
        <v>1632</v>
      </c>
      <c r="E25" s="9">
        <v>0</v>
      </c>
      <c r="F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9" t="str">
        <f t="shared" si="0"/>
        <v>n.a.</v>
      </c>
    </row>
    <row r="26" spans="1:14" s="29" customFormat="1" x14ac:dyDescent="0.25">
      <c r="A26" s="73"/>
      <c r="B26" s="51"/>
      <c r="C26" s="14">
        <f>SUM(C8:C25)</f>
        <v>442700</v>
      </c>
      <c r="D26" s="14">
        <f>SUM(D8:D25)</f>
        <v>415993</v>
      </c>
      <c r="E26" s="14">
        <f t="shared" ref="E26:F26" si="1">SUM(E8:E25)</f>
        <v>562075.50263999996</v>
      </c>
      <c r="F26" s="14">
        <f t="shared" si="1"/>
        <v>561656</v>
      </c>
      <c r="H26" s="14">
        <f t="shared" ref="H26:M26" si="2">SUM(H8:H25)</f>
        <v>185622</v>
      </c>
      <c r="I26" s="14">
        <f t="shared" si="2"/>
        <v>106494</v>
      </c>
      <c r="J26" s="14">
        <f t="shared" si="2"/>
        <v>387113</v>
      </c>
      <c r="K26" s="14">
        <f t="shared" si="2"/>
        <v>235071</v>
      </c>
      <c r="L26" s="14">
        <f t="shared" si="2"/>
        <v>622105</v>
      </c>
      <c r="M26" s="14">
        <f t="shared" si="2"/>
        <v>421459</v>
      </c>
      <c r="N26" s="20">
        <f>IFERROR(L26/M26-1,"n.a.")</f>
        <v>0.47607477832956469</v>
      </c>
    </row>
    <row r="27" spans="1:14" x14ac:dyDescent="0.25">
      <c r="A27" s="69"/>
      <c r="B27" s="46"/>
      <c r="C27" s="9"/>
      <c r="D27" s="9"/>
      <c r="E27" s="9"/>
      <c r="F27" s="9"/>
      <c r="H27" s="9"/>
      <c r="I27" s="9"/>
      <c r="J27" s="9"/>
      <c r="K27" s="9"/>
      <c r="L27" s="9"/>
      <c r="M27" s="9"/>
      <c r="N27" s="19"/>
    </row>
    <row r="28" spans="1:14" x14ac:dyDescent="0.25">
      <c r="A28" s="69" t="s">
        <v>179</v>
      </c>
      <c r="B28" s="46"/>
      <c r="C28" s="9"/>
      <c r="D28" s="9"/>
      <c r="E28" s="9"/>
      <c r="F28" s="9"/>
      <c r="H28" s="9"/>
      <c r="I28" s="9"/>
      <c r="J28" s="9"/>
      <c r="K28" s="9"/>
      <c r="L28" s="9"/>
      <c r="M28" s="9"/>
      <c r="N28" s="19"/>
    </row>
    <row r="29" spans="1:14" x14ac:dyDescent="0.25">
      <c r="A29" s="72" t="s">
        <v>180</v>
      </c>
      <c r="B29" s="46" t="s">
        <v>34</v>
      </c>
      <c r="C29" s="9">
        <v>-2231</v>
      </c>
      <c r="D29" s="9">
        <v>-20526</v>
      </c>
      <c r="E29" s="9">
        <v>25177</v>
      </c>
      <c r="F29" s="9">
        <v>-8015</v>
      </c>
      <c r="H29" s="9">
        <v>-21107</v>
      </c>
      <c r="I29" s="9">
        <v>-30203</v>
      </c>
      <c r="J29" s="9">
        <v>-27906</v>
      </c>
      <c r="K29" s="9">
        <v>-44829</v>
      </c>
      <c r="L29" s="9">
        <v>-44375</v>
      </c>
      <c r="M29" s="9">
        <v>-43884</v>
      </c>
      <c r="N29" s="19">
        <f t="shared" ref="N29:N37" si="3">IFERROR(L29/M29-1,"n.a.")</f>
        <v>1.1188588095889074E-2</v>
      </c>
    </row>
    <row r="30" spans="1:14" x14ac:dyDescent="0.25">
      <c r="A30" s="72" t="s">
        <v>125</v>
      </c>
      <c r="B30" s="46" t="s">
        <v>34</v>
      </c>
      <c r="C30" s="9">
        <v>0</v>
      </c>
      <c r="D30" s="9">
        <v>0</v>
      </c>
      <c r="E30" s="9">
        <v>6652</v>
      </c>
      <c r="F30" s="9">
        <v>7807</v>
      </c>
      <c r="H30" s="9">
        <v>0</v>
      </c>
      <c r="I30" s="9">
        <v>0</v>
      </c>
      <c r="J30" s="9">
        <v>4720</v>
      </c>
      <c r="K30" s="9">
        <v>3575</v>
      </c>
      <c r="L30" s="9">
        <v>4719</v>
      </c>
      <c r="M30" s="9">
        <v>3575</v>
      </c>
      <c r="N30" s="19">
        <f t="shared" si="3"/>
        <v>0.32000000000000006</v>
      </c>
    </row>
    <row r="31" spans="1:14" x14ac:dyDescent="0.25">
      <c r="A31" s="72" t="s">
        <v>181</v>
      </c>
      <c r="B31" s="46" t="s">
        <v>34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>
        <v>0</v>
      </c>
      <c r="N31" s="19" t="str">
        <f t="shared" si="3"/>
        <v>n.a.</v>
      </c>
    </row>
    <row r="32" spans="1:14" x14ac:dyDescent="0.25">
      <c r="A32" s="72" t="s">
        <v>124</v>
      </c>
      <c r="B32" s="46" t="s">
        <v>34</v>
      </c>
      <c r="C32" s="9">
        <v>2962</v>
      </c>
      <c r="D32" s="9">
        <v>14227</v>
      </c>
      <c r="E32" s="9">
        <v>12549</v>
      </c>
      <c r="F32" s="9">
        <v>10928</v>
      </c>
      <c r="H32" s="9">
        <v>-61210</v>
      </c>
      <c r="I32" s="9">
        <v>-17325</v>
      </c>
      <c r="J32" s="9">
        <v>-180768</v>
      </c>
      <c r="K32" s="9">
        <v>-97730</v>
      </c>
      <c r="L32" s="9">
        <v>-141236</v>
      </c>
      <c r="M32" s="9">
        <v>-83017</v>
      </c>
      <c r="N32" s="19">
        <f t="shared" si="3"/>
        <v>0.70129009720900548</v>
      </c>
    </row>
    <row r="33" spans="1:14" x14ac:dyDescent="0.25">
      <c r="A33" s="72" t="s">
        <v>182</v>
      </c>
      <c r="B33" s="46" t="s">
        <v>34</v>
      </c>
      <c r="C33" s="9">
        <v>-109895</v>
      </c>
      <c r="D33" s="9">
        <v>-101338</v>
      </c>
      <c r="E33" s="9">
        <v>-123738</v>
      </c>
      <c r="F33" s="9">
        <v>-129941</v>
      </c>
      <c r="H33" s="9">
        <v>-31468</v>
      </c>
      <c r="I33" s="9">
        <v>-30166</v>
      </c>
      <c r="J33" s="9">
        <v>-59028</v>
      </c>
      <c r="K33" s="9">
        <v>-60854</v>
      </c>
      <c r="L33" s="9">
        <v>-98135</v>
      </c>
      <c r="M33" s="9">
        <v>-94031</v>
      </c>
      <c r="N33" s="19">
        <f t="shared" si="3"/>
        <v>4.3645180844614995E-2</v>
      </c>
    </row>
    <row r="34" spans="1:14" x14ac:dyDescent="0.25">
      <c r="A34" s="72" t="s">
        <v>233</v>
      </c>
      <c r="B34" s="46" t="s">
        <v>34</v>
      </c>
      <c r="C34" s="9">
        <v>0</v>
      </c>
      <c r="D34" s="9">
        <v>0</v>
      </c>
      <c r="E34" s="9">
        <v>0</v>
      </c>
      <c r="F34" s="9">
        <v>0</v>
      </c>
      <c r="H34" s="9">
        <v>0</v>
      </c>
      <c r="I34" s="9">
        <v>0</v>
      </c>
      <c r="J34" s="9">
        <v>266</v>
      </c>
      <c r="K34" s="9">
        <v>-1621</v>
      </c>
      <c r="L34" s="9">
        <v>-1086</v>
      </c>
      <c r="M34" s="9">
        <v>0</v>
      </c>
      <c r="N34" s="19" t="str">
        <f t="shared" si="3"/>
        <v>n.a.</v>
      </c>
    </row>
    <row r="35" spans="1:14" x14ac:dyDescent="0.25">
      <c r="A35" s="72" t="s">
        <v>127</v>
      </c>
      <c r="B35" s="46" t="s">
        <v>34</v>
      </c>
      <c r="C35" s="9">
        <v>-13270</v>
      </c>
      <c r="D35" s="9">
        <v>26804</v>
      </c>
      <c r="E35" s="9">
        <v>16098</v>
      </c>
      <c r="F35" s="9">
        <v>3022</v>
      </c>
      <c r="H35" s="9">
        <v>1258</v>
      </c>
      <c r="I35" s="9">
        <v>-2849</v>
      </c>
      <c r="J35" s="9">
        <v>2475</v>
      </c>
      <c r="K35" s="9">
        <v>-2537</v>
      </c>
      <c r="L35" s="9">
        <v>5346</v>
      </c>
      <c r="M35" s="9">
        <v>3401</v>
      </c>
      <c r="N35" s="19">
        <f t="shared" si="3"/>
        <v>0.57189062040576299</v>
      </c>
    </row>
    <row r="36" spans="1:14" x14ac:dyDescent="0.25">
      <c r="A36" s="72" t="s">
        <v>132</v>
      </c>
      <c r="B36" s="46" t="s">
        <v>34</v>
      </c>
      <c r="C36" s="9">
        <f>-11191-211</f>
        <v>-11402</v>
      </c>
      <c r="D36" s="9">
        <f>-9652-3297</f>
        <v>-12949</v>
      </c>
      <c r="E36" s="9">
        <v>4221</v>
      </c>
      <c r="F36" s="9">
        <v>1192</v>
      </c>
      <c r="H36" s="9">
        <v>-6826</v>
      </c>
      <c r="I36" s="9">
        <v>-1052</v>
      </c>
      <c r="J36" s="9">
        <v>-6547</v>
      </c>
      <c r="K36" s="9">
        <v>-4064</v>
      </c>
      <c r="L36" s="9">
        <v>1069</v>
      </c>
      <c r="M36" s="9">
        <v>1246</v>
      </c>
      <c r="N36" s="19">
        <f t="shared" si="3"/>
        <v>-0.1420545746388443</v>
      </c>
    </row>
    <row r="37" spans="1:14" x14ac:dyDescent="0.25">
      <c r="A37" s="72" t="s">
        <v>128</v>
      </c>
      <c r="B37" s="46" t="s">
        <v>34</v>
      </c>
      <c r="C37" s="9">
        <v>-4515</v>
      </c>
      <c r="D37" s="9">
        <v>-4354</v>
      </c>
      <c r="E37" s="9">
        <v>1146.4973599999998</v>
      </c>
      <c r="F37" s="9">
        <v>8711</v>
      </c>
      <c r="H37" s="9">
        <v>609</v>
      </c>
      <c r="I37" s="9">
        <v>2734</v>
      </c>
      <c r="J37" s="9">
        <v>845</v>
      </c>
      <c r="K37" s="9">
        <v>838</v>
      </c>
      <c r="L37" s="9">
        <v>-3343</v>
      </c>
      <c r="M37" s="9">
        <v>-1263</v>
      </c>
      <c r="N37" s="19">
        <f t="shared" si="3"/>
        <v>1.6468725257323831</v>
      </c>
    </row>
    <row r="38" spans="1:14" x14ac:dyDescent="0.25">
      <c r="A38" s="69"/>
      <c r="B38" s="46"/>
      <c r="L38" s="9"/>
      <c r="M38" s="9"/>
      <c r="N38" s="19"/>
    </row>
    <row r="39" spans="1:14" x14ac:dyDescent="0.25">
      <c r="A39" s="69" t="s">
        <v>183</v>
      </c>
      <c r="B39" s="46"/>
      <c r="C39" s="9"/>
      <c r="D39" s="9"/>
      <c r="E39" s="9"/>
      <c r="F39" s="9"/>
      <c r="H39" s="9"/>
      <c r="I39" s="9"/>
      <c r="J39" s="9"/>
      <c r="K39" s="9"/>
      <c r="L39" s="9"/>
      <c r="M39" s="9"/>
      <c r="N39" s="19"/>
    </row>
    <row r="40" spans="1:14" x14ac:dyDescent="0.25">
      <c r="A40" s="72" t="s">
        <v>142</v>
      </c>
      <c r="B40" s="46" t="s">
        <v>34</v>
      </c>
      <c r="C40" s="9">
        <v>10794</v>
      </c>
      <c r="D40" s="9">
        <v>18681</v>
      </c>
      <c r="E40" s="9">
        <v>6185</v>
      </c>
      <c r="F40" s="9">
        <v>21137</v>
      </c>
      <c r="H40" s="9">
        <v>41130</v>
      </c>
      <c r="I40" s="9">
        <v>5611</v>
      </c>
      <c r="J40" s="9">
        <v>84208</v>
      </c>
      <c r="K40" s="9">
        <v>38593</v>
      </c>
      <c r="L40" s="9">
        <v>44431</v>
      </c>
      <c r="M40" s="9">
        <v>34318</v>
      </c>
      <c r="N40" s="19">
        <f t="shared" ref="N40:N46" si="4">IFERROR(L40/M40-1,"n.a.")</f>
        <v>0.29468500495366867</v>
      </c>
    </row>
    <row r="41" spans="1:14" x14ac:dyDescent="0.25">
      <c r="A41" s="72" t="s">
        <v>146</v>
      </c>
      <c r="B41" s="46" t="s">
        <v>34</v>
      </c>
      <c r="C41" s="9">
        <v>-16144</v>
      </c>
      <c r="D41" s="9">
        <v>-13783</v>
      </c>
      <c r="E41" s="9">
        <v>-6857</v>
      </c>
      <c r="F41" s="9">
        <v>-16967</v>
      </c>
      <c r="H41" s="9">
        <v>-11765</v>
      </c>
      <c r="I41" s="9">
        <v>-7326</v>
      </c>
      <c r="J41" s="9">
        <v>-15128</v>
      </c>
      <c r="K41" s="9">
        <v>-9522</v>
      </c>
      <c r="L41" s="9">
        <v>-21755</v>
      </c>
      <c r="M41" s="9">
        <v>-16815</v>
      </c>
      <c r="N41" s="19">
        <f t="shared" si="4"/>
        <v>0.29378531073446323</v>
      </c>
    </row>
    <row r="42" spans="1:14" x14ac:dyDescent="0.25">
      <c r="A42" s="72" t="s">
        <v>234</v>
      </c>
      <c r="B42" s="46" t="s">
        <v>34</v>
      </c>
      <c r="C42" s="9">
        <v>0</v>
      </c>
      <c r="D42" s="9">
        <v>0</v>
      </c>
      <c r="E42" s="9">
        <v>0</v>
      </c>
      <c r="F42" s="9">
        <v>0</v>
      </c>
      <c r="H42" s="9">
        <v>0</v>
      </c>
      <c r="I42" s="9">
        <v>0</v>
      </c>
      <c r="J42" s="9">
        <v>-4358</v>
      </c>
      <c r="K42" s="9">
        <v>0</v>
      </c>
      <c r="L42" s="9">
        <v>0</v>
      </c>
      <c r="M42" s="9">
        <v>0</v>
      </c>
      <c r="N42" s="19" t="str">
        <f t="shared" si="4"/>
        <v>n.a.</v>
      </c>
    </row>
    <row r="43" spans="1:14" x14ac:dyDescent="0.25">
      <c r="A43" s="72" t="s">
        <v>147</v>
      </c>
      <c r="B43" s="46" t="s">
        <v>34</v>
      </c>
      <c r="C43" s="9">
        <v>13664</v>
      </c>
      <c r="D43" s="9">
        <v>10086</v>
      </c>
      <c r="E43" s="9">
        <v>-11464</v>
      </c>
      <c r="F43" s="9">
        <v>-953</v>
      </c>
      <c r="H43" s="9">
        <v>3219</v>
      </c>
      <c r="I43" s="9">
        <v>19207</v>
      </c>
      <c r="J43" s="9">
        <v>-1064</v>
      </c>
      <c r="K43" s="9">
        <v>15688</v>
      </c>
      <c r="L43" s="9">
        <v>12232</v>
      </c>
      <c r="M43" s="9">
        <v>-3376</v>
      </c>
      <c r="N43" s="19">
        <f t="shared" si="4"/>
        <v>-4.6232227488151665</v>
      </c>
    </row>
    <row r="44" spans="1:14" x14ac:dyDescent="0.25">
      <c r="A44" s="72" t="s">
        <v>185</v>
      </c>
      <c r="B44" s="46" t="s">
        <v>34</v>
      </c>
      <c r="C44" s="9">
        <v>1896</v>
      </c>
      <c r="D44" s="9">
        <v>2162</v>
      </c>
      <c r="E44" s="9">
        <v>-1517</v>
      </c>
      <c r="F44" s="9">
        <v>-4570</v>
      </c>
      <c r="H44" s="9">
        <v>0</v>
      </c>
      <c r="I44" s="9">
        <v>2693</v>
      </c>
      <c r="J44" s="9">
        <v>0</v>
      </c>
      <c r="K44" s="9">
        <v>0</v>
      </c>
      <c r="L44" s="9">
        <v>0</v>
      </c>
      <c r="M44" s="9">
        <v>0</v>
      </c>
      <c r="N44" s="19" t="str">
        <f t="shared" si="4"/>
        <v>n.a.</v>
      </c>
    </row>
    <row r="45" spans="1:14" x14ac:dyDescent="0.25">
      <c r="A45" s="72" t="s">
        <v>186</v>
      </c>
      <c r="B45" s="46" t="s">
        <v>34</v>
      </c>
      <c r="C45" s="9">
        <v>-8027</v>
      </c>
      <c r="D45" s="9">
        <v>-31152</v>
      </c>
      <c r="E45" s="9">
        <v>-16555</v>
      </c>
      <c r="F45" s="9">
        <v>-18149</v>
      </c>
      <c r="H45" s="9">
        <v>-2045</v>
      </c>
      <c r="I45" s="9">
        <v>-1692</v>
      </c>
      <c r="J45" s="9">
        <v>-6990</v>
      </c>
      <c r="K45" s="9">
        <v>-1347</v>
      </c>
      <c r="L45" s="9">
        <v>-12051</v>
      </c>
      <c r="M45" s="9">
        <v>-4098</v>
      </c>
      <c r="N45" s="19">
        <f t="shared" si="4"/>
        <v>1.9407027818448022</v>
      </c>
    </row>
    <row r="46" spans="1:14" x14ac:dyDescent="0.25">
      <c r="A46" s="72" t="s">
        <v>149</v>
      </c>
      <c r="B46" s="46" t="s">
        <v>34</v>
      </c>
      <c r="C46" s="9">
        <v>2989</v>
      </c>
      <c r="D46" s="9">
        <v>-2219</v>
      </c>
      <c r="E46" s="9">
        <v>4380</v>
      </c>
      <c r="F46" s="9">
        <v>-6114</v>
      </c>
      <c r="H46" s="9">
        <v>-5279</v>
      </c>
      <c r="I46" s="9">
        <v>-17993</v>
      </c>
      <c r="J46" s="9">
        <v>-5913</v>
      </c>
      <c r="K46" s="9">
        <v>-8668</v>
      </c>
      <c r="L46" s="9">
        <v>3907</v>
      </c>
      <c r="M46" s="9">
        <v>-4857</v>
      </c>
      <c r="N46" s="19">
        <f t="shared" si="4"/>
        <v>-1.8044060119415277</v>
      </c>
    </row>
    <row r="47" spans="1:14" s="29" customFormat="1" x14ac:dyDescent="0.25">
      <c r="A47" s="73" t="s">
        <v>184</v>
      </c>
      <c r="B47" s="51" t="s">
        <v>34</v>
      </c>
      <c r="C47" s="14">
        <f>SUM(C26:C46)</f>
        <v>309521</v>
      </c>
      <c r="D47" s="14">
        <f>SUM(D26:D46)</f>
        <v>301632</v>
      </c>
      <c r="E47" s="14">
        <f>SUM(E26:E46)</f>
        <v>478352.99999999994</v>
      </c>
      <c r="F47" s="14">
        <f>SUM(F26:F46)</f>
        <v>429744</v>
      </c>
      <c r="H47" s="14">
        <f t="shared" ref="H47:K47" si="5">SUM(H26:H46)</f>
        <v>92138</v>
      </c>
      <c r="I47" s="14">
        <f t="shared" si="5"/>
        <v>28133</v>
      </c>
      <c r="J47" s="14">
        <f t="shared" si="5"/>
        <v>171925</v>
      </c>
      <c r="K47" s="14">
        <f t="shared" si="5"/>
        <v>62593</v>
      </c>
      <c r="L47" s="14">
        <f>SUM(L26:L46)</f>
        <v>371828</v>
      </c>
      <c r="M47" s="14">
        <f>SUM(M26:M46)</f>
        <v>212658</v>
      </c>
      <c r="N47" s="20">
        <f>IFERROR(L47/M47-1,"n.a.")</f>
        <v>0.74847877813202413</v>
      </c>
    </row>
    <row r="48" spans="1:14" x14ac:dyDescent="0.25">
      <c r="A48" s="69"/>
      <c r="B48" s="46"/>
      <c r="C48" s="9"/>
      <c r="D48" s="9"/>
      <c r="E48" s="9"/>
      <c r="F48" s="9"/>
      <c r="H48" s="9"/>
      <c r="I48" s="9"/>
      <c r="J48" s="9"/>
      <c r="K48" s="9"/>
      <c r="L48" s="9"/>
      <c r="M48" s="9"/>
      <c r="N48" s="19"/>
    </row>
    <row r="49" spans="1:14" x14ac:dyDescent="0.25">
      <c r="A49" s="71" t="s">
        <v>187</v>
      </c>
      <c r="B49" s="46" t="s">
        <v>34</v>
      </c>
      <c r="C49" s="9">
        <v>-70877</v>
      </c>
      <c r="D49" s="9">
        <v>-77005</v>
      </c>
      <c r="E49" s="9">
        <v>-70010</v>
      </c>
      <c r="F49" s="9">
        <v>-39865</v>
      </c>
      <c r="H49" s="9">
        <v>-7866</v>
      </c>
      <c r="I49" s="9">
        <v>-9429</v>
      </c>
      <c r="J49" s="9">
        <v>-21424</v>
      </c>
      <c r="K49" s="9">
        <v>-21435</v>
      </c>
      <c r="L49" s="9">
        <v>-32301</v>
      </c>
      <c r="M49" s="9">
        <v>-27641</v>
      </c>
      <c r="N49" s="19">
        <f t="shared" ref="N49:N51" si="6">IFERROR(L49/M49-1,"n.a.")</f>
        <v>0.16859013783871779</v>
      </c>
    </row>
    <row r="50" spans="1:14" ht="28.5" x14ac:dyDescent="0.25">
      <c r="A50" s="71" t="s">
        <v>188</v>
      </c>
      <c r="B50" s="46" t="s">
        <v>34</v>
      </c>
      <c r="C50" s="9">
        <v>0</v>
      </c>
      <c r="D50" s="9">
        <v>0</v>
      </c>
      <c r="E50" s="9">
        <v>-4628</v>
      </c>
      <c r="F50" s="9">
        <v>-5665</v>
      </c>
      <c r="H50" s="9">
        <v>-6499</v>
      </c>
      <c r="I50" s="9">
        <v>-2981</v>
      </c>
      <c r="J50" s="9">
        <v>-14718</v>
      </c>
      <c r="K50" s="9">
        <v>-6335</v>
      </c>
      <c r="L50" s="9">
        <v>-14287</v>
      </c>
      <c r="M50" s="9">
        <v>-9072</v>
      </c>
      <c r="N50" s="19">
        <f t="shared" si="6"/>
        <v>0.57484567901234573</v>
      </c>
    </row>
    <row r="51" spans="1:14" x14ac:dyDescent="0.25">
      <c r="A51" s="71" t="s">
        <v>189</v>
      </c>
      <c r="B51" s="46" t="s">
        <v>34</v>
      </c>
      <c r="C51" s="9">
        <v>-18677</v>
      </c>
      <c r="D51" s="9">
        <v>0</v>
      </c>
      <c r="E51" s="9">
        <v>-981</v>
      </c>
      <c r="F51" s="9">
        <v>-4942</v>
      </c>
      <c r="H51" s="9">
        <v>0</v>
      </c>
      <c r="I51" s="9">
        <v>0</v>
      </c>
      <c r="J51" s="9">
        <v>-8012</v>
      </c>
      <c r="K51" s="9">
        <v>0</v>
      </c>
      <c r="L51" s="9">
        <v>-19906</v>
      </c>
      <c r="M51" s="9">
        <v>-4942</v>
      </c>
      <c r="N51" s="19">
        <f t="shared" si="6"/>
        <v>3.0279239174423314</v>
      </c>
    </row>
    <row r="52" spans="1:14" s="29" customFormat="1" x14ac:dyDescent="0.25">
      <c r="A52" s="73" t="s">
        <v>190</v>
      </c>
      <c r="B52" s="51" t="s">
        <v>34</v>
      </c>
      <c r="C52" s="14">
        <f t="shared" ref="C52:F52" si="7">SUM(C47:C51)</f>
        <v>219967</v>
      </c>
      <c r="D52" s="14">
        <f t="shared" si="7"/>
        <v>224627</v>
      </c>
      <c r="E52" s="14">
        <f t="shared" si="7"/>
        <v>402733.99999999994</v>
      </c>
      <c r="F52" s="14">
        <f t="shared" si="7"/>
        <v>379272</v>
      </c>
      <c r="H52" s="14">
        <f>SUM(H47:H51)</f>
        <v>77773</v>
      </c>
      <c r="I52" s="14">
        <f>SUM(I47:I51)</f>
        <v>15723</v>
      </c>
      <c r="J52" s="14">
        <f t="shared" ref="J52:K52" si="8">SUM(J47:J51)</f>
        <v>127771</v>
      </c>
      <c r="K52" s="14">
        <f t="shared" si="8"/>
        <v>34823</v>
      </c>
      <c r="L52" s="14">
        <f t="shared" ref="L52:M52" si="9">SUM(L47:L51)</f>
        <v>305334</v>
      </c>
      <c r="M52" s="14">
        <f t="shared" si="9"/>
        <v>171003</v>
      </c>
      <c r="N52" s="20">
        <f>IFERROR(L52/M52-1,"n.a.")</f>
        <v>0.78554762197154426</v>
      </c>
    </row>
    <row r="53" spans="1:14" x14ac:dyDescent="0.25">
      <c r="A53" s="69"/>
      <c r="B53" s="46"/>
      <c r="C53" s="9"/>
      <c r="D53" s="9"/>
      <c r="E53" s="9"/>
      <c r="F53" s="9"/>
      <c r="H53" s="9"/>
      <c r="I53" s="9"/>
      <c r="J53" s="9"/>
      <c r="K53" s="9"/>
      <c r="L53" s="9"/>
      <c r="M53" s="9"/>
      <c r="N53" s="19"/>
    </row>
    <row r="54" spans="1:14" s="29" customFormat="1" x14ac:dyDescent="0.25">
      <c r="A54" s="73" t="s">
        <v>191</v>
      </c>
      <c r="B54" s="46"/>
      <c r="C54" s="14"/>
      <c r="D54" s="14"/>
      <c r="E54" s="14"/>
      <c r="F54" s="14"/>
      <c r="H54" s="14"/>
      <c r="I54" s="14"/>
      <c r="J54" s="14"/>
      <c r="K54" s="14"/>
      <c r="L54" s="14"/>
      <c r="M54" s="14"/>
      <c r="N54" s="20"/>
    </row>
    <row r="55" spans="1:14" x14ac:dyDescent="0.25">
      <c r="A55" s="71" t="s">
        <v>192</v>
      </c>
      <c r="B55" s="46" t="s">
        <v>34</v>
      </c>
      <c r="C55" s="9">
        <v>-285686</v>
      </c>
      <c r="D55" s="9">
        <v>98368</v>
      </c>
      <c r="E55" s="9">
        <v>-4881</v>
      </c>
      <c r="F55" s="9">
        <v>213560</v>
      </c>
      <c r="H55" s="9">
        <v>3281</v>
      </c>
      <c r="I55" s="9">
        <v>216075</v>
      </c>
      <c r="J55" s="9">
        <v>3180</v>
      </c>
      <c r="K55" s="9">
        <v>215439</v>
      </c>
      <c r="L55" s="9">
        <v>2390</v>
      </c>
      <c r="M55" s="9">
        <v>214478</v>
      </c>
      <c r="N55" s="19">
        <f t="shared" ref="N55:N59" si="10">IFERROR(L55/M55-1,"n.a.")</f>
        <v>-0.98885666595175259</v>
      </c>
    </row>
    <row r="56" spans="1:14" x14ac:dyDescent="0.25">
      <c r="A56" s="71" t="s">
        <v>193</v>
      </c>
      <c r="B56" s="46" t="s">
        <v>34</v>
      </c>
      <c r="C56" s="9">
        <v>0</v>
      </c>
      <c r="D56" s="9">
        <v>0</v>
      </c>
      <c r="E56" s="9">
        <v>-23664</v>
      </c>
      <c r="F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19" t="str">
        <f t="shared" si="10"/>
        <v>n.a.</v>
      </c>
    </row>
    <row r="57" spans="1:14" x14ac:dyDescent="0.25">
      <c r="A57" s="71" t="s">
        <v>194</v>
      </c>
      <c r="B57" s="46" t="s">
        <v>34</v>
      </c>
      <c r="C57" s="9">
        <v>0</v>
      </c>
      <c r="D57" s="9">
        <v>0</v>
      </c>
      <c r="E57" s="9">
        <v>0</v>
      </c>
      <c r="F57" s="9">
        <v>1173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19" t="str">
        <f t="shared" si="10"/>
        <v>n.a.</v>
      </c>
    </row>
    <row r="58" spans="1:14" x14ac:dyDescent="0.25">
      <c r="A58" s="71" t="s">
        <v>195</v>
      </c>
      <c r="B58" s="46" t="s">
        <v>34</v>
      </c>
      <c r="C58" s="9">
        <v>10926</v>
      </c>
      <c r="D58" s="9">
        <v>3487</v>
      </c>
      <c r="E58" s="9">
        <v>3511</v>
      </c>
      <c r="F58" s="9">
        <v>2704</v>
      </c>
      <c r="H58" s="9">
        <v>1169</v>
      </c>
      <c r="I58" s="9">
        <v>127</v>
      </c>
      <c r="J58" s="9">
        <v>3045</v>
      </c>
      <c r="K58" s="9">
        <v>1662</v>
      </c>
      <c r="L58" s="9">
        <v>3689</v>
      </c>
      <c r="M58" s="9">
        <v>1704</v>
      </c>
      <c r="N58" s="19">
        <f t="shared" si="10"/>
        <v>1.164906103286385</v>
      </c>
    </row>
    <row r="59" spans="1:14" x14ac:dyDescent="0.25">
      <c r="A59" s="71" t="s">
        <v>196</v>
      </c>
      <c r="B59" s="46" t="s">
        <v>34</v>
      </c>
      <c r="C59" s="9">
        <v>-177775</v>
      </c>
      <c r="D59" s="9">
        <v>-190804</v>
      </c>
      <c r="E59" s="9">
        <v>-170369</v>
      </c>
      <c r="F59" s="9">
        <v>-159210</v>
      </c>
      <c r="H59" s="9">
        <v>-3274</v>
      </c>
      <c r="I59" s="9">
        <v>-37917</v>
      </c>
      <c r="J59" s="9">
        <v>-22169</v>
      </c>
      <c r="K59" s="9">
        <v>-58593</v>
      </c>
      <c r="L59" s="9">
        <v>-80916</v>
      </c>
      <c r="M59" s="9">
        <v>-89804</v>
      </c>
      <c r="N59" s="19">
        <f t="shared" si="10"/>
        <v>-9.8971092601665811E-2</v>
      </c>
    </row>
    <row r="60" spans="1:14" s="29" customFormat="1" x14ac:dyDescent="0.25">
      <c r="A60" s="73" t="s">
        <v>197</v>
      </c>
      <c r="B60" s="51" t="s">
        <v>34</v>
      </c>
      <c r="C60" s="14">
        <f t="shared" ref="C60:F60" si="11">SUM(C55:C59)</f>
        <v>-452535</v>
      </c>
      <c r="D60" s="14">
        <f t="shared" si="11"/>
        <v>-88949</v>
      </c>
      <c r="E60" s="14">
        <f t="shared" si="11"/>
        <v>-195403</v>
      </c>
      <c r="F60" s="14">
        <f t="shared" si="11"/>
        <v>58227</v>
      </c>
      <c r="H60" s="14">
        <f>SUM(H55:H59)</f>
        <v>1176</v>
      </c>
      <c r="I60" s="14">
        <f>SUM(I55:I59)</f>
        <v>178285</v>
      </c>
      <c r="J60" s="14">
        <f t="shared" ref="J60:K60" si="12">SUM(J55:J59)</f>
        <v>-15944</v>
      </c>
      <c r="K60" s="14">
        <f t="shared" si="12"/>
        <v>158508</v>
      </c>
      <c r="L60" s="14">
        <f t="shared" ref="L60:M60" si="13">SUM(L55:L59)</f>
        <v>-74837</v>
      </c>
      <c r="M60" s="14">
        <f t="shared" si="13"/>
        <v>126378</v>
      </c>
      <c r="N60" s="20">
        <f>IFERROR(L60/M60-1,"n.a.")</f>
        <v>-1.5921679406225766</v>
      </c>
    </row>
    <row r="61" spans="1:14" x14ac:dyDescent="0.25">
      <c r="A61" s="69"/>
      <c r="B61" s="46"/>
      <c r="C61" s="9"/>
      <c r="D61" s="9"/>
      <c r="E61" s="9"/>
      <c r="F61" s="9"/>
      <c r="H61" s="9"/>
      <c r="I61" s="9"/>
      <c r="J61" s="9"/>
      <c r="K61" s="9"/>
      <c r="L61" s="9"/>
      <c r="M61" s="9"/>
      <c r="N61" s="19"/>
    </row>
    <row r="62" spans="1:14" s="29" customFormat="1" x14ac:dyDescent="0.25">
      <c r="A62" s="73" t="s">
        <v>198</v>
      </c>
      <c r="B62" s="46"/>
      <c r="C62" s="14"/>
      <c r="D62" s="14"/>
      <c r="E62" s="14"/>
      <c r="F62" s="14"/>
      <c r="H62" s="14"/>
      <c r="I62" s="14"/>
      <c r="J62" s="14"/>
      <c r="K62" s="14"/>
      <c r="L62" s="14"/>
      <c r="M62" s="14"/>
      <c r="N62" s="20"/>
    </row>
    <row r="63" spans="1:14" x14ac:dyDescent="0.25">
      <c r="A63" s="71" t="s">
        <v>199</v>
      </c>
      <c r="B63" s="46" t="s">
        <v>34</v>
      </c>
      <c r="C63" s="9">
        <v>258060</v>
      </c>
      <c r="D63" s="9">
        <v>125000</v>
      </c>
      <c r="E63" s="9">
        <v>20001</v>
      </c>
      <c r="F63" s="9">
        <v>15000</v>
      </c>
      <c r="H63" s="9">
        <v>0</v>
      </c>
      <c r="I63" s="9">
        <v>15000</v>
      </c>
      <c r="J63" s="9">
        <v>0</v>
      </c>
      <c r="K63" s="9">
        <v>15000</v>
      </c>
      <c r="L63" s="9">
        <v>2600</v>
      </c>
      <c r="M63" s="9">
        <v>15000</v>
      </c>
      <c r="N63" s="19">
        <f t="shared" ref="N63:N71" si="14">IFERROR(L63/M63-1,"n.a.")</f>
        <v>-0.82666666666666666</v>
      </c>
    </row>
    <row r="64" spans="1:14" x14ac:dyDescent="0.25">
      <c r="A64" s="71" t="s">
        <v>200</v>
      </c>
      <c r="B64" s="46" t="s">
        <v>34</v>
      </c>
      <c r="C64" s="9">
        <v>-163445</v>
      </c>
      <c r="D64" s="9">
        <v>-160051</v>
      </c>
      <c r="E64" s="9">
        <v>-236983</v>
      </c>
      <c r="F64" s="9">
        <v>-223125</v>
      </c>
      <c r="H64" s="9">
        <v>-17662</v>
      </c>
      <c r="I64" s="9">
        <v>-175974</v>
      </c>
      <c r="J64" s="9">
        <v>-34087</v>
      </c>
      <c r="K64" s="9">
        <v>-192272</v>
      </c>
      <c r="L64" s="9">
        <v>-40978</v>
      </c>
      <c r="M64" s="9">
        <v>-199141</v>
      </c>
      <c r="N64" s="19">
        <f t="shared" si="14"/>
        <v>-0.79422620153559542</v>
      </c>
    </row>
    <row r="65" spans="1:14" x14ac:dyDescent="0.25">
      <c r="A65" s="71" t="s">
        <v>201</v>
      </c>
      <c r="B65" s="46" t="s">
        <v>34</v>
      </c>
      <c r="C65" s="9">
        <v>0</v>
      </c>
      <c r="D65" s="9">
        <v>100000</v>
      </c>
      <c r="E65" s="9">
        <v>414681</v>
      </c>
      <c r="F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19" t="str">
        <f t="shared" si="14"/>
        <v>n.a.</v>
      </c>
    </row>
    <row r="66" spans="1:14" x14ac:dyDescent="0.25">
      <c r="A66" s="71" t="s">
        <v>202</v>
      </c>
      <c r="B66" s="46" t="s">
        <v>34</v>
      </c>
      <c r="C66" s="9">
        <v>-68649</v>
      </c>
      <c r="D66" s="9">
        <v>-134080</v>
      </c>
      <c r="E66" s="9">
        <v>-34198</v>
      </c>
      <c r="F66" s="9">
        <v>-20508</v>
      </c>
      <c r="H66" s="9">
        <v>-35</v>
      </c>
      <c r="I66" s="9">
        <v>-467</v>
      </c>
      <c r="J66" s="9">
        <v>-20127</v>
      </c>
      <c r="K66" s="9">
        <v>-20467</v>
      </c>
      <c r="L66" s="9">
        <v>-20127</v>
      </c>
      <c r="M66" s="9">
        <v>-20467</v>
      </c>
      <c r="N66" s="19">
        <f t="shared" si="14"/>
        <v>-1.6612107294669443E-2</v>
      </c>
    </row>
    <row r="67" spans="1:14" x14ac:dyDescent="0.25">
      <c r="A67" s="71" t="s">
        <v>203</v>
      </c>
      <c r="B67" s="46" t="s">
        <v>34</v>
      </c>
      <c r="C67" s="9">
        <v>0</v>
      </c>
      <c r="D67" s="9">
        <v>0</v>
      </c>
      <c r="E67" s="9">
        <v>-72146</v>
      </c>
      <c r="F67" s="9">
        <v>-85903</v>
      </c>
      <c r="H67" s="9">
        <v>-18376</v>
      </c>
      <c r="I67" s="9">
        <v>-17350</v>
      </c>
      <c r="J67" s="9">
        <v>-39797</v>
      </c>
      <c r="K67" s="9">
        <v>-38161</v>
      </c>
      <c r="L67" s="9">
        <v>-65885</v>
      </c>
      <c r="M67" s="9">
        <v>-55565</v>
      </c>
      <c r="N67" s="19">
        <f t="shared" si="14"/>
        <v>0.18572842616755159</v>
      </c>
    </row>
    <row r="68" spans="1:14" x14ac:dyDescent="0.25">
      <c r="A68" s="71" t="s">
        <v>204</v>
      </c>
      <c r="B68" s="46" t="s">
        <v>34</v>
      </c>
      <c r="C68" s="9">
        <v>0</v>
      </c>
      <c r="D68" s="9">
        <v>0</v>
      </c>
      <c r="E68" s="9">
        <v>0</v>
      </c>
      <c r="F68" s="9">
        <v>-10374</v>
      </c>
      <c r="H68" s="9">
        <v>-6399</v>
      </c>
      <c r="I68" s="9">
        <v>0</v>
      </c>
      <c r="J68" s="9">
        <v>-7750</v>
      </c>
      <c r="K68" s="9">
        <v>0</v>
      </c>
      <c r="L68" s="9">
        <v>-12236</v>
      </c>
      <c r="M68" s="9">
        <v>-4007</v>
      </c>
      <c r="N68" s="19">
        <f t="shared" si="14"/>
        <v>2.053656101821812</v>
      </c>
    </row>
    <row r="69" spans="1:14" x14ac:dyDescent="0.25">
      <c r="A69" s="71" t="s">
        <v>205</v>
      </c>
      <c r="B69" s="46" t="s">
        <v>34</v>
      </c>
      <c r="C69" s="9">
        <v>-3615</v>
      </c>
      <c r="D69" s="9">
        <v>-27797</v>
      </c>
      <c r="E69" s="9">
        <v>-1990</v>
      </c>
      <c r="F69" s="9">
        <v>-8097</v>
      </c>
      <c r="H69" s="9">
        <v>-17462</v>
      </c>
      <c r="I69" s="9">
        <v>0</v>
      </c>
      <c r="J69" s="9">
        <v>-17462</v>
      </c>
      <c r="K69" s="9">
        <v>-8097</v>
      </c>
      <c r="L69" s="9">
        <v>-17462</v>
      </c>
      <c r="M69" s="9">
        <v>-8097</v>
      </c>
      <c r="N69" s="19">
        <f t="shared" si="14"/>
        <v>1.1566012103248116</v>
      </c>
    </row>
    <row r="70" spans="1:14" x14ac:dyDescent="0.25">
      <c r="A70" s="71" t="s">
        <v>206</v>
      </c>
      <c r="B70" s="46" t="s">
        <v>34</v>
      </c>
      <c r="C70" s="9">
        <v>-8504</v>
      </c>
      <c r="D70" s="9">
        <v>0</v>
      </c>
      <c r="E70" s="9">
        <v>-16749</v>
      </c>
      <c r="F70" s="9">
        <v>-18433</v>
      </c>
      <c r="H70" s="9">
        <v>-76276</v>
      </c>
      <c r="I70" s="9">
        <v>-4889</v>
      </c>
      <c r="J70" s="9">
        <v>-76276</v>
      </c>
      <c r="K70" s="9">
        <v>-4889</v>
      </c>
      <c r="L70" s="9">
        <v>-76276</v>
      </c>
      <c r="M70" s="9">
        <v>-18433</v>
      </c>
      <c r="N70" s="19">
        <f t="shared" si="14"/>
        <v>3.13801334563012</v>
      </c>
    </row>
    <row r="71" spans="1:14" x14ac:dyDescent="0.25">
      <c r="A71" s="71" t="s">
        <v>212</v>
      </c>
      <c r="B71" s="46" t="s">
        <v>34</v>
      </c>
      <c r="C71" s="9">
        <v>0</v>
      </c>
      <c r="D71" s="9">
        <v>-14912</v>
      </c>
      <c r="E71" s="9">
        <v>0</v>
      </c>
      <c r="F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19" t="str">
        <f t="shared" si="14"/>
        <v>n.a.</v>
      </c>
    </row>
    <row r="72" spans="1:14" s="29" customFormat="1" x14ac:dyDescent="0.25">
      <c r="A72" s="73" t="s">
        <v>207</v>
      </c>
      <c r="B72" s="51" t="s">
        <v>34</v>
      </c>
      <c r="C72" s="14">
        <f>SUM(C63:C71)</f>
        <v>13847</v>
      </c>
      <c r="D72" s="14">
        <f>SUM(D63:D71)</f>
        <v>-111840</v>
      </c>
      <c r="E72" s="14">
        <f>SUM(E63:E71)</f>
        <v>72616</v>
      </c>
      <c r="F72" s="14">
        <f>SUM(F63:F71)</f>
        <v>-351440</v>
      </c>
      <c r="H72" s="14">
        <f t="shared" ref="H72:K72" si="15">SUM(H63:H71)</f>
        <v>-136210</v>
      </c>
      <c r="I72" s="14">
        <f t="shared" si="15"/>
        <v>-183680</v>
      </c>
      <c r="J72" s="14">
        <f t="shared" si="15"/>
        <v>-195499</v>
      </c>
      <c r="K72" s="14">
        <f t="shared" si="15"/>
        <v>-248886</v>
      </c>
      <c r="L72" s="14">
        <f t="shared" ref="L72:M72" si="16">SUM(L63:L71)</f>
        <v>-230364</v>
      </c>
      <c r="M72" s="14">
        <f t="shared" si="16"/>
        <v>-290710</v>
      </c>
      <c r="N72" s="20">
        <f>IFERROR(L72/M72-1,"n.a.")</f>
        <v>-0.20758143854700561</v>
      </c>
    </row>
    <row r="73" spans="1:14" x14ac:dyDescent="0.25">
      <c r="A73" s="69"/>
      <c r="B73" s="46"/>
      <c r="C73" s="9"/>
      <c r="D73" s="9"/>
      <c r="E73" s="9"/>
      <c r="F73" s="9"/>
      <c r="H73" s="9"/>
      <c r="I73" s="9"/>
      <c r="J73" s="9"/>
      <c r="K73" s="9"/>
      <c r="L73" s="9"/>
      <c r="M73" s="9"/>
      <c r="N73" s="19"/>
    </row>
    <row r="74" spans="1:14" s="29" customFormat="1" x14ac:dyDescent="0.25">
      <c r="A74" s="73" t="s">
        <v>208</v>
      </c>
      <c r="B74" s="51" t="s">
        <v>34</v>
      </c>
      <c r="C74" s="14">
        <f>C52+C60+C72</f>
        <v>-218721</v>
      </c>
      <c r="D74" s="14">
        <f t="shared" ref="D74" si="17">D52+D60+D72</f>
        <v>23838</v>
      </c>
      <c r="E74" s="14">
        <f>E52+E60+E72</f>
        <v>279946.99999999994</v>
      </c>
      <c r="F74" s="14">
        <f>F52+F60+F72</f>
        <v>86059</v>
      </c>
      <c r="H74" s="14">
        <f>H52+H60+H72</f>
        <v>-57261</v>
      </c>
      <c r="I74" s="14">
        <f>I52+I60+I72</f>
        <v>10328</v>
      </c>
      <c r="J74" s="14">
        <f t="shared" ref="J74:K74" si="18">J52+J60+J72</f>
        <v>-83672</v>
      </c>
      <c r="K74" s="14">
        <f t="shared" si="18"/>
        <v>-55555</v>
      </c>
      <c r="L74" s="14">
        <f t="shared" ref="L74:M74" si="19">L52+L60+L72</f>
        <v>133</v>
      </c>
      <c r="M74" s="14">
        <f t="shared" si="19"/>
        <v>6671</v>
      </c>
      <c r="N74" s="20">
        <f>IFERROR(L74/M74-1,"n.a.")</f>
        <v>-0.98006295907660024</v>
      </c>
    </row>
    <row r="75" spans="1:14" x14ac:dyDescent="0.25">
      <c r="A75" s="69"/>
      <c r="B75" s="51"/>
      <c r="C75" s="9"/>
      <c r="D75" s="9"/>
      <c r="E75" s="9"/>
      <c r="F75" s="9"/>
      <c r="H75" s="9"/>
      <c r="I75" s="9"/>
      <c r="J75" s="9"/>
      <c r="K75" s="9"/>
      <c r="L75" s="9"/>
      <c r="M75" s="9"/>
      <c r="N75" s="19"/>
    </row>
    <row r="76" spans="1:14" s="29" customFormat="1" x14ac:dyDescent="0.25">
      <c r="A76" s="73" t="s">
        <v>209</v>
      </c>
      <c r="B76" s="51" t="s">
        <v>34</v>
      </c>
      <c r="C76" s="14">
        <v>229183</v>
      </c>
      <c r="D76" s="14">
        <v>10440</v>
      </c>
      <c r="E76" s="14">
        <v>34278</v>
      </c>
      <c r="F76" s="14">
        <v>314225</v>
      </c>
      <c r="H76" s="14">
        <v>400284</v>
      </c>
      <c r="I76" s="14">
        <v>314225</v>
      </c>
      <c r="J76" s="14">
        <v>400284</v>
      </c>
      <c r="K76" s="14">
        <v>314225</v>
      </c>
      <c r="L76" s="14">
        <v>400284</v>
      </c>
      <c r="M76" s="14">
        <v>314225</v>
      </c>
      <c r="N76" s="20">
        <f>IFERROR(L76/M76-1,"n.a.")</f>
        <v>0.27387699896570927</v>
      </c>
    </row>
    <row r="77" spans="1:14" x14ac:dyDescent="0.25">
      <c r="A77" s="69"/>
      <c r="B77" s="51"/>
      <c r="C77" s="9"/>
      <c r="D77" s="9"/>
      <c r="E77" s="9"/>
      <c r="F77" s="9"/>
      <c r="H77" s="9"/>
      <c r="I77" s="9"/>
      <c r="J77" s="9"/>
      <c r="K77" s="9"/>
      <c r="L77" s="9"/>
      <c r="M77" s="9"/>
      <c r="N77" s="19"/>
    </row>
    <row r="78" spans="1:14" s="29" customFormat="1" x14ac:dyDescent="0.25">
      <c r="A78" s="73" t="s">
        <v>210</v>
      </c>
      <c r="B78" s="51" t="s">
        <v>34</v>
      </c>
      <c r="C78" s="14">
        <f t="shared" ref="C78:E78" si="20">C74+C76</f>
        <v>10462</v>
      </c>
      <c r="D78" s="14">
        <f t="shared" ref="D78" si="21">D74+D76</f>
        <v>34278</v>
      </c>
      <c r="E78" s="14">
        <f t="shared" si="20"/>
        <v>314224.99999999994</v>
      </c>
      <c r="F78" s="14">
        <f t="shared" ref="F78" si="22">F74+F76</f>
        <v>400284</v>
      </c>
      <c r="H78" s="14">
        <f>H74+H76</f>
        <v>343023</v>
      </c>
      <c r="I78" s="14">
        <f>I74+I76</f>
        <v>324553</v>
      </c>
      <c r="J78" s="14">
        <f t="shared" ref="J78:K78" si="23">J74+J76</f>
        <v>316612</v>
      </c>
      <c r="K78" s="14">
        <f t="shared" si="23"/>
        <v>258670</v>
      </c>
      <c r="L78" s="14">
        <f t="shared" ref="L78:M78" si="24">L74+L76</f>
        <v>400417</v>
      </c>
      <c r="M78" s="14">
        <f t="shared" si="24"/>
        <v>320896</v>
      </c>
      <c r="N78" s="20">
        <f>IFERROR(L78/M78-1,"n.a.")</f>
        <v>0.24780925907459106</v>
      </c>
    </row>
    <row r="79" spans="1:14" x14ac:dyDescent="0.25">
      <c r="A79" s="69"/>
      <c r="B79" s="46"/>
      <c r="C79" s="9"/>
      <c r="D79" s="9"/>
      <c r="E79" s="9"/>
      <c r="F79" s="9"/>
      <c r="H79" s="9"/>
      <c r="I79" s="9"/>
      <c r="J79" s="9"/>
      <c r="K79" s="9"/>
      <c r="L79" s="9"/>
      <c r="M79" s="9"/>
      <c r="N79" s="19"/>
    </row>
    <row r="80" spans="1:14" ht="16.5" x14ac:dyDescent="0.25">
      <c r="A80" s="67" t="s">
        <v>52</v>
      </c>
      <c r="B80" s="16"/>
      <c r="C80" s="16"/>
      <c r="D80" s="16"/>
      <c r="E80" s="16"/>
      <c r="F80" s="16"/>
      <c r="H80" s="16"/>
      <c r="I80" s="16"/>
      <c r="J80" s="16"/>
      <c r="K80" s="16"/>
      <c r="L80" s="16"/>
      <c r="M80" s="16"/>
      <c r="N80" s="16"/>
    </row>
    <row r="81" spans="1:14" x14ac:dyDescent="0.25">
      <c r="A81" s="68" t="s">
        <v>162</v>
      </c>
      <c r="B81" s="55"/>
      <c r="C81" s="9"/>
      <c r="D81" s="9"/>
      <c r="E81" s="9"/>
      <c r="F81" s="9"/>
      <c r="H81" s="9"/>
      <c r="I81" s="9"/>
      <c r="J81" s="9"/>
      <c r="K81" s="9"/>
      <c r="L81" s="9"/>
      <c r="M81" s="9"/>
      <c r="N81" s="9"/>
    </row>
    <row r="82" spans="1:14" ht="28.5" x14ac:dyDescent="0.25">
      <c r="A82" s="69" t="s">
        <v>163</v>
      </c>
      <c r="B82" s="46" t="s">
        <v>34</v>
      </c>
      <c r="C82" s="9"/>
      <c r="D82" s="9">
        <f>+D157-D8</f>
        <v>-1032</v>
      </c>
      <c r="E82" s="9">
        <f>+E157-E8</f>
        <v>-41782</v>
      </c>
      <c r="F82" s="9">
        <f>+F157-F8</f>
        <v>4629</v>
      </c>
      <c r="H82" s="9">
        <f t="shared" ref="H82:M82" si="25">+H157-H8</f>
        <v>28595</v>
      </c>
      <c r="I82" s="9">
        <f t="shared" si="25"/>
        <v>4578</v>
      </c>
      <c r="J82" s="9">
        <f t="shared" si="25"/>
        <v>46968</v>
      </c>
      <c r="K82" s="9">
        <f t="shared" si="25"/>
        <v>13084</v>
      </c>
      <c r="L82" s="9">
        <f t="shared" si="25"/>
        <v>62920</v>
      </c>
      <c r="M82" s="9">
        <f t="shared" si="25"/>
        <v>30681</v>
      </c>
      <c r="N82" s="19">
        <f t="shared" ref="N82:N99" si="26">IFERROR(L82/M82-1,"n.a.")</f>
        <v>1.0507806134089503</v>
      </c>
    </row>
    <row r="83" spans="1:14" x14ac:dyDescent="0.25">
      <c r="A83" s="71" t="s">
        <v>164</v>
      </c>
      <c r="B83" s="46"/>
      <c r="C83" s="9"/>
      <c r="D83" s="9">
        <f t="shared" ref="D83" si="27">+D158-D9</f>
        <v>0</v>
      </c>
      <c r="E83" s="9">
        <f t="shared" ref="E83" si="28">+E158-E9</f>
        <v>0</v>
      </c>
      <c r="F83" s="9">
        <f t="shared" ref="F83" si="29">+F158-F9</f>
        <v>0</v>
      </c>
      <c r="H83" s="9">
        <f t="shared" ref="H83" si="30">+H158-H9</f>
        <v>0</v>
      </c>
      <c r="I83" s="9">
        <f t="shared" ref="I83" si="31">+I158-I9</f>
        <v>0</v>
      </c>
      <c r="J83" s="9">
        <f t="shared" ref="J83" si="32">+J158-J9</f>
        <v>0</v>
      </c>
      <c r="K83" s="9">
        <f t="shared" ref="K83" si="33">+K158-K9</f>
        <v>0</v>
      </c>
      <c r="L83" s="9">
        <f t="shared" ref="L83:M100" si="34">+L158-L9</f>
        <v>0</v>
      </c>
      <c r="M83" s="9">
        <f t="shared" si="34"/>
        <v>0</v>
      </c>
      <c r="N83" s="19" t="str">
        <f t="shared" si="26"/>
        <v>n.a.</v>
      </c>
    </row>
    <row r="84" spans="1:14" x14ac:dyDescent="0.25">
      <c r="A84" s="72" t="s">
        <v>165</v>
      </c>
      <c r="B84" s="46" t="s">
        <v>34</v>
      </c>
      <c r="C84" s="9"/>
      <c r="D84" s="9">
        <f t="shared" ref="D84" si="35">+D159-D10</f>
        <v>0</v>
      </c>
      <c r="E84" s="9">
        <f t="shared" ref="E84" si="36">+E159-E10</f>
        <v>0</v>
      </c>
      <c r="F84" s="9">
        <f t="shared" ref="F84" si="37">+F159-F10</f>
        <v>0</v>
      </c>
      <c r="H84" s="9">
        <f t="shared" ref="H84" si="38">+H159-H10</f>
        <v>0</v>
      </c>
      <c r="I84" s="9">
        <f t="shared" ref="I84" si="39">+I159-I10</f>
        <v>0</v>
      </c>
      <c r="J84" s="9">
        <f t="shared" ref="J84" si="40">+J159-J10</f>
        <v>0</v>
      </c>
      <c r="K84" s="9">
        <f t="shared" ref="K84" si="41">+K159-K10</f>
        <v>0</v>
      </c>
      <c r="L84" s="9">
        <f t="shared" si="34"/>
        <v>0</v>
      </c>
      <c r="M84" s="9">
        <f t="shared" si="34"/>
        <v>0</v>
      </c>
      <c r="N84" s="19" t="str">
        <f t="shared" si="26"/>
        <v>n.a.</v>
      </c>
    </row>
    <row r="85" spans="1:14" x14ac:dyDescent="0.25">
      <c r="A85" s="72" t="s">
        <v>166</v>
      </c>
      <c r="B85" s="46" t="s">
        <v>34</v>
      </c>
      <c r="C85" s="9"/>
      <c r="D85" s="9">
        <f t="shared" ref="D85" si="42">+D160-D11</f>
        <v>0</v>
      </c>
      <c r="E85" s="9">
        <f t="shared" ref="E85" si="43">+E160-E11</f>
        <v>0</v>
      </c>
      <c r="F85" s="9">
        <f t="shared" ref="F85" si="44">+F160-F11</f>
        <v>0</v>
      </c>
      <c r="H85" s="9">
        <f t="shared" ref="H85" si="45">+H160-H11</f>
        <v>0</v>
      </c>
      <c r="I85" s="9">
        <f t="shared" ref="I85" si="46">+I160-I11</f>
        <v>0</v>
      </c>
      <c r="J85" s="9">
        <f t="shared" ref="J85" si="47">+J160-J11</f>
        <v>0</v>
      </c>
      <c r="K85" s="9">
        <f t="shared" ref="K85" si="48">+K160-K11</f>
        <v>0</v>
      </c>
      <c r="L85" s="9">
        <f t="shared" si="34"/>
        <v>0</v>
      </c>
      <c r="M85" s="9">
        <f t="shared" si="34"/>
        <v>0</v>
      </c>
      <c r="N85" s="19" t="str">
        <f t="shared" si="26"/>
        <v>n.a.</v>
      </c>
    </row>
    <row r="86" spans="1:14" x14ac:dyDescent="0.25">
      <c r="A86" s="72" t="s">
        <v>167</v>
      </c>
      <c r="B86" s="46" t="s">
        <v>34</v>
      </c>
      <c r="C86" s="9"/>
      <c r="D86" s="9">
        <f t="shared" ref="D86" si="49">+D161-D12</f>
        <v>0</v>
      </c>
      <c r="E86" s="9">
        <f t="shared" ref="E86" si="50">+E161-E12</f>
        <v>0</v>
      </c>
      <c r="F86" s="9">
        <f t="shared" ref="F86" si="51">+F161-F12</f>
        <v>0</v>
      </c>
      <c r="H86" s="9">
        <f t="shared" ref="H86" si="52">+H161-H12</f>
        <v>0</v>
      </c>
      <c r="I86" s="9">
        <f t="shared" ref="I86" si="53">+I161-I12</f>
        <v>0</v>
      </c>
      <c r="J86" s="9">
        <f t="shared" ref="J86" si="54">+J161-J12</f>
        <v>0</v>
      </c>
      <c r="K86" s="9">
        <f t="shared" ref="K86" si="55">+K161-K12</f>
        <v>0</v>
      </c>
      <c r="L86" s="9">
        <f t="shared" si="34"/>
        <v>0</v>
      </c>
      <c r="M86" s="9">
        <f t="shared" si="34"/>
        <v>0</v>
      </c>
      <c r="N86" s="19" t="str">
        <f t="shared" si="26"/>
        <v>n.a.</v>
      </c>
    </row>
    <row r="87" spans="1:14" x14ac:dyDescent="0.25">
      <c r="A87" s="72" t="s">
        <v>168</v>
      </c>
      <c r="B87" s="46" t="s">
        <v>34</v>
      </c>
      <c r="C87" s="9"/>
      <c r="D87" s="9">
        <f t="shared" ref="D87" si="56">+D162-D13</f>
        <v>0</v>
      </c>
      <c r="E87" s="9">
        <f t="shared" ref="E87" si="57">+E162-E13</f>
        <v>0</v>
      </c>
      <c r="F87" s="9">
        <f t="shared" ref="F87" si="58">+F162-F13</f>
        <v>0</v>
      </c>
      <c r="H87" s="9">
        <f t="shared" ref="H87" si="59">+H162-H13</f>
        <v>0</v>
      </c>
      <c r="I87" s="9">
        <f t="shared" ref="I87" si="60">+I162-I13</f>
        <v>0</v>
      </c>
      <c r="J87" s="9">
        <f t="shared" ref="J87" si="61">+J162-J13</f>
        <v>0</v>
      </c>
      <c r="K87" s="9">
        <f t="shared" ref="K87" si="62">+K162-K13</f>
        <v>67</v>
      </c>
      <c r="L87" s="9">
        <f t="shared" si="34"/>
        <v>51</v>
      </c>
      <c r="M87" s="9">
        <f t="shared" si="34"/>
        <v>72</v>
      </c>
      <c r="N87" s="19">
        <f t="shared" si="26"/>
        <v>-0.29166666666666663</v>
      </c>
    </row>
    <row r="88" spans="1:14" ht="28.5" x14ac:dyDescent="0.25">
      <c r="A88" s="72" t="s">
        <v>169</v>
      </c>
      <c r="B88" s="46" t="s">
        <v>34</v>
      </c>
      <c r="C88" s="9"/>
      <c r="D88" s="9">
        <f t="shared" ref="D88" si="63">+D163-D14</f>
        <v>8</v>
      </c>
      <c r="E88" s="9">
        <f t="shared" ref="E88" si="64">+E163-E14</f>
        <v>2906</v>
      </c>
      <c r="F88" s="9">
        <f t="shared" ref="F88" si="65">+F163-F14</f>
        <v>12152</v>
      </c>
      <c r="H88" s="9">
        <f t="shared" ref="H88" si="66">+H163-H14</f>
        <v>3089</v>
      </c>
      <c r="I88" s="9">
        <f t="shared" ref="I88" si="67">+I163-I14</f>
        <v>3014</v>
      </c>
      <c r="J88" s="9">
        <f t="shared" ref="J88" si="68">+J163-J14</f>
        <v>252.82785000000149</v>
      </c>
      <c r="K88" s="9">
        <f t="shared" ref="K88" si="69">+K163-K14</f>
        <v>6056</v>
      </c>
      <c r="L88" s="9">
        <f t="shared" si="34"/>
        <v>9286.2518700000073</v>
      </c>
      <c r="M88" s="9">
        <f t="shared" si="34"/>
        <v>9101</v>
      </c>
      <c r="N88" s="19">
        <f t="shared" si="26"/>
        <v>2.0355111526206615E-2</v>
      </c>
    </row>
    <row r="89" spans="1:14" x14ac:dyDescent="0.25">
      <c r="A89" s="72" t="s">
        <v>170</v>
      </c>
      <c r="B89" s="46" t="s">
        <v>34</v>
      </c>
      <c r="C89" s="9"/>
      <c r="D89" s="9">
        <f t="shared" ref="D89" si="70">+D164-D15</f>
        <v>74</v>
      </c>
      <c r="E89" s="9">
        <f t="shared" ref="E89" si="71">+E164-E15</f>
        <v>0</v>
      </c>
      <c r="F89" s="9">
        <f t="shared" ref="F89" si="72">+F164-F15</f>
        <v>0</v>
      </c>
      <c r="H89" s="9">
        <f t="shared" ref="H89" si="73">+H164-H15</f>
        <v>0</v>
      </c>
      <c r="I89" s="9">
        <f t="shared" ref="I89" si="74">+I164-I15</f>
        <v>0</v>
      </c>
      <c r="J89" s="9">
        <f t="shared" ref="J89" si="75">+J164-J15</f>
        <v>0</v>
      </c>
      <c r="K89" s="9">
        <f t="shared" ref="K89" si="76">+K164-K15</f>
        <v>0</v>
      </c>
      <c r="L89" s="9">
        <f t="shared" si="34"/>
        <v>0</v>
      </c>
      <c r="M89" s="9">
        <f t="shared" si="34"/>
        <v>0</v>
      </c>
      <c r="N89" s="19" t="str">
        <f t="shared" si="26"/>
        <v>n.a.</v>
      </c>
    </row>
    <row r="90" spans="1:14" x14ac:dyDescent="0.25">
      <c r="A90" s="72" t="s">
        <v>74</v>
      </c>
      <c r="B90" s="46" t="s">
        <v>34</v>
      </c>
      <c r="C90" s="9"/>
      <c r="D90" s="9">
        <f t="shared" ref="D90" si="77">+D165-D16</f>
        <v>-1005</v>
      </c>
      <c r="E90" s="9">
        <f t="shared" ref="E90" si="78">+E165-E16</f>
        <v>-22062</v>
      </c>
      <c r="F90" s="9">
        <f t="shared" ref="F90" si="79">+F165-F16</f>
        <v>-6651</v>
      </c>
      <c r="H90" s="9">
        <f t="shared" ref="H90" si="80">+H165-H16</f>
        <v>-2280</v>
      </c>
      <c r="I90" s="9">
        <f t="shared" ref="I90" si="81">+I165-I16</f>
        <v>524</v>
      </c>
      <c r="J90" s="9">
        <f t="shared" ref="J90" si="82">+J165-J16</f>
        <v>-9371</v>
      </c>
      <c r="K90" s="9">
        <f t="shared" ref="K90" si="83">+K165-K16</f>
        <v>-4207</v>
      </c>
      <c r="L90" s="9">
        <f t="shared" si="34"/>
        <v>-16121</v>
      </c>
      <c r="M90" s="9">
        <f t="shared" si="34"/>
        <v>-4011</v>
      </c>
      <c r="N90" s="19">
        <f t="shared" si="26"/>
        <v>3.0191972076788831</v>
      </c>
    </row>
    <row r="91" spans="1:14" x14ac:dyDescent="0.25">
      <c r="A91" s="72" t="s">
        <v>171</v>
      </c>
      <c r="B91" s="46" t="s">
        <v>34</v>
      </c>
      <c r="C91" s="9"/>
      <c r="D91" s="9">
        <f t="shared" ref="D91" si="84">+D166-D17</f>
        <v>-1748</v>
      </c>
      <c r="E91" s="9">
        <f t="shared" ref="E91" si="85">+E166-E17</f>
        <v>29725</v>
      </c>
      <c r="F91" s="9">
        <f t="shared" ref="F91" si="86">+F166-F17</f>
        <v>27979</v>
      </c>
      <c r="H91" s="9">
        <f t="shared" ref="H91" si="87">+H166-H17</f>
        <v>14261</v>
      </c>
      <c r="I91" s="9">
        <f t="shared" ref="I91" si="88">+I166-I17</f>
        <v>11753</v>
      </c>
      <c r="J91" s="9">
        <f t="shared" ref="J91" si="89">+J166-J17</f>
        <v>30701</v>
      </c>
      <c r="K91" s="9">
        <f t="shared" ref="K91" si="90">+K166-K17</f>
        <v>17541</v>
      </c>
      <c r="L91" s="9">
        <f t="shared" si="34"/>
        <v>53141</v>
      </c>
      <c r="M91" s="9">
        <f t="shared" si="34"/>
        <v>22720</v>
      </c>
      <c r="N91" s="19">
        <f t="shared" si="26"/>
        <v>1.3389524647887323</v>
      </c>
    </row>
    <row r="92" spans="1:14" x14ac:dyDescent="0.25">
      <c r="A92" s="72" t="s">
        <v>172</v>
      </c>
      <c r="B92" s="46" t="s">
        <v>34</v>
      </c>
      <c r="C92" s="9"/>
      <c r="D92" s="9">
        <f t="shared" ref="D92" si="91">+D167-D18</f>
        <v>0</v>
      </c>
      <c r="E92" s="9">
        <f t="shared" ref="E92" si="92">+E167-E18</f>
        <v>0</v>
      </c>
      <c r="F92" s="9">
        <f t="shared" ref="F92" si="93">+F167-F18</f>
        <v>0</v>
      </c>
      <c r="H92" s="9">
        <f t="shared" ref="H92" si="94">+H167-H18</f>
        <v>0</v>
      </c>
      <c r="I92" s="9">
        <f t="shared" ref="I92" si="95">+I167-I18</f>
        <v>0</v>
      </c>
      <c r="J92" s="9">
        <f t="shared" ref="J92" si="96">+J167-J18</f>
        <v>0</v>
      </c>
      <c r="K92" s="9">
        <f t="shared" ref="K92" si="97">+K167-K18</f>
        <v>0</v>
      </c>
      <c r="L92" s="9">
        <f t="shared" si="34"/>
        <v>55</v>
      </c>
      <c r="M92" s="9">
        <f t="shared" si="34"/>
        <v>0</v>
      </c>
      <c r="N92" s="19" t="str">
        <f t="shared" si="26"/>
        <v>n.a.</v>
      </c>
    </row>
    <row r="93" spans="1:14" x14ac:dyDescent="0.25">
      <c r="A93" s="72" t="s">
        <v>173</v>
      </c>
      <c r="B93" s="46" t="s">
        <v>34</v>
      </c>
      <c r="C93" s="9"/>
      <c r="D93" s="9">
        <f t="shared" ref="D93" si="98">+D168-D19</f>
        <v>0</v>
      </c>
      <c r="E93" s="9">
        <f t="shared" ref="E93" si="99">+E168-E19</f>
        <v>-1343</v>
      </c>
      <c r="F93" s="9">
        <f t="shared" ref="F93" si="100">+F168-F19</f>
        <v>-381</v>
      </c>
      <c r="H93" s="9">
        <f t="shared" ref="H93" si="101">+H168-H19</f>
        <v>-7</v>
      </c>
      <c r="I93" s="9">
        <f t="shared" ref="I93" si="102">+I168-I19</f>
        <v>-252</v>
      </c>
      <c r="J93" s="9">
        <f t="shared" ref="J93" si="103">+J168-J19</f>
        <v>-11</v>
      </c>
      <c r="K93" s="9">
        <f t="shared" ref="K93" si="104">+K168-K19</f>
        <v>-267</v>
      </c>
      <c r="L93" s="9">
        <f t="shared" si="34"/>
        <v>-27</v>
      </c>
      <c r="M93" s="9">
        <f t="shared" si="34"/>
        <v>-29</v>
      </c>
      <c r="N93" s="19">
        <f t="shared" si="26"/>
        <v>-6.8965517241379337E-2</v>
      </c>
    </row>
    <row r="94" spans="1:14" x14ac:dyDescent="0.25">
      <c r="A94" s="72" t="s">
        <v>174</v>
      </c>
      <c r="B94" s="46" t="s">
        <v>34</v>
      </c>
      <c r="C94" s="9"/>
      <c r="D94" s="9">
        <f t="shared" ref="D94" si="105">+D169-D20</f>
        <v>0</v>
      </c>
      <c r="E94" s="9">
        <f t="shared" ref="E94" si="106">+E169-E20</f>
        <v>1136</v>
      </c>
      <c r="F94" s="9">
        <f t="shared" ref="F94" si="107">+F169-F20</f>
        <v>2847</v>
      </c>
      <c r="H94" s="9">
        <f t="shared" ref="H94" si="108">+H169-H20</f>
        <v>462</v>
      </c>
      <c r="I94" s="9">
        <f t="shared" ref="I94" si="109">+I169-I20</f>
        <v>182</v>
      </c>
      <c r="J94" s="9">
        <f t="shared" ref="J94" si="110">+J169-J20</f>
        <v>794</v>
      </c>
      <c r="K94" s="9">
        <f t="shared" ref="K94" si="111">+K169-K20</f>
        <v>599</v>
      </c>
      <c r="L94" s="9">
        <f t="shared" si="34"/>
        <v>1865</v>
      </c>
      <c r="M94" s="9">
        <f t="shared" si="34"/>
        <v>1840</v>
      </c>
      <c r="N94" s="19">
        <f t="shared" si="26"/>
        <v>1.3586956521739024E-2</v>
      </c>
    </row>
    <row r="95" spans="1:14" x14ac:dyDescent="0.25">
      <c r="A95" s="72" t="s">
        <v>175</v>
      </c>
      <c r="B95" s="46" t="s">
        <v>34</v>
      </c>
      <c r="C95" s="9"/>
      <c r="D95" s="9">
        <f t="shared" ref="D95" si="112">+D170-D21</f>
        <v>3404</v>
      </c>
      <c r="E95" s="9">
        <f t="shared" ref="E95" si="113">+E170-E21</f>
        <v>770</v>
      </c>
      <c r="F95" s="9">
        <f t="shared" ref="F95" si="114">+F170-F21</f>
        <v>-1431</v>
      </c>
      <c r="H95" s="9">
        <f t="shared" ref="H95" si="115">+H170-H21</f>
        <v>-180</v>
      </c>
      <c r="I95" s="9">
        <f t="shared" ref="I95" si="116">+I170-I21</f>
        <v>9</v>
      </c>
      <c r="J95" s="9">
        <f t="shared" ref="J95" si="117">+J170-J21</f>
        <v>366</v>
      </c>
      <c r="K95" s="9">
        <f t="shared" ref="K95" si="118">+K170-K21</f>
        <v>-942</v>
      </c>
      <c r="L95" s="9">
        <f t="shared" si="34"/>
        <v>1023</v>
      </c>
      <c r="M95" s="9">
        <f t="shared" si="34"/>
        <v>-6326</v>
      </c>
      <c r="N95" s="19">
        <f t="shared" si="26"/>
        <v>-1.161713563073032</v>
      </c>
    </row>
    <row r="96" spans="1:14" x14ac:dyDescent="0.25">
      <c r="A96" s="72" t="s">
        <v>176</v>
      </c>
      <c r="B96" s="46" t="s">
        <v>34</v>
      </c>
      <c r="C96" s="9"/>
      <c r="D96" s="9">
        <f t="shared" ref="D96" si="119">+D171-D22</f>
        <v>-207</v>
      </c>
      <c r="E96" s="9">
        <f t="shared" ref="E96" si="120">+E171-E22</f>
        <v>0</v>
      </c>
      <c r="F96" s="9">
        <f t="shared" ref="F96" si="121">+F171-F22</f>
        <v>0</v>
      </c>
      <c r="H96" s="9">
        <f t="shared" ref="H96" si="122">+H171-H22</f>
        <v>0</v>
      </c>
      <c r="I96" s="9">
        <f t="shared" ref="I96" si="123">+I171-I22</f>
        <v>0</v>
      </c>
      <c r="J96" s="9">
        <f t="shared" ref="J96" si="124">+J171-J22</f>
        <v>0</v>
      </c>
      <c r="K96" s="9">
        <f t="shared" ref="K96" si="125">+K171-K22</f>
        <v>0</v>
      </c>
      <c r="L96" s="9">
        <f t="shared" si="34"/>
        <v>0</v>
      </c>
      <c r="M96" s="9">
        <f t="shared" si="34"/>
        <v>0</v>
      </c>
      <c r="N96" s="19" t="str">
        <f t="shared" si="26"/>
        <v>n.a.</v>
      </c>
    </row>
    <row r="97" spans="1:14" x14ac:dyDescent="0.25">
      <c r="A97" s="72" t="s">
        <v>177</v>
      </c>
      <c r="B97" s="46" t="s">
        <v>34</v>
      </c>
      <c r="C97" s="9"/>
      <c r="D97" s="9">
        <f t="shared" ref="D97" si="126">+D172-D23</f>
        <v>0</v>
      </c>
      <c r="E97" s="9">
        <f t="shared" ref="E97" si="127">+E172-E23</f>
        <v>0</v>
      </c>
      <c r="F97" s="9">
        <f t="shared" ref="F97" si="128">+F172-F23</f>
        <v>0</v>
      </c>
      <c r="H97" s="9">
        <f t="shared" ref="H97" si="129">+H172-H23</f>
        <v>-12369</v>
      </c>
      <c r="I97" s="9">
        <f t="shared" ref="I97" si="130">+I172-I23</f>
        <v>0</v>
      </c>
      <c r="J97" s="9">
        <f t="shared" ref="J97" si="131">+J172-J23</f>
        <v>-12369</v>
      </c>
      <c r="K97" s="9">
        <f t="shared" ref="K97" si="132">+K172-K23</f>
        <v>0</v>
      </c>
      <c r="L97" s="9">
        <f t="shared" si="34"/>
        <v>-12369</v>
      </c>
      <c r="M97" s="9">
        <f t="shared" si="34"/>
        <v>0</v>
      </c>
      <c r="N97" s="19" t="str">
        <f t="shared" si="26"/>
        <v>n.a.</v>
      </c>
    </row>
    <row r="98" spans="1:14" ht="28.5" x14ac:dyDescent="0.25">
      <c r="A98" s="72" t="s">
        <v>178</v>
      </c>
      <c r="B98" s="46" t="s">
        <v>34</v>
      </c>
      <c r="C98" s="9"/>
      <c r="D98" s="9">
        <f t="shared" ref="D98" si="133">+D173-D24</f>
        <v>-7159</v>
      </c>
      <c r="E98" s="9">
        <f t="shared" ref="E98" si="134">+E173-E24</f>
        <v>76211</v>
      </c>
      <c r="F98" s="9">
        <f t="shared" ref="F98" si="135">+F173-F24</f>
        <v>176027</v>
      </c>
      <c r="H98" s="9">
        <f t="shared" ref="H98" si="136">+H173-H24</f>
        <v>66882</v>
      </c>
      <c r="I98" s="9">
        <f t="shared" ref="I98" si="137">+I173-I24</f>
        <v>7475</v>
      </c>
      <c r="J98" s="9">
        <f t="shared" ref="J98" si="138">+J173-J24</f>
        <v>113656</v>
      </c>
      <c r="K98" s="9">
        <f t="shared" ref="K98" si="139">+K173-K24</f>
        <v>34619</v>
      </c>
      <c r="L98" s="9">
        <f t="shared" si="34"/>
        <v>187403</v>
      </c>
      <c r="M98" s="9">
        <f t="shared" si="34"/>
        <v>82314</v>
      </c>
      <c r="N98" s="19">
        <f t="shared" si="26"/>
        <v>1.2766844036251426</v>
      </c>
    </row>
    <row r="99" spans="1:14" x14ac:dyDescent="0.25">
      <c r="A99" s="72" t="s">
        <v>211</v>
      </c>
      <c r="B99" s="46" t="s">
        <v>34</v>
      </c>
      <c r="C99" s="9"/>
      <c r="D99" s="9">
        <f t="shared" ref="D99" si="140">+D174-D25</f>
        <v>1239</v>
      </c>
      <c r="E99" s="9">
        <f t="shared" ref="E99" si="141">+E174-E25</f>
        <v>0</v>
      </c>
      <c r="F99" s="9">
        <f t="shared" ref="F99" si="142">+F174-F25</f>
        <v>-23375</v>
      </c>
      <c r="H99" s="9">
        <f t="shared" ref="H99" si="143">+H174-H25</f>
        <v>0</v>
      </c>
      <c r="I99" s="9">
        <f t="shared" ref="I99" si="144">+I174-I25</f>
        <v>0</v>
      </c>
      <c r="J99" s="9">
        <f t="shared" ref="J99" si="145">+J174-J25</f>
        <v>0</v>
      </c>
      <c r="K99" s="9">
        <f t="shared" ref="K99" si="146">+K174-K25</f>
        <v>0</v>
      </c>
      <c r="L99" s="9">
        <f t="shared" si="34"/>
        <v>0</v>
      </c>
      <c r="M99" s="9">
        <f t="shared" si="34"/>
        <v>0</v>
      </c>
      <c r="N99" s="19" t="str">
        <f t="shared" si="26"/>
        <v>n.a.</v>
      </c>
    </row>
    <row r="100" spans="1:14" x14ac:dyDescent="0.25">
      <c r="A100" s="73"/>
      <c r="B100" s="51"/>
      <c r="C100" s="14"/>
      <c r="D100" s="14">
        <f t="shared" ref="D100" si="147">+D175-D26</f>
        <v>-6426</v>
      </c>
      <c r="E100" s="14">
        <f t="shared" ref="E100" si="148">+E175-E26</f>
        <v>45561</v>
      </c>
      <c r="F100" s="14">
        <f t="shared" ref="F100" si="149">+F175-F26</f>
        <v>191796</v>
      </c>
      <c r="H100" s="14">
        <f t="shared" ref="H100" si="150">+H175-H26</f>
        <v>98453</v>
      </c>
      <c r="I100" s="14">
        <f t="shared" ref="I100" si="151">+I175-I26</f>
        <v>27283</v>
      </c>
      <c r="J100" s="14">
        <f t="shared" ref="J100" si="152">+J175-J26</f>
        <v>170986.82785</v>
      </c>
      <c r="K100" s="14">
        <f t="shared" ref="K100" si="153">+K175-K26</f>
        <v>66550</v>
      </c>
      <c r="L100" s="14">
        <f t="shared" si="34"/>
        <v>287227.25187000004</v>
      </c>
      <c r="M100" s="14">
        <f t="shared" si="34"/>
        <v>136362</v>
      </c>
      <c r="N100" s="20">
        <f>IFERROR(L100/M100-1,"n.a.")</f>
        <v>1.1063584566814804</v>
      </c>
    </row>
    <row r="101" spans="1:14" x14ac:dyDescent="0.25">
      <c r="A101" s="69"/>
      <c r="B101" s="46"/>
      <c r="C101" s="9"/>
      <c r="D101" s="9"/>
      <c r="E101" s="9"/>
      <c r="F101" s="9"/>
      <c r="H101" s="9"/>
      <c r="I101" s="9"/>
      <c r="J101" s="9"/>
      <c r="K101" s="9"/>
      <c r="L101" s="9"/>
      <c r="M101" s="9"/>
      <c r="N101" s="19"/>
    </row>
    <row r="102" spans="1:14" x14ac:dyDescent="0.25">
      <c r="A102" s="69" t="s">
        <v>179</v>
      </c>
      <c r="B102" s="46"/>
      <c r="C102" s="9"/>
      <c r="D102" s="9"/>
      <c r="E102" s="9"/>
      <c r="F102" s="9"/>
      <c r="H102" s="9"/>
      <c r="I102" s="9"/>
      <c r="J102" s="9"/>
      <c r="K102" s="9"/>
      <c r="L102" s="9"/>
      <c r="M102" s="9"/>
      <c r="N102" s="19"/>
    </row>
    <row r="103" spans="1:14" x14ac:dyDescent="0.25">
      <c r="A103" s="72" t="s">
        <v>180</v>
      </c>
      <c r="B103" s="46" t="s">
        <v>34</v>
      </c>
      <c r="C103" s="9"/>
      <c r="D103" s="9">
        <f t="shared" ref="D103" si="154">+D178-D29</f>
        <v>0</v>
      </c>
      <c r="E103" s="9">
        <f t="shared" ref="E103" si="155">+E178-E29</f>
        <v>1628</v>
      </c>
      <c r="F103" s="9">
        <f t="shared" ref="F103" si="156">+F178-F29</f>
        <v>-35513</v>
      </c>
      <c r="H103" s="9">
        <f t="shared" ref="H103" si="157">+H178-H29</f>
        <v>16577</v>
      </c>
      <c r="I103" s="9">
        <f t="shared" ref="I103" si="158">+I178-I29</f>
        <v>-4902</v>
      </c>
      <c r="J103" s="9">
        <f t="shared" ref="J103" si="159">+J178-J29</f>
        <v>26711</v>
      </c>
      <c r="K103" s="9">
        <f t="shared" ref="K103" si="160">+K178-K29</f>
        <v>-4004</v>
      </c>
      <c r="L103" s="9">
        <f t="shared" ref="L103:M109" si="161">+L178-L29</f>
        <v>19139</v>
      </c>
      <c r="M103" s="9">
        <f t="shared" si="161"/>
        <v>2426</v>
      </c>
      <c r="N103" s="19">
        <f t="shared" ref="N103:N111" si="162">IFERROR(L103/M103-1,"n.a.")</f>
        <v>6.8891178895300911</v>
      </c>
    </row>
    <row r="104" spans="1:14" x14ac:dyDescent="0.25">
      <c r="A104" s="72" t="s">
        <v>125</v>
      </c>
      <c r="B104" s="46" t="s">
        <v>34</v>
      </c>
      <c r="C104" s="9"/>
      <c r="D104" s="9">
        <f t="shared" ref="D104" si="163">+D179-D30</f>
        <v>0</v>
      </c>
      <c r="E104" s="9">
        <f t="shared" ref="E104" si="164">+E179-E30</f>
        <v>0</v>
      </c>
      <c r="F104" s="9">
        <f t="shared" ref="F104" si="165">+F179-F30</f>
        <v>0</v>
      </c>
      <c r="H104" s="9">
        <f t="shared" ref="H104" si="166">+H179-H30</f>
        <v>0</v>
      </c>
      <c r="I104" s="9">
        <f t="shared" ref="I104" si="167">+I179-I30</f>
        <v>0</v>
      </c>
      <c r="J104" s="9">
        <f t="shared" ref="J104" si="168">+J179-J30</f>
        <v>0</v>
      </c>
      <c r="K104" s="9">
        <f t="shared" ref="K104" si="169">+K179-K30</f>
        <v>0</v>
      </c>
      <c r="L104" s="9">
        <f t="shared" si="161"/>
        <v>0</v>
      </c>
      <c r="M104" s="9">
        <f t="shared" si="161"/>
        <v>0</v>
      </c>
      <c r="N104" s="19" t="str">
        <f t="shared" si="162"/>
        <v>n.a.</v>
      </c>
    </row>
    <row r="105" spans="1:14" x14ac:dyDescent="0.25">
      <c r="A105" s="72" t="s">
        <v>181</v>
      </c>
      <c r="B105" s="46" t="s">
        <v>34</v>
      </c>
      <c r="C105" s="9"/>
      <c r="D105">
        <f t="shared" ref="D105" si="170">+D180-D31</f>
        <v>0</v>
      </c>
      <c r="E105">
        <f t="shared" ref="E105" si="171">+E180-E31</f>
        <v>0</v>
      </c>
      <c r="F105">
        <f t="shared" ref="F105" si="172">+F180-F31</f>
        <v>0</v>
      </c>
      <c r="H105">
        <f t="shared" ref="H105" si="173">+H180-H31</f>
        <v>0</v>
      </c>
      <c r="I105">
        <f t="shared" ref="I105" si="174">+I180-I31</f>
        <v>0</v>
      </c>
      <c r="J105">
        <f t="shared" ref="J105" si="175">+J180-J31</f>
        <v>0</v>
      </c>
      <c r="K105">
        <f t="shared" ref="K105" si="176">+K180-K31</f>
        <v>0</v>
      </c>
      <c r="L105">
        <f t="shared" si="161"/>
        <v>0</v>
      </c>
      <c r="M105">
        <f t="shared" si="161"/>
        <v>0</v>
      </c>
      <c r="N105" s="19" t="str">
        <f t="shared" si="162"/>
        <v>n.a.</v>
      </c>
    </row>
    <row r="106" spans="1:14" x14ac:dyDescent="0.25">
      <c r="A106" s="72" t="s">
        <v>124</v>
      </c>
      <c r="B106" s="46" t="s">
        <v>34</v>
      </c>
      <c r="C106" s="9"/>
      <c r="D106" s="9">
        <f t="shared" ref="D106" si="177">+D181-D32</f>
        <v>0</v>
      </c>
      <c r="E106" s="9">
        <f t="shared" ref="E106" si="178">+E181-E32</f>
        <v>-68391</v>
      </c>
      <c r="F106" s="9">
        <f t="shared" ref="F106" si="179">+F181-F32</f>
        <v>-33367</v>
      </c>
      <c r="H106" s="9">
        <f t="shared" ref="H106" si="180">+H181-H32</f>
        <v>58109</v>
      </c>
      <c r="I106" s="9">
        <f t="shared" ref="I106" si="181">+I181-I32</f>
        <v>51279</v>
      </c>
      <c r="J106" s="9">
        <f t="shared" ref="J106" si="182">+J181-J32</f>
        <v>-350774.82785</v>
      </c>
      <c r="K106" s="9">
        <f t="shared" ref="K106" si="183">+K181-K32</f>
        <v>-86408</v>
      </c>
      <c r="L106" s="9">
        <f t="shared" si="161"/>
        <v>-310057.25186999998</v>
      </c>
      <c r="M106" s="9">
        <f t="shared" si="161"/>
        <v>-102409</v>
      </c>
      <c r="N106" s="19">
        <f t="shared" si="162"/>
        <v>2.0276367494067902</v>
      </c>
    </row>
    <row r="107" spans="1:14" x14ac:dyDescent="0.25">
      <c r="A107" s="72" t="s">
        <v>182</v>
      </c>
      <c r="B107" s="46" t="s">
        <v>34</v>
      </c>
      <c r="C107" s="9"/>
      <c r="D107" s="9">
        <f t="shared" ref="D107" si="184">+D182-D33</f>
        <v>0</v>
      </c>
      <c r="E107" s="9">
        <f t="shared" ref="E107" si="185">+E182-E33</f>
        <v>0</v>
      </c>
      <c r="F107" s="9">
        <f t="shared" ref="F107" si="186">+F182-F33</f>
        <v>0</v>
      </c>
      <c r="H107" s="9">
        <f t="shared" ref="H107" si="187">+H182-H33</f>
        <v>0</v>
      </c>
      <c r="I107" s="9">
        <f t="shared" ref="I107" si="188">+I182-I33</f>
        <v>0</v>
      </c>
      <c r="J107" s="9">
        <f t="shared" ref="J107" si="189">+J182-J33</f>
        <v>0</v>
      </c>
      <c r="K107" s="9">
        <f t="shared" ref="K107" si="190">+K182-K33</f>
        <v>0</v>
      </c>
      <c r="L107" s="9">
        <f t="shared" si="161"/>
        <v>0</v>
      </c>
      <c r="M107" s="9">
        <f t="shared" si="161"/>
        <v>0</v>
      </c>
      <c r="N107" s="19" t="str">
        <f t="shared" si="162"/>
        <v>n.a.</v>
      </c>
    </row>
    <row r="108" spans="1:14" x14ac:dyDescent="0.25">
      <c r="A108" s="72" t="s">
        <v>233</v>
      </c>
      <c r="B108" s="46" t="s">
        <v>34</v>
      </c>
      <c r="C108" s="9"/>
      <c r="D108" s="9">
        <f t="shared" ref="D108" si="191">+D183-D34</f>
        <v>0</v>
      </c>
      <c r="E108" s="9">
        <f t="shared" ref="E108" si="192">+E183-E34</f>
        <v>0</v>
      </c>
      <c r="F108" s="9">
        <f t="shared" ref="F108" si="193">+F183-F34</f>
        <v>0</v>
      </c>
      <c r="H108" s="9">
        <f t="shared" ref="H108" si="194">+H183-H34</f>
        <v>0</v>
      </c>
      <c r="I108" s="9">
        <f t="shared" ref="I108" si="195">+I183-I34</f>
        <v>0</v>
      </c>
      <c r="J108" s="9">
        <f t="shared" ref="J108" si="196">+J183-J34</f>
        <v>32</v>
      </c>
      <c r="K108" s="9">
        <f t="shared" ref="K108" si="197">+K183-K34</f>
        <v>-80</v>
      </c>
      <c r="L108" s="9">
        <f t="shared" si="161"/>
        <v>-2294</v>
      </c>
      <c r="M108" s="9">
        <f t="shared" si="161"/>
        <v>0</v>
      </c>
      <c r="N108" s="19" t="str">
        <f t="shared" si="162"/>
        <v>n.a.</v>
      </c>
    </row>
    <row r="109" spans="1:14" x14ac:dyDescent="0.25">
      <c r="A109" s="72" t="s">
        <v>127</v>
      </c>
      <c r="B109" s="46" t="s">
        <v>34</v>
      </c>
      <c r="C109" s="9"/>
      <c r="D109" s="9">
        <f t="shared" ref="D109" si="198">+D184-D35</f>
        <v>-4160</v>
      </c>
      <c r="E109" s="9">
        <f t="shared" ref="E109" si="199">+E184-E35</f>
        <v>-33626</v>
      </c>
      <c r="F109" s="9">
        <f t="shared" ref="F109" si="200">+F184-F35</f>
        <v>12057</v>
      </c>
      <c r="H109" s="9">
        <f t="shared" ref="H109" si="201">+H184-H35</f>
        <v>6482</v>
      </c>
      <c r="I109" s="9">
        <f t="shared" ref="I109" si="202">+I184-I35</f>
        <v>3432</v>
      </c>
      <c r="J109" s="9">
        <f t="shared" ref="J109" si="203">+J184-J35</f>
        <v>-22169</v>
      </c>
      <c r="K109" s="9">
        <f t="shared" ref="K109" si="204">+K184-K35</f>
        <v>169</v>
      </c>
      <c r="L109" s="9">
        <f t="shared" si="161"/>
        <v>-23567</v>
      </c>
      <c r="M109" s="9">
        <f t="shared" si="161"/>
        <v>-10311</v>
      </c>
      <c r="N109" s="19">
        <f t="shared" si="162"/>
        <v>1.2856173019105808</v>
      </c>
    </row>
    <row r="110" spans="1:14" x14ac:dyDescent="0.25">
      <c r="A110" s="72" t="s">
        <v>132</v>
      </c>
      <c r="B110" s="46" t="s">
        <v>34</v>
      </c>
      <c r="C110" s="9"/>
      <c r="D110" s="9">
        <f>+D186-D37</f>
        <v>365</v>
      </c>
      <c r="E110" s="9">
        <f>+E186-E37</f>
        <v>1214</v>
      </c>
      <c r="F110" s="9">
        <f>+F186-F37</f>
        <v>-125</v>
      </c>
      <c r="H110" s="9">
        <f>+H186-H37</f>
        <v>-27</v>
      </c>
      <c r="I110" s="9">
        <f>+I186-I37</f>
        <v>-10</v>
      </c>
      <c r="J110" s="9">
        <f>+J186-J37</f>
        <v>11</v>
      </c>
      <c r="K110" s="9">
        <f>+K186-K37</f>
        <v>10</v>
      </c>
      <c r="L110" s="9">
        <f>+L186-L36</f>
        <v>-11581.552769999998</v>
      </c>
      <c r="M110" s="9">
        <f>+M186-M36</f>
        <v>25819</v>
      </c>
      <c r="N110" s="19">
        <f t="shared" si="162"/>
        <v>-1.4485670541074402</v>
      </c>
    </row>
    <row r="111" spans="1:14" x14ac:dyDescent="0.25">
      <c r="A111" s="72" t="s">
        <v>128</v>
      </c>
      <c r="B111" s="46" t="s">
        <v>34</v>
      </c>
      <c r="C111" s="9"/>
      <c r="D111" s="9">
        <f>+D185-D36</f>
        <v>1293</v>
      </c>
      <c r="E111" s="9">
        <f>+E185-E36</f>
        <v>2063</v>
      </c>
      <c r="F111" s="9">
        <f>+F185-F36</f>
        <v>2790</v>
      </c>
      <c r="H111" s="9">
        <f>+H185-H36</f>
        <v>-4697</v>
      </c>
      <c r="I111" s="9">
        <f>+I185-I36</f>
        <v>-91</v>
      </c>
      <c r="J111" s="9">
        <f>+J185-J36</f>
        <v>-18446</v>
      </c>
      <c r="K111" s="9">
        <f>+K185-K36</f>
        <v>-35869</v>
      </c>
      <c r="L111" s="9">
        <f>+L185-L37</f>
        <v>4894</v>
      </c>
      <c r="M111" s="9">
        <f>+M185-M37</f>
        <v>2250</v>
      </c>
      <c r="N111" s="19">
        <f t="shared" si="162"/>
        <v>1.1751111111111112</v>
      </c>
    </row>
    <row r="112" spans="1:14" x14ac:dyDescent="0.25">
      <c r="A112" s="69"/>
      <c r="B112" s="46"/>
      <c r="C112" s="9"/>
      <c r="D112" s="9"/>
      <c r="E112" s="9"/>
      <c r="F112" s="9"/>
      <c r="H112" s="9"/>
      <c r="I112" s="9"/>
      <c r="J112" s="9"/>
      <c r="K112" s="9"/>
      <c r="L112" s="9"/>
      <c r="M112" s="9"/>
      <c r="N112" s="19"/>
    </row>
    <row r="113" spans="1:14" x14ac:dyDescent="0.25">
      <c r="A113" s="69" t="s">
        <v>183</v>
      </c>
      <c r="B113" s="46"/>
      <c r="C113" s="9"/>
      <c r="D113" s="9"/>
      <c r="E113" s="9"/>
      <c r="F113" s="9"/>
      <c r="H113" s="9"/>
      <c r="I113" s="9"/>
      <c r="J113" s="9"/>
      <c r="K113" s="9"/>
      <c r="L113" s="9"/>
      <c r="M113" s="9"/>
      <c r="N113" s="19"/>
    </row>
    <row r="114" spans="1:14" x14ac:dyDescent="0.25">
      <c r="A114" s="72" t="s">
        <v>142</v>
      </c>
      <c r="B114" s="46" t="s">
        <v>34</v>
      </c>
      <c r="C114" s="9"/>
      <c r="D114" s="9">
        <f t="shared" ref="D114" si="205">+D189-D40</f>
        <v>15395</v>
      </c>
      <c r="E114" s="9">
        <f t="shared" ref="E114" si="206">+E189-E40</f>
        <v>-6101</v>
      </c>
      <c r="F114" s="9">
        <f t="shared" ref="F114" si="207">+F189-F40</f>
        <v>4999</v>
      </c>
      <c r="H114" s="9">
        <f t="shared" ref="H114" si="208">+H189-H40</f>
        <v>-10279</v>
      </c>
      <c r="I114" s="9">
        <f t="shared" ref="I114" si="209">+I189-I40</f>
        <v>-599</v>
      </c>
      <c r="J114" s="9">
        <f t="shared" ref="J114" si="210">+J189-J40</f>
        <v>106013</v>
      </c>
      <c r="K114" s="9">
        <f t="shared" ref="K114" si="211">+K189-K40</f>
        <v>40254</v>
      </c>
      <c r="L114" s="9">
        <f t="shared" ref="L114:M115" si="212">+L189-L40</f>
        <v>43855</v>
      </c>
      <c r="M114" s="9">
        <f t="shared" si="212"/>
        <v>-3522</v>
      </c>
      <c r="N114" s="19">
        <f t="shared" ref="N114:N120" si="213">IFERROR(L114/M114-1,"n.a.")</f>
        <v>-13.451731970471323</v>
      </c>
    </row>
    <row r="115" spans="1:14" x14ac:dyDescent="0.25">
      <c r="A115" s="72" t="s">
        <v>146</v>
      </c>
      <c r="B115" s="46" t="s">
        <v>34</v>
      </c>
      <c r="C115" s="9"/>
      <c r="D115" s="9">
        <f t="shared" ref="D115" si="214">+D190-D41</f>
        <v>805</v>
      </c>
      <c r="E115" s="9">
        <f t="shared" ref="E115" si="215">+E190-E41</f>
        <v>1045</v>
      </c>
      <c r="F115" s="9">
        <f t="shared" ref="F115" si="216">+F190-F41</f>
        <v>-1324</v>
      </c>
      <c r="H115" s="9">
        <f t="shared" ref="H115" si="217">+H190-H41</f>
        <v>-1239</v>
      </c>
      <c r="I115" s="9">
        <f t="shared" ref="I115" si="218">+I190-I41</f>
        <v>-346</v>
      </c>
      <c r="J115" s="9">
        <f t="shared" ref="J115" si="219">+J190-J41</f>
        <v>-1300</v>
      </c>
      <c r="K115" s="9">
        <f t="shared" ref="K115" si="220">+K190-K41</f>
        <v>-680</v>
      </c>
      <c r="L115" s="9">
        <f t="shared" si="212"/>
        <v>-1770</v>
      </c>
      <c r="M115" s="9">
        <f t="shared" si="212"/>
        <v>-1466</v>
      </c>
      <c r="N115" s="19">
        <f t="shared" si="213"/>
        <v>0.20736698499317874</v>
      </c>
    </row>
    <row r="116" spans="1:14" x14ac:dyDescent="0.25">
      <c r="A116" s="72" t="s">
        <v>234</v>
      </c>
      <c r="B116" s="46" t="s">
        <v>34</v>
      </c>
      <c r="C116" s="9"/>
      <c r="D116" s="9">
        <f t="shared" ref="D116" si="221">+D191-D42</f>
        <v>0</v>
      </c>
      <c r="E116" s="9">
        <f t="shared" ref="E116" si="222">+E191-E42</f>
        <v>0</v>
      </c>
      <c r="F116" s="9">
        <f t="shared" ref="F116" si="223">+F191-F42</f>
        <v>0</v>
      </c>
      <c r="H116" s="9">
        <f t="shared" ref="H116" si="224">+H191-H42</f>
        <v>0</v>
      </c>
      <c r="I116" s="9">
        <f t="shared" ref="I116" si="225">+I191-I42</f>
        <v>0</v>
      </c>
      <c r="J116" s="9">
        <f t="shared" ref="J116" si="226">+J191-J42</f>
        <v>-1648</v>
      </c>
      <c r="K116" s="9">
        <f t="shared" ref="K116" si="227">+K191-K42</f>
        <v>-7538</v>
      </c>
      <c r="L116" s="9">
        <f>+L192-L43</f>
        <v>3590</v>
      </c>
      <c r="M116" s="9">
        <f>+M192-M43</f>
        <v>-3388</v>
      </c>
      <c r="N116" s="19">
        <f t="shared" si="213"/>
        <v>-2.0596221959858321</v>
      </c>
    </row>
    <row r="117" spans="1:14" x14ac:dyDescent="0.25">
      <c r="A117" s="72" t="s">
        <v>147</v>
      </c>
      <c r="B117" s="46" t="s">
        <v>34</v>
      </c>
      <c r="C117" s="9"/>
      <c r="D117" s="9">
        <f t="shared" ref="D117" si="228">+D192-D43</f>
        <v>222</v>
      </c>
      <c r="E117" s="9">
        <f t="shared" ref="E117" si="229">+E192-E43</f>
        <v>8901</v>
      </c>
      <c r="F117" s="9">
        <f t="shared" ref="F117" si="230">+F192-F43</f>
        <v>3900</v>
      </c>
      <c r="H117" s="9">
        <f t="shared" ref="H117" si="231">+H192-H43</f>
        <v>-2403</v>
      </c>
      <c r="I117" s="9">
        <f t="shared" ref="I117" si="232">+I192-I43</f>
        <v>-3243</v>
      </c>
      <c r="J117" s="9">
        <f t="shared" ref="J117" si="233">+J192-J43</f>
        <v>-212</v>
      </c>
      <c r="K117" s="9">
        <f t="shared" ref="K117" si="234">+K192-K43</f>
        <v>-17163</v>
      </c>
      <c r="L117" s="9">
        <f>+L194-L45</f>
        <v>-961</v>
      </c>
      <c r="M117" s="9">
        <f>+M194-M45</f>
        <v>148</v>
      </c>
      <c r="N117" s="19">
        <f t="shared" si="213"/>
        <v>-7.493243243243243</v>
      </c>
    </row>
    <row r="118" spans="1:14" x14ac:dyDescent="0.25">
      <c r="A118" s="72" t="s">
        <v>185</v>
      </c>
      <c r="B118" s="46" t="s">
        <v>34</v>
      </c>
      <c r="C118" s="9"/>
      <c r="D118" s="9">
        <f t="shared" ref="D118" si="235">+D193-D44</f>
        <v>0</v>
      </c>
      <c r="E118" s="9">
        <f t="shared" ref="E118" si="236">+E193-E44</f>
        <v>1018</v>
      </c>
      <c r="F118" s="9">
        <f t="shared" ref="F118" si="237">+F193-F44</f>
        <v>1827</v>
      </c>
      <c r="H118" s="9">
        <f t="shared" ref="H118" si="238">+H193-H44</f>
        <v>-2845</v>
      </c>
      <c r="I118" s="9">
        <f t="shared" ref="I118" si="239">+I193-I44</f>
        <v>8308</v>
      </c>
      <c r="J118" s="9">
        <f t="shared" ref="J118" si="240">+J193-J44</f>
        <v>0</v>
      </c>
      <c r="K118" s="9">
        <f t="shared" ref="K118" si="241">+K193-K44</f>
        <v>0</v>
      </c>
      <c r="L118" s="9" t="e">
        <f>+#REF!-L46</f>
        <v>#REF!</v>
      </c>
      <c r="M118" s="9" t="e">
        <f>+#REF!-M46</f>
        <v>#REF!</v>
      </c>
      <c r="N118" s="19" t="str">
        <f t="shared" si="213"/>
        <v>n.a.</v>
      </c>
    </row>
    <row r="119" spans="1:14" x14ac:dyDescent="0.25">
      <c r="A119" s="72" t="s">
        <v>186</v>
      </c>
      <c r="B119" s="46" t="s">
        <v>34</v>
      </c>
      <c r="C119" s="9"/>
      <c r="D119" s="9">
        <f t="shared" ref="D119" si="242">+D194-D45</f>
        <v>-2251</v>
      </c>
      <c r="E119" s="9">
        <f t="shared" ref="E119" si="243">+E194-E45</f>
        <v>-604</v>
      </c>
      <c r="F119" s="9">
        <f t="shared" ref="F119" si="244">+F194-F45</f>
        <v>-482</v>
      </c>
      <c r="H119" s="9">
        <f t="shared" ref="H119" si="245">+H194-H45</f>
        <v>-31</v>
      </c>
      <c r="I119" s="9">
        <f t="shared" ref="I119" si="246">+I194-I45</f>
        <v>0</v>
      </c>
      <c r="J119" s="9">
        <f t="shared" ref="J119" si="247">+J194-J45</f>
        <v>-113</v>
      </c>
      <c r="K119" s="9">
        <f t="shared" ref="K119" si="248">+K194-K45</f>
        <v>17</v>
      </c>
      <c r="L119" s="9" t="e">
        <f>+L195-#REF!</f>
        <v>#REF!</v>
      </c>
      <c r="M119" s="9" t="e">
        <f>+M195-#REF!</f>
        <v>#REF!</v>
      </c>
      <c r="N119" s="19" t="str">
        <f t="shared" si="213"/>
        <v>n.a.</v>
      </c>
    </row>
    <row r="120" spans="1:14" x14ac:dyDescent="0.25">
      <c r="A120" s="72" t="s">
        <v>149</v>
      </c>
      <c r="B120" s="46" t="s">
        <v>34</v>
      </c>
      <c r="C120" s="9"/>
      <c r="D120" s="9">
        <f t="shared" ref="D120" si="249">+D195-D46</f>
        <v>1642</v>
      </c>
      <c r="E120" s="9">
        <f t="shared" ref="E120" si="250">+E195-E46</f>
        <v>-1479</v>
      </c>
      <c r="F120" s="9">
        <f t="shared" ref="F120" si="251">+F195-F46</f>
        <v>-3904</v>
      </c>
      <c r="H120" s="9">
        <f t="shared" ref="H120" si="252">+H195-H46</f>
        <v>-3850</v>
      </c>
      <c r="I120" s="9">
        <f t="shared" ref="I120" si="253">+I195-I46</f>
        <v>-4303</v>
      </c>
      <c r="J120" s="9">
        <f t="shared" ref="J120" si="254">+J195-J46</f>
        <v>-3006</v>
      </c>
      <c r="K120" s="9">
        <f t="shared" ref="K120" si="255">+K195-K46</f>
        <v>14364</v>
      </c>
      <c r="L120" s="9" t="e">
        <f>+#REF!-#REF!</f>
        <v>#REF!</v>
      </c>
      <c r="M120" s="9" t="e">
        <f>+#REF!-#REF!</f>
        <v>#REF!</v>
      </c>
      <c r="N120" s="19" t="str">
        <f t="shared" si="213"/>
        <v>n.a.</v>
      </c>
    </row>
    <row r="121" spans="1:14" x14ac:dyDescent="0.25">
      <c r="A121" s="73" t="s">
        <v>184</v>
      </c>
      <c r="B121" s="51" t="s">
        <v>34</v>
      </c>
      <c r="C121" s="14"/>
      <c r="D121" s="14">
        <f t="shared" ref="D121" si="256">+D196-D47</f>
        <v>6885</v>
      </c>
      <c r="E121" s="14">
        <f t="shared" ref="E121" si="257">+E196-E47</f>
        <v>-48771</v>
      </c>
      <c r="F121" s="14">
        <f t="shared" ref="F121" si="258">+F196-F47</f>
        <v>142654</v>
      </c>
      <c r="H121" s="14">
        <f t="shared" ref="H121" si="259">+H196-H47</f>
        <v>154250</v>
      </c>
      <c r="I121" s="14">
        <f t="shared" ref="I121" si="260">+I196-I47</f>
        <v>76808</v>
      </c>
      <c r="J121" s="14">
        <f t="shared" ref="J121" si="261">+J196-J47</f>
        <v>-93915</v>
      </c>
      <c r="K121" s="14">
        <f t="shared" ref="K121" si="262">+K196-K47</f>
        <v>-30378</v>
      </c>
      <c r="L121" s="14">
        <f>+L196-L47</f>
        <v>3860.0000000000582</v>
      </c>
      <c r="M121" s="14">
        <f>+M196-M47</f>
        <v>22402</v>
      </c>
      <c r="N121" s="20">
        <f>IFERROR(L121/M121-1,"n.a.")</f>
        <v>-0.8276939558967924</v>
      </c>
    </row>
    <row r="122" spans="1:14" x14ac:dyDescent="0.25">
      <c r="A122" s="69"/>
      <c r="B122" s="46"/>
      <c r="C122" s="9"/>
      <c r="D122" s="9"/>
      <c r="E122" s="9"/>
      <c r="F122" s="9"/>
      <c r="H122" s="9"/>
      <c r="I122" s="9"/>
      <c r="J122" s="9"/>
      <c r="K122" s="9"/>
      <c r="L122" s="9"/>
      <c r="M122" s="9"/>
      <c r="N122" s="19"/>
    </row>
    <row r="123" spans="1:14" x14ac:dyDescent="0.25">
      <c r="A123" s="71" t="s">
        <v>187</v>
      </c>
      <c r="B123" s="46" t="s">
        <v>34</v>
      </c>
      <c r="C123" s="9"/>
      <c r="D123" s="9">
        <f t="shared" ref="D123" si="263">+D198-D49</f>
        <v>-10073</v>
      </c>
      <c r="E123" s="9">
        <f t="shared" ref="E123" si="264">+E198-E49</f>
        <v>-17136</v>
      </c>
      <c r="F123" s="9">
        <f t="shared" ref="F123" si="265">+F198-F49</f>
        <v>-16732</v>
      </c>
      <c r="H123" s="9">
        <f t="shared" ref="H123" si="266">+H198-H49</f>
        <v>-5977</v>
      </c>
      <c r="I123" s="9">
        <f t="shared" ref="I123" si="267">+I198-I49</f>
        <v>-7146</v>
      </c>
      <c r="J123" s="9">
        <f t="shared" ref="J123" si="268">+J198-J49</f>
        <v>-25405</v>
      </c>
      <c r="K123" s="9">
        <f t="shared" ref="K123" si="269">+K198-K49</f>
        <v>-11144</v>
      </c>
      <c r="L123" s="9">
        <f t="shared" ref="L123:M126" si="270">+L198-L49</f>
        <v>-30395</v>
      </c>
      <c r="M123" s="9">
        <f t="shared" si="270"/>
        <v>-13028</v>
      </c>
      <c r="N123" s="19">
        <f t="shared" ref="N123:N125" si="271">IFERROR(L123/M123-1,"n.a.")</f>
        <v>1.3330518882407123</v>
      </c>
    </row>
    <row r="124" spans="1:14" ht="28.5" x14ac:dyDescent="0.25">
      <c r="A124" s="71" t="s">
        <v>188</v>
      </c>
      <c r="B124" s="46" t="s">
        <v>34</v>
      </c>
      <c r="C124" s="9"/>
      <c r="D124" s="9">
        <f t="shared" ref="D124" si="272">+D199-D50</f>
        <v>0</v>
      </c>
      <c r="E124" s="9">
        <f t="shared" ref="E124" si="273">+E199-E50</f>
        <v>0</v>
      </c>
      <c r="F124" s="9">
        <f t="shared" ref="F124" si="274">+F199-F50</f>
        <v>0</v>
      </c>
      <c r="H124" s="9">
        <f t="shared" ref="H124" si="275">+H199-H50</f>
        <v>0</v>
      </c>
      <c r="I124" s="9">
        <f t="shared" ref="I124" si="276">+I199-I50</f>
        <v>0</v>
      </c>
      <c r="J124" s="9">
        <f t="shared" ref="J124" si="277">+J199-J50</f>
        <v>0</v>
      </c>
      <c r="K124" s="9">
        <f t="shared" ref="K124" si="278">+K199-K50</f>
        <v>0</v>
      </c>
      <c r="L124" s="9">
        <f t="shared" si="270"/>
        <v>0</v>
      </c>
      <c r="M124" s="9">
        <f t="shared" si="270"/>
        <v>0</v>
      </c>
      <c r="N124" s="19" t="str">
        <f t="shared" si="271"/>
        <v>n.a.</v>
      </c>
    </row>
    <row r="125" spans="1:14" x14ac:dyDescent="0.25">
      <c r="A125" s="71" t="s">
        <v>189</v>
      </c>
      <c r="B125" s="46" t="s">
        <v>34</v>
      </c>
      <c r="C125" s="9"/>
      <c r="D125" s="9">
        <f t="shared" ref="D125" si="279">+D200-D51</f>
        <v>0</v>
      </c>
      <c r="E125" s="9">
        <f t="shared" ref="E125" si="280">+E200-E51</f>
        <v>-866</v>
      </c>
      <c r="F125" s="9">
        <f t="shared" ref="F125" si="281">+F200-F51</f>
        <v>-31816</v>
      </c>
      <c r="H125" s="9">
        <f t="shared" ref="H125" si="282">+H200-H51</f>
        <v>-11842</v>
      </c>
      <c r="I125" s="9">
        <f t="shared" ref="I125" si="283">+I200-I51</f>
        <v>-2730</v>
      </c>
      <c r="J125" s="9">
        <f t="shared" ref="J125" si="284">+J200-J51</f>
        <v>-21823</v>
      </c>
      <c r="K125" s="9">
        <f t="shared" ref="K125" si="285">+K200-K51</f>
        <v>-5360</v>
      </c>
      <c r="L125" s="9">
        <f t="shared" si="270"/>
        <v>-30235</v>
      </c>
      <c r="M125" s="9">
        <f t="shared" si="270"/>
        <v>-9923</v>
      </c>
      <c r="N125" s="19">
        <f t="shared" si="271"/>
        <v>2.0469616043535219</v>
      </c>
    </row>
    <row r="126" spans="1:14" x14ac:dyDescent="0.25">
      <c r="A126" s="73" t="s">
        <v>190</v>
      </c>
      <c r="B126" s="51" t="s">
        <v>34</v>
      </c>
      <c r="C126" s="14"/>
      <c r="D126" s="14">
        <f t="shared" ref="D126" si="286">+D201-D52</f>
        <v>-3188</v>
      </c>
      <c r="E126" s="14">
        <f t="shared" ref="E126" si="287">+E201-E52</f>
        <v>-66773</v>
      </c>
      <c r="F126" s="14">
        <f t="shared" ref="F126" si="288">+F201-F52</f>
        <v>94106</v>
      </c>
      <c r="H126" s="14">
        <f t="shared" ref="H126" si="289">+H201-H52</f>
        <v>136431</v>
      </c>
      <c r="I126" s="14">
        <f t="shared" ref="I126" si="290">+I201-I52</f>
        <v>66932</v>
      </c>
      <c r="J126" s="14">
        <f t="shared" ref="J126" si="291">+J201-J52</f>
        <v>-141143</v>
      </c>
      <c r="K126" s="14">
        <f t="shared" ref="K126" si="292">+K201-K52</f>
        <v>-46882</v>
      </c>
      <c r="L126" s="14">
        <f t="shared" si="270"/>
        <v>-56769.999999999942</v>
      </c>
      <c r="M126" s="14">
        <f t="shared" si="270"/>
        <v>-549</v>
      </c>
      <c r="N126" s="20">
        <f>IFERROR(L126/M126-1,"n.a.")</f>
        <v>102.40619307832412</v>
      </c>
    </row>
    <row r="127" spans="1:14" x14ac:dyDescent="0.25">
      <c r="A127" s="69"/>
      <c r="B127" s="46"/>
      <c r="C127" s="9"/>
      <c r="D127" s="9"/>
      <c r="E127" s="9"/>
      <c r="F127" s="9"/>
      <c r="H127" s="9"/>
      <c r="I127" s="9"/>
      <c r="J127" s="9"/>
      <c r="K127" s="9"/>
      <c r="L127" s="9"/>
      <c r="M127" s="9"/>
      <c r="N127" s="19"/>
    </row>
    <row r="128" spans="1:14" x14ac:dyDescent="0.25">
      <c r="A128" s="73" t="s">
        <v>191</v>
      </c>
      <c r="B128" s="46"/>
      <c r="C128" s="14"/>
      <c r="D128" s="14"/>
      <c r="E128" s="14"/>
      <c r="F128" s="14"/>
      <c r="H128" s="14"/>
      <c r="I128" s="14"/>
      <c r="J128" s="14"/>
      <c r="K128" s="14"/>
      <c r="L128" s="14"/>
      <c r="M128" s="14"/>
      <c r="N128" s="20"/>
    </row>
    <row r="129" spans="1:14" x14ac:dyDescent="0.25">
      <c r="A129" s="71" t="s">
        <v>192</v>
      </c>
      <c r="B129" s="46" t="s">
        <v>34</v>
      </c>
      <c r="C129" s="9"/>
      <c r="D129" s="9">
        <f t="shared" ref="D129" si="293">+D204-D55</f>
        <v>-109934</v>
      </c>
      <c r="E129" s="9">
        <f t="shared" ref="E129" si="294">+E204-E55</f>
        <v>-16891</v>
      </c>
      <c r="F129" s="9">
        <f t="shared" ref="F129" si="295">+F204-F55</f>
        <v>134151</v>
      </c>
      <c r="H129" s="9">
        <f t="shared" ref="H129" si="296">+H204-H55</f>
        <v>0</v>
      </c>
      <c r="I129" s="9">
        <f t="shared" ref="I129" si="297">+I204-I55</f>
        <v>16771</v>
      </c>
      <c r="J129" s="9">
        <f t="shared" ref="J129" si="298">+J204-J55</f>
        <v>0</v>
      </c>
      <c r="K129" s="9">
        <f t="shared" ref="K129" si="299">+K204-K55</f>
        <v>133640</v>
      </c>
      <c r="L129" s="9">
        <f t="shared" ref="L129:M152" si="300">+L204-L55</f>
        <v>0</v>
      </c>
      <c r="M129" s="9">
        <f t="shared" si="300"/>
        <v>133640</v>
      </c>
      <c r="N129" s="19">
        <f t="shared" ref="N129:N133" si="301">IFERROR(L129/M129-1,"n.a.")</f>
        <v>-1</v>
      </c>
    </row>
    <row r="130" spans="1:14" x14ac:dyDescent="0.25">
      <c r="A130" s="71" t="s">
        <v>193</v>
      </c>
      <c r="B130" s="46" t="s">
        <v>34</v>
      </c>
      <c r="C130" s="9"/>
      <c r="D130" s="9">
        <f t="shared" ref="D130" si="302">+D205-D56</f>
        <v>0</v>
      </c>
      <c r="E130" s="9">
        <f t="shared" ref="E130" si="303">+E205-E56</f>
        <v>23664</v>
      </c>
      <c r="F130" s="9">
        <f t="shared" ref="F130" si="304">+F205-F56</f>
        <v>0</v>
      </c>
      <c r="H130" s="9">
        <f t="shared" ref="H130" si="305">+H205-H56</f>
        <v>0</v>
      </c>
      <c r="I130" s="9">
        <f t="shared" ref="I130" si="306">+I205-I56</f>
        <v>0</v>
      </c>
      <c r="J130" s="9">
        <f t="shared" ref="J130" si="307">+J205-J56</f>
        <v>0</v>
      </c>
      <c r="K130" s="9">
        <f t="shared" ref="K130" si="308">+K205-K56</f>
        <v>0</v>
      </c>
      <c r="L130" s="9">
        <f t="shared" si="300"/>
        <v>0</v>
      </c>
      <c r="M130" s="9">
        <f t="shared" si="300"/>
        <v>0</v>
      </c>
      <c r="N130" s="19" t="str">
        <f t="shared" si="301"/>
        <v>n.a.</v>
      </c>
    </row>
    <row r="131" spans="1:14" x14ac:dyDescent="0.25">
      <c r="A131" s="71" t="s">
        <v>194</v>
      </c>
      <c r="B131" s="46" t="s">
        <v>34</v>
      </c>
      <c r="C131" s="9"/>
      <c r="D131" s="9">
        <f t="shared" ref="D131" si="309">+D206-D57</f>
        <v>0</v>
      </c>
      <c r="E131" s="9">
        <f t="shared" ref="E131" si="310">+E206-E57</f>
        <v>0</v>
      </c>
      <c r="F131" s="9">
        <f t="shared" ref="F131" si="311">+F206-F57</f>
        <v>-1173</v>
      </c>
      <c r="H131" s="9">
        <f t="shared" ref="H131" si="312">+H206-H57</f>
        <v>0</v>
      </c>
      <c r="I131" s="9">
        <f t="shared" ref="I131" si="313">+I206-I57</f>
        <v>0</v>
      </c>
      <c r="J131" s="9">
        <f t="shared" ref="J131" si="314">+J206-J57</f>
        <v>0</v>
      </c>
      <c r="K131" s="9">
        <f t="shared" ref="K131" si="315">+K206-K57</f>
        <v>0</v>
      </c>
      <c r="L131" s="9">
        <f t="shared" si="300"/>
        <v>0</v>
      </c>
      <c r="M131" s="9">
        <f t="shared" si="300"/>
        <v>0</v>
      </c>
      <c r="N131" s="19" t="str">
        <f t="shared" si="301"/>
        <v>n.a.</v>
      </c>
    </row>
    <row r="132" spans="1:14" x14ac:dyDescent="0.25">
      <c r="A132" s="71" t="s">
        <v>195</v>
      </c>
      <c r="B132" s="46" t="s">
        <v>34</v>
      </c>
      <c r="C132" s="9"/>
      <c r="D132" s="9">
        <f t="shared" ref="D132" si="316">+D207-D58</f>
        <v>0</v>
      </c>
      <c r="E132" s="9">
        <f t="shared" ref="E132" si="317">+E207-E58</f>
        <v>0</v>
      </c>
      <c r="F132" s="9">
        <f t="shared" ref="F132" si="318">+F207-F58</f>
        <v>0</v>
      </c>
      <c r="H132" s="9">
        <f t="shared" ref="H132" si="319">+H207-H58</f>
        <v>0</v>
      </c>
      <c r="I132" s="9">
        <f t="shared" ref="I132" si="320">+I207-I58</f>
        <v>0</v>
      </c>
      <c r="J132" s="9">
        <f t="shared" ref="J132" si="321">+J207-J58</f>
        <v>0</v>
      </c>
      <c r="K132" s="9">
        <f t="shared" ref="K132" si="322">+K207-K58</f>
        <v>0</v>
      </c>
      <c r="L132" s="9">
        <f t="shared" si="300"/>
        <v>0</v>
      </c>
      <c r="M132" s="9">
        <f t="shared" si="300"/>
        <v>0</v>
      </c>
      <c r="N132" s="19" t="str">
        <f t="shared" si="301"/>
        <v>n.a.</v>
      </c>
    </row>
    <row r="133" spans="1:14" x14ac:dyDescent="0.25">
      <c r="A133" s="71" t="s">
        <v>196</v>
      </c>
      <c r="B133" s="46" t="s">
        <v>34</v>
      </c>
      <c r="C133" s="9"/>
      <c r="D133" s="9">
        <f t="shared" ref="D133" si="323">+D208-D59</f>
        <v>-113951</v>
      </c>
      <c r="E133" s="9">
        <f t="shared" ref="E133" si="324">+E208-E59</f>
        <v>-110820</v>
      </c>
      <c r="F133" s="9">
        <f t="shared" ref="F133" si="325">+F208-F59</f>
        <v>-16212</v>
      </c>
      <c r="H133" s="9">
        <f t="shared" ref="H133" si="326">+H208-H59</f>
        <v>-19723</v>
      </c>
      <c r="I133" s="9">
        <f t="shared" ref="I133" si="327">+I208-I59</f>
        <v>-1067</v>
      </c>
      <c r="J133" s="9">
        <f t="shared" ref="J133" si="328">+J208-J59</f>
        <v>-71459</v>
      </c>
      <c r="K133" s="9">
        <f t="shared" ref="K133" si="329">+K208-K59</f>
        <v>-1921</v>
      </c>
      <c r="L133" s="9">
        <f t="shared" si="300"/>
        <v>-130241</v>
      </c>
      <c r="M133" s="9">
        <f t="shared" si="300"/>
        <v>-6749</v>
      </c>
      <c r="N133" s="19">
        <f t="shared" si="301"/>
        <v>18.297821899540672</v>
      </c>
    </row>
    <row r="134" spans="1:14" x14ac:dyDescent="0.25">
      <c r="A134" s="73" t="s">
        <v>197</v>
      </c>
      <c r="B134" s="51" t="s">
        <v>34</v>
      </c>
      <c r="C134" s="14"/>
      <c r="D134" s="14">
        <f t="shared" ref="D134" si="330">+D209-D60</f>
        <v>-223885</v>
      </c>
      <c r="E134" s="14">
        <f t="shared" ref="E134" si="331">+E209-E60</f>
        <v>-104047</v>
      </c>
      <c r="F134" s="14">
        <f t="shared" ref="F134" si="332">+F209-F60</f>
        <v>116766</v>
      </c>
      <c r="H134" s="14">
        <f t="shared" ref="H134" si="333">+H209-H60</f>
        <v>-19723</v>
      </c>
      <c r="I134" s="14">
        <f t="shared" ref="I134" si="334">+I209-I60</f>
        <v>15704</v>
      </c>
      <c r="J134" s="14">
        <f t="shared" ref="J134" si="335">+J209-J60</f>
        <v>-71459</v>
      </c>
      <c r="K134" s="14">
        <f t="shared" ref="K134" si="336">+K209-K60</f>
        <v>131719</v>
      </c>
      <c r="L134" s="14">
        <f t="shared" si="300"/>
        <v>-130241</v>
      </c>
      <c r="M134" s="14">
        <f t="shared" si="300"/>
        <v>126891</v>
      </c>
      <c r="N134" s="20">
        <f>IFERROR(L134/M134-1,"n.a.")</f>
        <v>-2.0264006115484943</v>
      </c>
    </row>
    <row r="135" spans="1:14" x14ac:dyDescent="0.25">
      <c r="A135" s="69"/>
      <c r="B135" s="46"/>
      <c r="C135" s="9"/>
      <c r="D135" s="9"/>
      <c r="E135" s="9"/>
      <c r="F135" s="9"/>
      <c r="H135" s="9"/>
      <c r="I135" s="9"/>
      <c r="J135" s="9"/>
      <c r="K135" s="9"/>
      <c r="L135" s="9"/>
      <c r="M135" s="9"/>
      <c r="N135" s="19"/>
    </row>
    <row r="136" spans="1:14" x14ac:dyDescent="0.25">
      <c r="A136" s="73" t="s">
        <v>198</v>
      </c>
      <c r="B136" s="46"/>
      <c r="C136" s="14"/>
      <c r="D136" s="14"/>
      <c r="E136" s="14"/>
      <c r="F136" s="14"/>
      <c r="H136" s="14"/>
      <c r="I136" s="14"/>
      <c r="J136" s="14"/>
      <c r="K136" s="14"/>
      <c r="L136" s="14"/>
      <c r="M136" s="14"/>
      <c r="N136" s="20"/>
    </row>
    <row r="137" spans="1:14" x14ac:dyDescent="0.25">
      <c r="A137" s="71" t="s">
        <v>199</v>
      </c>
      <c r="B137" s="46" t="s">
        <v>34</v>
      </c>
      <c r="C137" s="9"/>
      <c r="D137" s="9">
        <f t="shared" ref="D137" si="337">+D212-D63</f>
        <v>3855</v>
      </c>
      <c r="E137" s="9">
        <f t="shared" ref="E137" si="338">+E212-E63</f>
        <v>170000</v>
      </c>
      <c r="F137" s="9">
        <f t="shared" ref="F137" si="339">+F212-F63</f>
        <v>262287</v>
      </c>
      <c r="H137" s="9">
        <f t="shared" ref="H137" si="340">+H212-H63</f>
        <v>0</v>
      </c>
      <c r="I137" s="9">
        <f t="shared" ref="I137" si="341">+I212-I63</f>
        <v>142287</v>
      </c>
      <c r="J137" s="9">
        <f t="shared" ref="J137" si="342">+J212-J63</f>
        <v>100000</v>
      </c>
      <c r="K137" s="9">
        <f t="shared" ref="K137" si="343">+K212-K63</f>
        <v>262287</v>
      </c>
      <c r="L137" s="9">
        <f t="shared" si="300"/>
        <v>100000</v>
      </c>
      <c r="M137" s="9">
        <f t="shared" si="300"/>
        <v>262287</v>
      </c>
      <c r="N137" s="19">
        <f t="shared" ref="N137:N145" si="344">IFERROR(L137/M137-1,"n.a.")</f>
        <v>-0.61873825237240121</v>
      </c>
    </row>
    <row r="138" spans="1:14" x14ac:dyDescent="0.25">
      <c r="A138" s="71" t="s">
        <v>200</v>
      </c>
      <c r="B138" s="46" t="s">
        <v>34</v>
      </c>
      <c r="C138" s="9"/>
      <c r="D138" s="9">
        <f t="shared" ref="D138" si="345">+D213-D64</f>
        <v>0</v>
      </c>
      <c r="E138" s="9">
        <f t="shared" ref="E138" si="346">+E213-E64</f>
        <v>0</v>
      </c>
      <c r="F138" s="9">
        <f t="shared" ref="F138" si="347">+F213-F64</f>
        <v>-271094</v>
      </c>
      <c r="H138" s="9">
        <f t="shared" ref="H138" si="348">+H213-H64</f>
        <v>-73967</v>
      </c>
      <c r="I138" s="9">
        <f t="shared" ref="I138" si="349">+I213-I64</f>
        <v>-95571</v>
      </c>
      <c r="J138" s="9">
        <f t="shared" ref="J138" si="350">+J213-J64</f>
        <v>-74399</v>
      </c>
      <c r="K138" s="9">
        <f t="shared" ref="K138" si="351">+K213-K64</f>
        <v>-271094</v>
      </c>
      <c r="L138" s="9">
        <f t="shared" si="300"/>
        <v>-78565</v>
      </c>
      <c r="M138" s="9">
        <f t="shared" si="300"/>
        <v>-271094</v>
      </c>
      <c r="N138" s="19">
        <f t="shared" si="344"/>
        <v>-0.71019277446199469</v>
      </c>
    </row>
    <row r="139" spans="1:14" x14ac:dyDescent="0.25">
      <c r="A139" s="71" t="s">
        <v>201</v>
      </c>
      <c r="B139" s="46" t="s">
        <v>34</v>
      </c>
      <c r="C139" s="9"/>
      <c r="D139" s="9">
        <f t="shared" ref="D139" si="352">+D214-D65</f>
        <v>210000</v>
      </c>
      <c r="E139" s="9">
        <f t="shared" ref="E139" si="353">+E214-E65</f>
        <v>0</v>
      </c>
      <c r="F139" s="9">
        <f t="shared" ref="F139" si="354">+F214-F65</f>
        <v>333636</v>
      </c>
      <c r="H139" s="9">
        <f t="shared" ref="H139" si="355">+H214-H65</f>
        <v>0</v>
      </c>
      <c r="I139" s="9">
        <f t="shared" ref="I139" si="356">+I214-I65</f>
        <v>80000</v>
      </c>
      <c r="J139" s="9">
        <f t="shared" ref="J139" si="357">+J214-J65</f>
        <v>0</v>
      </c>
      <c r="K139" s="9">
        <f t="shared" ref="K139" si="358">+K214-K65</f>
        <v>80000</v>
      </c>
      <c r="L139" s="9">
        <f t="shared" si="300"/>
        <v>0</v>
      </c>
      <c r="M139" s="9">
        <f t="shared" si="300"/>
        <v>80000</v>
      </c>
      <c r="N139" s="19">
        <f t="shared" si="344"/>
        <v>-1</v>
      </c>
    </row>
    <row r="140" spans="1:14" x14ac:dyDescent="0.25">
      <c r="A140" s="71" t="s">
        <v>202</v>
      </c>
      <c r="B140" s="46" t="s">
        <v>34</v>
      </c>
      <c r="C140" s="9"/>
      <c r="D140" s="9">
        <f t="shared" ref="D140" si="359">+D215-D66</f>
        <v>-1601</v>
      </c>
      <c r="E140" s="9">
        <f t="shared" ref="E140" si="360">+E215-E66</f>
        <v>0</v>
      </c>
      <c r="F140" s="9">
        <f t="shared" ref="F140" si="361">+F215-F66</f>
        <v>-90952</v>
      </c>
      <c r="H140" s="9">
        <f t="shared" ref="H140" si="362">+H215-H66</f>
        <v>-489</v>
      </c>
      <c r="I140" s="9">
        <f t="shared" ref="I140" si="363">+I215-I66</f>
        <v>-81740</v>
      </c>
      <c r="J140" s="9">
        <f t="shared" ref="J140" si="364">+J215-J66</f>
        <v>-20107</v>
      </c>
      <c r="K140" s="9">
        <f t="shared" ref="K140" si="365">+K215-K66</f>
        <v>-81761</v>
      </c>
      <c r="L140" s="9">
        <f t="shared" si="300"/>
        <v>-46906</v>
      </c>
      <c r="M140" s="9">
        <f t="shared" si="300"/>
        <v>-81761</v>
      </c>
      <c r="N140" s="19">
        <f t="shared" si="344"/>
        <v>-0.42630349433103798</v>
      </c>
    </row>
    <row r="141" spans="1:14" x14ac:dyDescent="0.25">
      <c r="A141" s="71" t="s">
        <v>203</v>
      </c>
      <c r="B141" s="46" t="s">
        <v>34</v>
      </c>
      <c r="C141" s="9"/>
      <c r="D141" s="9">
        <f t="shared" ref="D141" si="366">+D216-D67</f>
        <v>0</v>
      </c>
      <c r="E141" s="9">
        <f t="shared" ref="E141" si="367">+E216-E67</f>
        <v>0</v>
      </c>
      <c r="F141" s="9">
        <f t="shared" ref="F141" si="368">+F216-F67</f>
        <v>0</v>
      </c>
      <c r="H141" s="9">
        <f t="shared" ref="H141" si="369">+H216-H67</f>
        <v>0</v>
      </c>
      <c r="I141" s="9">
        <f t="shared" ref="I141" si="370">+I216-I67</f>
        <v>0</v>
      </c>
      <c r="J141" s="9">
        <f t="shared" ref="J141" si="371">+J216-J67</f>
        <v>0</v>
      </c>
      <c r="K141" s="9">
        <f t="shared" ref="K141" si="372">+K216-K67</f>
        <v>0</v>
      </c>
      <c r="L141" s="9">
        <f t="shared" si="300"/>
        <v>-55</v>
      </c>
      <c r="M141" s="9">
        <f t="shared" si="300"/>
        <v>0</v>
      </c>
      <c r="N141" s="19" t="str">
        <f t="shared" si="344"/>
        <v>n.a.</v>
      </c>
    </row>
    <row r="142" spans="1:14" x14ac:dyDescent="0.25">
      <c r="A142" s="71" t="s">
        <v>204</v>
      </c>
      <c r="B142" s="46" t="s">
        <v>34</v>
      </c>
      <c r="C142" s="9"/>
      <c r="D142" s="9">
        <f t="shared" ref="D142" si="373">+D217-D68</f>
        <v>630</v>
      </c>
      <c r="E142" s="9">
        <f t="shared" ref="E142" si="374">+E217-E68</f>
        <v>1075</v>
      </c>
      <c r="F142" s="9">
        <f t="shared" ref="F142" si="375">+F217-F68</f>
        <v>26862</v>
      </c>
      <c r="H142" s="9">
        <f t="shared" ref="H142" si="376">+H217-H68</f>
        <v>-314</v>
      </c>
      <c r="I142" s="9">
        <f t="shared" ref="I142" si="377">+I217-I68</f>
        <v>0</v>
      </c>
      <c r="J142" s="9">
        <f t="shared" ref="J142" si="378">+J217-J68</f>
        <v>-1629</v>
      </c>
      <c r="K142" s="9">
        <f t="shared" ref="K142" si="379">+K217-K68</f>
        <v>25432</v>
      </c>
      <c r="L142" s="9">
        <f t="shared" si="300"/>
        <v>-1350</v>
      </c>
      <c r="M142" s="9">
        <f t="shared" si="300"/>
        <v>25432</v>
      </c>
      <c r="N142" s="19">
        <f t="shared" si="344"/>
        <v>-1.0530827304183705</v>
      </c>
    </row>
    <row r="143" spans="1:14" x14ac:dyDescent="0.25">
      <c r="A143" s="71" t="s">
        <v>205</v>
      </c>
      <c r="B143" s="46" t="s">
        <v>34</v>
      </c>
      <c r="C143" s="9"/>
      <c r="D143" s="9">
        <f t="shared" ref="D143" si="380">+D218-D69</f>
        <v>733</v>
      </c>
      <c r="E143" s="9">
        <f t="shared" ref="E143" si="381">+E218-E69</f>
        <v>0</v>
      </c>
      <c r="F143" s="9">
        <f t="shared" ref="F143" si="382">+F218-F69</f>
        <v>0</v>
      </c>
      <c r="H143" s="9">
        <f t="shared" ref="H143" si="383">+H218-H69</f>
        <v>0</v>
      </c>
      <c r="I143" s="9">
        <f t="shared" ref="I143" si="384">+I218-I69</f>
        <v>0</v>
      </c>
      <c r="J143" s="9">
        <f t="shared" ref="J143" si="385">+J218-J69</f>
        <v>0</v>
      </c>
      <c r="K143" s="9">
        <f t="shared" ref="K143" si="386">+K218-K69</f>
        <v>0</v>
      </c>
      <c r="L143" s="9">
        <f t="shared" si="300"/>
        <v>0</v>
      </c>
      <c r="M143" s="9">
        <f t="shared" si="300"/>
        <v>0</v>
      </c>
      <c r="N143" s="19" t="str">
        <f t="shared" si="344"/>
        <v>n.a.</v>
      </c>
    </row>
    <row r="144" spans="1:14" x14ac:dyDescent="0.25">
      <c r="A144" s="71" t="s">
        <v>206</v>
      </c>
      <c r="B144" s="46" t="s">
        <v>34</v>
      </c>
      <c r="C144" s="9"/>
      <c r="D144" s="9">
        <f t="shared" ref="D144" si="387">+D219-D70</f>
        <v>0</v>
      </c>
      <c r="E144" s="9">
        <f t="shared" ref="E144" si="388">+E219-E70</f>
        <v>0</v>
      </c>
      <c r="F144" s="9">
        <f t="shared" ref="F144" si="389">+F219-F70</f>
        <v>0</v>
      </c>
      <c r="H144" s="9">
        <f t="shared" ref="H144" si="390">+H219-H70</f>
        <v>0</v>
      </c>
      <c r="I144" s="9">
        <f t="shared" ref="I144" si="391">+I219-I70</f>
        <v>0</v>
      </c>
      <c r="J144" s="9">
        <f t="shared" ref="J144" si="392">+J219-J70</f>
        <v>0</v>
      </c>
      <c r="K144" s="9">
        <f t="shared" ref="K144" si="393">+K219-K70</f>
        <v>0</v>
      </c>
      <c r="L144" s="9">
        <f t="shared" si="300"/>
        <v>0</v>
      </c>
      <c r="M144" s="9">
        <f t="shared" si="300"/>
        <v>0</v>
      </c>
      <c r="N144" s="19" t="str">
        <f t="shared" si="344"/>
        <v>n.a.</v>
      </c>
    </row>
    <row r="145" spans="1:14" x14ac:dyDescent="0.25">
      <c r="A145" s="71" t="s">
        <v>212</v>
      </c>
      <c r="B145" s="46" t="s">
        <v>34</v>
      </c>
      <c r="C145" s="9"/>
      <c r="D145" s="9">
        <f t="shared" ref="D145" si="394">+D220-D71</f>
        <v>14912</v>
      </c>
      <c r="E145" s="9">
        <f t="shared" ref="E145" si="395">+E220-E71</f>
        <v>0</v>
      </c>
      <c r="F145" s="9">
        <f t="shared" ref="F145" si="396">+F220-F71</f>
        <v>0</v>
      </c>
      <c r="H145" s="9">
        <f t="shared" ref="H145" si="397">+H220-H71</f>
        <v>0</v>
      </c>
      <c r="I145" s="9">
        <f t="shared" ref="I145" si="398">+I220-I71</f>
        <v>0</v>
      </c>
      <c r="J145" s="9">
        <f t="shared" ref="J145" si="399">+J220-J71</f>
        <v>0</v>
      </c>
      <c r="K145" s="9">
        <f t="shared" ref="K145" si="400">+K220-K71</f>
        <v>0</v>
      </c>
      <c r="L145" s="9">
        <f t="shared" si="300"/>
        <v>0</v>
      </c>
      <c r="M145" s="9">
        <f t="shared" si="300"/>
        <v>0</v>
      </c>
      <c r="N145" s="19" t="str">
        <f t="shared" si="344"/>
        <v>n.a.</v>
      </c>
    </row>
    <row r="146" spans="1:14" x14ac:dyDescent="0.25">
      <c r="A146" s="73" t="s">
        <v>207</v>
      </c>
      <c r="B146" s="51" t="s">
        <v>34</v>
      </c>
      <c r="C146" s="14"/>
      <c r="D146" s="14">
        <f t="shared" ref="D146" si="401">+D221-D72</f>
        <v>228529</v>
      </c>
      <c r="E146" s="14">
        <f t="shared" ref="E146" si="402">+E221-E72</f>
        <v>171075</v>
      </c>
      <c r="F146" s="14">
        <f t="shared" ref="F146" si="403">+F221-F72</f>
        <v>260739</v>
      </c>
      <c r="H146" s="14">
        <f t="shared" ref="H146" si="404">+H221-H72</f>
        <v>-74770</v>
      </c>
      <c r="I146" s="14">
        <f t="shared" ref="I146" si="405">+I221-I72</f>
        <v>44976</v>
      </c>
      <c r="J146" s="14">
        <f t="shared" ref="J146" si="406">+J221-J72</f>
        <v>3865</v>
      </c>
      <c r="K146" s="14">
        <f t="shared" ref="K146" si="407">+K221-K72</f>
        <v>14864</v>
      </c>
      <c r="L146" s="14">
        <f t="shared" si="300"/>
        <v>-26876</v>
      </c>
      <c r="M146" s="14">
        <f t="shared" si="300"/>
        <v>14864</v>
      </c>
      <c r="N146" s="20">
        <f>IFERROR(L146/M146-1,"n.a.")</f>
        <v>-2.8081270182992464</v>
      </c>
    </row>
    <row r="147" spans="1:14" x14ac:dyDescent="0.25">
      <c r="A147" s="69"/>
      <c r="B147" s="46"/>
      <c r="C147" s="9"/>
      <c r="D147" s="9"/>
      <c r="E147" s="9"/>
      <c r="F147" s="9"/>
      <c r="H147" s="9"/>
      <c r="I147" s="9"/>
      <c r="J147" s="9"/>
      <c r="K147" s="9"/>
      <c r="L147" s="9"/>
      <c r="M147" s="9"/>
      <c r="N147" s="19"/>
    </row>
    <row r="148" spans="1:14" x14ac:dyDescent="0.25">
      <c r="A148" s="73" t="s">
        <v>208</v>
      </c>
      <c r="B148" s="51" t="s">
        <v>34</v>
      </c>
      <c r="C148" s="14"/>
      <c r="D148" s="14">
        <f t="shared" ref="D148" si="408">+D223-D74</f>
        <v>1477</v>
      </c>
      <c r="E148" s="14">
        <f t="shared" ref="E148" si="409">+E223-E74</f>
        <v>255</v>
      </c>
      <c r="F148" s="14">
        <f t="shared" ref="F148" si="410">+F223-F74</f>
        <v>471611</v>
      </c>
      <c r="H148" s="14">
        <f t="shared" ref="H148" si="411">+H223-H74</f>
        <v>41938</v>
      </c>
      <c r="I148" s="14">
        <f t="shared" ref="I148" si="412">+I223-I74</f>
        <v>127612</v>
      </c>
      <c r="J148" s="14">
        <f t="shared" ref="J148" si="413">+J223-J74</f>
        <v>-208737</v>
      </c>
      <c r="K148" s="14">
        <f t="shared" ref="K148" si="414">+K223-K74</f>
        <v>99701</v>
      </c>
      <c r="L148" s="14">
        <f t="shared" si="300"/>
        <v>-213886.99999999994</v>
      </c>
      <c r="M148" s="14">
        <f t="shared" si="300"/>
        <v>141206</v>
      </c>
      <c r="N148" s="20">
        <f>IFERROR(L148/M148-1,"n.a.")</f>
        <v>-2.5147160885514777</v>
      </c>
    </row>
    <row r="149" spans="1:14" x14ac:dyDescent="0.25">
      <c r="A149" s="69"/>
      <c r="B149" s="51"/>
      <c r="C149" s="9"/>
      <c r="D149" s="9"/>
      <c r="E149" s="9"/>
      <c r="F149" s="9"/>
      <c r="H149" s="9"/>
      <c r="I149" s="9"/>
      <c r="J149" s="9"/>
      <c r="K149" s="9"/>
      <c r="L149" s="9"/>
      <c r="M149" s="9"/>
      <c r="N149" s="19"/>
    </row>
    <row r="150" spans="1:14" x14ac:dyDescent="0.25">
      <c r="A150" s="73" t="s">
        <v>209</v>
      </c>
      <c r="B150" s="51" t="s">
        <v>34</v>
      </c>
      <c r="C150" s="14"/>
      <c r="D150" s="14">
        <f t="shared" ref="D150" si="415">+D225-D76</f>
        <v>0</v>
      </c>
      <c r="E150" s="14">
        <f t="shared" ref="E150" si="416">+E225-E76</f>
        <v>101</v>
      </c>
      <c r="F150" s="14">
        <f t="shared" ref="F150" si="417">+F225-F76</f>
        <v>356</v>
      </c>
      <c r="H150" s="14">
        <f t="shared" ref="H150" si="418">+H225-H76</f>
        <v>471967</v>
      </c>
      <c r="I150" s="14">
        <f t="shared" ref="I150" si="419">+I225-I76</f>
        <v>356</v>
      </c>
      <c r="J150" s="14">
        <f t="shared" ref="J150" si="420">+J225-J76</f>
        <v>471967</v>
      </c>
      <c r="K150" s="14">
        <f t="shared" ref="K150" si="421">+K225-K76</f>
        <v>356</v>
      </c>
      <c r="L150" s="14">
        <f t="shared" si="300"/>
        <v>471967</v>
      </c>
      <c r="M150" s="14">
        <f t="shared" si="300"/>
        <v>356</v>
      </c>
      <c r="N150" s="20">
        <f>IFERROR(L150/M150-1,"n.a.")</f>
        <v>1324.75</v>
      </c>
    </row>
    <row r="151" spans="1:14" x14ac:dyDescent="0.25">
      <c r="A151" s="69"/>
      <c r="B151" s="51"/>
      <c r="C151" s="9"/>
      <c r="D151" s="9"/>
      <c r="E151" s="9"/>
      <c r="F151" s="9"/>
      <c r="H151" s="9"/>
      <c r="I151" s="9"/>
      <c r="J151" s="9"/>
      <c r="K151" s="9"/>
      <c r="L151" s="9"/>
      <c r="M151" s="9"/>
      <c r="N151" s="19"/>
    </row>
    <row r="152" spans="1:14" x14ac:dyDescent="0.25">
      <c r="A152" s="73" t="s">
        <v>210</v>
      </c>
      <c r="B152" s="51" t="s">
        <v>34</v>
      </c>
      <c r="C152" s="14"/>
      <c r="D152" s="14">
        <f t="shared" ref="D152" si="422">+D227-D78</f>
        <v>1477</v>
      </c>
      <c r="E152" s="14">
        <f t="shared" ref="E152" si="423">+E227-E78</f>
        <v>356</v>
      </c>
      <c r="F152" s="14">
        <f t="shared" ref="F152" si="424">+F227-F78</f>
        <v>471967</v>
      </c>
      <c r="H152" s="14">
        <f t="shared" ref="H152" si="425">+H227-H78</f>
        <v>513905</v>
      </c>
      <c r="I152" s="14">
        <f t="shared" ref="I152" si="426">+I227-I78</f>
        <v>127968</v>
      </c>
      <c r="J152" s="14">
        <f t="shared" ref="J152" si="427">+J227-J78</f>
        <v>263230</v>
      </c>
      <c r="K152" s="14">
        <f t="shared" ref="K152" si="428">+K227-K78</f>
        <v>100057</v>
      </c>
      <c r="L152" s="14">
        <f t="shared" si="300"/>
        <v>258080</v>
      </c>
      <c r="M152" s="14">
        <f t="shared" si="300"/>
        <v>141562</v>
      </c>
      <c r="N152" s="20">
        <f>IFERROR(L152/M152-1,"n.a.")</f>
        <v>0.82308811686752104</v>
      </c>
    </row>
    <row r="153" spans="1:14" x14ac:dyDescent="0.25">
      <c r="A153" s="113"/>
      <c r="B153" s="114"/>
      <c r="C153" s="115"/>
      <c r="D153" s="115"/>
      <c r="E153" s="115"/>
      <c r="F153" s="115"/>
      <c r="G153" s="101"/>
      <c r="H153" s="115"/>
      <c r="I153" s="115"/>
      <c r="J153" s="115"/>
      <c r="K153" s="115"/>
      <c r="L153" s="115"/>
      <c r="M153" s="115"/>
      <c r="N153" s="116"/>
    </row>
    <row r="154" spans="1:14" ht="16.5" x14ac:dyDescent="0.25">
      <c r="A154" s="112"/>
      <c r="B154" s="4"/>
      <c r="C154" s="4"/>
      <c r="D154" s="4"/>
      <c r="E154" s="4"/>
      <c r="F154" s="4"/>
      <c r="H154" s="4"/>
      <c r="I154" s="4"/>
      <c r="J154" s="4"/>
      <c r="K154" s="4"/>
      <c r="L154" s="4"/>
      <c r="M154" s="4"/>
      <c r="N154" s="4"/>
    </row>
    <row r="155" spans="1:14" ht="16.5" x14ac:dyDescent="0.25">
      <c r="A155" s="67" t="s">
        <v>54</v>
      </c>
      <c r="B155" s="110"/>
      <c r="C155" s="111"/>
      <c r="D155" s="111"/>
      <c r="E155" s="111"/>
      <c r="F155" s="111"/>
      <c r="H155" s="111"/>
      <c r="I155" s="111"/>
      <c r="J155" s="111"/>
      <c r="K155" s="111"/>
      <c r="L155" s="111"/>
      <c r="M155" s="111"/>
      <c r="N155" s="111"/>
    </row>
    <row r="156" spans="1:14" x14ac:dyDescent="0.25">
      <c r="A156" s="109" t="s">
        <v>162</v>
      </c>
      <c r="B156" s="47"/>
      <c r="C156" s="74"/>
      <c r="D156" s="74"/>
      <c r="E156" s="74"/>
      <c r="F156" s="74"/>
      <c r="H156" s="74"/>
      <c r="I156" s="74"/>
      <c r="J156" s="74"/>
      <c r="K156" s="74"/>
      <c r="L156" s="74"/>
      <c r="M156" s="74"/>
      <c r="N156" s="76"/>
    </row>
    <row r="157" spans="1:14" ht="28.5" x14ac:dyDescent="0.25">
      <c r="A157" s="69" t="s">
        <v>163</v>
      </c>
      <c r="B157" s="46" t="s">
        <v>34</v>
      </c>
      <c r="C157" s="9">
        <f>+C8</f>
        <v>78939</v>
      </c>
      <c r="D157" s="9">
        <v>32744</v>
      </c>
      <c r="E157" s="9">
        <v>48161</v>
      </c>
      <c r="F157" s="9">
        <v>261894</v>
      </c>
      <c r="H157" s="9">
        <v>193975</v>
      </c>
      <c r="I157" s="9">
        <v>-2108</v>
      </c>
      <c r="J157" s="9">
        <v>385544</v>
      </c>
      <c r="K157" s="9">
        <v>59078</v>
      </c>
      <c r="L157" s="9">
        <v>575263</v>
      </c>
      <c r="M157" s="9">
        <v>172265</v>
      </c>
      <c r="N157" s="19">
        <f t="shared" ref="N157:N174" si="429">IFERROR(L157/M157-1,"n.a.")</f>
        <v>2.3394073085072415</v>
      </c>
    </row>
    <row r="158" spans="1:14" x14ac:dyDescent="0.25">
      <c r="A158" s="71" t="s">
        <v>164</v>
      </c>
      <c r="B158" s="46"/>
      <c r="C158" s="9"/>
      <c r="D158" s="9"/>
      <c r="E158" s="9"/>
      <c r="F158" s="9"/>
      <c r="H158" s="9"/>
      <c r="I158" s="9"/>
      <c r="J158" s="9"/>
      <c r="K158" s="9"/>
      <c r="L158" s="9"/>
      <c r="M158" s="9"/>
      <c r="N158" s="19" t="str">
        <f t="shared" si="429"/>
        <v>n.a.</v>
      </c>
    </row>
    <row r="159" spans="1:14" x14ac:dyDescent="0.25">
      <c r="A159" s="72" t="s">
        <v>165</v>
      </c>
      <c r="B159" s="46" t="s">
        <v>34</v>
      </c>
      <c r="C159" s="9">
        <f>+C10</f>
        <v>-19758</v>
      </c>
      <c r="D159" s="9">
        <v>6541</v>
      </c>
      <c r="E159" s="9">
        <v>29871</v>
      </c>
      <c r="F159" s="9">
        <v>-31640</v>
      </c>
      <c r="H159" s="9">
        <v>-21966</v>
      </c>
      <c r="I159" s="9">
        <v>-3258</v>
      </c>
      <c r="J159" s="9">
        <v>-41606</v>
      </c>
      <c r="K159" s="9">
        <v>488</v>
      </c>
      <c r="L159" s="9">
        <v>-38240</v>
      </c>
      <c r="M159" s="9">
        <v>19350</v>
      </c>
      <c r="N159" s="19">
        <f t="shared" si="429"/>
        <v>-2.9762273901808785</v>
      </c>
    </row>
    <row r="160" spans="1:14" x14ac:dyDescent="0.25">
      <c r="A160" s="72" t="s">
        <v>166</v>
      </c>
      <c r="B160" s="46" t="s">
        <v>34</v>
      </c>
      <c r="C160" s="9">
        <f>+C11</f>
        <v>632</v>
      </c>
      <c r="D160" s="9">
        <v>0</v>
      </c>
      <c r="E160" s="9">
        <v>100</v>
      </c>
      <c r="F160" s="9">
        <v>73</v>
      </c>
      <c r="H160" s="9">
        <v>-737</v>
      </c>
      <c r="I160" s="9">
        <v>119</v>
      </c>
      <c r="J160" s="9">
        <v>-737</v>
      </c>
      <c r="K160" s="9">
        <v>-355</v>
      </c>
      <c r="L160" s="9">
        <v>563</v>
      </c>
      <c r="M160" s="9">
        <v>-575</v>
      </c>
      <c r="N160" s="19">
        <f t="shared" si="429"/>
        <v>-1.9791304347826086</v>
      </c>
    </row>
    <row r="161" spans="1:14" x14ac:dyDescent="0.25">
      <c r="A161" s="72" t="s">
        <v>167</v>
      </c>
      <c r="B161" s="46" t="s">
        <v>34</v>
      </c>
      <c r="C161" s="9">
        <f>+C12</f>
        <v>88555</v>
      </c>
      <c r="D161" s="9">
        <v>82015</v>
      </c>
      <c r="E161" s="9">
        <v>120725</v>
      </c>
      <c r="F161" s="9">
        <v>107724</v>
      </c>
      <c r="H161" s="9">
        <v>23686</v>
      </c>
      <c r="I161" s="9">
        <v>24338</v>
      </c>
      <c r="J161" s="9">
        <v>39139</v>
      </c>
      <c r="K161" s="9">
        <v>48094</v>
      </c>
      <c r="L161" s="9">
        <v>68266</v>
      </c>
      <c r="M161" s="9">
        <v>72932</v>
      </c>
      <c r="N161" s="19">
        <f t="shared" si="429"/>
        <v>-6.3977403608841077E-2</v>
      </c>
    </row>
    <row r="162" spans="1:14" x14ac:dyDescent="0.25">
      <c r="A162" s="72" t="s">
        <v>168</v>
      </c>
      <c r="B162" s="46" t="s">
        <v>34</v>
      </c>
      <c r="C162" s="9">
        <v>0</v>
      </c>
      <c r="D162" s="9">
        <v>0</v>
      </c>
      <c r="E162" s="9">
        <v>414</v>
      </c>
      <c r="F162" s="9">
        <v>213</v>
      </c>
      <c r="H162" s="9">
        <v>1058</v>
      </c>
      <c r="I162" s="9">
        <v>623</v>
      </c>
      <c r="J162" s="9">
        <v>1093</v>
      </c>
      <c r="K162" s="9">
        <v>677</v>
      </c>
      <c r="L162" s="9">
        <v>668</v>
      </c>
      <c r="M162" s="9">
        <v>995</v>
      </c>
      <c r="N162" s="19">
        <f t="shared" si="429"/>
        <v>-0.32864321608040203</v>
      </c>
    </row>
    <row r="163" spans="1:14" ht="28.5" x14ac:dyDescent="0.25">
      <c r="A163" s="72" t="s">
        <v>169</v>
      </c>
      <c r="B163" s="46" t="s">
        <v>34</v>
      </c>
      <c r="C163" s="9">
        <f>+C14</f>
        <v>183974</v>
      </c>
      <c r="D163" s="9">
        <v>181859</v>
      </c>
      <c r="E163" s="9">
        <v>243838</v>
      </c>
      <c r="F163" s="9">
        <v>276923</v>
      </c>
      <c r="H163" s="9">
        <v>57011</v>
      </c>
      <c r="I163" s="9">
        <v>67338</v>
      </c>
      <c r="J163" s="9">
        <v>94136.827850000001</v>
      </c>
      <c r="K163" s="9">
        <v>115770</v>
      </c>
      <c r="L163" s="9">
        <v>174389.25187000001</v>
      </c>
      <c r="M163" s="9">
        <v>184486</v>
      </c>
      <c r="N163" s="19">
        <f t="shared" si="429"/>
        <v>-5.4729074997560745E-2</v>
      </c>
    </row>
    <row r="164" spans="1:14" x14ac:dyDescent="0.25">
      <c r="A164" s="72" t="s">
        <v>170</v>
      </c>
      <c r="B164" s="46" t="s">
        <v>34</v>
      </c>
      <c r="C164" s="9">
        <f>+C15</f>
        <v>-3985</v>
      </c>
      <c r="D164" s="9">
        <v>41</v>
      </c>
      <c r="E164" s="9">
        <v>1100</v>
      </c>
      <c r="F164" s="9">
        <v>3206</v>
      </c>
      <c r="H164" s="9">
        <v>-770</v>
      </c>
      <c r="I164" s="9">
        <v>2480</v>
      </c>
      <c r="J164" s="9">
        <v>453</v>
      </c>
      <c r="K164" s="9">
        <v>2937</v>
      </c>
      <c r="L164" s="9">
        <v>-2383</v>
      </c>
      <c r="M164" s="9">
        <v>3083</v>
      </c>
      <c r="N164" s="19">
        <f t="shared" si="429"/>
        <v>-1.7729484268569575</v>
      </c>
    </row>
    <row r="165" spans="1:14" x14ac:dyDescent="0.25">
      <c r="A165" s="72" t="s">
        <v>74</v>
      </c>
      <c r="B165" s="46" t="s">
        <v>34</v>
      </c>
      <c r="C165" s="9">
        <f>+C16</f>
        <v>-547</v>
      </c>
      <c r="D165" s="9">
        <v>-873</v>
      </c>
      <c r="E165" s="9">
        <v>-20953</v>
      </c>
      <c r="F165" s="9">
        <v>-3772</v>
      </c>
      <c r="H165" s="9">
        <v>-5277</v>
      </c>
      <c r="I165" s="9">
        <v>1854</v>
      </c>
      <c r="J165" s="9">
        <v>-13238</v>
      </c>
      <c r="K165" s="9">
        <v>-943</v>
      </c>
      <c r="L165" s="9">
        <v>-25115</v>
      </c>
      <c r="M165" s="9">
        <v>-5937</v>
      </c>
      <c r="N165" s="19">
        <f t="shared" si="429"/>
        <v>3.2302509685026104</v>
      </c>
    </row>
    <row r="166" spans="1:14" x14ac:dyDescent="0.25">
      <c r="A166" s="72" t="s">
        <v>171</v>
      </c>
      <c r="B166" s="46" t="s">
        <v>34</v>
      </c>
      <c r="C166" s="9">
        <f>+C17</f>
        <v>69991</v>
      </c>
      <c r="D166" s="9">
        <v>63973</v>
      </c>
      <c r="E166" s="9">
        <v>90366</v>
      </c>
      <c r="F166" s="9">
        <v>78930</v>
      </c>
      <c r="H166" s="9">
        <v>29206</v>
      </c>
      <c r="I166" s="9">
        <v>20069</v>
      </c>
      <c r="J166" s="9">
        <v>64280</v>
      </c>
      <c r="K166" s="9">
        <v>37977</v>
      </c>
      <c r="L166" s="9">
        <v>109813</v>
      </c>
      <c r="M166" s="9">
        <v>58523</v>
      </c>
      <c r="N166" s="19">
        <f t="shared" si="429"/>
        <v>0.87640756625600202</v>
      </c>
    </row>
    <row r="167" spans="1:14" x14ac:dyDescent="0.25">
      <c r="A167" s="72" t="s">
        <v>172</v>
      </c>
      <c r="B167" s="46" t="s">
        <v>34</v>
      </c>
      <c r="C167" s="9">
        <v>0</v>
      </c>
      <c r="D167" s="9">
        <v>0</v>
      </c>
      <c r="E167" s="9">
        <v>39156</v>
      </c>
      <c r="F167" s="9">
        <v>39719</v>
      </c>
      <c r="H167" s="9">
        <v>10286</v>
      </c>
      <c r="I167" s="9">
        <v>9788</v>
      </c>
      <c r="J167" s="9">
        <v>21006</v>
      </c>
      <c r="K167" s="9">
        <v>19411</v>
      </c>
      <c r="L167" s="9">
        <v>32729</v>
      </c>
      <c r="M167" s="9">
        <v>28739</v>
      </c>
      <c r="N167" s="19">
        <f t="shared" si="429"/>
        <v>0.13883572845262537</v>
      </c>
    </row>
    <row r="168" spans="1:14" x14ac:dyDescent="0.25">
      <c r="A168" s="72" t="s">
        <v>173</v>
      </c>
      <c r="B168" s="46" t="s">
        <v>34</v>
      </c>
      <c r="C168" s="9">
        <v>0</v>
      </c>
      <c r="D168" s="9">
        <v>0</v>
      </c>
      <c r="E168" s="9">
        <v>-1720.4973599999998</v>
      </c>
      <c r="F168" s="9">
        <v>-797</v>
      </c>
      <c r="H168" s="9">
        <v>29</v>
      </c>
      <c r="I168" s="9">
        <v>-308</v>
      </c>
      <c r="J168" s="9">
        <v>65</v>
      </c>
      <c r="K168" s="9">
        <v>-409</v>
      </c>
      <c r="L168" s="9">
        <v>96</v>
      </c>
      <c r="M168" s="9">
        <v>-324</v>
      </c>
      <c r="N168" s="19">
        <f t="shared" si="429"/>
        <v>-1.2962962962962963</v>
      </c>
    </row>
    <row r="169" spans="1:14" x14ac:dyDescent="0.25">
      <c r="A169" s="72" t="s">
        <v>174</v>
      </c>
      <c r="B169" s="46" t="s">
        <v>34</v>
      </c>
      <c r="C169" s="9">
        <f>+C20</f>
        <v>12966</v>
      </c>
      <c r="D169" s="9">
        <v>10867</v>
      </c>
      <c r="E169" s="9">
        <v>20108</v>
      </c>
      <c r="F169" s="9">
        <v>27560</v>
      </c>
      <c r="H169" s="9">
        <v>7354</v>
      </c>
      <c r="I169" s="9">
        <v>4330</v>
      </c>
      <c r="J169" s="9">
        <v>10066</v>
      </c>
      <c r="K169" s="9">
        <v>8874</v>
      </c>
      <c r="L169" s="9">
        <v>19766</v>
      </c>
      <c r="M169" s="9">
        <v>17196</v>
      </c>
      <c r="N169" s="19">
        <f t="shared" si="429"/>
        <v>0.14945336124680164</v>
      </c>
    </row>
    <row r="170" spans="1:14" x14ac:dyDescent="0.25">
      <c r="A170" s="72" t="s">
        <v>175</v>
      </c>
      <c r="B170" s="46" t="s">
        <v>34</v>
      </c>
      <c r="C170" s="9">
        <f>+C21</f>
        <v>31067</v>
      </c>
      <c r="D170" s="9">
        <v>29529</v>
      </c>
      <c r="E170" s="9">
        <v>36098</v>
      </c>
      <c r="F170" s="9">
        <v>16590</v>
      </c>
      <c r="H170" s="9">
        <v>2594</v>
      </c>
      <c r="I170" s="9">
        <v>6879</v>
      </c>
      <c r="J170" s="9">
        <v>10271</v>
      </c>
      <c r="K170" s="9">
        <v>8432</v>
      </c>
      <c r="L170" s="9">
        <v>5876</v>
      </c>
      <c r="M170" s="9">
        <v>5670</v>
      </c>
      <c r="N170" s="19">
        <f t="shared" si="429"/>
        <v>3.6331569664902919E-2</v>
      </c>
    </row>
    <row r="171" spans="1:14" x14ac:dyDescent="0.25">
      <c r="A171" s="72" t="s">
        <v>176</v>
      </c>
      <c r="B171" s="46" t="s">
        <v>34</v>
      </c>
      <c r="C171" s="9">
        <v>0</v>
      </c>
      <c r="D171" s="9">
        <v>0</v>
      </c>
      <c r="E171" s="9">
        <v>373</v>
      </c>
      <c r="F171" s="9">
        <v>204</v>
      </c>
      <c r="H171" s="9">
        <v>-5</v>
      </c>
      <c r="I171" s="9">
        <v>1633</v>
      </c>
      <c r="J171" s="9">
        <v>-4</v>
      </c>
      <c r="K171" s="9">
        <v>1590</v>
      </c>
      <c r="L171" s="9">
        <v>10</v>
      </c>
      <c r="M171" s="9">
        <v>1418</v>
      </c>
      <c r="N171" s="19">
        <f t="shared" si="429"/>
        <v>-0.99294781382228492</v>
      </c>
    </row>
    <row r="172" spans="1:14" x14ac:dyDescent="0.25">
      <c r="A172" s="72" t="s">
        <v>177</v>
      </c>
      <c r="B172" s="46" t="s">
        <v>34</v>
      </c>
      <c r="C172" s="9">
        <v>0</v>
      </c>
      <c r="D172" s="9">
        <v>0</v>
      </c>
      <c r="E172" s="9">
        <v>0</v>
      </c>
      <c r="F172" s="9">
        <v>0</v>
      </c>
      <c r="H172" s="9">
        <v>-12369</v>
      </c>
      <c r="I172" s="9">
        <v>0</v>
      </c>
      <c r="J172" s="9">
        <v>-12369</v>
      </c>
      <c r="K172" s="9">
        <v>0</v>
      </c>
      <c r="L172" s="9">
        <v>-12369</v>
      </c>
      <c r="M172" s="9">
        <v>0</v>
      </c>
      <c r="N172" s="19" t="str">
        <f t="shared" si="429"/>
        <v>n.a.</v>
      </c>
    </row>
    <row r="173" spans="1:14" ht="28.5" x14ac:dyDescent="0.25">
      <c r="A173" s="72" t="s">
        <v>178</v>
      </c>
      <c r="B173" s="46" t="s">
        <v>34</v>
      </c>
      <c r="C173" s="9">
        <v>0</v>
      </c>
      <c r="D173" s="9">
        <v>0</v>
      </c>
      <c r="E173" s="9">
        <v>0</v>
      </c>
      <c r="F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19" t="str">
        <f t="shared" si="429"/>
        <v>n.a.</v>
      </c>
    </row>
    <row r="174" spans="1:14" x14ac:dyDescent="0.25">
      <c r="A174" s="72" t="s">
        <v>211</v>
      </c>
      <c r="B174" s="46" t="s">
        <v>34</v>
      </c>
      <c r="C174" s="9">
        <f>+C25</f>
        <v>866</v>
      </c>
      <c r="D174" s="9">
        <f>409567-406696</f>
        <v>2871</v>
      </c>
      <c r="E174" s="9">
        <v>0</v>
      </c>
      <c r="F174" s="9">
        <v>-23375</v>
      </c>
      <c r="H174" s="9"/>
      <c r="I174" s="9"/>
      <c r="J174" s="9">
        <v>0</v>
      </c>
      <c r="K174" s="9">
        <v>0</v>
      </c>
      <c r="L174" s="9">
        <v>0</v>
      </c>
      <c r="M174" s="9">
        <v>0</v>
      </c>
      <c r="N174" s="19" t="str">
        <f t="shared" si="429"/>
        <v>n.a.</v>
      </c>
    </row>
    <row r="175" spans="1:14" x14ac:dyDescent="0.25">
      <c r="A175" s="73"/>
      <c r="B175" s="51"/>
      <c r="C175" s="14">
        <f>+C26</f>
        <v>442700</v>
      </c>
      <c r="D175" s="14">
        <f>SUM(D157:D174)</f>
        <v>409567</v>
      </c>
      <c r="E175" s="14">
        <f t="shared" ref="E175" si="430">SUM(E157:E174)</f>
        <v>607636.50263999996</v>
      </c>
      <c r="F175" s="14">
        <f t="shared" ref="F175" si="431">SUM(F157:F174)</f>
        <v>753452</v>
      </c>
      <c r="H175" s="14">
        <f t="shared" ref="H175:M175" si="432">SUM(H157:H174)</f>
        <v>284075</v>
      </c>
      <c r="I175" s="14">
        <f t="shared" si="432"/>
        <v>133777</v>
      </c>
      <c r="J175" s="14">
        <f t="shared" si="432"/>
        <v>558099.82785</v>
      </c>
      <c r="K175" s="14">
        <f t="shared" si="432"/>
        <v>301621</v>
      </c>
      <c r="L175" s="14">
        <f t="shared" si="432"/>
        <v>909332.25187000004</v>
      </c>
      <c r="M175" s="14">
        <f t="shared" si="432"/>
        <v>557821</v>
      </c>
      <c r="N175" s="20">
        <f>IFERROR(L175/M175-1,"n.a.")</f>
        <v>0.63015062514677656</v>
      </c>
    </row>
    <row r="176" spans="1:14" x14ac:dyDescent="0.25">
      <c r="A176" s="69"/>
      <c r="B176" s="46"/>
      <c r="C176" s="9"/>
      <c r="D176" s="9"/>
      <c r="E176" s="9"/>
      <c r="F176" s="9"/>
      <c r="H176" s="9"/>
      <c r="I176" s="9"/>
      <c r="J176" s="9"/>
      <c r="K176" s="9"/>
      <c r="L176" s="9"/>
      <c r="M176" s="9"/>
      <c r="N176" s="19"/>
    </row>
    <row r="177" spans="1:14" x14ac:dyDescent="0.25">
      <c r="A177" s="69" t="s">
        <v>179</v>
      </c>
      <c r="B177" s="46"/>
      <c r="C177" s="9"/>
      <c r="D177" s="9"/>
      <c r="E177" s="9"/>
      <c r="F177" s="9"/>
      <c r="H177" s="9"/>
      <c r="I177" s="9"/>
      <c r="J177" s="9"/>
      <c r="K177" s="9"/>
      <c r="L177" s="9"/>
      <c r="M177" s="9"/>
      <c r="N177" s="19"/>
    </row>
    <row r="178" spans="1:14" x14ac:dyDescent="0.25">
      <c r="A178" s="72" t="s">
        <v>180</v>
      </c>
      <c r="B178" s="46" t="s">
        <v>34</v>
      </c>
      <c r="C178" s="9">
        <f>+C29</f>
        <v>-2231</v>
      </c>
      <c r="D178" s="9">
        <v>-20526</v>
      </c>
      <c r="E178" s="9">
        <v>26805</v>
      </c>
      <c r="F178" s="9">
        <v>-43528</v>
      </c>
      <c r="H178" s="9">
        <v>-4530</v>
      </c>
      <c r="I178" s="9">
        <v>-35105</v>
      </c>
      <c r="J178" s="9">
        <v>-1195</v>
      </c>
      <c r="K178" s="9">
        <v>-48833</v>
      </c>
      <c r="L178" s="9">
        <v>-25236</v>
      </c>
      <c r="M178" s="9">
        <v>-41458</v>
      </c>
      <c r="N178" s="19">
        <f t="shared" ref="N178:N186" si="433">IFERROR(L178/M178-1,"n.a.")</f>
        <v>-0.39128756814125143</v>
      </c>
    </row>
    <row r="179" spans="1:14" x14ac:dyDescent="0.25">
      <c r="A179" s="72" t="s">
        <v>125</v>
      </c>
      <c r="B179" s="46" t="s">
        <v>34</v>
      </c>
      <c r="C179" s="9">
        <v>0</v>
      </c>
      <c r="D179" s="9">
        <v>0</v>
      </c>
      <c r="E179" s="9">
        <v>6652</v>
      </c>
      <c r="F179" s="9">
        <v>7807</v>
      </c>
      <c r="H179" s="9">
        <v>0</v>
      </c>
      <c r="I179" s="9">
        <v>0</v>
      </c>
      <c r="J179" s="9">
        <v>4720</v>
      </c>
      <c r="K179" s="9">
        <v>3575</v>
      </c>
      <c r="L179" s="9">
        <v>4719</v>
      </c>
      <c r="M179" s="9">
        <v>3575</v>
      </c>
      <c r="N179" s="19">
        <f t="shared" si="433"/>
        <v>0.32000000000000006</v>
      </c>
    </row>
    <row r="180" spans="1:14" x14ac:dyDescent="0.25">
      <c r="A180" s="72" t="s">
        <v>181</v>
      </c>
      <c r="B180" s="46" t="s">
        <v>34</v>
      </c>
      <c r="C180" s="9">
        <v>0</v>
      </c>
      <c r="D180" s="9">
        <v>0</v>
      </c>
      <c r="E180" s="9">
        <v>0</v>
      </c>
      <c r="F180" s="9">
        <v>0</v>
      </c>
      <c r="H180" s="9">
        <v>0</v>
      </c>
      <c r="I180" s="9">
        <v>0</v>
      </c>
      <c r="J180" s="9">
        <v>0</v>
      </c>
      <c r="K180" s="9">
        <v>0</v>
      </c>
      <c r="L180">
        <v>0</v>
      </c>
      <c r="M180">
        <v>0</v>
      </c>
      <c r="N180" s="19" t="str">
        <f t="shared" si="433"/>
        <v>n.a.</v>
      </c>
    </row>
    <row r="181" spans="1:14" x14ac:dyDescent="0.25">
      <c r="A181" s="72" t="s">
        <v>124</v>
      </c>
      <c r="B181" s="46" t="s">
        <v>34</v>
      </c>
      <c r="C181" s="9">
        <f>+C32</f>
        <v>2962</v>
      </c>
      <c r="D181" s="9">
        <v>14227</v>
      </c>
      <c r="E181" s="9">
        <v>-55842</v>
      </c>
      <c r="F181" s="9">
        <v>-22439</v>
      </c>
      <c r="H181" s="9">
        <v>-3101</v>
      </c>
      <c r="I181" s="9">
        <v>33954</v>
      </c>
      <c r="J181" s="9">
        <v>-531542.82785</v>
      </c>
      <c r="K181" s="9">
        <v>-184138</v>
      </c>
      <c r="L181" s="9">
        <v>-451293.25186999998</v>
      </c>
      <c r="M181" s="9">
        <v>-185426</v>
      </c>
      <c r="N181" s="19">
        <f t="shared" si="433"/>
        <v>1.4338186223614811</v>
      </c>
    </row>
    <row r="182" spans="1:14" x14ac:dyDescent="0.25">
      <c r="A182" s="72" t="s">
        <v>182</v>
      </c>
      <c r="B182" s="46" t="s">
        <v>34</v>
      </c>
      <c r="C182" s="9">
        <f>+C33</f>
        <v>-109895</v>
      </c>
      <c r="D182" s="9">
        <v>-101338</v>
      </c>
      <c r="E182" s="9">
        <v>-123738</v>
      </c>
      <c r="F182" s="9">
        <v>-129941</v>
      </c>
      <c r="H182" s="9">
        <v>-31468</v>
      </c>
      <c r="I182" s="9">
        <v>-30166</v>
      </c>
      <c r="J182" s="9">
        <v>-59028</v>
      </c>
      <c r="K182" s="9">
        <v>-60854</v>
      </c>
      <c r="L182" s="9">
        <v>-98135</v>
      </c>
      <c r="M182" s="9">
        <v>-94031</v>
      </c>
      <c r="N182" s="19">
        <f t="shared" si="433"/>
        <v>4.3645180844614995E-2</v>
      </c>
    </row>
    <row r="183" spans="1:14" x14ac:dyDescent="0.25">
      <c r="A183" s="72" t="s">
        <v>233</v>
      </c>
      <c r="B183" s="46" t="s">
        <v>34</v>
      </c>
      <c r="C183" s="9">
        <v>0</v>
      </c>
      <c r="D183" s="9">
        <v>0</v>
      </c>
      <c r="E183" s="9">
        <v>0</v>
      </c>
      <c r="F183" s="9">
        <v>0</v>
      </c>
      <c r="H183" s="9">
        <v>0</v>
      </c>
      <c r="I183" s="9">
        <v>0</v>
      </c>
      <c r="J183" s="9">
        <v>298</v>
      </c>
      <c r="K183" s="9">
        <v>-1701</v>
      </c>
      <c r="L183" s="9">
        <v>-3380</v>
      </c>
      <c r="M183" s="9">
        <v>0</v>
      </c>
      <c r="N183" s="19" t="str">
        <f t="shared" si="433"/>
        <v>n.a.</v>
      </c>
    </row>
    <row r="184" spans="1:14" x14ac:dyDescent="0.25">
      <c r="A184" s="72" t="s">
        <v>127</v>
      </c>
      <c r="B184" s="46" t="s">
        <v>34</v>
      </c>
      <c r="C184" s="9">
        <f>+C35</f>
        <v>-13270</v>
      </c>
      <c r="D184" s="9">
        <v>22644</v>
      </c>
      <c r="E184" s="9">
        <v>-17528</v>
      </c>
      <c r="F184" s="9">
        <v>15079</v>
      </c>
      <c r="H184" s="9">
        <v>7740</v>
      </c>
      <c r="I184" s="9">
        <v>583</v>
      </c>
      <c r="J184" s="9">
        <v>-19694</v>
      </c>
      <c r="K184" s="9">
        <v>-2368</v>
      </c>
      <c r="L184" s="9">
        <v>-18221</v>
      </c>
      <c r="M184" s="9">
        <v>-6910</v>
      </c>
      <c r="N184" s="19">
        <f t="shared" si="433"/>
        <v>1.6369030390738062</v>
      </c>
    </row>
    <row r="185" spans="1:14" x14ac:dyDescent="0.25">
      <c r="A185" s="72" t="s">
        <v>132</v>
      </c>
      <c r="B185" s="46" t="s">
        <v>34</v>
      </c>
      <c r="C185" s="9">
        <f>+C36</f>
        <v>-11402</v>
      </c>
      <c r="D185" s="9">
        <f>-2004-9652</f>
        <v>-11656</v>
      </c>
      <c r="E185" s="9">
        <v>6284</v>
      </c>
      <c r="F185" s="9">
        <v>3982</v>
      </c>
      <c r="H185" s="9">
        <v>-11523</v>
      </c>
      <c r="I185" s="9">
        <v>-1143</v>
      </c>
      <c r="J185" s="9">
        <v>-24993</v>
      </c>
      <c r="K185" s="9">
        <v>-39933</v>
      </c>
      <c r="L185" s="9">
        <v>1551</v>
      </c>
      <c r="M185" s="9">
        <v>987</v>
      </c>
      <c r="N185" s="19">
        <f t="shared" si="433"/>
        <v>0.5714285714285714</v>
      </c>
    </row>
    <row r="186" spans="1:14" x14ac:dyDescent="0.25">
      <c r="A186" s="72" t="s">
        <v>128</v>
      </c>
      <c r="B186" s="46" t="s">
        <v>34</v>
      </c>
      <c r="C186" s="9">
        <f>+C37</f>
        <v>-4515</v>
      </c>
      <c r="D186" s="9">
        <v>-3989</v>
      </c>
      <c r="E186" s="9">
        <v>2360.4973599999998</v>
      </c>
      <c r="F186" s="9">
        <v>8586</v>
      </c>
      <c r="H186" s="9">
        <v>582</v>
      </c>
      <c r="I186" s="9">
        <v>2724</v>
      </c>
      <c r="J186" s="9">
        <v>856</v>
      </c>
      <c r="K186" s="9">
        <v>848</v>
      </c>
      <c r="L186" s="9">
        <v>-10512.552769999998</v>
      </c>
      <c r="M186" s="9">
        <v>27065</v>
      </c>
      <c r="N186" s="19">
        <f t="shared" si="433"/>
        <v>-1.3884187241825234</v>
      </c>
    </row>
    <row r="187" spans="1:14" x14ac:dyDescent="0.25">
      <c r="A187" s="69"/>
      <c r="B187" s="46"/>
      <c r="N187" s="19"/>
    </row>
    <row r="188" spans="1:14" x14ac:dyDescent="0.25">
      <c r="A188" s="69" t="s">
        <v>183</v>
      </c>
      <c r="B188" s="46"/>
      <c r="C188" s="9"/>
      <c r="D188" s="9"/>
      <c r="E188" s="9"/>
      <c r="F188" s="9"/>
      <c r="H188" s="9"/>
      <c r="I188" s="9"/>
      <c r="J188" s="9"/>
      <c r="K188" s="9"/>
      <c r="L188" s="9"/>
      <c r="M188" s="9"/>
      <c r="N188" s="19"/>
    </row>
    <row r="189" spans="1:14" x14ac:dyDescent="0.25">
      <c r="A189" s="72" t="s">
        <v>142</v>
      </c>
      <c r="B189" s="46" t="s">
        <v>34</v>
      </c>
      <c r="C189" s="9">
        <f>+C40</f>
        <v>10794</v>
      </c>
      <c r="D189" s="9">
        <v>34076</v>
      </c>
      <c r="E189" s="9">
        <v>84</v>
      </c>
      <c r="F189" s="9">
        <v>26136</v>
      </c>
      <c r="H189" s="9">
        <v>30851</v>
      </c>
      <c r="I189" s="9">
        <v>5012</v>
      </c>
      <c r="J189" s="9">
        <v>190221</v>
      </c>
      <c r="K189" s="9">
        <v>78847</v>
      </c>
      <c r="L189" s="9">
        <v>88286</v>
      </c>
      <c r="M189" s="9">
        <v>30796</v>
      </c>
      <c r="N189" s="19">
        <f t="shared" ref="N189:N195" si="434">IFERROR(L189/M189-1,"n.a.")</f>
        <v>1.8668008832315883</v>
      </c>
    </row>
    <row r="190" spans="1:14" x14ac:dyDescent="0.25">
      <c r="A190" s="72" t="s">
        <v>146</v>
      </c>
      <c r="B190" s="46" t="s">
        <v>34</v>
      </c>
      <c r="C190" s="9">
        <f>+C41</f>
        <v>-16144</v>
      </c>
      <c r="D190" s="9">
        <v>-12978</v>
      </c>
      <c r="E190" s="9">
        <v>-5812</v>
      </c>
      <c r="F190" s="9">
        <v>-18291</v>
      </c>
      <c r="H190" s="9">
        <v>-13004</v>
      </c>
      <c r="I190" s="9">
        <v>-7672</v>
      </c>
      <c r="J190" s="9">
        <v>-16428</v>
      </c>
      <c r="K190" s="9">
        <v>-10202</v>
      </c>
      <c r="L190" s="9">
        <v>-23525</v>
      </c>
      <c r="M190" s="9">
        <v>-18281</v>
      </c>
      <c r="N190" s="19">
        <f t="shared" si="434"/>
        <v>0.28685520485750238</v>
      </c>
    </row>
    <row r="191" spans="1:14" x14ac:dyDescent="0.25">
      <c r="A191" s="72" t="s">
        <v>234</v>
      </c>
      <c r="B191" s="46" t="s">
        <v>34</v>
      </c>
      <c r="C191" s="9">
        <v>0</v>
      </c>
      <c r="D191" s="9">
        <v>0</v>
      </c>
      <c r="E191" s="9">
        <v>0</v>
      </c>
      <c r="F191" s="9">
        <v>0</v>
      </c>
      <c r="H191" s="9">
        <v>0</v>
      </c>
      <c r="I191" s="9">
        <v>0</v>
      </c>
      <c r="J191" s="9">
        <v>-6006</v>
      </c>
      <c r="K191" s="9">
        <v>-7538</v>
      </c>
      <c r="L191" s="9">
        <v>0</v>
      </c>
      <c r="M191" s="9">
        <v>0</v>
      </c>
      <c r="N191" s="19" t="str">
        <f t="shared" si="434"/>
        <v>n.a.</v>
      </c>
    </row>
    <row r="192" spans="1:14" x14ac:dyDescent="0.25">
      <c r="A192" s="72" t="s">
        <v>147</v>
      </c>
      <c r="B192" s="46" t="s">
        <v>34</v>
      </c>
      <c r="C192" s="9">
        <f>+C43</f>
        <v>13664</v>
      </c>
      <c r="D192" s="9">
        <v>10308</v>
      </c>
      <c r="E192" s="9">
        <v>-2563</v>
      </c>
      <c r="F192" s="9">
        <v>2947</v>
      </c>
      <c r="H192" s="9">
        <v>816</v>
      </c>
      <c r="I192" s="9">
        <v>15964</v>
      </c>
      <c r="J192" s="9">
        <v>-1276</v>
      </c>
      <c r="K192" s="9">
        <v>-1475</v>
      </c>
      <c r="L192" s="9">
        <v>15822</v>
      </c>
      <c r="M192" s="9">
        <v>-6764</v>
      </c>
      <c r="N192" s="19">
        <f t="shared" si="434"/>
        <v>-3.3391484328799526</v>
      </c>
    </row>
    <row r="193" spans="1:14" x14ac:dyDescent="0.25">
      <c r="A193" s="72" t="s">
        <v>185</v>
      </c>
      <c r="B193" s="46" t="s">
        <v>34</v>
      </c>
      <c r="C193" s="9">
        <f>+C44</f>
        <v>1896</v>
      </c>
      <c r="D193" s="9">
        <v>2162</v>
      </c>
      <c r="E193" s="9">
        <v>-499</v>
      </c>
      <c r="F193" s="9">
        <v>-2743</v>
      </c>
      <c r="H193" s="9">
        <v>-2845</v>
      </c>
      <c r="I193" s="9">
        <v>11001</v>
      </c>
      <c r="J193" s="9">
        <v>0</v>
      </c>
      <c r="K193" s="9">
        <v>0</v>
      </c>
      <c r="L193" s="9">
        <v>0</v>
      </c>
      <c r="M193" s="9">
        <v>0</v>
      </c>
      <c r="N193" s="19" t="str">
        <f t="shared" si="434"/>
        <v>n.a.</v>
      </c>
    </row>
    <row r="194" spans="1:14" x14ac:dyDescent="0.25">
      <c r="A194" s="72" t="s">
        <v>186</v>
      </c>
      <c r="B194" s="46" t="s">
        <v>34</v>
      </c>
      <c r="C194" s="9">
        <f>+C45</f>
        <v>-8027</v>
      </c>
      <c r="D194" s="9">
        <v>-33403</v>
      </c>
      <c r="E194" s="9">
        <v>-17159</v>
      </c>
      <c r="F194" s="9">
        <v>-18631</v>
      </c>
      <c r="H194" s="9">
        <v>-2076</v>
      </c>
      <c r="I194" s="9">
        <v>-1692</v>
      </c>
      <c r="J194" s="9">
        <v>-7103</v>
      </c>
      <c r="K194" s="9">
        <v>-1330</v>
      </c>
      <c r="L194" s="9">
        <v>-13012</v>
      </c>
      <c r="M194" s="9">
        <v>-3950</v>
      </c>
      <c r="N194" s="19">
        <f t="shared" si="434"/>
        <v>2.2941772151898734</v>
      </c>
    </row>
    <row r="195" spans="1:14" x14ac:dyDescent="0.25">
      <c r="A195" s="72" t="s">
        <v>149</v>
      </c>
      <c r="B195" s="46" t="s">
        <v>34</v>
      </c>
      <c r="C195" s="9">
        <f>+C46</f>
        <v>2989</v>
      </c>
      <c r="D195" s="9">
        <v>-577</v>
      </c>
      <c r="E195" s="9">
        <v>2901</v>
      </c>
      <c r="F195" s="9">
        <v>-10018</v>
      </c>
      <c r="H195" s="9">
        <v>-9129</v>
      </c>
      <c r="I195" s="9">
        <v>-22296</v>
      </c>
      <c r="J195" s="9">
        <v>-8919</v>
      </c>
      <c r="K195" s="9">
        <v>5696</v>
      </c>
      <c r="L195" s="9">
        <v>-707.44723000000067</v>
      </c>
      <c r="M195" s="9">
        <v>-28364</v>
      </c>
      <c r="N195" s="19">
        <f t="shared" si="434"/>
        <v>-0.97505826999012835</v>
      </c>
    </row>
    <row r="196" spans="1:14" x14ac:dyDescent="0.25">
      <c r="A196" s="73" t="s">
        <v>184</v>
      </c>
      <c r="B196" s="51" t="s">
        <v>34</v>
      </c>
      <c r="C196" s="14">
        <f>+C47</f>
        <v>309521</v>
      </c>
      <c r="D196" s="14">
        <f>SUM(D175:D195)</f>
        <v>308517</v>
      </c>
      <c r="E196" s="14">
        <f>SUM(E175:E195)</f>
        <v>429581.99999999994</v>
      </c>
      <c r="F196" s="14">
        <f>SUM(F175:F195)</f>
        <v>572398</v>
      </c>
      <c r="H196" s="14">
        <f t="shared" ref="H196:M196" si="435">SUM(H175:H195)</f>
        <v>246388</v>
      </c>
      <c r="I196" s="14">
        <f t="shared" si="435"/>
        <v>104941</v>
      </c>
      <c r="J196" s="14">
        <f t="shared" si="435"/>
        <v>78010</v>
      </c>
      <c r="K196" s="14">
        <f t="shared" si="435"/>
        <v>32215</v>
      </c>
      <c r="L196" s="14">
        <f>SUM(L175:L195)</f>
        <v>375688.00000000006</v>
      </c>
      <c r="M196" s="14">
        <f>SUM(M175:M195)</f>
        <v>235060</v>
      </c>
      <c r="N196" s="20">
        <f>IFERROR(L196/M196-1,"n.a.")</f>
        <v>0.59826427295158702</v>
      </c>
    </row>
    <row r="197" spans="1:14" x14ac:dyDescent="0.25">
      <c r="A197" s="69"/>
      <c r="B197" s="46"/>
      <c r="C197" s="9"/>
      <c r="D197" s="9"/>
      <c r="E197" s="9"/>
      <c r="F197" s="9"/>
      <c r="H197" s="9"/>
      <c r="I197" s="9"/>
      <c r="J197" s="9"/>
      <c r="K197" s="9"/>
      <c r="L197" s="9"/>
      <c r="M197" s="9"/>
      <c r="N197" s="19"/>
    </row>
    <row r="198" spans="1:14" x14ac:dyDescent="0.25">
      <c r="A198" s="71" t="s">
        <v>187</v>
      </c>
      <c r="B198" s="46" t="s">
        <v>34</v>
      </c>
      <c r="C198" s="9">
        <f>+C49</f>
        <v>-70877</v>
      </c>
      <c r="D198" s="9">
        <v>-87078</v>
      </c>
      <c r="E198" s="9">
        <v>-87146</v>
      </c>
      <c r="F198" s="9">
        <v>-56597</v>
      </c>
      <c r="H198" s="9">
        <v>-13843</v>
      </c>
      <c r="I198" s="9">
        <v>-16575</v>
      </c>
      <c r="J198" s="9">
        <v>-46829</v>
      </c>
      <c r="K198" s="9">
        <v>-32579</v>
      </c>
      <c r="L198" s="9">
        <v>-62696</v>
      </c>
      <c r="M198" s="9">
        <v>-40669</v>
      </c>
      <c r="N198" s="19">
        <f t="shared" ref="N198:N200" si="436">IFERROR(L198/M198-1,"n.a.")</f>
        <v>0.54161646462907864</v>
      </c>
    </row>
    <row r="199" spans="1:14" ht="28.5" x14ac:dyDescent="0.25">
      <c r="A199" s="71" t="s">
        <v>188</v>
      </c>
      <c r="B199" s="46" t="s">
        <v>34</v>
      </c>
      <c r="C199" s="9">
        <v>0</v>
      </c>
      <c r="D199" s="9">
        <v>0</v>
      </c>
      <c r="E199" s="9">
        <v>-4628</v>
      </c>
      <c r="F199" s="9">
        <v>-5665</v>
      </c>
      <c r="H199" s="9">
        <v>-6499</v>
      </c>
      <c r="I199" s="9">
        <v>-2981</v>
      </c>
      <c r="J199" s="9">
        <v>-14718</v>
      </c>
      <c r="K199" s="9">
        <v>-6335</v>
      </c>
      <c r="L199" s="9">
        <v>-14287</v>
      </c>
      <c r="M199" s="9">
        <v>-9072</v>
      </c>
      <c r="N199" s="19">
        <f t="shared" si="436"/>
        <v>0.57484567901234573</v>
      </c>
    </row>
    <row r="200" spans="1:14" x14ac:dyDescent="0.25">
      <c r="A200" s="71" t="s">
        <v>189</v>
      </c>
      <c r="B200" s="46" t="s">
        <v>34</v>
      </c>
      <c r="C200" s="9">
        <f>+C51</f>
        <v>-18677</v>
      </c>
      <c r="D200" s="9">
        <v>0</v>
      </c>
      <c r="E200" s="9">
        <v>-1847</v>
      </c>
      <c r="F200" s="9">
        <v>-36758</v>
      </c>
      <c r="H200" s="9">
        <v>-11842</v>
      </c>
      <c r="I200" s="9">
        <v>-2730</v>
      </c>
      <c r="J200" s="9">
        <v>-29835</v>
      </c>
      <c r="K200" s="9">
        <v>-5360</v>
      </c>
      <c r="L200" s="9">
        <v>-50141</v>
      </c>
      <c r="M200" s="9">
        <v>-14865</v>
      </c>
      <c r="N200" s="19">
        <f t="shared" si="436"/>
        <v>2.3730911537167843</v>
      </c>
    </row>
    <row r="201" spans="1:14" x14ac:dyDescent="0.25">
      <c r="A201" s="73" t="s">
        <v>190</v>
      </c>
      <c r="B201" s="51" t="s">
        <v>34</v>
      </c>
      <c r="C201" s="14">
        <f>+C52</f>
        <v>219967</v>
      </c>
      <c r="D201" s="14">
        <f t="shared" ref="D201" si="437">SUM(D196:D200)</f>
        <v>221439</v>
      </c>
      <c r="E201" s="14">
        <f t="shared" ref="E201" si="438">SUM(E196:E200)</f>
        <v>335960.99999999994</v>
      </c>
      <c r="F201" s="14">
        <f t="shared" ref="F201" si="439">SUM(F196:F200)</f>
        <v>473378</v>
      </c>
      <c r="H201" s="14">
        <f t="shared" ref="H201:K201" si="440">SUM(H196:H200)</f>
        <v>214204</v>
      </c>
      <c r="I201" s="14">
        <f t="shared" si="440"/>
        <v>82655</v>
      </c>
      <c r="J201" s="14">
        <f t="shared" si="440"/>
        <v>-13372</v>
      </c>
      <c r="K201" s="14">
        <f t="shared" si="440"/>
        <v>-12059</v>
      </c>
      <c r="L201" s="14">
        <f>SUM(L196:L200)</f>
        <v>248564.00000000006</v>
      </c>
      <c r="M201" s="14">
        <f>SUM(M196:M200)</f>
        <v>170454</v>
      </c>
      <c r="N201" s="20">
        <f>IFERROR(L201/M201-1,"n.a.")</f>
        <v>0.45824679972309279</v>
      </c>
    </row>
    <row r="202" spans="1:14" x14ac:dyDescent="0.25">
      <c r="A202" s="69"/>
      <c r="B202" s="46"/>
      <c r="C202" s="9"/>
      <c r="D202" s="9"/>
      <c r="E202" s="9"/>
      <c r="F202" s="9"/>
      <c r="H202" s="9"/>
      <c r="I202" s="9"/>
      <c r="J202" s="9"/>
      <c r="K202" s="9"/>
      <c r="L202" s="9"/>
      <c r="M202" s="9"/>
      <c r="N202" s="19"/>
    </row>
    <row r="203" spans="1:14" x14ac:dyDescent="0.25">
      <c r="A203" s="73" t="s">
        <v>191</v>
      </c>
      <c r="B203" s="46"/>
      <c r="C203" s="14"/>
      <c r="D203" s="14"/>
      <c r="E203" s="14"/>
      <c r="F203" s="14"/>
      <c r="H203" s="14"/>
      <c r="I203" s="14"/>
      <c r="J203" s="14"/>
      <c r="K203" s="14"/>
      <c r="L203" s="14"/>
      <c r="M203" s="14"/>
      <c r="N203" s="20"/>
    </row>
    <row r="204" spans="1:14" x14ac:dyDescent="0.25">
      <c r="A204" s="71" t="s">
        <v>192</v>
      </c>
      <c r="B204" s="46" t="s">
        <v>34</v>
      </c>
      <c r="C204" s="9">
        <f>+C55</f>
        <v>-285686</v>
      </c>
      <c r="D204" s="9">
        <v>-11566</v>
      </c>
      <c r="E204" s="9">
        <v>-21772</v>
      </c>
      <c r="F204" s="9">
        <v>347711</v>
      </c>
      <c r="H204" s="9">
        <v>3281</v>
      </c>
      <c r="I204" s="9">
        <v>232846</v>
      </c>
      <c r="J204" s="9">
        <v>3180</v>
      </c>
      <c r="K204" s="9">
        <v>349079</v>
      </c>
      <c r="L204" s="9">
        <v>2390</v>
      </c>
      <c r="M204" s="9">
        <v>348118</v>
      </c>
      <c r="N204" s="19">
        <f t="shared" ref="N204:N208" si="441">IFERROR(L204/M204-1,"n.a.")</f>
        <v>-0.99313451186092072</v>
      </c>
    </row>
    <row r="205" spans="1:14" x14ac:dyDescent="0.25">
      <c r="A205" s="71" t="s">
        <v>193</v>
      </c>
      <c r="B205" s="46" t="s">
        <v>34</v>
      </c>
      <c r="C205" s="9">
        <v>0</v>
      </c>
      <c r="D205" s="9">
        <v>0</v>
      </c>
      <c r="E205" s="9">
        <v>0</v>
      </c>
      <c r="F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19" t="str">
        <f t="shared" si="441"/>
        <v>n.a.</v>
      </c>
    </row>
    <row r="206" spans="1:14" x14ac:dyDescent="0.25">
      <c r="A206" s="71" t="s">
        <v>194</v>
      </c>
      <c r="B206" s="46" t="s">
        <v>34</v>
      </c>
      <c r="C206" s="9">
        <v>0</v>
      </c>
      <c r="D206" s="9">
        <v>0</v>
      </c>
      <c r="E206" s="9">
        <v>0</v>
      </c>
      <c r="F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19" t="str">
        <f t="shared" si="441"/>
        <v>n.a.</v>
      </c>
    </row>
    <row r="207" spans="1:14" x14ac:dyDescent="0.25">
      <c r="A207" s="71" t="s">
        <v>195</v>
      </c>
      <c r="B207" s="46" t="s">
        <v>34</v>
      </c>
      <c r="C207" s="9">
        <f>+C58</f>
        <v>10926</v>
      </c>
      <c r="D207" s="9">
        <v>3487</v>
      </c>
      <c r="E207" s="9">
        <v>3511</v>
      </c>
      <c r="F207" s="9">
        <v>2704</v>
      </c>
      <c r="H207" s="9">
        <v>1169</v>
      </c>
      <c r="I207" s="9">
        <v>127</v>
      </c>
      <c r="J207" s="9">
        <v>3045</v>
      </c>
      <c r="K207" s="9">
        <v>1662</v>
      </c>
      <c r="L207" s="9">
        <v>3689</v>
      </c>
      <c r="M207" s="9">
        <v>1704</v>
      </c>
      <c r="N207" s="19">
        <f t="shared" si="441"/>
        <v>1.164906103286385</v>
      </c>
    </row>
    <row r="208" spans="1:14" x14ac:dyDescent="0.25">
      <c r="A208" s="71" t="s">
        <v>196</v>
      </c>
      <c r="B208" s="46" t="s">
        <v>34</v>
      </c>
      <c r="C208" s="9">
        <f>+C59</f>
        <v>-177775</v>
      </c>
      <c r="D208" s="9">
        <v>-304755</v>
      </c>
      <c r="E208" s="9">
        <v>-281189</v>
      </c>
      <c r="F208" s="9">
        <v>-175422</v>
      </c>
      <c r="H208" s="9">
        <v>-22997</v>
      </c>
      <c r="I208" s="9">
        <v>-38984</v>
      </c>
      <c r="J208" s="9">
        <v>-93628</v>
      </c>
      <c r="K208" s="9">
        <v>-60514</v>
      </c>
      <c r="L208" s="9">
        <v>-211157</v>
      </c>
      <c r="M208" s="9">
        <v>-96553</v>
      </c>
      <c r="N208" s="19">
        <f t="shared" si="441"/>
        <v>1.1869543152465485</v>
      </c>
    </row>
    <row r="209" spans="1:14" x14ac:dyDescent="0.25">
      <c r="A209" s="73" t="s">
        <v>197</v>
      </c>
      <c r="B209" s="51" t="s">
        <v>34</v>
      </c>
      <c r="C209" s="14">
        <f>+C60</f>
        <v>-452535</v>
      </c>
      <c r="D209" s="14">
        <f t="shared" ref="D209" si="442">SUM(D204:D208)</f>
        <v>-312834</v>
      </c>
      <c r="E209" s="14">
        <f t="shared" ref="E209" si="443">SUM(E204:E208)</f>
        <v>-299450</v>
      </c>
      <c r="F209" s="14">
        <f t="shared" ref="F209" si="444">SUM(F204:F208)</f>
        <v>174993</v>
      </c>
      <c r="H209" s="14">
        <f t="shared" ref="H209:K209" si="445">SUM(H204:H208)</f>
        <v>-18547</v>
      </c>
      <c r="I209" s="14">
        <f t="shared" si="445"/>
        <v>193989</v>
      </c>
      <c r="J209" s="14">
        <f t="shared" si="445"/>
        <v>-87403</v>
      </c>
      <c r="K209" s="14">
        <f t="shared" si="445"/>
        <v>290227</v>
      </c>
      <c r="L209" s="14">
        <f t="shared" ref="L209:M209" si="446">SUM(L204:L208)</f>
        <v>-205078</v>
      </c>
      <c r="M209" s="14">
        <f t="shared" si="446"/>
        <v>253269</v>
      </c>
      <c r="N209" s="20">
        <f>IFERROR(L209/M209-1,"n.a.")</f>
        <v>-1.8097240483438557</v>
      </c>
    </row>
    <row r="210" spans="1:14" x14ac:dyDescent="0.25">
      <c r="A210" s="69"/>
      <c r="B210" s="46"/>
      <c r="C210" s="9"/>
      <c r="D210" s="9"/>
      <c r="E210" s="9"/>
      <c r="F210" s="9"/>
      <c r="H210" s="9"/>
      <c r="I210" s="9"/>
      <c r="J210" s="9"/>
      <c r="K210" s="9"/>
      <c r="L210" s="9"/>
      <c r="M210" s="9"/>
      <c r="N210" s="19"/>
    </row>
    <row r="211" spans="1:14" x14ac:dyDescent="0.25">
      <c r="A211" s="73" t="s">
        <v>198</v>
      </c>
      <c r="B211" s="46"/>
      <c r="C211" s="14"/>
      <c r="D211" s="14"/>
      <c r="E211" s="14"/>
      <c r="F211" s="14"/>
      <c r="H211" s="14"/>
      <c r="I211" s="14"/>
      <c r="J211" s="14"/>
      <c r="K211" s="14"/>
      <c r="L211" s="14"/>
      <c r="M211" s="14"/>
      <c r="N211" s="20"/>
    </row>
    <row r="212" spans="1:14" x14ac:dyDescent="0.25">
      <c r="A212" s="71" t="s">
        <v>199</v>
      </c>
      <c r="B212" s="46" t="s">
        <v>34</v>
      </c>
      <c r="C212" s="9">
        <f>+C63</f>
        <v>258060</v>
      </c>
      <c r="D212" s="9">
        <v>128855</v>
      </c>
      <c r="E212" s="9">
        <v>190001</v>
      </c>
      <c r="F212" s="9">
        <v>277287</v>
      </c>
      <c r="H212" s="9">
        <v>0</v>
      </c>
      <c r="I212" s="9">
        <v>157287</v>
      </c>
      <c r="J212" s="9">
        <v>100000</v>
      </c>
      <c r="K212" s="9">
        <v>277287</v>
      </c>
      <c r="L212" s="9">
        <v>102600</v>
      </c>
      <c r="M212" s="9">
        <v>277287</v>
      </c>
      <c r="N212" s="19">
        <f t="shared" ref="N212:N220" si="447">IFERROR(L212/M212-1,"n.a.")</f>
        <v>-0.62998625972367983</v>
      </c>
    </row>
    <row r="213" spans="1:14" x14ac:dyDescent="0.25">
      <c r="A213" s="71" t="s">
        <v>200</v>
      </c>
      <c r="B213" s="46" t="s">
        <v>34</v>
      </c>
      <c r="C213" s="9">
        <f>+C64</f>
        <v>-163445</v>
      </c>
      <c r="D213" s="9">
        <v>-160051</v>
      </c>
      <c r="E213" s="9">
        <v>-236983</v>
      </c>
      <c r="F213" s="9">
        <v>-494219</v>
      </c>
      <c r="H213" s="9">
        <v>-91629</v>
      </c>
      <c r="I213" s="9">
        <v>-271545</v>
      </c>
      <c r="J213" s="9">
        <v>-108486</v>
      </c>
      <c r="K213" s="9">
        <v>-463366</v>
      </c>
      <c r="L213" s="9">
        <v>-119543</v>
      </c>
      <c r="M213" s="9">
        <v>-470235</v>
      </c>
      <c r="N213" s="19">
        <f t="shared" si="447"/>
        <v>-0.74578030133869233</v>
      </c>
    </row>
    <row r="214" spans="1:14" x14ac:dyDescent="0.25">
      <c r="A214" s="71" t="s">
        <v>201</v>
      </c>
      <c r="B214" s="46" t="s">
        <v>34</v>
      </c>
      <c r="C214" s="9">
        <v>0</v>
      </c>
      <c r="D214" s="9">
        <v>310000</v>
      </c>
      <c r="E214" s="9">
        <v>414681</v>
      </c>
      <c r="F214" s="9">
        <v>333636</v>
      </c>
      <c r="H214" s="9">
        <v>0</v>
      </c>
      <c r="I214" s="9">
        <v>80000</v>
      </c>
      <c r="J214" s="9">
        <v>0</v>
      </c>
      <c r="K214" s="9">
        <v>80000</v>
      </c>
      <c r="L214" s="9">
        <v>0</v>
      </c>
      <c r="M214" s="9">
        <v>80000</v>
      </c>
      <c r="N214" s="19">
        <f t="shared" si="447"/>
        <v>-1</v>
      </c>
    </row>
    <row r="215" spans="1:14" x14ac:dyDescent="0.25">
      <c r="A215" s="71" t="s">
        <v>202</v>
      </c>
      <c r="B215" s="46" t="s">
        <v>34</v>
      </c>
      <c r="C215" s="9">
        <f>+C66</f>
        <v>-68649</v>
      </c>
      <c r="D215" s="9">
        <v>-135681</v>
      </c>
      <c r="E215" s="9">
        <v>-34198</v>
      </c>
      <c r="F215" s="9">
        <v>-111460</v>
      </c>
      <c r="H215" s="9">
        <v>-524</v>
      </c>
      <c r="I215" s="9">
        <v>-82207</v>
      </c>
      <c r="J215" s="9">
        <v>-40234</v>
      </c>
      <c r="K215" s="9">
        <v>-102228</v>
      </c>
      <c r="L215" s="9">
        <v>-67033</v>
      </c>
      <c r="M215" s="9">
        <v>-102228</v>
      </c>
      <c r="N215" s="19">
        <f t="shared" si="447"/>
        <v>-0.34427945377000435</v>
      </c>
    </row>
    <row r="216" spans="1:14" x14ac:dyDescent="0.25">
      <c r="A216" s="71" t="s">
        <v>203</v>
      </c>
      <c r="B216" s="46" t="s">
        <v>34</v>
      </c>
      <c r="C216" s="9">
        <v>0</v>
      </c>
      <c r="D216" s="9"/>
      <c r="E216" s="9">
        <v>-72146</v>
      </c>
      <c r="F216" s="9">
        <v>-85903</v>
      </c>
      <c r="H216" s="9">
        <v>-18376</v>
      </c>
      <c r="I216" s="9">
        <v>-17350</v>
      </c>
      <c r="J216" s="9">
        <v>-39797</v>
      </c>
      <c r="K216" s="9">
        <v>-38161</v>
      </c>
      <c r="L216" s="9">
        <v>-65940</v>
      </c>
      <c r="M216" s="9">
        <v>-55565</v>
      </c>
      <c r="N216" s="19">
        <f t="shared" si="447"/>
        <v>0.1867182578961577</v>
      </c>
    </row>
    <row r="217" spans="1:14" x14ac:dyDescent="0.25">
      <c r="A217" s="71" t="s">
        <v>204</v>
      </c>
      <c r="B217" s="46" t="s">
        <v>34</v>
      </c>
      <c r="C217" s="9">
        <f>+C68</f>
        <v>0</v>
      </c>
      <c r="D217" s="9">
        <v>630</v>
      </c>
      <c r="E217" s="9">
        <v>1075</v>
      </c>
      <c r="F217" s="9">
        <v>16488</v>
      </c>
      <c r="H217" s="9">
        <v>-6713</v>
      </c>
      <c r="I217" s="9">
        <v>0</v>
      </c>
      <c r="J217" s="9">
        <v>-9379</v>
      </c>
      <c r="K217" s="9">
        <v>25432</v>
      </c>
      <c r="L217" s="9">
        <v>-13586</v>
      </c>
      <c r="M217" s="9">
        <v>21425</v>
      </c>
      <c r="N217" s="19">
        <f t="shared" si="447"/>
        <v>-1.6341190198366395</v>
      </c>
    </row>
    <row r="218" spans="1:14" x14ac:dyDescent="0.25">
      <c r="A218" s="71" t="s">
        <v>205</v>
      </c>
      <c r="B218" s="46" t="s">
        <v>34</v>
      </c>
      <c r="C218" s="9">
        <f>+C69</f>
        <v>-3615</v>
      </c>
      <c r="D218" s="9">
        <v>-27064</v>
      </c>
      <c r="E218" s="9">
        <v>-1990</v>
      </c>
      <c r="F218" s="9">
        <v>-8097</v>
      </c>
      <c r="H218" s="9">
        <v>-17462</v>
      </c>
      <c r="I218" s="9">
        <v>0</v>
      </c>
      <c r="J218" s="9">
        <v>-17462</v>
      </c>
      <c r="K218" s="9">
        <v>-8097</v>
      </c>
      <c r="L218" s="9">
        <v>-17462</v>
      </c>
      <c r="M218" s="9">
        <v>-8097</v>
      </c>
      <c r="N218" s="19">
        <f t="shared" si="447"/>
        <v>1.1566012103248116</v>
      </c>
    </row>
    <row r="219" spans="1:14" x14ac:dyDescent="0.25">
      <c r="A219" s="71" t="s">
        <v>206</v>
      </c>
      <c r="B219" s="46" t="s">
        <v>34</v>
      </c>
      <c r="C219" s="9">
        <f>+C70</f>
        <v>-8504</v>
      </c>
      <c r="D219" s="9">
        <v>0</v>
      </c>
      <c r="E219" s="9">
        <v>-16749</v>
      </c>
      <c r="F219" s="9">
        <v>-18433</v>
      </c>
      <c r="H219" s="9">
        <v>-76276</v>
      </c>
      <c r="I219" s="9">
        <v>-4889</v>
      </c>
      <c r="J219" s="9">
        <v>-76276</v>
      </c>
      <c r="K219" s="9">
        <v>-4889</v>
      </c>
      <c r="L219" s="9">
        <v>-76276</v>
      </c>
      <c r="M219" s="9">
        <v>-18433</v>
      </c>
      <c r="N219" s="19">
        <f t="shared" si="447"/>
        <v>3.13801334563012</v>
      </c>
    </row>
    <row r="220" spans="1:14" x14ac:dyDescent="0.25">
      <c r="A220" s="71" t="s">
        <v>212</v>
      </c>
      <c r="B220" s="46" t="s">
        <v>34</v>
      </c>
      <c r="C220" s="9">
        <v>0</v>
      </c>
      <c r="D220" s="9">
        <v>0</v>
      </c>
      <c r="E220" s="9">
        <v>0</v>
      </c>
      <c r="F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19" t="str">
        <f t="shared" si="447"/>
        <v>n.a.</v>
      </c>
    </row>
    <row r="221" spans="1:14" x14ac:dyDescent="0.25">
      <c r="A221" s="73" t="s">
        <v>207</v>
      </c>
      <c r="B221" s="51" t="s">
        <v>34</v>
      </c>
      <c r="C221" s="14">
        <f>+C72</f>
        <v>13847</v>
      </c>
      <c r="D221" s="14">
        <f>SUM(D212:D220)</f>
        <v>116689</v>
      </c>
      <c r="E221" s="14">
        <f>SUM(E212:E220)</f>
        <v>243691</v>
      </c>
      <c r="F221" s="14">
        <f>SUM(F212:F220)</f>
        <v>-90701</v>
      </c>
      <c r="H221" s="14">
        <f>SUM(H212:H220)</f>
        <v>-210980</v>
      </c>
      <c r="I221" s="14">
        <f>SUM(I212:I220)</f>
        <v>-138704</v>
      </c>
      <c r="J221" s="14">
        <f>SUM(J212:J220)</f>
        <v>-191634</v>
      </c>
      <c r="K221" s="14">
        <f>SUM(K212:K220)</f>
        <v>-234022</v>
      </c>
      <c r="L221" s="14">
        <f t="shared" ref="L221:M221" si="448">SUM(L212:L220)</f>
        <v>-257240</v>
      </c>
      <c r="M221" s="14">
        <f t="shared" si="448"/>
        <v>-275846</v>
      </c>
      <c r="N221" s="20">
        <f>IFERROR(L221/M221-1,"n.a.")</f>
        <v>-6.7450679002051817E-2</v>
      </c>
    </row>
    <row r="222" spans="1:14" x14ac:dyDescent="0.25">
      <c r="A222" s="69"/>
      <c r="B222" s="46"/>
      <c r="C222" s="9"/>
      <c r="D222" s="9"/>
      <c r="E222" s="9"/>
      <c r="F222" s="9"/>
      <c r="H222" s="9"/>
      <c r="I222" s="9"/>
      <c r="J222" s="9"/>
      <c r="K222" s="9"/>
      <c r="L222" s="9"/>
      <c r="M222" s="9"/>
      <c r="N222" s="19"/>
    </row>
    <row r="223" spans="1:14" x14ac:dyDescent="0.25">
      <c r="A223" s="73" t="s">
        <v>208</v>
      </c>
      <c r="B223" s="51" t="s">
        <v>34</v>
      </c>
      <c r="C223" s="14">
        <f>+C74</f>
        <v>-218721</v>
      </c>
      <c r="D223" s="14">
        <f>D201+D209+D221+21</f>
        <v>25315</v>
      </c>
      <c r="E223" s="14">
        <f>E201+E209+E221</f>
        <v>280201.99999999994</v>
      </c>
      <c r="F223" s="14">
        <f>F201+F209+F221</f>
        <v>557670</v>
      </c>
      <c r="H223" s="14">
        <f t="shared" ref="H223:K223" si="449">H201+H209+H221</f>
        <v>-15323</v>
      </c>
      <c r="I223" s="14">
        <f t="shared" si="449"/>
        <v>137940</v>
      </c>
      <c r="J223" s="14">
        <f t="shared" si="449"/>
        <v>-292409</v>
      </c>
      <c r="K223" s="14">
        <f t="shared" si="449"/>
        <v>44146</v>
      </c>
      <c r="L223" s="14">
        <f t="shared" ref="L223:M223" si="450">L201+L209+L221</f>
        <v>-213753.99999999994</v>
      </c>
      <c r="M223" s="14">
        <f t="shared" si="450"/>
        <v>147877</v>
      </c>
      <c r="N223" s="20">
        <f>IFERROR(L223/M223-1,"n.a.")</f>
        <v>-2.4454850991026325</v>
      </c>
    </row>
    <row r="224" spans="1:14" x14ac:dyDescent="0.25">
      <c r="A224" s="69"/>
      <c r="B224" s="51"/>
      <c r="C224" s="9"/>
      <c r="D224" s="9"/>
      <c r="E224" s="9"/>
      <c r="F224" s="9"/>
      <c r="H224" s="9"/>
      <c r="I224" s="9"/>
      <c r="J224" s="9"/>
      <c r="K224" s="9"/>
      <c r="L224" s="9"/>
      <c r="M224" s="9"/>
      <c r="N224" s="19"/>
    </row>
    <row r="225" spans="1:14" x14ac:dyDescent="0.25">
      <c r="A225" s="73" t="s">
        <v>209</v>
      </c>
      <c r="B225" s="51" t="s">
        <v>34</v>
      </c>
      <c r="C225" s="14">
        <f>+C76</f>
        <v>229183</v>
      </c>
      <c r="D225" s="14">
        <v>10440</v>
      </c>
      <c r="E225" s="14">
        <v>34379</v>
      </c>
      <c r="F225" s="14">
        <v>314581</v>
      </c>
      <c r="H225" s="14">
        <v>872251</v>
      </c>
      <c r="I225" s="14">
        <v>314581</v>
      </c>
      <c r="J225" s="14">
        <v>872251</v>
      </c>
      <c r="K225" s="14">
        <v>314581</v>
      </c>
      <c r="L225" s="14">
        <v>872251</v>
      </c>
      <c r="M225" s="14">
        <v>314581</v>
      </c>
      <c r="N225" s="20">
        <f>IFERROR(L225/M225-1,"n.a.")</f>
        <v>1.7727389766069788</v>
      </c>
    </row>
    <row r="226" spans="1:14" x14ac:dyDescent="0.25">
      <c r="A226" s="69"/>
      <c r="B226" s="51"/>
      <c r="C226" s="9"/>
      <c r="D226" s="9"/>
      <c r="E226" s="9"/>
      <c r="F226" s="9"/>
      <c r="H226" s="9"/>
      <c r="I226" s="9"/>
      <c r="J226" s="9"/>
      <c r="K226" s="9"/>
      <c r="L226" s="9"/>
      <c r="M226" s="9"/>
      <c r="N226" s="19"/>
    </row>
    <row r="227" spans="1:14" x14ac:dyDescent="0.25">
      <c r="A227" s="73" t="s">
        <v>210</v>
      </c>
      <c r="B227" s="51" t="s">
        <v>34</v>
      </c>
      <c r="C227" s="14">
        <f>+C78</f>
        <v>10462</v>
      </c>
      <c r="D227" s="14">
        <f t="shared" ref="D227:F227" si="451">D223+D225</f>
        <v>35755</v>
      </c>
      <c r="E227" s="14">
        <f t="shared" si="451"/>
        <v>314580.99999999994</v>
      </c>
      <c r="F227" s="14">
        <f t="shared" si="451"/>
        <v>872251</v>
      </c>
      <c r="H227" s="14">
        <f t="shared" ref="H227:K227" si="452">H223+H225</f>
        <v>856928</v>
      </c>
      <c r="I227" s="14">
        <f t="shared" si="452"/>
        <v>452521</v>
      </c>
      <c r="J227" s="14">
        <f t="shared" si="452"/>
        <v>579842</v>
      </c>
      <c r="K227" s="14">
        <f t="shared" si="452"/>
        <v>358727</v>
      </c>
      <c r="L227" s="14">
        <f t="shared" ref="L227:M227" si="453">L223+L225</f>
        <v>658497</v>
      </c>
      <c r="M227" s="14">
        <f t="shared" si="453"/>
        <v>462458</v>
      </c>
      <c r="N227" s="20">
        <f>IFERROR(L227/M227-1,"n.a.")</f>
        <v>0.42390660341047193</v>
      </c>
    </row>
    <row r="228" spans="1:14" x14ac:dyDescent="0.25">
      <c r="A228" s="69"/>
      <c r="B228" s="46"/>
      <c r="C228" s="46"/>
      <c r="D228" s="46"/>
      <c r="E228" s="46"/>
      <c r="F228" s="46"/>
      <c r="H228" s="46"/>
      <c r="I228" s="46"/>
      <c r="J228" s="46"/>
      <c r="K228" s="46"/>
      <c r="L228" s="14"/>
      <c r="M228" s="14"/>
      <c r="N228" s="46"/>
    </row>
    <row r="229" spans="1:14" x14ac:dyDescent="0.25">
      <c r="N229"/>
    </row>
    <row r="230" spans="1:14" x14ac:dyDescent="0.25">
      <c r="N23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8DA3A6C7AF0246A785261291D85327" ma:contentTypeVersion="15" ma:contentTypeDescription="Crie um novo documento." ma:contentTypeScope="" ma:versionID="8edfb5f4a12846888a317e0d831fc93e">
  <xsd:schema xmlns:xsd="http://www.w3.org/2001/XMLSchema" xmlns:xs="http://www.w3.org/2001/XMLSchema" xmlns:p="http://schemas.microsoft.com/office/2006/metadata/properties" xmlns:ns1="http://schemas.microsoft.com/sharepoint/v3" xmlns:ns2="4ead31d0-7485-4275-ae3b-fe00c4a32662" xmlns:ns3="4485bea4-a9e3-4055-b251-6a230c6cc58f" targetNamespace="http://schemas.microsoft.com/office/2006/metadata/properties" ma:root="true" ma:fieldsID="e97d951aa2c9ce4b7cf60b7d2a4e51cc" ns1:_="" ns2:_="" ns3:_="">
    <xsd:import namespace="http://schemas.microsoft.com/sharepoint/v3"/>
    <xsd:import namespace="4ead31d0-7485-4275-ae3b-fe00c4a32662"/>
    <xsd:import namespace="4485bea4-a9e3-4055-b251-6a230c6cc5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d31d0-7485-4275-ae3b-fe00c4a326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5bea4-a9e3-4055-b251-6a230c6cc5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9CCC34-48F9-455D-BD5B-C8B30D53A2F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F59F3B9-3EE5-4043-B509-87937E39BD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ad31d0-7485-4275-ae3b-fe00c4a32662"/>
    <ds:schemaRef ds:uri="4485bea4-a9e3-4055-b251-6a230c6cc5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AAE0-80AA-498F-8C62-76231DB301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CAPA</vt:lpstr>
      <vt:lpstr>OPERACIONAL</vt:lpstr>
      <vt:lpstr>COMERCIAL</vt:lpstr>
      <vt:lpstr>CUSTOS E DESPESAS</vt:lpstr>
      <vt:lpstr>CAPEX</vt:lpstr>
      <vt:lpstr>ENDIVIDAMENTO</vt:lpstr>
      <vt:lpstr>DEMONSTRAÇÃO DE RESULTADOS</vt:lpstr>
      <vt:lpstr>BALANÇO PATRIMONIAL</vt:lpstr>
      <vt:lpstr>FLUXO DE CAIXA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Bonjovani Siqueira</dc:creator>
  <cp:lastModifiedBy>Leticia Bonjovani Siqueira</cp:lastModifiedBy>
  <dcterms:created xsi:type="dcterms:W3CDTF">2021-08-25T17:04:10Z</dcterms:created>
  <dcterms:modified xsi:type="dcterms:W3CDTF">2022-02-09T21:37:42Z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0x010100558DA3A6C7AF0246A785261291D85327</vt:lpwstr>
  </property>
</Properties>
</file>